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5" activeTab="7"/>
  </bookViews>
  <sheets>
    <sheet name="tabla1" sheetId="1" r:id="rId1"/>
    <sheet name="tabla2" sheetId="2" r:id="rId2"/>
    <sheet name="tabla3" sheetId="3" r:id="rId3"/>
    <sheet name="tabla4" sheetId="4" r:id="rId4"/>
    <sheet name="tabla5" sheetId="5" r:id="rId5"/>
    <sheet name="RPRI" sheetId="6" r:id="rId6"/>
    <sheet name="RPRO" sheetId="7" r:id="rId7"/>
    <sheet name="indices" sheetId="8" r:id="rId8"/>
    <sheet name="provincias" sheetId="9" r:id="rId9"/>
    <sheet name="autonomías" sheetId="10" r:id="rId10"/>
    <sheet name="simulación" sheetId="11" r:id="rId11"/>
  </sheets>
  <definedNames>
    <definedName name="porc">'simulación'!$B$3</definedName>
  </definedNames>
  <calcPr fullCalcOnLoad="1"/>
</workbook>
</file>

<file path=xl/sharedStrings.xml><?xml version="1.0" encoding="utf-8"?>
<sst xmlns="http://schemas.openxmlformats.org/spreadsheetml/2006/main" count="312" uniqueCount="179">
  <si>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</si>
  <si>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</si>
  <si>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</si>
  <si>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</si>
  <si>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</si>
  <si>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</si>
  <si>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</si>
  <si>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</si>
  <si>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</si>
  <si>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</si>
  <si>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</si>
  <si>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</si>
  <si>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</si>
  <si>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</si>
  <si>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</si>
  <si>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</si>
  <si>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</si>
  <si>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</si>
  <si>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</si>
  <si>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</si>
  <si>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</si>
  <si>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</si>
  <si>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</si>
  <si>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</si>
  <si>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</si>
  <si>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</si>
  <si>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</si>
  <si>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</si>
  <si>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</si>
  <si>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</si>
  <si>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</si>
  <si>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</si>
  <si>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</si>
  <si>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</si>
  <si>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</si>
  <si>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</si>
  <si>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Salamanca</t>
  </si>
  <si>
    <t>Santa Cruz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</si>
  <si>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</si>
  <si>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</si>
  <si>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</si>
  <si>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</si>
  <si>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</si>
  <si>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</si>
  <si>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</si>
  <si>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</si>
  <si>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</si>
  <si>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</si>
  <si>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</si>
  <si>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</si>
  <si>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</si>
  <si>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</si>
  <si>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Circunscripción</t>
  </si>
  <si>
    <t>Escaños</t>
  </si>
  <si>
    <t>Electores</t>
  </si>
  <si>
    <t>Andalucía</t>
  </si>
  <si>
    <t>Aragón</t>
  </si>
  <si>
    <t>Canarias</t>
  </si>
  <si>
    <t>Castilla y León</t>
  </si>
  <si>
    <t>Castilla-La Mancha</t>
  </si>
  <si>
    <t>Cataluña</t>
  </si>
  <si>
    <t>Valenciana (Com.)</t>
  </si>
  <si>
    <t>Extremadura</t>
  </si>
  <si>
    <t>Galicia</t>
  </si>
  <si>
    <t>País Vasco</t>
  </si>
  <si>
    <t>Población_2007</t>
  </si>
  <si>
    <t>Diferencia</t>
  </si>
  <si>
    <t>Suma sin Ceuta y Melilla</t>
  </si>
  <si>
    <t>Ratio Población/Escaño</t>
  </si>
  <si>
    <t>Mínimo por Autonomía</t>
  </si>
  <si>
    <t>A repartir</t>
  </si>
  <si>
    <t>Por_provincias</t>
  </si>
  <si>
    <t>1a. Tamaño de las circunscripciones</t>
  </si>
  <si>
    <t>G2008</t>
  </si>
  <si>
    <t>G2004</t>
  </si>
  <si>
    <t>% Voto</t>
  </si>
  <si>
    <t>Muy Baja</t>
  </si>
  <si>
    <t>menos de 5</t>
  </si>
  <si>
    <t>50,0 – 20,0</t>
  </si>
  <si>
    <t>Baja</t>
  </si>
  <si>
    <t>de 5 a 9</t>
  </si>
  <si>
    <t>16,7 –  10,0</t>
  </si>
  <si>
    <t>Media</t>
  </si>
  <si>
    <t>de 10 a 19</t>
  </si>
  <si>
    <t>9,1 – 5,9</t>
  </si>
  <si>
    <t>Alta</t>
  </si>
  <si>
    <t>20 o más</t>
  </si>
  <si>
    <t>3,1 – 3,0</t>
  </si>
  <si>
    <t>TOTAL</t>
  </si>
  <si>
    <t>Tipo Proporcionalidad</t>
  </si>
  <si>
    <t>Tamaño      (nº escaños)</t>
  </si>
  <si>
    <t>Nº Circuns- cripciones</t>
  </si>
  <si>
    <t>Escaños  en Juego</t>
  </si>
  <si>
    <t>% Voto escaño seguro</t>
  </si>
  <si>
    <t>1b. Tamaño de las circunscripciones (%)</t>
  </si>
  <si>
    <t>G2008 (%)</t>
  </si>
  <si>
    <t>G2004 (%)</t>
  </si>
  <si>
    <t>2. Opciones para conseguir escaño en Generales de 2008</t>
  </si>
  <si>
    <t>Tamaño circunscr.</t>
  </si>
  <si>
    <t>Escaños Seguros</t>
  </si>
  <si>
    <t>Simulación reparto homogéneo del voto en generales de 2008</t>
  </si>
  <si>
    <t>Total escaños seguros</t>
  </si>
  <si>
    <t>Porcentaje:</t>
  </si>
  <si>
    <t>% voto escaño seguro</t>
  </si>
  <si>
    <t>Escaños seguros</t>
  </si>
  <si>
    <t>NOTA: los escaños seguros se han calculado con la tabla Simulación</t>
  </si>
  <si>
    <t>PSOE</t>
  </si>
  <si>
    <t>PP</t>
  </si>
  <si>
    <t>IU</t>
  </si>
  <si>
    <t>CiU</t>
  </si>
  <si>
    <t>EAJ-PNV</t>
  </si>
  <si>
    <t>UPyD</t>
  </si>
  <si>
    <t>Esquerra</t>
  </si>
  <si>
    <t>BNG</t>
  </si>
  <si>
    <t>CC-PNC</t>
  </si>
  <si>
    <t>Na-Bai</t>
  </si>
  <si>
    <t>CIRCUNSCRIPCIÓN</t>
  </si>
  <si>
    <t>TOTAL ESPAÑA</t>
  </si>
  <si>
    <t>3. Simulación de escaños con circunscripción autonómica</t>
  </si>
  <si>
    <t>4. Con circunscripción única estatal</t>
  </si>
  <si>
    <t>Votos</t>
  </si>
  <si>
    <t>%</t>
  </si>
  <si>
    <t>límite 3%</t>
  </si>
  <si>
    <t>sin límite</t>
  </si>
  <si>
    <t>Partido</t>
  </si>
  <si>
    <t>Verdes</t>
  </si>
  <si>
    <t>EA</t>
  </si>
  <si>
    <t>Otros</t>
  </si>
  <si>
    <t>Blancos</t>
  </si>
  <si>
    <t>CA</t>
  </si>
  <si>
    <t>5. Según el tipo de circunscripción</t>
  </si>
  <si>
    <t>estatal</t>
  </si>
  <si>
    <t>autonómica</t>
  </si>
  <si>
    <t>provincial</t>
  </si>
  <si>
    <t>Dos grandes</t>
  </si>
  <si>
    <t>Estatales</t>
  </si>
  <si>
    <t>Locales</t>
  </si>
  <si>
    <t>Por Categoría de Partidos</t>
  </si>
  <si>
    <t>Factor</t>
  </si>
  <si>
    <t>PRE - % Mínimo para acceder al reparto</t>
  </si>
  <si>
    <t>TMC - Tamaño medio de la circunscripción</t>
  </si>
  <si>
    <t>NTE - Número total de escaños</t>
  </si>
  <si>
    <t>Peso</t>
  </si>
  <si>
    <t>0 =&gt; no proporcional (mayoritario puro)</t>
  </si>
  <si>
    <t>1=&gt; proporcional puro</t>
  </si>
  <si>
    <t>Valor</t>
  </si>
  <si>
    <t>RPRI</t>
  </si>
  <si>
    <t>TOTAL RATIO</t>
  </si>
  <si>
    <t>NTE/2</t>
  </si>
  <si>
    <t>x</t>
  </si>
  <si>
    <t>y</t>
  </si>
  <si>
    <t>Calculado</t>
  </si>
  <si>
    <t>Cálculos para España 2008</t>
  </si>
  <si>
    <t>Función de ajuste</t>
  </si>
  <si>
    <t>y = 0,192Ln(x) - 0,0222</t>
  </si>
  <si>
    <t>y = -0,1097Ln(x) + 0,5335</t>
  </si>
  <si>
    <t>y = 0,1396Ln(x) - 0,0357</t>
  </si>
  <si>
    <t>6. Definición del Ratio de Proporcionalidad a Priori (RPRI):</t>
  </si>
  <si>
    <t>Valor de RPRI</t>
  </si>
  <si>
    <t>proporcional</t>
  </si>
  <si>
    <t>real</t>
  </si>
  <si>
    <t>diferencia</t>
  </si>
  <si>
    <t>RPRO =</t>
  </si>
  <si>
    <t>% Diferencia =</t>
  </si>
  <si>
    <t>Ajuste lineal</t>
  </si>
  <si>
    <t>y=(50-x)/80</t>
  </si>
  <si>
    <t>y=(10-x)/20+0,5</t>
  </si>
  <si>
    <t>Cálculo de RPRO</t>
  </si>
  <si>
    <t>Índice de Rose</t>
  </si>
  <si>
    <t xml:space="preserve">P = 100 - 1/2 SUMA( |vi - ei| ) </t>
  </si>
  <si>
    <t>donde v y e son el porcentaje de votos y escanos del partido i.</t>
  </si>
  <si>
    <t>0=&gt; minima proporcionalidad; 100=&gt; maxima proporcionalidad</t>
  </si>
  <si>
    <t>Índice de Gallagher</t>
  </si>
  <si>
    <t>MC = RAIZ ( 1/2 SUMA ((ei - vi)^2) )</t>
  </si>
  <si>
    <t>Índice de Rose (proporcionalidad)</t>
  </si>
  <si>
    <t>Índice de Gallagher (desproporcionalaidad)</t>
  </si>
  <si>
    <t>0=&gt; minima desproporcionalidad; 100=&gt; maxima desproporcionalidad</t>
  </si>
  <si>
    <t>Diputados</t>
  </si>
  <si>
    <t>Índice de Gallagher (desproporcionalidad)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</si>
</sst>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000000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7" fontId="2" fillId="0" borderId="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82" fontId="2" fillId="0" borderId="10" xfId="21" applyNumberFormat="1" applyFont="1" applyBorder="1" applyAlignment="1">
      <alignment horizontal="center"/>
    </xf>
    <xf numFmtId="182" fontId="2" fillId="0" borderId="11" xfId="21" applyNumberFormat="1" applyFont="1" applyBorder="1" applyAlignment="1">
      <alignment horizontal="center"/>
    </xf>
    <xf numFmtId="182" fontId="2" fillId="0" borderId="12" xfId="21" applyNumberFormat="1" applyFont="1" applyBorder="1" applyAlignment="1">
      <alignment horizontal="center"/>
    </xf>
    <xf numFmtId="182" fontId="2" fillId="0" borderId="13" xfId="21" applyNumberFormat="1" applyFont="1" applyBorder="1" applyAlignment="1">
      <alignment horizontal="center"/>
    </xf>
    <xf numFmtId="182" fontId="2" fillId="0" borderId="14" xfId="21" applyNumberFormat="1" applyFont="1" applyBorder="1" applyAlignment="1">
      <alignment horizontal="center"/>
    </xf>
    <xf numFmtId="182" fontId="2" fillId="0" borderId="15" xfId="2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177" fontId="0" fillId="0" borderId="27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2" fontId="0" fillId="0" borderId="18" xfId="21" applyNumberFormat="1" applyBorder="1" applyAlignment="1">
      <alignment/>
    </xf>
    <xf numFmtId="182" fontId="0" fillId="0" borderId="13" xfId="21" applyNumberFormat="1" applyBorder="1" applyAlignment="1">
      <alignment/>
    </xf>
    <xf numFmtId="182" fontId="0" fillId="0" borderId="15" xfId="21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4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0" xfId="0" applyFont="1" applyBorder="1" applyAlignment="1">
      <alignment/>
    </xf>
    <xf numFmtId="2" fontId="2" fillId="0" borderId="4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9" fontId="0" fillId="0" borderId="44" xfId="2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22" xfId="2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81" fontId="0" fillId="0" borderId="0" xfId="0" applyNumberFormat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1" xfId="21" applyNumberFormat="1" applyBorder="1" applyAlignment="1">
      <alignment horizontal="center"/>
    </xf>
    <xf numFmtId="1" fontId="0" fillId="0" borderId="29" xfId="21" applyNumberFormat="1" applyBorder="1" applyAlignment="1">
      <alignment horizontal="center"/>
    </xf>
    <xf numFmtId="1" fontId="0" fillId="0" borderId="13" xfId="21" applyNumberFormat="1" applyBorder="1" applyAlignment="1">
      <alignment horizontal="center"/>
    </xf>
    <xf numFmtId="1" fontId="0" fillId="0" borderId="0" xfId="21" applyNumberFormat="1" applyAlignment="1">
      <alignment horizontal="center"/>
    </xf>
    <xf numFmtId="0" fontId="0" fillId="0" borderId="0" xfId="0" applyAlignment="1">
      <alignment/>
    </xf>
    <xf numFmtId="181" fontId="5" fillId="0" borderId="0" xfId="0" applyNumberFormat="1" applyFont="1" applyAlignment="1">
      <alignment horizontal="center"/>
    </xf>
    <xf numFmtId="177" fontId="2" fillId="0" borderId="39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NumberFormat="1" applyAlignment="1">
      <alignment/>
    </xf>
    <xf numFmtId="2" fontId="2" fillId="0" borderId="39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Función de Ajuste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"/>
          <c:w val="0.927"/>
          <c:h val="0.8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RPRI!$B$18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RPRI!$B$19:$B$21</c:f>
              <c:numCache/>
            </c:numRef>
          </c:xVal>
          <c:yVal>
            <c:numRef>
              <c:f>RPRI!$C$19:$C$21</c:f>
              <c:numCache/>
            </c:numRef>
          </c:yVal>
          <c:smooth val="1"/>
        </c:ser>
        <c:axId val="36194817"/>
        <c:axId val="57317898"/>
      </c:scatterChart>
      <c:val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crossBetween val="midCat"/>
        <c:dispUnits/>
      </c:valAx>
      <c:valAx>
        <c:axId val="5731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5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0" y="3562350"/>
        <a:ext cx="4733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4" max="4" width="9.57421875" style="0" customWidth="1"/>
    <col min="7" max="7" width="14.00390625" style="0" customWidth="1"/>
  </cols>
  <sheetData>
    <row r="1" spans="1:7" ht="12.75">
      <c r="A1" s="124" t="s">
        <v>72</v>
      </c>
      <c r="B1" s="124"/>
      <c r="C1" s="124"/>
      <c r="D1" s="124"/>
      <c r="E1" s="7"/>
      <c r="F1" s="7"/>
      <c r="G1" s="7"/>
    </row>
    <row r="2" spans="1:7" ht="12.75">
      <c r="A2" s="7"/>
      <c r="B2" s="7"/>
      <c r="C2" s="122" t="s">
        <v>73</v>
      </c>
      <c r="D2" s="123"/>
      <c r="E2" s="122" t="s">
        <v>74</v>
      </c>
      <c r="F2" s="123"/>
      <c r="G2" s="7"/>
    </row>
    <row r="3" spans="1:7" ht="24">
      <c r="A3" s="9" t="s">
        <v>89</v>
      </c>
      <c r="B3" s="9" t="s">
        <v>90</v>
      </c>
      <c r="C3" s="9" t="s">
        <v>91</v>
      </c>
      <c r="D3" s="9" t="s">
        <v>92</v>
      </c>
      <c r="E3" s="9" t="s">
        <v>91</v>
      </c>
      <c r="F3" s="9" t="s">
        <v>92</v>
      </c>
      <c r="G3" s="9" t="s">
        <v>93</v>
      </c>
    </row>
    <row r="4" spans="1:7" ht="12.75">
      <c r="A4" s="23" t="s">
        <v>76</v>
      </c>
      <c r="B4" s="12" t="s">
        <v>77</v>
      </c>
      <c r="C4" s="15">
        <f>+SUM(C8:C11)</f>
        <v>20</v>
      </c>
      <c r="D4" s="16">
        <f>+SUM(D8:D11)</f>
        <v>64</v>
      </c>
      <c r="E4" s="15">
        <f>+SUM(E8:E11)</f>
        <v>20</v>
      </c>
      <c r="F4" s="16">
        <f>+SUM(F8:F11)</f>
        <v>65</v>
      </c>
      <c r="G4" s="23" t="s">
        <v>78</v>
      </c>
    </row>
    <row r="5" spans="1:7" ht="12.75">
      <c r="A5" s="21" t="s">
        <v>79</v>
      </c>
      <c r="B5" s="13" t="s">
        <v>80</v>
      </c>
      <c r="C5" s="17">
        <f>+SUM(C12:C16)</f>
        <v>25</v>
      </c>
      <c r="D5" s="18">
        <f>+SUM(D12:D16)</f>
        <v>160</v>
      </c>
      <c r="E5" s="17">
        <f>+SUM(E12:E16)</f>
        <v>26</v>
      </c>
      <c r="F5" s="18">
        <f>+SUM(F12:F16)</f>
        <v>170</v>
      </c>
      <c r="G5" s="21" t="s">
        <v>81</v>
      </c>
    </row>
    <row r="6" spans="1:7" ht="12.75">
      <c r="A6" s="21" t="s">
        <v>82</v>
      </c>
      <c r="B6" s="13" t="s">
        <v>83</v>
      </c>
      <c r="C6" s="17">
        <f>+SUM(C17:C20)</f>
        <v>5</v>
      </c>
      <c r="D6" s="18">
        <f>+SUM(D17:D20)</f>
        <v>60</v>
      </c>
      <c r="E6" s="17">
        <f>+SUM(E17:E20)</f>
        <v>4</v>
      </c>
      <c r="F6" s="18">
        <f>+SUM(F17:F20)</f>
        <v>49</v>
      </c>
      <c r="G6" s="21" t="s">
        <v>84</v>
      </c>
    </row>
    <row r="7" spans="1:7" ht="12.75">
      <c r="A7" s="22" t="s">
        <v>85</v>
      </c>
      <c r="B7" s="14" t="s">
        <v>86</v>
      </c>
      <c r="C7" s="19">
        <f>+C21+C22</f>
        <v>2</v>
      </c>
      <c r="D7" s="20">
        <f>+D21+D22</f>
        <v>66</v>
      </c>
      <c r="E7" s="19">
        <f>+E21+E22</f>
        <v>2</v>
      </c>
      <c r="F7" s="20">
        <f>+F21+F22</f>
        <v>66</v>
      </c>
      <c r="G7" s="22" t="s">
        <v>87</v>
      </c>
    </row>
    <row r="8" spans="1:7" ht="12.75">
      <c r="A8" s="7"/>
      <c r="B8" s="25">
        <v>1</v>
      </c>
      <c r="C8" s="26">
        <v>2</v>
      </c>
      <c r="D8" s="27">
        <v>2</v>
      </c>
      <c r="E8" s="26">
        <v>2</v>
      </c>
      <c r="F8" s="27">
        <v>2</v>
      </c>
      <c r="G8" s="28">
        <f>MAX(100/(B8+1),3)</f>
        <v>50</v>
      </c>
    </row>
    <row r="9" spans="1:7" ht="12.75">
      <c r="A9" s="7"/>
      <c r="B9" s="21">
        <v>2</v>
      </c>
      <c r="C9" s="17">
        <v>1</v>
      </c>
      <c r="D9" s="18">
        <v>2</v>
      </c>
      <c r="E9" s="17">
        <v>0</v>
      </c>
      <c r="F9" s="18">
        <v>0</v>
      </c>
      <c r="G9" s="24">
        <f aca="true" t="shared" si="0" ref="G9:G22">MAX(100/(B9+1),3)</f>
        <v>33.333333333333336</v>
      </c>
    </row>
    <row r="10" spans="1:7" ht="12.75">
      <c r="A10" s="7"/>
      <c r="B10" s="21">
        <v>3</v>
      </c>
      <c r="C10" s="17">
        <v>8</v>
      </c>
      <c r="D10" s="18">
        <v>24</v>
      </c>
      <c r="E10" s="17">
        <v>9</v>
      </c>
      <c r="F10" s="18">
        <v>27</v>
      </c>
      <c r="G10" s="24">
        <f t="shared" si="0"/>
        <v>25</v>
      </c>
    </row>
    <row r="11" spans="1:7" ht="12.75">
      <c r="A11" s="7"/>
      <c r="B11" s="21">
        <v>4</v>
      </c>
      <c r="C11" s="17">
        <v>9</v>
      </c>
      <c r="D11" s="18">
        <v>36</v>
      </c>
      <c r="E11" s="17">
        <v>9</v>
      </c>
      <c r="F11" s="18">
        <v>36</v>
      </c>
      <c r="G11" s="24">
        <f t="shared" si="0"/>
        <v>20</v>
      </c>
    </row>
    <row r="12" spans="1:7" ht="12.75">
      <c r="A12" s="7"/>
      <c r="B12" s="21">
        <v>5</v>
      </c>
      <c r="C12" s="17">
        <v>7</v>
      </c>
      <c r="D12" s="18">
        <v>35</v>
      </c>
      <c r="E12" s="17">
        <v>9</v>
      </c>
      <c r="F12" s="18">
        <v>45</v>
      </c>
      <c r="G12" s="24">
        <f t="shared" si="0"/>
        <v>16.666666666666668</v>
      </c>
    </row>
    <row r="13" spans="1:7" ht="12.75">
      <c r="A13" s="7"/>
      <c r="B13" s="21">
        <v>6</v>
      </c>
      <c r="C13" s="17">
        <v>8</v>
      </c>
      <c r="D13" s="18">
        <v>48</v>
      </c>
      <c r="E13" s="17">
        <v>5</v>
      </c>
      <c r="F13" s="18">
        <v>30</v>
      </c>
      <c r="G13" s="24">
        <f t="shared" si="0"/>
        <v>14.285714285714286</v>
      </c>
    </row>
    <row r="14" spans="1:7" ht="12.75">
      <c r="A14" s="7"/>
      <c r="B14" s="21">
        <v>7</v>
      </c>
      <c r="C14" s="17">
        <v>4</v>
      </c>
      <c r="D14" s="18">
        <v>28</v>
      </c>
      <c r="E14" s="17">
        <v>5</v>
      </c>
      <c r="F14" s="18">
        <v>35</v>
      </c>
      <c r="G14" s="24">
        <f t="shared" si="0"/>
        <v>12.5</v>
      </c>
    </row>
    <row r="15" spans="1:7" ht="12.75">
      <c r="A15" s="7"/>
      <c r="B15" s="21">
        <v>8</v>
      </c>
      <c r="C15" s="17">
        <v>5</v>
      </c>
      <c r="D15" s="18">
        <v>40</v>
      </c>
      <c r="E15" s="17">
        <v>3</v>
      </c>
      <c r="F15" s="18">
        <v>24</v>
      </c>
      <c r="G15" s="24">
        <f t="shared" si="0"/>
        <v>11.11111111111111</v>
      </c>
    </row>
    <row r="16" spans="1:7" ht="12.75">
      <c r="A16" s="7"/>
      <c r="B16" s="21">
        <v>9</v>
      </c>
      <c r="C16" s="17">
        <v>1</v>
      </c>
      <c r="D16" s="18">
        <v>9</v>
      </c>
      <c r="E16" s="17">
        <v>4</v>
      </c>
      <c r="F16" s="18">
        <v>36</v>
      </c>
      <c r="G16" s="24">
        <f t="shared" si="0"/>
        <v>10</v>
      </c>
    </row>
    <row r="17" spans="1:7" ht="12.75">
      <c r="A17" s="7"/>
      <c r="B17" s="21">
        <v>10</v>
      </c>
      <c r="C17" s="17">
        <v>2</v>
      </c>
      <c r="D17" s="18">
        <v>20</v>
      </c>
      <c r="E17" s="17">
        <v>1</v>
      </c>
      <c r="F17" s="18">
        <v>10</v>
      </c>
      <c r="G17" s="24">
        <f t="shared" si="0"/>
        <v>9.090909090909092</v>
      </c>
    </row>
    <row r="18" spans="1:7" ht="12.75">
      <c r="A18" s="7"/>
      <c r="B18" s="21">
        <v>11</v>
      </c>
      <c r="C18" s="17">
        <v>0</v>
      </c>
      <c r="D18" s="18">
        <v>0</v>
      </c>
      <c r="E18" s="17">
        <v>1</v>
      </c>
      <c r="F18" s="18">
        <v>11</v>
      </c>
      <c r="G18" s="24">
        <f t="shared" si="0"/>
        <v>8.333333333333334</v>
      </c>
    </row>
    <row r="19" spans="1:7" ht="12.75">
      <c r="A19" s="7"/>
      <c r="B19" s="21">
        <v>12</v>
      </c>
      <c r="C19" s="17">
        <v>2</v>
      </c>
      <c r="D19" s="18">
        <v>24</v>
      </c>
      <c r="E19" s="17">
        <v>1</v>
      </c>
      <c r="F19" s="18">
        <v>12</v>
      </c>
      <c r="G19" s="24">
        <f t="shared" si="0"/>
        <v>7.6923076923076925</v>
      </c>
    </row>
    <row r="20" spans="1:7" ht="12.75">
      <c r="A20" s="7"/>
      <c r="B20" s="21">
        <v>16</v>
      </c>
      <c r="C20" s="17">
        <v>1</v>
      </c>
      <c r="D20" s="18">
        <v>16</v>
      </c>
      <c r="E20" s="17">
        <v>1</v>
      </c>
      <c r="F20" s="18">
        <v>16</v>
      </c>
      <c r="G20" s="24">
        <f t="shared" si="0"/>
        <v>5.882352941176471</v>
      </c>
    </row>
    <row r="21" spans="1:7" ht="12.75">
      <c r="A21" s="7"/>
      <c r="B21" s="21">
        <v>31</v>
      </c>
      <c r="C21" s="17">
        <v>1</v>
      </c>
      <c r="D21" s="18">
        <v>31</v>
      </c>
      <c r="E21" s="17">
        <v>1</v>
      </c>
      <c r="F21" s="18">
        <v>31</v>
      </c>
      <c r="G21" s="24">
        <f t="shared" si="0"/>
        <v>3.125</v>
      </c>
    </row>
    <row r="22" spans="1:7" ht="12.75">
      <c r="A22" s="7"/>
      <c r="B22" s="22">
        <v>35</v>
      </c>
      <c r="C22" s="19">
        <v>1</v>
      </c>
      <c r="D22" s="20">
        <v>35</v>
      </c>
      <c r="E22" s="19">
        <v>1</v>
      </c>
      <c r="F22" s="20">
        <v>35</v>
      </c>
      <c r="G22" s="32">
        <f t="shared" si="0"/>
        <v>3</v>
      </c>
    </row>
    <row r="23" spans="1:6" ht="12.75">
      <c r="A23" s="7"/>
      <c r="B23" s="29" t="s">
        <v>88</v>
      </c>
      <c r="C23" s="30">
        <f>+SUM(C8:C22)</f>
        <v>52</v>
      </c>
      <c r="D23" s="31">
        <f>+SUM(D8:D22)</f>
        <v>350</v>
      </c>
      <c r="E23" s="30">
        <f>+SUM(E8:E22)</f>
        <v>52</v>
      </c>
      <c r="F23" s="31">
        <f>+SUM(F8:F22)</f>
        <v>350</v>
      </c>
    </row>
    <row r="25" spans="1:6" ht="12.75">
      <c r="A25" s="124" t="s">
        <v>94</v>
      </c>
      <c r="B25" s="124"/>
      <c r="C25" s="124"/>
      <c r="D25" s="124"/>
      <c r="E25" s="7"/>
      <c r="F25" s="7"/>
    </row>
    <row r="26" spans="1:6" ht="12.75">
      <c r="A26" s="7"/>
      <c r="B26" s="7"/>
      <c r="C26" s="122" t="s">
        <v>95</v>
      </c>
      <c r="D26" s="123"/>
      <c r="E26" s="122" t="s">
        <v>96</v>
      </c>
      <c r="F26" s="123"/>
    </row>
    <row r="27" spans="1:6" ht="24">
      <c r="A27" s="9" t="s">
        <v>89</v>
      </c>
      <c r="B27" s="9" t="s">
        <v>90</v>
      </c>
      <c r="C27" s="9" t="s">
        <v>91</v>
      </c>
      <c r="D27" s="9" t="s">
        <v>92</v>
      </c>
      <c r="E27" s="9" t="s">
        <v>91</v>
      </c>
      <c r="F27" s="9" t="s">
        <v>92</v>
      </c>
    </row>
    <row r="28" spans="1:6" ht="12.75">
      <c r="A28" s="23" t="s">
        <v>76</v>
      </c>
      <c r="B28" s="12" t="s">
        <v>77</v>
      </c>
      <c r="C28" s="33">
        <f>+C4/52</f>
        <v>0.38461538461538464</v>
      </c>
      <c r="D28" s="34">
        <f>+D4/350</f>
        <v>0.18285714285714286</v>
      </c>
      <c r="E28" s="33">
        <f>+E4/52</f>
        <v>0.38461538461538464</v>
      </c>
      <c r="F28" s="34">
        <f>+F4/350</f>
        <v>0.18571428571428572</v>
      </c>
    </row>
    <row r="29" spans="1:6" ht="12.75">
      <c r="A29" s="21" t="s">
        <v>79</v>
      </c>
      <c r="B29" s="13" t="s">
        <v>80</v>
      </c>
      <c r="C29" s="35">
        <f aca="true" t="shared" si="1" ref="C29:E31">+C5/52</f>
        <v>0.4807692307692308</v>
      </c>
      <c r="D29" s="36">
        <f aca="true" t="shared" si="2" ref="D29:F31">+D5/350</f>
        <v>0.45714285714285713</v>
      </c>
      <c r="E29" s="35">
        <f t="shared" si="1"/>
        <v>0.5</v>
      </c>
      <c r="F29" s="36">
        <f t="shared" si="2"/>
        <v>0.4857142857142857</v>
      </c>
    </row>
    <row r="30" spans="1:6" ht="12.75">
      <c r="A30" s="21" t="s">
        <v>82</v>
      </c>
      <c r="B30" s="13" t="s">
        <v>83</v>
      </c>
      <c r="C30" s="35">
        <f t="shared" si="1"/>
        <v>0.09615384615384616</v>
      </c>
      <c r="D30" s="36">
        <f t="shared" si="2"/>
        <v>0.17142857142857143</v>
      </c>
      <c r="E30" s="35">
        <f t="shared" si="1"/>
        <v>0.07692307692307693</v>
      </c>
      <c r="F30" s="36">
        <f t="shared" si="2"/>
        <v>0.14</v>
      </c>
    </row>
    <row r="31" spans="1:6" ht="12.75">
      <c r="A31" s="22" t="s">
        <v>85</v>
      </c>
      <c r="B31" s="14" t="s">
        <v>86</v>
      </c>
      <c r="C31" s="37">
        <f t="shared" si="1"/>
        <v>0.038461538461538464</v>
      </c>
      <c r="D31" s="38">
        <f t="shared" si="2"/>
        <v>0.18857142857142858</v>
      </c>
      <c r="E31" s="37">
        <f t="shared" si="1"/>
        <v>0.038461538461538464</v>
      </c>
      <c r="F31" s="38">
        <f t="shared" si="2"/>
        <v>0.18857142857142858</v>
      </c>
    </row>
  </sheetData>
  <mergeCells count="6">
    <mergeCell ref="A1:D1"/>
    <mergeCell ref="C2:D2"/>
    <mergeCell ref="E2:F2"/>
    <mergeCell ref="E26:F26"/>
    <mergeCell ref="A25:D25"/>
    <mergeCell ref="C26:D26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5.00390625" style="0" customWidth="1"/>
    <col min="3" max="3" width="8.00390625" style="0" customWidth="1"/>
    <col min="6" max="6" width="9.00390625" style="0" customWidth="1"/>
  </cols>
  <sheetData>
    <row r="1" spans="1:6" ht="12.75">
      <c r="A1" s="4" t="s">
        <v>52</v>
      </c>
      <c r="B1" s="4" t="s">
        <v>65</v>
      </c>
      <c r="C1" s="4" t="s">
        <v>53</v>
      </c>
      <c r="D1" s="5" t="s">
        <v>54</v>
      </c>
      <c r="E1" s="6" t="s">
        <v>71</v>
      </c>
      <c r="F1" s="6" t="s">
        <v>66</v>
      </c>
    </row>
    <row r="2" spans="1:6" ht="12.75">
      <c r="A2" t="s">
        <v>55</v>
      </c>
      <c r="B2">
        <v>8059461</v>
      </c>
      <c r="C2">
        <v>58</v>
      </c>
      <c r="D2">
        <v>6234288</v>
      </c>
      <c r="E2">
        <v>61</v>
      </c>
      <c r="F2">
        <f>+C2-E2</f>
        <v>-3</v>
      </c>
    </row>
    <row r="3" spans="1:6" ht="12.75">
      <c r="A3" t="s">
        <v>56</v>
      </c>
      <c r="B3">
        <v>1296655</v>
      </c>
      <c r="C3">
        <v>11</v>
      </c>
      <c r="D3">
        <v>1016420</v>
      </c>
      <c r="E3">
        <v>13</v>
      </c>
      <c r="F3">
        <f aca="true" t="shared" si="0" ref="F3:F20">+C3-E3</f>
        <v>-2</v>
      </c>
    </row>
    <row r="4" spans="1:6" ht="12.75">
      <c r="A4" t="s">
        <v>32</v>
      </c>
      <c r="B4">
        <v>1074862</v>
      </c>
      <c r="C4">
        <v>10</v>
      </c>
      <c r="D4">
        <v>982230</v>
      </c>
      <c r="E4">
        <v>8</v>
      </c>
      <c r="F4">
        <f t="shared" si="0"/>
        <v>2</v>
      </c>
    </row>
    <row r="5" spans="1:6" ht="12.75">
      <c r="A5" t="s">
        <v>6</v>
      </c>
      <c r="B5">
        <v>1030650</v>
      </c>
      <c r="C5">
        <v>9</v>
      </c>
      <c r="D5">
        <v>706938</v>
      </c>
      <c r="E5">
        <v>8</v>
      </c>
      <c r="F5">
        <f t="shared" si="0"/>
        <v>1</v>
      </c>
    </row>
    <row r="6" spans="1:6" ht="12.75">
      <c r="A6" t="s">
        <v>57</v>
      </c>
      <c r="B6">
        <v>2025951</v>
      </c>
      <c r="C6">
        <v>16</v>
      </c>
      <c r="D6">
        <v>1526178</v>
      </c>
      <c r="E6">
        <v>15</v>
      </c>
      <c r="F6">
        <f t="shared" si="0"/>
        <v>1</v>
      </c>
    </row>
    <row r="7" spans="1:6" ht="12.75">
      <c r="A7" t="s">
        <v>38</v>
      </c>
      <c r="B7">
        <v>572824</v>
      </c>
      <c r="C7">
        <v>6</v>
      </c>
      <c r="D7">
        <v>488009</v>
      </c>
      <c r="E7">
        <v>5</v>
      </c>
      <c r="F7">
        <f t="shared" si="0"/>
        <v>1</v>
      </c>
    </row>
    <row r="8" spans="1:6" ht="12.75">
      <c r="A8" t="s">
        <v>58</v>
      </c>
      <c r="B8">
        <v>2528417</v>
      </c>
      <c r="C8">
        <v>20</v>
      </c>
      <c r="D8">
        <v>2168955</v>
      </c>
      <c r="E8">
        <v>32</v>
      </c>
      <c r="F8">
        <f t="shared" si="0"/>
        <v>-12</v>
      </c>
    </row>
    <row r="9" spans="1:6" ht="12.75">
      <c r="A9" t="s">
        <v>59</v>
      </c>
      <c r="B9">
        <v>1977304</v>
      </c>
      <c r="C9">
        <v>16</v>
      </c>
      <c r="D9">
        <v>1522832</v>
      </c>
      <c r="E9">
        <v>21</v>
      </c>
      <c r="F9">
        <f t="shared" si="0"/>
        <v>-5</v>
      </c>
    </row>
    <row r="10" spans="1:6" ht="12.75">
      <c r="A10" t="s">
        <v>60</v>
      </c>
      <c r="B10">
        <v>7210508</v>
      </c>
      <c r="C10">
        <v>52</v>
      </c>
      <c r="D10">
        <v>5324909</v>
      </c>
      <c r="E10">
        <v>47</v>
      </c>
      <c r="F10">
        <f t="shared" si="0"/>
        <v>5</v>
      </c>
    </row>
    <row r="11" spans="1:6" ht="12.75">
      <c r="A11" t="s">
        <v>61</v>
      </c>
      <c r="B11">
        <v>4885029</v>
      </c>
      <c r="C11">
        <v>36</v>
      </c>
      <c r="D11">
        <v>3504413</v>
      </c>
      <c r="E11">
        <v>33</v>
      </c>
      <c r="F11">
        <f t="shared" si="0"/>
        <v>3</v>
      </c>
    </row>
    <row r="12" spans="1:6" ht="12.75">
      <c r="A12" t="s">
        <v>62</v>
      </c>
      <c r="B12">
        <v>1089990</v>
      </c>
      <c r="C12">
        <v>10</v>
      </c>
      <c r="D12">
        <v>896683</v>
      </c>
      <c r="E12">
        <v>10</v>
      </c>
      <c r="F12">
        <f t="shared" si="0"/>
        <v>0</v>
      </c>
    </row>
    <row r="13" spans="1:6" ht="12.75">
      <c r="A13" t="s">
        <v>63</v>
      </c>
      <c r="B13">
        <v>2772533</v>
      </c>
      <c r="C13">
        <v>21</v>
      </c>
      <c r="D13">
        <v>2638816</v>
      </c>
      <c r="E13">
        <v>23</v>
      </c>
      <c r="F13">
        <f t="shared" si="0"/>
        <v>-2</v>
      </c>
    </row>
    <row r="14" spans="1:6" ht="12.75">
      <c r="A14" t="s">
        <v>27</v>
      </c>
      <c r="B14">
        <v>6081689</v>
      </c>
      <c r="C14">
        <v>44</v>
      </c>
      <c r="D14">
        <v>4490040</v>
      </c>
      <c r="E14">
        <v>35</v>
      </c>
      <c r="F14">
        <f t="shared" si="0"/>
        <v>9</v>
      </c>
    </row>
    <row r="15" spans="1:6" ht="12.75">
      <c r="A15" t="s">
        <v>29</v>
      </c>
      <c r="B15">
        <v>1392117</v>
      </c>
      <c r="C15">
        <v>12</v>
      </c>
      <c r="D15">
        <v>969946</v>
      </c>
      <c r="E15">
        <v>10</v>
      </c>
      <c r="F15">
        <f t="shared" si="0"/>
        <v>2</v>
      </c>
    </row>
    <row r="16" spans="1:6" ht="12.75">
      <c r="A16" t="s">
        <v>30</v>
      </c>
      <c r="B16">
        <v>605876</v>
      </c>
      <c r="C16">
        <v>6</v>
      </c>
      <c r="D16">
        <v>474058</v>
      </c>
      <c r="E16">
        <v>5</v>
      </c>
      <c r="F16">
        <f t="shared" si="0"/>
        <v>1</v>
      </c>
    </row>
    <row r="17" spans="1:6" ht="12.75">
      <c r="A17" t="s">
        <v>64</v>
      </c>
      <c r="B17">
        <v>2141860</v>
      </c>
      <c r="C17">
        <v>17</v>
      </c>
      <c r="D17">
        <v>1781140</v>
      </c>
      <c r="E17">
        <v>18</v>
      </c>
      <c r="F17">
        <f t="shared" si="0"/>
        <v>-1</v>
      </c>
    </row>
    <row r="18" spans="1:6" ht="12.75">
      <c r="A18" t="s">
        <v>25</v>
      </c>
      <c r="B18">
        <v>308968</v>
      </c>
      <c r="C18">
        <v>4</v>
      </c>
      <c r="D18">
        <v>238808</v>
      </c>
      <c r="E18">
        <v>4</v>
      </c>
      <c r="F18">
        <f t="shared" si="0"/>
        <v>0</v>
      </c>
    </row>
    <row r="19" spans="1:6" ht="12.75">
      <c r="A19" t="s">
        <v>50</v>
      </c>
      <c r="B19">
        <v>76603</v>
      </c>
      <c r="C19">
        <v>1</v>
      </c>
      <c r="D19">
        <v>57805</v>
      </c>
      <c r="E19">
        <v>1</v>
      </c>
      <c r="F19">
        <f t="shared" si="0"/>
        <v>0</v>
      </c>
    </row>
    <row r="20" spans="1:6" ht="12.75">
      <c r="A20" t="s">
        <v>51</v>
      </c>
      <c r="B20">
        <v>69440</v>
      </c>
      <c r="C20">
        <v>1</v>
      </c>
      <c r="D20">
        <v>50711</v>
      </c>
      <c r="E20">
        <v>1</v>
      </c>
      <c r="F20">
        <f t="shared" si="0"/>
        <v>0</v>
      </c>
    </row>
    <row r="22" spans="1:3" ht="12.75">
      <c r="A22" t="s">
        <v>67</v>
      </c>
      <c r="B22">
        <f>+SUM(B2:B18)</f>
        <v>45054694</v>
      </c>
      <c r="C22">
        <v>348</v>
      </c>
    </row>
    <row r="23" spans="1:3" ht="12.75">
      <c r="A23" t="s">
        <v>69</v>
      </c>
      <c r="C23">
        <v>2</v>
      </c>
    </row>
    <row r="24" spans="1:3" ht="12.75">
      <c r="A24" t="s">
        <v>70</v>
      </c>
      <c r="C24">
        <f>+C22-C23*17</f>
        <v>314</v>
      </c>
    </row>
    <row r="25" spans="1:3" ht="12.75">
      <c r="A25" t="s">
        <v>68</v>
      </c>
      <c r="C25">
        <f>+B22/C24</f>
        <v>143486.2866242038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Zeros="0" workbookViewId="0" topLeftCell="A1">
      <selection activeCell="A2" sqref="A2"/>
    </sheetView>
  </sheetViews>
  <sheetFormatPr defaultColWidth="11.421875" defaultRowHeight="12.75"/>
  <cols>
    <col min="4" max="4" width="12.8515625" style="8" customWidth="1"/>
  </cols>
  <sheetData>
    <row r="1" ht="12.75">
      <c r="A1" t="s">
        <v>100</v>
      </c>
    </row>
    <row r="3" spans="1:2" ht="12.75">
      <c r="A3" t="s">
        <v>102</v>
      </c>
      <c r="B3" s="46">
        <v>13</v>
      </c>
    </row>
    <row r="4" spans="1:5" ht="27" customHeight="1">
      <c r="A4" s="9" t="s">
        <v>90</v>
      </c>
      <c r="B4" s="9" t="s">
        <v>91</v>
      </c>
      <c r="C4" s="9" t="s">
        <v>92</v>
      </c>
      <c r="D4" s="9" t="s">
        <v>103</v>
      </c>
      <c r="E4" s="9" t="s">
        <v>104</v>
      </c>
    </row>
    <row r="5" spans="1:5" ht="12.75">
      <c r="A5" s="25">
        <v>1</v>
      </c>
      <c r="B5" s="26">
        <v>2</v>
      </c>
      <c r="C5" s="27">
        <v>2</v>
      </c>
      <c r="D5" s="47">
        <f>MAX(100/(A5+1),3)</f>
        <v>50</v>
      </c>
      <c r="E5" s="49">
        <f aca="true" t="shared" si="0" ref="E5:E18">+IF(porc&gt;=D5,B5*INT(porc/D5),0)</f>
        <v>0</v>
      </c>
    </row>
    <row r="6" spans="1:5" ht="12.75">
      <c r="A6" s="21">
        <v>2</v>
      </c>
      <c r="B6" s="17">
        <v>1</v>
      </c>
      <c r="C6" s="18">
        <v>2</v>
      </c>
      <c r="D6" s="47">
        <f aca="true" t="shared" si="1" ref="D6:D18">MAX(100/(A6+1),3)</f>
        <v>33.333333333333336</v>
      </c>
      <c r="E6" s="49">
        <f t="shared" si="0"/>
        <v>0</v>
      </c>
    </row>
    <row r="7" spans="1:5" ht="12.75">
      <c r="A7" s="21">
        <v>3</v>
      </c>
      <c r="B7" s="17">
        <v>8</v>
      </c>
      <c r="C7" s="18">
        <v>24</v>
      </c>
      <c r="D7" s="47">
        <f t="shared" si="1"/>
        <v>25</v>
      </c>
      <c r="E7" s="49">
        <f t="shared" si="0"/>
        <v>0</v>
      </c>
    </row>
    <row r="8" spans="1:5" ht="12.75">
      <c r="A8" s="21">
        <v>4</v>
      </c>
      <c r="B8" s="17">
        <v>9</v>
      </c>
      <c r="C8" s="18">
        <v>36</v>
      </c>
      <c r="D8" s="47">
        <f t="shared" si="1"/>
        <v>20</v>
      </c>
      <c r="E8" s="49">
        <f t="shared" si="0"/>
        <v>0</v>
      </c>
    </row>
    <row r="9" spans="1:5" ht="12.75">
      <c r="A9" s="21">
        <v>5</v>
      </c>
      <c r="B9" s="17">
        <v>7</v>
      </c>
      <c r="C9" s="18">
        <v>35</v>
      </c>
      <c r="D9" s="47">
        <f t="shared" si="1"/>
        <v>16.666666666666668</v>
      </c>
      <c r="E9" s="49">
        <f t="shared" si="0"/>
        <v>0</v>
      </c>
    </row>
    <row r="10" spans="1:5" ht="12.75">
      <c r="A10" s="21">
        <v>6</v>
      </c>
      <c r="B10" s="17">
        <v>8</v>
      </c>
      <c r="C10" s="18">
        <v>48</v>
      </c>
      <c r="D10" s="47">
        <f t="shared" si="1"/>
        <v>14.285714285714286</v>
      </c>
      <c r="E10" s="49">
        <f t="shared" si="0"/>
        <v>0</v>
      </c>
    </row>
    <row r="11" spans="1:5" ht="12.75">
      <c r="A11" s="21">
        <v>7</v>
      </c>
      <c r="B11" s="17">
        <v>4</v>
      </c>
      <c r="C11" s="18">
        <v>28</v>
      </c>
      <c r="D11" s="47">
        <f t="shared" si="1"/>
        <v>12.5</v>
      </c>
      <c r="E11" s="49">
        <f t="shared" si="0"/>
        <v>4</v>
      </c>
    </row>
    <row r="12" spans="1:5" ht="12.75">
      <c r="A12" s="21">
        <v>8</v>
      </c>
      <c r="B12" s="17">
        <v>5</v>
      </c>
      <c r="C12" s="18">
        <v>40</v>
      </c>
      <c r="D12" s="47">
        <f t="shared" si="1"/>
        <v>11.11111111111111</v>
      </c>
      <c r="E12" s="49">
        <f t="shared" si="0"/>
        <v>5</v>
      </c>
    </row>
    <row r="13" spans="1:5" ht="12.75">
      <c r="A13" s="21">
        <v>9</v>
      </c>
      <c r="B13" s="17">
        <v>1</v>
      </c>
      <c r="C13" s="18">
        <v>9</v>
      </c>
      <c r="D13" s="47">
        <f t="shared" si="1"/>
        <v>10</v>
      </c>
      <c r="E13" s="49">
        <f t="shared" si="0"/>
        <v>1</v>
      </c>
    </row>
    <row r="14" spans="1:5" ht="12.75">
      <c r="A14" s="21">
        <v>10</v>
      </c>
      <c r="B14" s="17">
        <v>2</v>
      </c>
      <c r="C14" s="18">
        <v>20</v>
      </c>
      <c r="D14" s="47">
        <f t="shared" si="1"/>
        <v>9.090909090909092</v>
      </c>
      <c r="E14" s="49">
        <f t="shared" si="0"/>
        <v>2</v>
      </c>
    </row>
    <row r="15" spans="1:5" ht="12.75">
      <c r="A15" s="21">
        <v>12</v>
      </c>
      <c r="B15" s="17">
        <v>2</v>
      </c>
      <c r="C15" s="18">
        <v>24</v>
      </c>
      <c r="D15" s="47">
        <f t="shared" si="1"/>
        <v>7.6923076923076925</v>
      </c>
      <c r="E15" s="49">
        <f t="shared" si="0"/>
        <v>2</v>
      </c>
    </row>
    <row r="16" spans="1:5" ht="12.75">
      <c r="A16" s="21">
        <v>16</v>
      </c>
      <c r="B16" s="17">
        <v>1</v>
      </c>
      <c r="C16" s="18">
        <v>16</v>
      </c>
      <c r="D16" s="47">
        <f t="shared" si="1"/>
        <v>5.882352941176471</v>
      </c>
      <c r="E16" s="49">
        <f t="shared" si="0"/>
        <v>2</v>
      </c>
    </row>
    <row r="17" spans="1:5" ht="12.75">
      <c r="A17" s="21">
        <v>31</v>
      </c>
      <c r="B17" s="17">
        <v>1</v>
      </c>
      <c r="C17" s="18">
        <v>31</v>
      </c>
      <c r="D17" s="47">
        <f t="shared" si="1"/>
        <v>3.125</v>
      </c>
      <c r="E17" s="49">
        <f t="shared" si="0"/>
        <v>4</v>
      </c>
    </row>
    <row r="18" spans="1:5" ht="12.75">
      <c r="A18" s="22">
        <v>35</v>
      </c>
      <c r="B18" s="19">
        <v>1</v>
      </c>
      <c r="C18" s="20">
        <v>35</v>
      </c>
      <c r="D18" s="48">
        <f t="shared" si="1"/>
        <v>3</v>
      </c>
      <c r="E18" s="50">
        <f t="shared" si="0"/>
        <v>4</v>
      </c>
    </row>
    <row r="19" spans="1:5" ht="12.75">
      <c r="A19" s="136" t="s">
        <v>101</v>
      </c>
      <c r="B19" s="137"/>
      <c r="C19" s="137"/>
      <c r="D19" s="138"/>
      <c r="E19" s="51">
        <f>+SUM(E5:E18)</f>
        <v>24</v>
      </c>
    </row>
  </sheetData>
  <mergeCells count="1">
    <mergeCell ref="A19:D1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"/>
    </sheetView>
  </sheetViews>
  <sheetFormatPr defaultColWidth="11.421875" defaultRowHeight="12.75"/>
  <cols>
    <col min="1" max="1" width="8.57421875" style="0" customWidth="1"/>
    <col min="4" max="4" width="9.421875" style="0" customWidth="1"/>
    <col min="5" max="5" width="6.7109375" style="0" customWidth="1"/>
    <col min="6" max="6" width="8.28125" style="0" customWidth="1"/>
  </cols>
  <sheetData>
    <row r="1" spans="1:6" ht="12.75">
      <c r="A1" s="127" t="s">
        <v>97</v>
      </c>
      <c r="B1" s="127"/>
      <c r="C1" s="127"/>
      <c r="D1" s="127"/>
      <c r="E1" s="127"/>
      <c r="F1" s="127"/>
    </row>
    <row r="2" spans="1:6" ht="24">
      <c r="A2" s="9" t="s">
        <v>75</v>
      </c>
      <c r="B2" s="11" t="s">
        <v>98</v>
      </c>
      <c r="C2" s="9" t="s">
        <v>91</v>
      </c>
      <c r="D2" s="10" t="s">
        <v>92</v>
      </c>
      <c r="E2" s="125" t="s">
        <v>99</v>
      </c>
      <c r="F2" s="126"/>
    </row>
    <row r="3" spans="1:6" ht="12.75">
      <c r="A3" s="25">
        <v>3</v>
      </c>
      <c r="B3" s="42">
        <f>ROUNDUP(100/A3-1,0)</f>
        <v>33</v>
      </c>
      <c r="C3" s="41">
        <f>+SUM(tabla1!C22)</f>
        <v>1</v>
      </c>
      <c r="D3" s="53">
        <f>+SUM(tabla1!D22)</f>
        <v>35</v>
      </c>
      <c r="E3" s="58">
        <v>1</v>
      </c>
      <c r="F3" s="59">
        <f>+E3/350</f>
        <v>0.002857142857142857</v>
      </c>
    </row>
    <row r="4" spans="1:6" ht="12.75">
      <c r="A4" s="21">
        <v>5</v>
      </c>
      <c r="B4" s="43">
        <f aca="true" t="shared" si="0" ref="B4:B15">ROUNDUP(100/A4-1,0)</f>
        <v>19</v>
      </c>
      <c r="C4" s="39">
        <f>+SUM(tabla1!C21:C22)</f>
        <v>2</v>
      </c>
      <c r="D4" s="54">
        <f>+SUM(tabla1!D21:D22)</f>
        <v>66</v>
      </c>
      <c r="E4" s="56">
        <v>2</v>
      </c>
      <c r="F4" s="60">
        <f aca="true" t="shared" si="1" ref="F4:F15">+E4/350</f>
        <v>0.005714285714285714</v>
      </c>
    </row>
    <row r="5" spans="1:6" ht="12.75">
      <c r="A5" s="21">
        <v>7.5</v>
      </c>
      <c r="B5" s="43">
        <f t="shared" si="0"/>
        <v>13</v>
      </c>
      <c r="C5" s="39">
        <f>+SUM(tabla1!C20:C22)</f>
        <v>3</v>
      </c>
      <c r="D5" s="54">
        <f>+SUM(tabla1!D20:D22)</f>
        <v>82</v>
      </c>
      <c r="E5" s="56">
        <v>5</v>
      </c>
      <c r="F5" s="60">
        <f t="shared" si="1"/>
        <v>0.014285714285714285</v>
      </c>
    </row>
    <row r="6" spans="1:6" ht="12.75">
      <c r="A6" s="21">
        <v>10</v>
      </c>
      <c r="B6" s="43">
        <f t="shared" si="0"/>
        <v>9</v>
      </c>
      <c r="C6" s="39">
        <f>+SUM(tabla1!C16:C22)</f>
        <v>8</v>
      </c>
      <c r="D6" s="54">
        <f>+SUM(tabla1!D16:D22)</f>
        <v>135</v>
      </c>
      <c r="E6" s="56">
        <v>12</v>
      </c>
      <c r="F6" s="60">
        <f t="shared" si="1"/>
        <v>0.03428571428571429</v>
      </c>
    </row>
    <row r="7" spans="1:6" ht="12.75">
      <c r="A7" s="21">
        <v>12.5</v>
      </c>
      <c r="B7" s="43">
        <f t="shared" si="0"/>
        <v>7</v>
      </c>
      <c r="C7" s="39">
        <f>+SUM(tabla1!C14:C22)</f>
        <v>17</v>
      </c>
      <c r="D7" s="54">
        <f>+SUM(tabla1!D14:D22)</f>
        <v>203</v>
      </c>
      <c r="E7" s="56">
        <v>24</v>
      </c>
      <c r="F7" s="60">
        <f t="shared" si="1"/>
        <v>0.06857142857142857</v>
      </c>
    </row>
    <row r="8" spans="1:6" ht="12.75">
      <c r="A8" s="21">
        <v>15</v>
      </c>
      <c r="B8" s="43">
        <f t="shared" si="0"/>
        <v>6</v>
      </c>
      <c r="C8" s="39">
        <f>+SUM(tabla1!C13:C22)</f>
        <v>25</v>
      </c>
      <c r="D8" s="54">
        <f>+SUM(tabla1!D13:D22)</f>
        <v>251</v>
      </c>
      <c r="E8" s="56">
        <v>33</v>
      </c>
      <c r="F8" s="60">
        <f t="shared" si="1"/>
        <v>0.09428571428571429</v>
      </c>
    </row>
    <row r="9" spans="1:6" ht="12.75">
      <c r="A9" s="21">
        <v>20</v>
      </c>
      <c r="B9" s="43">
        <f t="shared" si="0"/>
        <v>4</v>
      </c>
      <c r="C9" s="39">
        <f>+SUM(tabla1!C11:C22)</f>
        <v>41</v>
      </c>
      <c r="D9" s="54">
        <f>+SUM(tabla1!D11:D22)</f>
        <v>322</v>
      </c>
      <c r="E9" s="56">
        <v>58</v>
      </c>
      <c r="F9" s="60">
        <f t="shared" si="1"/>
        <v>0.1657142857142857</v>
      </c>
    </row>
    <row r="10" spans="1:6" ht="12.75">
      <c r="A10" s="21">
        <v>25</v>
      </c>
      <c r="B10" s="43">
        <f t="shared" si="0"/>
        <v>3</v>
      </c>
      <c r="C10" s="39">
        <f>+SUM(tabla1!C10:C22)</f>
        <v>49</v>
      </c>
      <c r="D10" s="54">
        <f>+SUM(tabla1!D10:D22)</f>
        <v>346</v>
      </c>
      <c r="E10" s="56">
        <v>82</v>
      </c>
      <c r="F10" s="60">
        <f t="shared" si="1"/>
        <v>0.2342857142857143</v>
      </c>
    </row>
    <row r="11" spans="1:6" ht="12.75">
      <c r="A11" s="21">
        <v>30</v>
      </c>
      <c r="B11" s="43">
        <f t="shared" si="0"/>
        <v>3</v>
      </c>
      <c r="C11" s="39">
        <f>+SUM(tabla1!C10:C22)</f>
        <v>49</v>
      </c>
      <c r="D11" s="54">
        <f>+SUM(tabla1!D10:D22)</f>
        <v>346</v>
      </c>
      <c r="E11" s="56">
        <v>97</v>
      </c>
      <c r="F11" s="60">
        <f t="shared" si="1"/>
        <v>0.27714285714285714</v>
      </c>
    </row>
    <row r="12" spans="1:6" ht="12.75">
      <c r="A12" s="21">
        <v>35</v>
      </c>
      <c r="B12" s="43">
        <f t="shared" si="0"/>
        <v>2</v>
      </c>
      <c r="C12" s="39">
        <f>+SUM(tabla1!C9:C22)</f>
        <v>50</v>
      </c>
      <c r="D12" s="54">
        <f>+SUM(tabla1!D9:D22)</f>
        <v>348</v>
      </c>
      <c r="E12" s="56">
        <v>115</v>
      </c>
      <c r="F12" s="60">
        <f t="shared" si="1"/>
        <v>0.32857142857142857</v>
      </c>
    </row>
    <row r="13" spans="1:6" ht="12.75">
      <c r="A13" s="21">
        <v>40</v>
      </c>
      <c r="B13" s="43">
        <f t="shared" si="0"/>
        <v>2</v>
      </c>
      <c r="C13" s="39">
        <f>+SUM(tabla1!C9:C22)</f>
        <v>50</v>
      </c>
      <c r="D13" s="54">
        <f>+SUM(tabla1!D9:D22)</f>
        <v>348</v>
      </c>
      <c r="E13" s="56">
        <v>137</v>
      </c>
      <c r="F13" s="60">
        <f t="shared" si="1"/>
        <v>0.3914285714285714</v>
      </c>
    </row>
    <row r="14" spans="1:6" ht="12.75">
      <c r="A14" s="21">
        <v>45</v>
      </c>
      <c r="B14" s="43">
        <f t="shared" si="0"/>
        <v>2</v>
      </c>
      <c r="C14" s="39">
        <f>+SUM(tabla1!C9:C22)</f>
        <v>50</v>
      </c>
      <c r="D14" s="54">
        <f>+SUM(tabla1!D9:D22)</f>
        <v>348</v>
      </c>
      <c r="E14" s="56">
        <v>155</v>
      </c>
      <c r="F14" s="60">
        <f t="shared" si="1"/>
        <v>0.44285714285714284</v>
      </c>
    </row>
    <row r="15" spans="1:6" ht="12.75">
      <c r="A15" s="22">
        <v>50</v>
      </c>
      <c r="B15" s="44">
        <f t="shared" si="0"/>
        <v>1</v>
      </c>
      <c r="C15" s="40">
        <f>+SUM(tabla1!C8:C22)</f>
        <v>52</v>
      </c>
      <c r="D15" s="55">
        <f>+SUM(tabla1!D8:D22)</f>
        <v>350</v>
      </c>
      <c r="E15" s="57">
        <v>185</v>
      </c>
      <c r="F15" s="61">
        <f t="shared" si="1"/>
        <v>0.5285714285714286</v>
      </c>
    </row>
    <row r="17" ht="12.75">
      <c r="A17" s="52" t="s">
        <v>105</v>
      </c>
    </row>
  </sheetData>
  <mergeCells count="2">
    <mergeCell ref="E2:F2"/>
    <mergeCell ref="A1:F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22" activeCellId="1" sqref="C2:L2 C22:L22"/>
    </sheetView>
  </sheetViews>
  <sheetFormatPr defaultColWidth="11.421875" defaultRowHeight="12.75"/>
  <cols>
    <col min="1" max="1" width="19.00390625" style="0" customWidth="1"/>
    <col min="2" max="12" width="8.7109375" style="0" customWidth="1"/>
  </cols>
  <sheetData>
    <row r="1" spans="1:12" ht="12.75">
      <c r="A1" s="128" t="s">
        <v>118</v>
      </c>
      <c r="B1" s="128"/>
      <c r="C1" s="128"/>
      <c r="D1" s="128"/>
      <c r="E1" s="128"/>
      <c r="F1" s="52"/>
      <c r="G1" s="52"/>
      <c r="H1" s="52"/>
      <c r="I1" s="52"/>
      <c r="J1" s="52"/>
      <c r="K1" s="52"/>
      <c r="L1" s="52"/>
    </row>
    <row r="2" spans="1:12" ht="12.75">
      <c r="A2" s="66" t="s">
        <v>116</v>
      </c>
      <c r="B2" s="67" t="s">
        <v>88</v>
      </c>
      <c r="C2" s="68" t="s">
        <v>106</v>
      </c>
      <c r="D2" s="67" t="s">
        <v>107</v>
      </c>
      <c r="E2" s="67" t="s">
        <v>109</v>
      </c>
      <c r="F2" s="67" t="s">
        <v>108</v>
      </c>
      <c r="G2" s="67" t="s">
        <v>110</v>
      </c>
      <c r="H2" s="67" t="s">
        <v>112</v>
      </c>
      <c r="I2" s="67" t="s">
        <v>114</v>
      </c>
      <c r="J2" s="67" t="s">
        <v>113</v>
      </c>
      <c r="K2" s="67" t="s">
        <v>111</v>
      </c>
      <c r="L2" s="67" t="s">
        <v>115</v>
      </c>
    </row>
    <row r="3" spans="1:12" ht="12.75">
      <c r="A3" s="71" t="s">
        <v>55</v>
      </c>
      <c r="B3" s="71">
        <f>+SUM(C3:L3)</f>
        <v>58</v>
      </c>
      <c r="C3" s="69">
        <v>32</v>
      </c>
      <c r="D3" s="64">
        <v>23</v>
      </c>
      <c r="E3" s="64"/>
      <c r="F3" s="64">
        <v>3</v>
      </c>
      <c r="G3" s="64"/>
      <c r="H3" s="64"/>
      <c r="I3" s="64"/>
      <c r="J3" s="64"/>
      <c r="K3" s="64"/>
      <c r="L3" s="65"/>
    </row>
    <row r="4" spans="1:12" ht="12.75">
      <c r="A4" s="72" t="s">
        <v>56</v>
      </c>
      <c r="B4" s="72">
        <f aca="true" t="shared" si="0" ref="B4:B22">+SUM(C4:L4)</f>
        <v>11</v>
      </c>
      <c r="C4" s="70">
        <v>6</v>
      </c>
      <c r="D4" s="62">
        <v>5</v>
      </c>
      <c r="E4" s="62"/>
      <c r="F4" s="62"/>
      <c r="G4" s="62"/>
      <c r="H4" s="62"/>
      <c r="I4" s="62"/>
      <c r="J4" s="62"/>
      <c r="K4" s="62"/>
      <c r="L4" s="63"/>
    </row>
    <row r="5" spans="1:12" ht="12.75">
      <c r="A5" s="72" t="s">
        <v>32</v>
      </c>
      <c r="B5" s="72">
        <f t="shared" si="0"/>
        <v>10</v>
      </c>
      <c r="C5" s="70">
        <v>5</v>
      </c>
      <c r="D5" s="62">
        <v>5</v>
      </c>
      <c r="E5" s="62"/>
      <c r="F5" s="62"/>
      <c r="G5" s="62"/>
      <c r="H5" s="62"/>
      <c r="I5" s="62"/>
      <c r="J5" s="62"/>
      <c r="K5" s="62"/>
      <c r="L5" s="63"/>
    </row>
    <row r="6" spans="1:12" ht="12.75">
      <c r="A6" s="72" t="s">
        <v>6</v>
      </c>
      <c r="B6" s="72">
        <f t="shared" si="0"/>
        <v>9</v>
      </c>
      <c r="C6" s="70">
        <v>5</v>
      </c>
      <c r="D6" s="62">
        <v>4</v>
      </c>
      <c r="E6" s="62"/>
      <c r="F6" s="62"/>
      <c r="G6" s="62"/>
      <c r="H6" s="62"/>
      <c r="I6" s="62"/>
      <c r="J6" s="62"/>
      <c r="K6" s="62"/>
      <c r="L6" s="63"/>
    </row>
    <row r="7" spans="1:12" ht="12.75">
      <c r="A7" s="72" t="s">
        <v>57</v>
      </c>
      <c r="B7" s="72">
        <f t="shared" si="0"/>
        <v>16</v>
      </c>
      <c r="C7" s="70">
        <v>7</v>
      </c>
      <c r="D7" s="62">
        <v>6</v>
      </c>
      <c r="E7" s="62"/>
      <c r="F7" s="62"/>
      <c r="G7" s="62"/>
      <c r="H7" s="62"/>
      <c r="I7" s="62">
        <v>3</v>
      </c>
      <c r="J7" s="62"/>
      <c r="K7" s="62"/>
      <c r="L7" s="63"/>
    </row>
    <row r="8" spans="1:12" ht="12.75">
      <c r="A8" s="72" t="s">
        <v>38</v>
      </c>
      <c r="B8" s="72">
        <f t="shared" si="0"/>
        <v>6</v>
      </c>
      <c r="C8" s="70">
        <v>3</v>
      </c>
      <c r="D8" s="62">
        <v>3</v>
      </c>
      <c r="E8" s="62"/>
      <c r="F8" s="62"/>
      <c r="G8" s="62"/>
      <c r="H8" s="62"/>
      <c r="I8" s="62"/>
      <c r="J8" s="62"/>
      <c r="K8" s="62"/>
      <c r="L8" s="63"/>
    </row>
    <row r="9" spans="1:12" ht="12.75">
      <c r="A9" s="72" t="s">
        <v>58</v>
      </c>
      <c r="B9" s="72">
        <f t="shared" si="0"/>
        <v>20</v>
      </c>
      <c r="C9" s="70">
        <v>9</v>
      </c>
      <c r="D9" s="62">
        <v>11</v>
      </c>
      <c r="E9" s="62"/>
      <c r="F9" s="62"/>
      <c r="G9" s="62"/>
      <c r="H9" s="62"/>
      <c r="I9" s="62"/>
      <c r="J9" s="62"/>
      <c r="K9" s="62"/>
      <c r="L9" s="63"/>
    </row>
    <row r="10" spans="1:12" ht="12.75">
      <c r="A10" s="72" t="s">
        <v>59</v>
      </c>
      <c r="B10" s="72">
        <f t="shared" si="0"/>
        <v>16</v>
      </c>
      <c r="C10" s="70">
        <v>8</v>
      </c>
      <c r="D10" s="62">
        <v>8</v>
      </c>
      <c r="E10" s="62"/>
      <c r="F10" s="62"/>
      <c r="G10" s="62"/>
      <c r="H10" s="62"/>
      <c r="I10" s="62"/>
      <c r="J10" s="62"/>
      <c r="K10" s="62"/>
      <c r="L10" s="63"/>
    </row>
    <row r="11" spans="1:12" ht="12.75">
      <c r="A11" s="72" t="s">
        <v>60</v>
      </c>
      <c r="B11" s="72">
        <f t="shared" si="0"/>
        <v>52</v>
      </c>
      <c r="C11" s="70">
        <v>26</v>
      </c>
      <c r="D11" s="62">
        <v>9</v>
      </c>
      <c r="E11" s="62">
        <v>11</v>
      </c>
      <c r="F11" s="62">
        <v>2</v>
      </c>
      <c r="G11" s="62"/>
      <c r="H11" s="62">
        <v>4</v>
      </c>
      <c r="I11" s="62"/>
      <c r="J11" s="62"/>
      <c r="K11" s="62"/>
      <c r="L11" s="63"/>
    </row>
    <row r="12" spans="1:12" ht="12.75">
      <c r="A12" s="72" t="s">
        <v>61</v>
      </c>
      <c r="B12" s="72">
        <f t="shared" si="0"/>
        <v>36</v>
      </c>
      <c r="C12" s="70">
        <v>16</v>
      </c>
      <c r="D12" s="62">
        <v>20</v>
      </c>
      <c r="E12" s="62"/>
      <c r="F12" s="62"/>
      <c r="G12" s="62"/>
      <c r="H12" s="62"/>
      <c r="I12" s="62"/>
      <c r="J12" s="62"/>
      <c r="K12" s="62"/>
      <c r="L12" s="63"/>
    </row>
    <row r="13" spans="1:12" ht="12.75">
      <c r="A13" s="72" t="s">
        <v>62</v>
      </c>
      <c r="B13" s="72">
        <f t="shared" si="0"/>
        <v>10</v>
      </c>
      <c r="C13" s="70">
        <v>6</v>
      </c>
      <c r="D13" s="62">
        <v>4</v>
      </c>
      <c r="E13" s="62"/>
      <c r="F13" s="62"/>
      <c r="G13" s="62"/>
      <c r="H13" s="62"/>
      <c r="I13" s="62"/>
      <c r="J13" s="62"/>
      <c r="K13" s="62"/>
      <c r="L13" s="63"/>
    </row>
    <row r="14" spans="1:12" ht="12.75">
      <c r="A14" s="72" t="s">
        <v>63</v>
      </c>
      <c r="B14" s="72">
        <f t="shared" si="0"/>
        <v>21</v>
      </c>
      <c r="C14" s="70">
        <v>9</v>
      </c>
      <c r="D14" s="62">
        <v>10</v>
      </c>
      <c r="E14" s="62"/>
      <c r="F14" s="62"/>
      <c r="G14" s="62"/>
      <c r="H14" s="62"/>
      <c r="I14" s="62"/>
      <c r="J14" s="62">
        <v>2</v>
      </c>
      <c r="K14" s="62"/>
      <c r="L14" s="63"/>
    </row>
    <row r="15" spans="1:12" ht="12.75">
      <c r="A15" s="72" t="s">
        <v>27</v>
      </c>
      <c r="B15" s="72">
        <f t="shared" si="0"/>
        <v>44</v>
      </c>
      <c r="C15" s="70">
        <v>18</v>
      </c>
      <c r="D15" s="62">
        <v>23</v>
      </c>
      <c r="E15" s="62"/>
      <c r="F15" s="62">
        <v>2</v>
      </c>
      <c r="G15" s="62"/>
      <c r="H15" s="62"/>
      <c r="I15" s="62"/>
      <c r="J15" s="62"/>
      <c r="K15" s="62">
        <v>1</v>
      </c>
      <c r="L15" s="63"/>
    </row>
    <row r="16" spans="1:12" ht="12.75">
      <c r="A16" s="72" t="s">
        <v>29</v>
      </c>
      <c r="B16" s="72">
        <f t="shared" si="0"/>
        <v>12</v>
      </c>
      <c r="C16" s="70">
        <v>4</v>
      </c>
      <c r="D16" s="62">
        <v>8</v>
      </c>
      <c r="E16" s="62"/>
      <c r="F16" s="62"/>
      <c r="G16" s="62"/>
      <c r="H16" s="62"/>
      <c r="I16" s="62"/>
      <c r="J16" s="62"/>
      <c r="K16" s="62"/>
      <c r="L16" s="63"/>
    </row>
    <row r="17" spans="1:12" ht="12.75">
      <c r="A17" s="72" t="s">
        <v>30</v>
      </c>
      <c r="B17" s="72">
        <f t="shared" si="0"/>
        <v>6</v>
      </c>
      <c r="C17" s="70">
        <v>2</v>
      </c>
      <c r="D17" s="62">
        <v>3</v>
      </c>
      <c r="E17" s="62"/>
      <c r="F17" s="62"/>
      <c r="G17" s="62"/>
      <c r="H17" s="62"/>
      <c r="I17" s="62"/>
      <c r="J17" s="62"/>
      <c r="K17" s="62"/>
      <c r="L17" s="63">
        <v>1</v>
      </c>
    </row>
    <row r="18" spans="1:12" ht="12.75">
      <c r="A18" s="72" t="s">
        <v>64</v>
      </c>
      <c r="B18" s="72">
        <f t="shared" si="0"/>
        <v>17</v>
      </c>
      <c r="C18" s="70">
        <v>8</v>
      </c>
      <c r="D18" s="62">
        <v>4</v>
      </c>
      <c r="E18" s="62"/>
      <c r="F18" s="62"/>
      <c r="G18" s="62">
        <v>5</v>
      </c>
      <c r="H18" s="62"/>
      <c r="I18" s="62"/>
      <c r="J18" s="62"/>
      <c r="K18" s="62"/>
      <c r="L18" s="63"/>
    </row>
    <row r="19" spans="1:12" ht="12.75">
      <c r="A19" s="72" t="s">
        <v>25</v>
      </c>
      <c r="B19" s="72">
        <f t="shared" si="0"/>
        <v>4</v>
      </c>
      <c r="C19" s="70">
        <v>2</v>
      </c>
      <c r="D19" s="62">
        <v>2</v>
      </c>
      <c r="E19" s="62"/>
      <c r="F19" s="62"/>
      <c r="G19" s="62"/>
      <c r="H19" s="62"/>
      <c r="I19" s="62"/>
      <c r="J19" s="62"/>
      <c r="K19" s="62"/>
      <c r="L19" s="63"/>
    </row>
    <row r="20" spans="1:12" ht="12.75">
      <c r="A20" s="72" t="s">
        <v>50</v>
      </c>
      <c r="B20" s="72">
        <f t="shared" si="0"/>
        <v>1</v>
      </c>
      <c r="C20" s="70"/>
      <c r="D20" s="62">
        <v>1</v>
      </c>
      <c r="E20" s="62"/>
      <c r="F20" s="62"/>
      <c r="G20" s="62"/>
      <c r="H20" s="62"/>
      <c r="I20" s="62"/>
      <c r="J20" s="62"/>
      <c r="K20" s="62"/>
      <c r="L20" s="63"/>
    </row>
    <row r="21" spans="1:12" ht="12.75">
      <c r="A21" s="73" t="s">
        <v>51</v>
      </c>
      <c r="B21" s="73">
        <f t="shared" si="0"/>
        <v>1</v>
      </c>
      <c r="C21" s="74"/>
      <c r="D21" s="75">
        <v>1</v>
      </c>
      <c r="E21" s="75"/>
      <c r="F21" s="75"/>
      <c r="G21" s="75"/>
      <c r="H21" s="75"/>
      <c r="I21" s="75"/>
      <c r="J21" s="75"/>
      <c r="K21" s="75"/>
      <c r="L21" s="76"/>
    </row>
    <row r="22" spans="1:12" ht="12.75">
      <c r="A22" s="66" t="s">
        <v>117</v>
      </c>
      <c r="B22" s="66">
        <f t="shared" si="0"/>
        <v>350</v>
      </c>
      <c r="C22" s="77">
        <v>166</v>
      </c>
      <c r="D22" s="78">
        <v>150</v>
      </c>
      <c r="E22" s="78">
        <v>11</v>
      </c>
      <c r="F22" s="78">
        <v>7</v>
      </c>
      <c r="G22" s="78">
        <v>5</v>
      </c>
      <c r="H22" s="78">
        <v>4</v>
      </c>
      <c r="I22" s="78">
        <v>3</v>
      </c>
      <c r="J22" s="78">
        <v>2</v>
      </c>
      <c r="K22" s="78">
        <v>1</v>
      </c>
      <c r="L22" s="79">
        <v>1</v>
      </c>
    </row>
  </sheetData>
  <mergeCells count="1">
    <mergeCell ref="A1:E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Zeros="0" workbookViewId="0" topLeftCell="A1">
      <selection activeCell="A2" sqref="A2:E19"/>
    </sheetView>
  </sheetViews>
  <sheetFormatPr defaultColWidth="11.421875" defaultRowHeight="12.75"/>
  <cols>
    <col min="3" max="3" width="6.8515625" style="81" customWidth="1"/>
    <col min="4" max="4" width="8.57421875" style="0" customWidth="1"/>
    <col min="5" max="5" width="8.28125" style="0" customWidth="1"/>
  </cols>
  <sheetData>
    <row r="1" spans="1:5" ht="12.75">
      <c r="A1" s="52" t="s">
        <v>119</v>
      </c>
      <c r="B1" s="52"/>
      <c r="C1" s="83"/>
      <c r="D1" s="52"/>
      <c r="E1" s="52"/>
    </row>
    <row r="2" spans="1:5" ht="12.75">
      <c r="A2" s="52"/>
      <c r="B2" s="52"/>
      <c r="C2" s="83"/>
      <c r="D2" s="129" t="s">
        <v>53</v>
      </c>
      <c r="E2" s="130"/>
    </row>
    <row r="3" spans="1:5" ht="12.75">
      <c r="A3" s="66" t="s">
        <v>124</v>
      </c>
      <c r="B3" s="66" t="s">
        <v>120</v>
      </c>
      <c r="C3" s="84" t="s">
        <v>121</v>
      </c>
      <c r="D3" s="66" t="s">
        <v>122</v>
      </c>
      <c r="E3" s="66" t="s">
        <v>123</v>
      </c>
    </row>
    <row r="4" spans="1:5" ht="12.75">
      <c r="A4" s="85" t="s">
        <v>106</v>
      </c>
      <c r="B4" s="86">
        <v>11289335</v>
      </c>
      <c r="C4" s="87">
        <f>+B4*100/$B$19</f>
        <v>43.867860046366665</v>
      </c>
      <c r="D4" s="86">
        <f>+INT(B4/$D$20)</f>
        <v>170</v>
      </c>
      <c r="E4" s="88">
        <f>+INT(B4/$E$20)</f>
        <v>162</v>
      </c>
    </row>
    <row r="5" spans="1:5" ht="12.75">
      <c r="A5" s="85" t="s">
        <v>107</v>
      </c>
      <c r="B5" s="86">
        <v>10278010</v>
      </c>
      <c r="C5" s="87">
        <f aca="true" t="shared" si="0" ref="C5:C18">+B5*100/$B$19</f>
        <v>39.93807467270278</v>
      </c>
      <c r="D5" s="86">
        <f>+INT(B5/$D$20)</f>
        <v>155</v>
      </c>
      <c r="E5" s="88">
        <f aca="true" t="shared" si="1" ref="E5:E16">+INT(B5/$E$20)</f>
        <v>147</v>
      </c>
    </row>
    <row r="6" spans="1:5" ht="12.75">
      <c r="A6" s="85" t="s">
        <v>108</v>
      </c>
      <c r="B6" s="86">
        <v>969946</v>
      </c>
      <c r="C6" s="87">
        <f t="shared" si="0"/>
        <v>3.7689957274306383</v>
      </c>
      <c r="D6" s="86">
        <f>+INT(B6/$D$20)</f>
        <v>14</v>
      </c>
      <c r="E6" s="88">
        <f t="shared" si="1"/>
        <v>13</v>
      </c>
    </row>
    <row r="7" spans="1:5" ht="12.75">
      <c r="A7" s="85" t="s">
        <v>109</v>
      </c>
      <c r="B7" s="86">
        <v>779425</v>
      </c>
      <c r="C7" s="87">
        <f t="shared" si="0"/>
        <v>3.0286732404202144</v>
      </c>
      <c r="D7" s="86">
        <f>+INT(B7/$D$20)</f>
        <v>11</v>
      </c>
      <c r="E7" s="88">
        <f t="shared" si="1"/>
        <v>11</v>
      </c>
    </row>
    <row r="8" spans="1:5" ht="12.75">
      <c r="A8" s="85" t="s">
        <v>110</v>
      </c>
      <c r="B8" s="86">
        <v>306128</v>
      </c>
      <c r="C8" s="87">
        <f t="shared" si="0"/>
        <v>1.189545731460191</v>
      </c>
      <c r="D8" s="86"/>
      <c r="E8" s="88">
        <f t="shared" si="1"/>
        <v>4</v>
      </c>
    </row>
    <row r="9" spans="1:5" ht="12.75">
      <c r="A9" s="85" t="s">
        <v>111</v>
      </c>
      <c r="B9" s="86">
        <v>306079</v>
      </c>
      <c r="C9" s="87">
        <f t="shared" si="0"/>
        <v>1.1893553282927527</v>
      </c>
      <c r="D9" s="86"/>
      <c r="E9" s="88">
        <f t="shared" si="1"/>
        <v>4</v>
      </c>
    </row>
    <row r="10" spans="1:5" ht="12.75">
      <c r="A10" s="85" t="s">
        <v>112</v>
      </c>
      <c r="B10" s="86">
        <v>298139</v>
      </c>
      <c r="C10" s="87">
        <f t="shared" si="0"/>
        <v>1.1585022436098948</v>
      </c>
      <c r="D10" s="86"/>
      <c r="E10" s="88">
        <f t="shared" si="1"/>
        <v>4</v>
      </c>
    </row>
    <row r="11" spans="1:5" ht="12.75">
      <c r="A11" s="85" t="s">
        <v>113</v>
      </c>
      <c r="B11" s="86">
        <v>212543</v>
      </c>
      <c r="C11" s="87">
        <f t="shared" si="0"/>
        <v>0.8258951105476905</v>
      </c>
      <c r="D11" s="86"/>
      <c r="E11" s="88">
        <f t="shared" si="1"/>
        <v>3</v>
      </c>
    </row>
    <row r="12" spans="1:5" ht="12.75">
      <c r="A12" s="85" t="s">
        <v>114</v>
      </c>
      <c r="B12" s="86">
        <v>174629</v>
      </c>
      <c r="C12" s="87">
        <f t="shared" si="0"/>
        <v>0.6785696882975805</v>
      </c>
      <c r="D12" s="86"/>
      <c r="E12" s="88">
        <f t="shared" si="1"/>
        <v>2</v>
      </c>
    </row>
    <row r="13" spans="1:5" ht="12.75">
      <c r="A13" s="85" t="s">
        <v>129</v>
      </c>
      <c r="B13" s="86">
        <v>68679</v>
      </c>
      <c r="C13" s="87">
        <f t="shared" si="0"/>
        <v>0.266871410948866</v>
      </c>
      <c r="D13" s="86"/>
      <c r="E13" s="88">
        <f t="shared" si="1"/>
        <v>0</v>
      </c>
    </row>
    <row r="14" spans="1:5" ht="12.75">
      <c r="A14" s="85" t="s">
        <v>115</v>
      </c>
      <c r="B14" s="86">
        <v>62398</v>
      </c>
      <c r="C14" s="87">
        <f t="shared" si="0"/>
        <v>0.24246483350641887</v>
      </c>
      <c r="D14" s="86"/>
      <c r="E14" s="88">
        <f t="shared" si="1"/>
        <v>0</v>
      </c>
    </row>
    <row r="15" spans="1:5" ht="12.75">
      <c r="A15" s="85" t="s">
        <v>125</v>
      </c>
      <c r="B15" s="86">
        <v>51383</v>
      </c>
      <c r="C15" s="87">
        <f t="shared" si="0"/>
        <v>0.19966297862207638</v>
      </c>
      <c r="D15" s="86"/>
      <c r="E15" s="88">
        <f t="shared" si="1"/>
        <v>0</v>
      </c>
    </row>
    <row r="16" spans="1:5" ht="12.75">
      <c r="A16" s="85" t="s">
        <v>126</v>
      </c>
      <c r="B16" s="86">
        <v>50371</v>
      </c>
      <c r="C16" s="87">
        <f t="shared" si="0"/>
        <v>0.19573057034763655</v>
      </c>
      <c r="D16" s="86"/>
      <c r="E16" s="88">
        <f t="shared" si="1"/>
        <v>0</v>
      </c>
    </row>
    <row r="17" spans="1:5" ht="12.75">
      <c r="A17" s="85" t="s">
        <v>127</v>
      </c>
      <c r="B17" s="86">
        <f>+B19-B18-SUM(B4:B16)</f>
        <v>601619</v>
      </c>
      <c r="C17" s="87">
        <f t="shared" si="0"/>
        <v>2.3377584324705634</v>
      </c>
      <c r="D17" s="86"/>
      <c r="E17" s="88"/>
    </row>
    <row r="18" spans="1:5" ht="12.75">
      <c r="A18" s="85" t="s">
        <v>128</v>
      </c>
      <c r="B18" s="86">
        <v>286182</v>
      </c>
      <c r="C18" s="87">
        <f t="shared" si="0"/>
        <v>1.1120399849760243</v>
      </c>
      <c r="D18" s="86"/>
      <c r="E18" s="88"/>
    </row>
    <row r="19" spans="1:5" ht="12.75">
      <c r="A19" s="89" t="s">
        <v>88</v>
      </c>
      <c r="B19" s="90">
        <v>25734866</v>
      </c>
      <c r="C19" s="91"/>
      <c r="D19" s="90">
        <f>+SUM(D4:D16)</f>
        <v>350</v>
      </c>
      <c r="E19" s="92">
        <f>+SUM(E4:E16)</f>
        <v>350</v>
      </c>
    </row>
    <row r="20" spans="4:5" ht="12.75" hidden="1">
      <c r="D20">
        <v>66100</v>
      </c>
      <c r="E20">
        <v>69500</v>
      </c>
    </row>
  </sheetData>
  <mergeCells count="1">
    <mergeCell ref="D2:E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workbookViewId="0" topLeftCell="A1">
      <selection activeCell="F4" sqref="F4:F14"/>
    </sheetView>
  </sheetViews>
  <sheetFormatPr defaultColWidth="11.421875" defaultRowHeight="12.75"/>
  <cols>
    <col min="3" max="3" width="6.8515625" style="81" customWidth="1"/>
    <col min="4" max="4" width="8.57421875" style="0" customWidth="1"/>
    <col min="5" max="5" width="9.7109375" style="0" customWidth="1"/>
    <col min="6" max="6" width="8.28125" style="0" customWidth="1"/>
  </cols>
  <sheetData>
    <row r="1" spans="1:6" ht="12.75">
      <c r="A1" s="52" t="s">
        <v>130</v>
      </c>
      <c r="B1" s="52"/>
      <c r="C1" s="83"/>
      <c r="D1" s="52"/>
      <c r="E1" s="52"/>
      <c r="F1" s="52"/>
    </row>
    <row r="2" spans="1:6" ht="12.75">
      <c r="A2" s="52"/>
      <c r="B2" s="52"/>
      <c r="C2" s="83"/>
      <c r="D2" s="129" t="s">
        <v>53</v>
      </c>
      <c r="E2" s="131"/>
      <c r="F2" s="130"/>
    </row>
    <row r="3" spans="1:6" ht="12.75">
      <c r="A3" s="66" t="s">
        <v>124</v>
      </c>
      <c r="B3" s="66" t="s">
        <v>120</v>
      </c>
      <c r="C3" s="97" t="s">
        <v>121</v>
      </c>
      <c r="D3" s="67" t="s">
        <v>131</v>
      </c>
      <c r="E3" s="67" t="s">
        <v>132</v>
      </c>
      <c r="F3" s="67" t="s">
        <v>133</v>
      </c>
    </row>
    <row r="4" spans="1:6" ht="12.75">
      <c r="A4" s="85" t="s">
        <v>106</v>
      </c>
      <c r="B4" s="86">
        <v>11289335</v>
      </c>
      <c r="C4" s="87">
        <f aca="true" t="shared" si="0" ref="C4:C18">+B4*100/$B$19</f>
        <v>43.867860046366665</v>
      </c>
      <c r="D4" s="85">
        <v>162</v>
      </c>
      <c r="E4" s="86">
        <v>166</v>
      </c>
      <c r="F4" s="88">
        <v>169</v>
      </c>
    </row>
    <row r="5" spans="1:6" ht="12.75">
      <c r="A5" s="85" t="s">
        <v>107</v>
      </c>
      <c r="B5" s="86">
        <v>10278010</v>
      </c>
      <c r="C5" s="87">
        <f t="shared" si="0"/>
        <v>39.93807467270278</v>
      </c>
      <c r="D5" s="85">
        <v>147</v>
      </c>
      <c r="E5" s="86">
        <v>150</v>
      </c>
      <c r="F5" s="88">
        <v>154</v>
      </c>
    </row>
    <row r="6" spans="1:6" ht="12.75">
      <c r="A6" s="85" t="s">
        <v>108</v>
      </c>
      <c r="B6" s="86">
        <v>969946</v>
      </c>
      <c r="C6" s="87">
        <f t="shared" si="0"/>
        <v>3.7689957274306383</v>
      </c>
      <c r="D6" s="85">
        <v>13</v>
      </c>
      <c r="E6" s="86">
        <v>7</v>
      </c>
      <c r="F6" s="88">
        <v>2</v>
      </c>
    </row>
    <row r="7" spans="1:6" ht="12.75">
      <c r="A7" s="85" t="s">
        <v>109</v>
      </c>
      <c r="B7" s="86">
        <v>779425</v>
      </c>
      <c r="C7" s="87">
        <f t="shared" si="0"/>
        <v>3.0286732404202144</v>
      </c>
      <c r="D7" s="85">
        <v>11</v>
      </c>
      <c r="E7" s="86">
        <v>11</v>
      </c>
      <c r="F7" s="88">
        <v>10</v>
      </c>
    </row>
    <row r="8" spans="1:6" ht="12.75">
      <c r="A8" s="85" t="s">
        <v>110</v>
      </c>
      <c r="B8" s="86">
        <v>306128</v>
      </c>
      <c r="C8" s="87">
        <f t="shared" si="0"/>
        <v>1.189545731460191</v>
      </c>
      <c r="D8" s="85">
        <v>4</v>
      </c>
      <c r="E8" s="86">
        <v>5</v>
      </c>
      <c r="F8" s="88">
        <v>6</v>
      </c>
    </row>
    <row r="9" spans="1:6" ht="12.75">
      <c r="A9" s="85" t="s">
        <v>111</v>
      </c>
      <c r="B9" s="86">
        <v>306079</v>
      </c>
      <c r="C9" s="87">
        <f t="shared" si="0"/>
        <v>1.1893553282927527</v>
      </c>
      <c r="D9" s="85">
        <v>4</v>
      </c>
      <c r="E9" s="86">
        <v>1</v>
      </c>
      <c r="F9" s="88">
        <v>1</v>
      </c>
    </row>
    <row r="10" spans="1:6" ht="12.75">
      <c r="A10" s="85" t="s">
        <v>112</v>
      </c>
      <c r="B10" s="86">
        <v>298139</v>
      </c>
      <c r="C10" s="87">
        <f t="shared" si="0"/>
        <v>1.1585022436098948</v>
      </c>
      <c r="D10" s="85">
        <v>4</v>
      </c>
      <c r="E10" s="86">
        <v>4</v>
      </c>
      <c r="F10" s="88">
        <v>3</v>
      </c>
    </row>
    <row r="11" spans="1:6" ht="12.75">
      <c r="A11" s="85" t="s">
        <v>113</v>
      </c>
      <c r="B11" s="86">
        <v>212543</v>
      </c>
      <c r="C11" s="87">
        <f t="shared" si="0"/>
        <v>0.8258951105476905</v>
      </c>
      <c r="D11" s="85">
        <v>3</v>
      </c>
      <c r="E11" s="86">
        <v>2</v>
      </c>
      <c r="F11" s="88">
        <v>2</v>
      </c>
    </row>
    <row r="12" spans="1:6" ht="12.75">
      <c r="A12" s="85" t="s">
        <v>114</v>
      </c>
      <c r="B12" s="86">
        <v>174629</v>
      </c>
      <c r="C12" s="87">
        <f t="shared" si="0"/>
        <v>0.6785696882975805</v>
      </c>
      <c r="D12" s="85">
        <v>2</v>
      </c>
      <c r="E12" s="86">
        <v>3</v>
      </c>
      <c r="F12" s="88">
        <v>2</v>
      </c>
    </row>
    <row r="13" spans="1:6" ht="12.75">
      <c r="A13" s="85" t="s">
        <v>129</v>
      </c>
      <c r="B13" s="86">
        <v>68679</v>
      </c>
      <c r="C13" s="87">
        <f t="shared" si="0"/>
        <v>0.266871410948866</v>
      </c>
      <c r="D13" s="85"/>
      <c r="E13" s="86"/>
      <c r="F13" s="88"/>
    </row>
    <row r="14" spans="1:6" ht="12.75">
      <c r="A14" s="85" t="s">
        <v>115</v>
      </c>
      <c r="B14" s="86">
        <v>62398</v>
      </c>
      <c r="C14" s="87">
        <f t="shared" si="0"/>
        <v>0.24246483350641887</v>
      </c>
      <c r="D14" s="85"/>
      <c r="E14" s="86">
        <v>1</v>
      </c>
      <c r="F14" s="88">
        <v>1</v>
      </c>
    </row>
    <row r="15" spans="1:6" ht="12.75">
      <c r="A15" s="85" t="s">
        <v>125</v>
      </c>
      <c r="B15" s="86">
        <v>51383</v>
      </c>
      <c r="C15" s="87">
        <f t="shared" si="0"/>
        <v>0.19966297862207638</v>
      </c>
      <c r="D15" s="85"/>
      <c r="E15" s="86"/>
      <c r="F15" s="88"/>
    </row>
    <row r="16" spans="1:6" ht="12.75">
      <c r="A16" s="85" t="s">
        <v>126</v>
      </c>
      <c r="B16" s="86">
        <v>50371</v>
      </c>
      <c r="C16" s="87">
        <f t="shared" si="0"/>
        <v>0.19573057034763655</v>
      </c>
      <c r="D16" s="85"/>
      <c r="E16" s="86"/>
      <c r="F16" s="88"/>
    </row>
    <row r="17" spans="1:6" ht="12.75">
      <c r="A17" s="85" t="s">
        <v>127</v>
      </c>
      <c r="B17" s="86">
        <f>+B19-B18-SUM(B4:B16)</f>
        <v>601619</v>
      </c>
      <c r="C17" s="87">
        <f t="shared" si="0"/>
        <v>2.3377584324705634</v>
      </c>
      <c r="D17" s="85"/>
      <c r="E17" s="86"/>
      <c r="F17" s="88"/>
    </row>
    <row r="18" spans="1:6" ht="12.75">
      <c r="A18" s="85" t="s">
        <v>128</v>
      </c>
      <c r="B18" s="86">
        <v>286182</v>
      </c>
      <c r="C18" s="87">
        <f t="shared" si="0"/>
        <v>1.1120399849760243</v>
      </c>
      <c r="D18" s="85"/>
      <c r="E18" s="86"/>
      <c r="F18" s="88"/>
    </row>
    <row r="19" spans="1:6" ht="12.75">
      <c r="A19" s="89" t="s">
        <v>88</v>
      </c>
      <c r="B19" s="90">
        <v>25734866</v>
      </c>
      <c r="C19" s="91"/>
      <c r="D19" s="89">
        <f>+SUM(D4:D16)</f>
        <v>350</v>
      </c>
      <c r="E19" s="90">
        <f>+SUM(E4:E16)</f>
        <v>350</v>
      </c>
      <c r="F19" s="92">
        <f>+SUM(F4:F16)</f>
        <v>350</v>
      </c>
    </row>
    <row r="20" spans="1:6" ht="12.75">
      <c r="A20" s="132" t="s">
        <v>137</v>
      </c>
      <c r="B20" s="133"/>
      <c r="C20" s="133"/>
      <c r="D20" s="133"/>
      <c r="E20" s="133"/>
      <c r="F20" s="134"/>
    </row>
    <row r="21" spans="1:6" ht="12.75">
      <c r="A21" s="85" t="s">
        <v>134</v>
      </c>
      <c r="B21" s="86">
        <f>+B4+B5</f>
        <v>21567345</v>
      </c>
      <c r="C21" s="87">
        <f>+C4+C5</f>
        <v>83.80593471906946</v>
      </c>
      <c r="D21" s="85">
        <f>+D4+D5</f>
        <v>309</v>
      </c>
      <c r="E21" s="86">
        <f>+E4+E5</f>
        <v>316</v>
      </c>
      <c r="F21" s="88">
        <f>+F4+F5</f>
        <v>323</v>
      </c>
    </row>
    <row r="22" spans="1:6" ht="12.75">
      <c r="A22" s="85" t="s">
        <v>135</v>
      </c>
      <c r="B22" s="86">
        <f>+B6+B9+B15</f>
        <v>1327408</v>
      </c>
      <c r="C22" s="87">
        <f>+C6+C9+C15</f>
        <v>5.1580140343454675</v>
      </c>
      <c r="D22" s="85">
        <f>+D6+D9+D15</f>
        <v>17</v>
      </c>
      <c r="E22" s="86">
        <f>+E6+E9+E15</f>
        <v>8</v>
      </c>
      <c r="F22" s="88">
        <f>+F6+F9+F15</f>
        <v>3</v>
      </c>
    </row>
    <row r="23" spans="1:6" ht="12.75">
      <c r="A23" s="93" t="s">
        <v>136</v>
      </c>
      <c r="B23" s="94">
        <f>+B7+B8+B10+B11+B12+B13+B14+B16</f>
        <v>1952312</v>
      </c>
      <c r="C23" s="95">
        <f>+C7+C8+C10+C11+C12+C13+C14+C16</f>
        <v>7.586252829138493</v>
      </c>
      <c r="D23" s="93">
        <f>+D7+D8+D10+D11+D12+D13+D14+D16</f>
        <v>24</v>
      </c>
      <c r="E23" s="94">
        <f>+E7+E8+E10+E11+E12+E13+E14+E16</f>
        <v>26</v>
      </c>
      <c r="F23" s="96">
        <f>+F7+F8+F10+F11+F12+F13+F14+F16</f>
        <v>24</v>
      </c>
    </row>
  </sheetData>
  <mergeCells count="2">
    <mergeCell ref="D2:F2"/>
    <mergeCell ref="A20:F2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26" sqref="G26"/>
    </sheetView>
  </sheetViews>
  <sheetFormatPr defaultColWidth="11.421875" defaultRowHeight="12.75"/>
  <cols>
    <col min="1" max="1" width="36.421875" style="0" customWidth="1"/>
    <col min="2" max="2" width="7.57421875" style="0" customWidth="1"/>
    <col min="3" max="4" width="8.7109375" style="0" customWidth="1"/>
    <col min="5" max="5" width="9.57421875" style="0" customWidth="1"/>
    <col min="6" max="6" width="11.57421875" style="0" customWidth="1"/>
  </cols>
  <sheetData>
    <row r="1" ht="12.75">
      <c r="A1" t="s">
        <v>157</v>
      </c>
    </row>
    <row r="2" spans="3:5" ht="12.75">
      <c r="C2" s="136" t="s">
        <v>158</v>
      </c>
      <c r="D2" s="137"/>
      <c r="E2" s="138"/>
    </row>
    <row r="3" spans="1:5" ht="12.75">
      <c r="A3" s="45" t="s">
        <v>138</v>
      </c>
      <c r="B3" s="82" t="s">
        <v>142</v>
      </c>
      <c r="C3" s="82">
        <v>0</v>
      </c>
      <c r="D3" s="82">
        <v>0.5</v>
      </c>
      <c r="E3" s="82">
        <v>1</v>
      </c>
    </row>
    <row r="4" spans="1:5" ht="12.75">
      <c r="A4" s="98" t="s">
        <v>140</v>
      </c>
      <c r="B4" s="99">
        <f>1-B5-B6</f>
        <v>0.6</v>
      </c>
      <c r="C4" s="100">
        <v>1</v>
      </c>
      <c r="D4" s="112">
        <v>20</v>
      </c>
      <c r="E4" s="101" t="s">
        <v>148</v>
      </c>
    </row>
    <row r="5" spans="1:5" ht="12.75">
      <c r="A5" s="102" t="s">
        <v>139</v>
      </c>
      <c r="B5" s="103">
        <v>0.3</v>
      </c>
      <c r="C5" s="114">
        <v>50</v>
      </c>
      <c r="D5" s="115">
        <v>5</v>
      </c>
      <c r="E5" s="116">
        <v>0</v>
      </c>
    </row>
    <row r="6" spans="1:5" ht="12.75">
      <c r="A6" s="104" t="s">
        <v>141</v>
      </c>
      <c r="B6" s="105">
        <v>0.1</v>
      </c>
      <c r="C6" s="106">
        <v>1</v>
      </c>
      <c r="D6" s="113">
        <v>100</v>
      </c>
      <c r="E6" s="107">
        <v>1000</v>
      </c>
    </row>
    <row r="7" ht="12.75">
      <c r="A7" s="108" t="s">
        <v>143</v>
      </c>
    </row>
    <row r="8" ht="12.75">
      <c r="A8" s="108" t="s">
        <v>144</v>
      </c>
    </row>
    <row r="10" ht="12.75">
      <c r="A10" t="s">
        <v>152</v>
      </c>
    </row>
    <row r="11" spans="1:6" ht="12.75">
      <c r="A11" t="s">
        <v>138</v>
      </c>
      <c r="B11" s="8" t="s">
        <v>145</v>
      </c>
      <c r="C11" s="8" t="s">
        <v>146</v>
      </c>
      <c r="D11" s="135" t="s">
        <v>153</v>
      </c>
      <c r="E11" s="135"/>
      <c r="F11" s="135"/>
    </row>
    <row r="12" spans="1:6" ht="12.75">
      <c r="A12" t="s">
        <v>140</v>
      </c>
      <c r="B12" s="109">
        <f>B14/52</f>
        <v>6.730769230769231</v>
      </c>
      <c r="C12" s="111">
        <f>0.192*LN(B12)-0.0222</f>
        <v>0.3438843716931902</v>
      </c>
      <c r="D12" s="118" t="s">
        <v>154</v>
      </c>
      <c r="E12" s="118"/>
      <c r="F12" s="118"/>
    </row>
    <row r="13" spans="1:6" ht="12.75">
      <c r="A13" t="s">
        <v>139</v>
      </c>
      <c r="B13" s="117">
        <v>3</v>
      </c>
      <c r="C13" s="111">
        <f>-0.1097*LN(B13)+0.5335</f>
        <v>0.41298223193310835</v>
      </c>
      <c r="D13" s="118" t="s">
        <v>155</v>
      </c>
      <c r="E13" s="118"/>
      <c r="F13" s="118"/>
    </row>
    <row r="14" spans="1:6" ht="12.75">
      <c r="A14" t="s">
        <v>141</v>
      </c>
      <c r="B14" s="8">
        <v>350</v>
      </c>
      <c r="C14" s="111">
        <f>0.1396*LN(B14)-0.0357</f>
        <v>0.7820674683658909</v>
      </c>
      <c r="D14" s="135" t="s">
        <v>156</v>
      </c>
      <c r="E14" s="135"/>
      <c r="F14" s="135"/>
    </row>
    <row r="15" spans="1:4" ht="12.75">
      <c r="A15" s="80" t="s">
        <v>147</v>
      </c>
      <c r="B15" s="8"/>
      <c r="C15" s="119">
        <f>+B4*C12+B5*C13+B6*C14</f>
        <v>0.4084320394324358</v>
      </c>
      <c r="D15" s="8"/>
    </row>
    <row r="18" spans="2:4" ht="12.75">
      <c r="B18" t="s">
        <v>149</v>
      </c>
      <c r="C18" t="s">
        <v>150</v>
      </c>
      <c r="D18" t="s">
        <v>151</v>
      </c>
    </row>
    <row r="19" spans="2:4" ht="12.75">
      <c r="B19">
        <v>1</v>
      </c>
      <c r="C19">
        <v>0</v>
      </c>
      <c r="D19">
        <f>0.192*LN(B19)-0.0222</f>
        <v>-0.0222</v>
      </c>
    </row>
    <row r="20" spans="2:4" ht="12.75">
      <c r="B20">
        <v>100</v>
      </c>
      <c r="C20">
        <v>0.5</v>
      </c>
      <c r="D20">
        <f>0.192*LN(B20)-0.0222</f>
        <v>0.8619926757097136</v>
      </c>
    </row>
    <row r="21" spans="2:4" ht="12.75">
      <c r="B21">
        <v>1000</v>
      </c>
      <c r="C21">
        <v>1</v>
      </c>
      <c r="D21">
        <f>0.192*LN(B21)-0.0222</f>
        <v>1.3040890135645704</v>
      </c>
    </row>
  </sheetData>
  <mergeCells count="3">
    <mergeCell ref="D14:F14"/>
    <mergeCell ref="C2:E2"/>
    <mergeCell ref="D11:F1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5" sqref="G5"/>
    </sheetView>
  </sheetViews>
  <sheetFormatPr defaultColWidth="11.421875" defaultRowHeight="12.75"/>
  <sheetData>
    <row r="1" spans="1:4" ht="12.75">
      <c r="A1" s="52" t="s">
        <v>167</v>
      </c>
      <c r="B1" s="52"/>
      <c r="C1" s="52"/>
      <c r="D1" s="52"/>
    </row>
    <row r="2" spans="1:4" ht="12.75">
      <c r="A2" s="52"/>
      <c r="B2" s="129" t="s">
        <v>53</v>
      </c>
      <c r="C2" s="131"/>
      <c r="D2" s="130"/>
    </row>
    <row r="3" spans="1:9" ht="12.75">
      <c r="A3" s="66" t="s">
        <v>124</v>
      </c>
      <c r="B3" s="67" t="s">
        <v>159</v>
      </c>
      <c r="C3" s="67" t="s">
        <v>160</v>
      </c>
      <c r="D3" s="67" t="s">
        <v>161</v>
      </c>
      <c r="I3" t="s">
        <v>174</v>
      </c>
    </row>
    <row r="4" spans="1:9" ht="12.75">
      <c r="A4" s="85" t="s">
        <v>106</v>
      </c>
      <c r="B4" s="85">
        <v>162</v>
      </c>
      <c r="C4" s="86">
        <v>169</v>
      </c>
      <c r="D4" s="88">
        <f>+ABS(B4-C4)</f>
        <v>7</v>
      </c>
      <c r="I4" t="s">
        <v>169</v>
      </c>
    </row>
    <row r="5" spans="1:9" ht="12.75">
      <c r="A5" s="85" t="s">
        <v>107</v>
      </c>
      <c r="B5" s="85">
        <v>147</v>
      </c>
      <c r="C5" s="86">
        <v>154</v>
      </c>
      <c r="D5" s="88">
        <f aca="true" t="shared" si="0" ref="D5:D13">+ABS(B5-C5)</f>
        <v>7</v>
      </c>
      <c r="I5" t="s">
        <v>170</v>
      </c>
    </row>
    <row r="6" spans="1:9" ht="12.75">
      <c r="A6" s="85" t="s">
        <v>108</v>
      </c>
      <c r="B6" s="85">
        <v>13</v>
      </c>
      <c r="C6" s="86">
        <v>2</v>
      </c>
      <c r="D6" s="88">
        <f t="shared" si="0"/>
        <v>11</v>
      </c>
      <c r="I6" t="s">
        <v>171</v>
      </c>
    </row>
    <row r="7" spans="1:4" ht="12.75">
      <c r="A7" s="85" t="s">
        <v>109</v>
      </c>
      <c r="B7" s="85">
        <v>11</v>
      </c>
      <c r="C7" s="86">
        <v>10</v>
      </c>
      <c r="D7" s="88">
        <f t="shared" si="0"/>
        <v>1</v>
      </c>
    </row>
    <row r="8" spans="1:4" ht="12.75">
      <c r="A8" s="85" t="s">
        <v>110</v>
      </c>
      <c r="B8" s="85">
        <v>4</v>
      </c>
      <c r="C8" s="86">
        <v>6</v>
      </c>
      <c r="D8" s="88">
        <f t="shared" si="0"/>
        <v>2</v>
      </c>
    </row>
    <row r="9" spans="1:9" ht="12.75">
      <c r="A9" s="85" t="s">
        <v>111</v>
      </c>
      <c r="B9" s="85">
        <v>4</v>
      </c>
      <c r="C9" s="86">
        <v>1</v>
      </c>
      <c r="D9" s="88">
        <f t="shared" si="0"/>
        <v>3</v>
      </c>
      <c r="I9" t="s">
        <v>175</v>
      </c>
    </row>
    <row r="10" spans="1:9" ht="12.75">
      <c r="A10" s="85" t="s">
        <v>112</v>
      </c>
      <c r="B10" s="85">
        <v>4</v>
      </c>
      <c r="C10" s="86">
        <v>3</v>
      </c>
      <c r="D10" s="88">
        <f t="shared" si="0"/>
        <v>1</v>
      </c>
      <c r="I10" t="s">
        <v>173</v>
      </c>
    </row>
    <row r="11" spans="1:9" ht="12.75">
      <c r="A11" s="85" t="s">
        <v>113</v>
      </c>
      <c r="B11" s="85">
        <v>3</v>
      </c>
      <c r="C11" s="86">
        <v>2</v>
      </c>
      <c r="D11" s="88">
        <f t="shared" si="0"/>
        <v>1</v>
      </c>
      <c r="I11" t="s">
        <v>176</v>
      </c>
    </row>
    <row r="12" spans="1:9" ht="12.75">
      <c r="A12" s="85" t="s">
        <v>114</v>
      </c>
      <c r="B12" s="85">
        <v>2</v>
      </c>
      <c r="C12" s="86">
        <v>2</v>
      </c>
      <c r="D12" s="88">
        <f t="shared" si="0"/>
        <v>0</v>
      </c>
      <c r="I12" s="139"/>
    </row>
    <row r="13" spans="1:4" ht="12.75">
      <c r="A13" s="85" t="s">
        <v>115</v>
      </c>
      <c r="B13" s="85"/>
      <c r="C13" s="86">
        <v>1</v>
      </c>
      <c r="D13" s="88">
        <f t="shared" si="0"/>
        <v>1</v>
      </c>
    </row>
    <row r="14" spans="1:4" ht="12.75">
      <c r="A14" s="89" t="s">
        <v>88</v>
      </c>
      <c r="B14" s="89">
        <f>+SUM(B4:B13)</f>
        <v>350</v>
      </c>
      <c r="C14" s="90">
        <f>+SUM(C4:C13)</f>
        <v>350</v>
      </c>
      <c r="D14" s="92">
        <f>+SUM(D4:D13)</f>
        <v>34</v>
      </c>
    </row>
    <row r="15" spans="2:4" ht="12.75">
      <c r="B15" s="80"/>
      <c r="C15" s="80" t="s">
        <v>163</v>
      </c>
      <c r="D15" s="120">
        <f>+D14*100/C14</f>
        <v>9.714285714285714</v>
      </c>
    </row>
    <row r="16" spans="3:4" ht="12.75">
      <c r="C16" t="s">
        <v>162</v>
      </c>
      <c r="D16" s="121">
        <f>+(10-D15)/20+0.5</f>
        <v>0.5142857142857143</v>
      </c>
    </row>
    <row r="20" spans="4:7" ht="12.75">
      <c r="D20" t="s">
        <v>149</v>
      </c>
      <c r="E20" t="s">
        <v>150</v>
      </c>
      <c r="F20" t="s">
        <v>151</v>
      </c>
      <c r="G20" t="s">
        <v>164</v>
      </c>
    </row>
    <row r="21" spans="4:7" ht="12.75">
      <c r="D21">
        <v>50</v>
      </c>
      <c r="E21">
        <v>0</v>
      </c>
      <c r="F21">
        <f>-0.104*LN(D21)+0.5558</f>
        <v>0.1489496074354728</v>
      </c>
      <c r="G21" s="110" t="s">
        <v>165</v>
      </c>
    </row>
    <row r="22" spans="4:6" ht="12.75">
      <c r="D22">
        <v>10</v>
      </c>
      <c r="E22">
        <v>0.5</v>
      </c>
      <c r="F22">
        <f>-0.104*LN(D22)+0.5558</f>
        <v>0.3163311503286192</v>
      </c>
    </row>
    <row r="23" spans="4:7" ht="12.75">
      <c r="D23">
        <v>0.01</v>
      </c>
      <c r="E23">
        <v>1</v>
      </c>
      <c r="F23">
        <f>-0.104*LN(D23)+0.5558</f>
        <v>1.0347376993427613</v>
      </c>
      <c r="G23" s="110" t="s">
        <v>166</v>
      </c>
    </row>
  </sheetData>
  <mergeCells count="1">
    <mergeCell ref="B2:D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showZeros="0" tabSelected="1" workbookViewId="0" topLeftCell="A1">
      <selection activeCell="A1" sqref="A1"/>
    </sheetView>
  </sheetViews>
  <sheetFormatPr defaultColWidth="11.421875" defaultRowHeight="12.75"/>
  <cols>
    <col min="2" max="2" width="9.7109375" style="0" customWidth="1"/>
    <col min="3" max="3" width="6.7109375" style="0" customWidth="1"/>
    <col min="4" max="4" width="9.00390625" style="0" customWidth="1"/>
    <col min="5" max="5" width="6.57421875" style="81" customWidth="1"/>
    <col min="6" max="6" width="8.421875" style="0" customWidth="1"/>
    <col min="7" max="7" width="8.57421875" style="0" customWidth="1"/>
  </cols>
  <sheetData>
    <row r="1" spans="1:4" ht="12.75">
      <c r="A1" s="52"/>
      <c r="B1" s="52"/>
      <c r="C1" s="52"/>
      <c r="D1" s="52"/>
    </row>
    <row r="2" spans="1:5" ht="12.75">
      <c r="A2" s="52"/>
      <c r="B2" s="52"/>
      <c r="C2" s="83"/>
      <c r="D2" s="129" t="s">
        <v>53</v>
      </c>
      <c r="E2" s="130"/>
    </row>
    <row r="3" spans="1:9" ht="12.75">
      <c r="A3" s="66" t="s">
        <v>124</v>
      </c>
      <c r="B3" s="66" t="s">
        <v>120</v>
      </c>
      <c r="C3" s="84" t="s">
        <v>121</v>
      </c>
      <c r="D3" s="66" t="s">
        <v>177</v>
      </c>
      <c r="E3" s="84" t="s">
        <v>121</v>
      </c>
      <c r="I3" t="s">
        <v>174</v>
      </c>
    </row>
    <row r="4" spans="1:9" ht="12.75">
      <c r="A4" s="85" t="s">
        <v>106</v>
      </c>
      <c r="B4" s="86">
        <v>11289335</v>
      </c>
      <c r="C4" s="87">
        <f>+B4*100/$B$19</f>
        <v>43.867860046366665</v>
      </c>
      <c r="D4" s="86">
        <v>169</v>
      </c>
      <c r="E4" s="140">
        <f>+D4*100/$D$19</f>
        <v>48.285714285714285</v>
      </c>
      <c r="F4" s="81">
        <f>+ABS(C4-E4)</f>
        <v>4.417854239347619</v>
      </c>
      <c r="G4" s="81">
        <f>+(E4-C4)^2</f>
        <v>19.51743608012173</v>
      </c>
      <c r="I4" t="s">
        <v>169</v>
      </c>
    </row>
    <row r="5" spans="1:9" ht="12.75">
      <c r="A5" s="85" t="s">
        <v>107</v>
      </c>
      <c r="B5" s="86">
        <v>10278010</v>
      </c>
      <c r="C5" s="87">
        <f aca="true" t="shared" si="0" ref="C5:C18">+B5*100/$B$19</f>
        <v>39.93807467270278</v>
      </c>
      <c r="D5" s="86">
        <v>154</v>
      </c>
      <c r="E5" s="140">
        <f aca="true" t="shared" si="1" ref="E5:E17">+D5*100/$D$19</f>
        <v>44</v>
      </c>
      <c r="F5" s="81">
        <f aca="true" t="shared" si="2" ref="F5:F17">+ABS(C5-E5)</f>
        <v>4.061925327297217</v>
      </c>
      <c r="G5" s="81">
        <f aca="true" t="shared" si="3" ref="G5:G17">+(E5-C5)^2</f>
        <v>16.499237364538605</v>
      </c>
      <c r="I5" t="s">
        <v>170</v>
      </c>
    </row>
    <row r="6" spans="1:9" ht="12.75">
      <c r="A6" s="85" t="s">
        <v>108</v>
      </c>
      <c r="B6" s="86">
        <v>969946</v>
      </c>
      <c r="C6" s="87">
        <f t="shared" si="0"/>
        <v>3.7689957274306383</v>
      </c>
      <c r="D6" s="86">
        <v>2</v>
      </c>
      <c r="E6" s="140">
        <f t="shared" si="1"/>
        <v>0.5714285714285714</v>
      </c>
      <c r="F6" s="81">
        <f t="shared" si="2"/>
        <v>3.1975671560020666</v>
      </c>
      <c r="G6" s="81">
        <f t="shared" si="3"/>
        <v>10.224435717143145</v>
      </c>
      <c r="I6" t="s">
        <v>171</v>
      </c>
    </row>
    <row r="7" spans="1:7" ht="12.75">
      <c r="A7" s="85" t="s">
        <v>109</v>
      </c>
      <c r="B7" s="86">
        <v>779425</v>
      </c>
      <c r="C7" s="87">
        <f t="shared" si="0"/>
        <v>3.0286732404202144</v>
      </c>
      <c r="D7" s="86">
        <v>10</v>
      </c>
      <c r="E7" s="140">
        <f t="shared" si="1"/>
        <v>2.857142857142857</v>
      </c>
      <c r="F7" s="81">
        <f t="shared" si="2"/>
        <v>0.17153038327735715</v>
      </c>
      <c r="G7" s="81">
        <f t="shared" si="3"/>
        <v>0.029422672387277044</v>
      </c>
    </row>
    <row r="8" spans="1:7" ht="12.75">
      <c r="A8" s="85" t="s">
        <v>110</v>
      </c>
      <c r="B8" s="86">
        <v>306128</v>
      </c>
      <c r="C8" s="87">
        <f t="shared" si="0"/>
        <v>1.189545731460191</v>
      </c>
      <c r="D8" s="86">
        <v>6</v>
      </c>
      <c r="E8" s="140">
        <f t="shared" si="1"/>
        <v>1.7142857142857142</v>
      </c>
      <c r="F8" s="81">
        <f t="shared" si="2"/>
        <v>0.5247399828255233</v>
      </c>
      <c r="G8" s="81">
        <f t="shared" si="3"/>
        <v>0.27535204957573045</v>
      </c>
    </row>
    <row r="9" spans="1:9" ht="12.75">
      <c r="A9" s="85" t="s">
        <v>111</v>
      </c>
      <c r="B9" s="86">
        <v>306079</v>
      </c>
      <c r="C9" s="87">
        <f t="shared" si="0"/>
        <v>1.1893553282927527</v>
      </c>
      <c r="D9" s="86">
        <v>1</v>
      </c>
      <c r="E9" s="140">
        <f t="shared" si="1"/>
        <v>0.2857142857142857</v>
      </c>
      <c r="F9" s="81">
        <f t="shared" si="2"/>
        <v>0.903641042578467</v>
      </c>
      <c r="G9" s="81">
        <f t="shared" si="3"/>
        <v>0.8165671338322988</v>
      </c>
      <c r="I9" t="s">
        <v>178</v>
      </c>
    </row>
    <row r="10" spans="1:9" ht="12.75">
      <c r="A10" s="85" t="s">
        <v>112</v>
      </c>
      <c r="B10" s="86">
        <v>298139</v>
      </c>
      <c r="C10" s="87">
        <f t="shared" si="0"/>
        <v>1.1585022436098948</v>
      </c>
      <c r="D10" s="86">
        <v>3</v>
      </c>
      <c r="E10" s="140">
        <f t="shared" si="1"/>
        <v>0.8571428571428571</v>
      </c>
      <c r="F10" s="81">
        <f t="shared" si="2"/>
        <v>0.30135938646703775</v>
      </c>
      <c r="G10" s="81">
        <f t="shared" si="3"/>
        <v>0.09081747981178942</v>
      </c>
      <c r="I10" t="s">
        <v>173</v>
      </c>
    </row>
    <row r="11" spans="1:9" ht="12.75">
      <c r="A11" s="85" t="s">
        <v>113</v>
      </c>
      <c r="B11" s="86">
        <v>212543</v>
      </c>
      <c r="C11" s="87">
        <f t="shared" si="0"/>
        <v>0.8258951105476905</v>
      </c>
      <c r="D11" s="86">
        <v>2</v>
      </c>
      <c r="E11" s="140">
        <f t="shared" si="1"/>
        <v>0.5714285714285714</v>
      </c>
      <c r="F11" s="81">
        <f t="shared" si="2"/>
        <v>0.2544665391191191</v>
      </c>
      <c r="G11" s="81">
        <f t="shared" si="3"/>
        <v>0.06475321953126217</v>
      </c>
      <c r="I11" t="s">
        <v>176</v>
      </c>
    </row>
    <row r="12" spans="1:9" ht="12.75">
      <c r="A12" s="85" t="s">
        <v>114</v>
      </c>
      <c r="B12" s="86">
        <v>174629</v>
      </c>
      <c r="C12" s="87">
        <f t="shared" si="0"/>
        <v>0.6785696882975805</v>
      </c>
      <c r="D12" s="86">
        <v>2</v>
      </c>
      <c r="E12" s="140">
        <f t="shared" si="1"/>
        <v>0.5714285714285714</v>
      </c>
      <c r="F12" s="81">
        <f t="shared" si="2"/>
        <v>0.10714111686900907</v>
      </c>
      <c r="G12" s="81">
        <f t="shared" si="3"/>
        <v>0.01147921892393866</v>
      </c>
      <c r="I12" s="139"/>
    </row>
    <row r="13" spans="1:7" ht="12.75">
      <c r="A13" s="85" t="s">
        <v>129</v>
      </c>
      <c r="B13" s="86">
        <v>68679</v>
      </c>
      <c r="C13" s="87">
        <f t="shared" si="0"/>
        <v>0.266871410948866</v>
      </c>
      <c r="D13" s="86"/>
      <c r="E13" s="140">
        <f t="shared" si="1"/>
        <v>0</v>
      </c>
      <c r="F13" s="81">
        <f t="shared" si="2"/>
        <v>0.266871410948866</v>
      </c>
      <c r="G13" s="81">
        <f t="shared" si="3"/>
        <v>0.07122034998183853</v>
      </c>
    </row>
    <row r="14" spans="1:7" ht="12.75">
      <c r="A14" s="85" t="s">
        <v>115</v>
      </c>
      <c r="B14" s="86">
        <v>62398</v>
      </c>
      <c r="C14" s="87">
        <f t="shared" si="0"/>
        <v>0.24246483350641887</v>
      </c>
      <c r="D14" s="86">
        <v>1</v>
      </c>
      <c r="E14" s="140">
        <f t="shared" si="1"/>
        <v>0.2857142857142857</v>
      </c>
      <c r="F14" s="81">
        <f t="shared" si="2"/>
        <v>0.04324945220786683</v>
      </c>
      <c r="G14" s="81">
        <f t="shared" si="3"/>
        <v>0.001870515116280557</v>
      </c>
    </row>
    <row r="15" spans="1:7" ht="12.75">
      <c r="A15" s="85" t="s">
        <v>125</v>
      </c>
      <c r="B15" s="86">
        <v>51383</v>
      </c>
      <c r="C15" s="87">
        <f t="shared" si="0"/>
        <v>0.19966297862207638</v>
      </c>
      <c r="D15" s="86"/>
      <c r="E15" s="140">
        <f t="shared" si="1"/>
        <v>0</v>
      </c>
      <c r="F15" s="81">
        <f t="shared" si="2"/>
        <v>0.19966297862207638</v>
      </c>
      <c r="G15" s="81">
        <f t="shared" si="3"/>
        <v>0.03986530503223973</v>
      </c>
    </row>
    <row r="16" spans="1:7" ht="12.75">
      <c r="A16" s="85" t="s">
        <v>126</v>
      </c>
      <c r="B16" s="86">
        <v>50371</v>
      </c>
      <c r="C16" s="87">
        <f t="shared" si="0"/>
        <v>0.19573057034763655</v>
      </c>
      <c r="D16" s="86"/>
      <c r="E16" s="140">
        <f t="shared" si="1"/>
        <v>0</v>
      </c>
      <c r="F16" s="81">
        <f t="shared" si="2"/>
        <v>0.19573057034763655</v>
      </c>
      <c r="G16" s="81">
        <f t="shared" si="3"/>
        <v>0.038310456168611104</v>
      </c>
    </row>
    <row r="17" spans="1:7" ht="12.75">
      <c r="A17" s="85" t="s">
        <v>127</v>
      </c>
      <c r="B17" s="86">
        <f>+B19-B18-SUM(B4:B16)</f>
        <v>601619</v>
      </c>
      <c r="C17" s="87">
        <f t="shared" si="0"/>
        <v>2.3377584324705634</v>
      </c>
      <c r="D17" s="86"/>
      <c r="E17" s="140">
        <f t="shared" si="1"/>
        <v>0</v>
      </c>
      <c r="F17" s="81">
        <f t="shared" si="2"/>
        <v>2.3377584324705634</v>
      </c>
      <c r="G17" s="81">
        <f t="shared" si="3"/>
        <v>5.465114488587226</v>
      </c>
    </row>
    <row r="18" spans="1:5" ht="12.75">
      <c r="A18" s="85" t="s">
        <v>128</v>
      </c>
      <c r="B18" s="86">
        <v>286182</v>
      </c>
      <c r="C18" s="87">
        <f t="shared" si="0"/>
        <v>1.1120399849760243</v>
      </c>
      <c r="D18" s="86"/>
      <c r="E18" s="140"/>
    </row>
    <row r="19" spans="1:5" ht="12.75">
      <c r="A19" s="89" t="s">
        <v>88</v>
      </c>
      <c r="B19" s="90">
        <v>25734866</v>
      </c>
      <c r="C19" s="91"/>
      <c r="D19" s="90">
        <f>+SUM(D4:D16)</f>
        <v>350</v>
      </c>
      <c r="E19" s="141">
        <f>+SUM(E4:E16)</f>
        <v>100</v>
      </c>
    </row>
    <row r="21" spans="1:3" ht="12.75">
      <c r="A21" t="s">
        <v>168</v>
      </c>
      <c r="C21" s="81">
        <f>100-SUM(F4:F17)/2</f>
        <v>91.50825099080978</v>
      </c>
    </row>
    <row r="23" spans="1:3" ht="12.75">
      <c r="A23" t="s">
        <v>172</v>
      </c>
      <c r="C23" s="81">
        <f>+SUM(G4:G17)^(1/2)</f>
        <v>7.290122224678538</v>
      </c>
    </row>
  </sheetData>
  <mergeCells count="1">
    <mergeCell ref="D2:E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6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140625" style="0" customWidth="1"/>
    <col min="2" max="2" width="10.8515625" style="0" customWidth="1"/>
    <col min="3" max="3" width="8.8515625" style="0" customWidth="1"/>
    <col min="4" max="4" width="11.00390625" style="0" customWidth="1"/>
  </cols>
  <sheetData>
    <row r="1" spans="1:4" ht="13.5" customHeight="1">
      <c r="A1" s="4" t="s">
        <v>52</v>
      </c>
      <c r="B1" s="4" t="s">
        <v>65</v>
      </c>
      <c r="C1" s="4" t="s">
        <v>53</v>
      </c>
      <c r="D1" s="4" t="s">
        <v>54</v>
      </c>
    </row>
    <row r="2" spans="1:4" ht="13.5" customHeight="1">
      <c r="A2" s="1" t="s">
        <v>0</v>
      </c>
      <c r="B2" s="3">
        <v>305459</v>
      </c>
      <c r="C2" s="2">
        <v>4</v>
      </c>
      <c r="D2" s="3">
        <v>247930</v>
      </c>
    </row>
    <row r="3" spans="1:4" ht="13.5" customHeight="1">
      <c r="A3" s="1" t="s">
        <v>1</v>
      </c>
      <c r="B3" s="3">
        <v>392110</v>
      </c>
      <c r="C3" s="2">
        <v>4</v>
      </c>
      <c r="D3" s="3">
        <v>303228</v>
      </c>
    </row>
    <row r="4" spans="1:4" ht="13.5" customHeight="1">
      <c r="A4" s="1" t="s">
        <v>2</v>
      </c>
      <c r="B4" s="3">
        <v>1825264</v>
      </c>
      <c r="C4" s="2">
        <v>12</v>
      </c>
      <c r="D4" s="3">
        <v>1194069</v>
      </c>
    </row>
    <row r="5" spans="1:4" ht="13.5" customHeight="1">
      <c r="A5" s="1" t="s">
        <v>3</v>
      </c>
      <c r="B5" s="3">
        <v>646633</v>
      </c>
      <c r="C5" s="2">
        <v>6</v>
      </c>
      <c r="D5" s="3">
        <v>449915</v>
      </c>
    </row>
    <row r="6" spans="1:4" ht="13.5" customHeight="1">
      <c r="A6" s="1" t="s">
        <v>32</v>
      </c>
      <c r="B6" s="3">
        <v>1074862</v>
      </c>
      <c r="C6" s="2">
        <v>8</v>
      </c>
      <c r="D6" s="3">
        <v>982230</v>
      </c>
    </row>
    <row r="7" spans="1:4" ht="13.5" customHeight="1">
      <c r="A7" s="1" t="s">
        <v>4</v>
      </c>
      <c r="B7" s="3">
        <v>168638</v>
      </c>
      <c r="C7" s="2">
        <v>3</v>
      </c>
      <c r="D7" s="3">
        <v>143967</v>
      </c>
    </row>
    <row r="8" spans="1:4" ht="13.5" customHeight="1">
      <c r="A8" s="1" t="s">
        <v>5</v>
      </c>
      <c r="B8" s="3">
        <v>678459</v>
      </c>
      <c r="C8" s="2">
        <v>6</v>
      </c>
      <c r="D8" s="3">
        <v>547436</v>
      </c>
    </row>
    <row r="9" spans="1:4" ht="13.5" customHeight="1">
      <c r="A9" s="1" t="s">
        <v>6</v>
      </c>
      <c r="B9" s="3">
        <v>1030650</v>
      </c>
      <c r="C9" s="2">
        <v>8</v>
      </c>
      <c r="D9" s="3">
        <v>706938</v>
      </c>
    </row>
    <row r="10" spans="1:4" ht="13.5" customHeight="1">
      <c r="A10" s="1" t="s">
        <v>7</v>
      </c>
      <c r="B10" s="3">
        <v>5332513</v>
      </c>
      <c r="C10" s="2">
        <v>31</v>
      </c>
      <c r="D10" s="3">
        <v>3980181</v>
      </c>
    </row>
    <row r="11" spans="1:4" ht="13.5" customHeight="1">
      <c r="A11" s="1" t="s">
        <v>8</v>
      </c>
      <c r="B11" s="3">
        <v>365972</v>
      </c>
      <c r="C11" s="2">
        <v>4</v>
      </c>
      <c r="D11" s="3">
        <v>302302</v>
      </c>
    </row>
    <row r="12" spans="1:4" ht="13.5" customHeight="1">
      <c r="A12" s="1" t="s">
        <v>9</v>
      </c>
      <c r="B12" s="3">
        <v>411531</v>
      </c>
      <c r="C12" s="2">
        <v>4</v>
      </c>
      <c r="D12" s="3">
        <v>349247</v>
      </c>
    </row>
    <row r="13" spans="1:4" ht="13.5" customHeight="1">
      <c r="A13" s="1" t="s">
        <v>10</v>
      </c>
      <c r="B13" s="3">
        <v>1207343</v>
      </c>
      <c r="C13" s="2">
        <v>9</v>
      </c>
      <c r="D13" s="3">
        <v>960033</v>
      </c>
    </row>
    <row r="14" spans="1:4" ht="13.5" customHeight="1">
      <c r="A14" s="1" t="s">
        <v>38</v>
      </c>
      <c r="B14" s="3">
        <v>572824</v>
      </c>
      <c r="C14" s="2">
        <v>5</v>
      </c>
      <c r="D14" s="3">
        <v>488009</v>
      </c>
    </row>
    <row r="15" spans="1:4" ht="13.5" customHeight="1">
      <c r="A15" s="1" t="s">
        <v>11</v>
      </c>
      <c r="B15" s="3">
        <v>573282</v>
      </c>
      <c r="C15" s="2">
        <v>5</v>
      </c>
      <c r="D15" s="3">
        <v>411081</v>
      </c>
    </row>
    <row r="16" spans="1:4" ht="13.5" customHeight="1">
      <c r="A16" s="1" t="s">
        <v>12</v>
      </c>
      <c r="B16" s="3">
        <v>510122</v>
      </c>
      <c r="C16" s="2">
        <v>5</v>
      </c>
      <c r="D16" s="3">
        <v>398343</v>
      </c>
    </row>
    <row r="17" spans="1:4" ht="13.5" customHeight="1">
      <c r="A17" s="1" t="s">
        <v>13</v>
      </c>
      <c r="B17" s="3">
        <v>792182</v>
      </c>
      <c r="C17" s="2">
        <v>6</v>
      </c>
      <c r="D17" s="3">
        <v>643313</v>
      </c>
    </row>
    <row r="18" spans="1:4" ht="13.5" customHeight="1">
      <c r="A18" s="1" t="s">
        <v>14</v>
      </c>
      <c r="B18" s="3">
        <v>1132792</v>
      </c>
      <c r="C18" s="2">
        <v>8</v>
      </c>
      <c r="D18" s="3">
        <v>1068433</v>
      </c>
    </row>
    <row r="19" spans="1:4" ht="13.5" customHeight="1">
      <c r="A19" s="1" t="s">
        <v>15</v>
      </c>
      <c r="B19" s="3">
        <v>211375</v>
      </c>
      <c r="C19" s="2">
        <v>3</v>
      </c>
      <c r="D19" s="3">
        <v>164387</v>
      </c>
    </row>
    <row r="20" spans="1:4" ht="13.5" customHeight="1">
      <c r="A20" s="1" t="s">
        <v>16</v>
      </c>
      <c r="B20" s="3">
        <v>706185</v>
      </c>
      <c r="C20" s="2">
        <v>6</v>
      </c>
      <c r="D20" s="3">
        <v>489572</v>
      </c>
    </row>
    <row r="21" spans="1:4" ht="13.5" customHeight="1">
      <c r="A21" s="1" t="s">
        <v>17</v>
      </c>
      <c r="B21" s="3">
        <v>884099</v>
      </c>
      <c r="C21" s="2">
        <v>7</v>
      </c>
      <c r="D21" s="3">
        <v>717387</v>
      </c>
    </row>
    <row r="22" spans="1:4" ht="13.5" customHeight="1">
      <c r="A22" s="1" t="s">
        <v>18</v>
      </c>
      <c r="B22" s="3">
        <v>224076</v>
      </c>
      <c r="C22" s="2">
        <v>3</v>
      </c>
      <c r="D22" s="3">
        <v>168486</v>
      </c>
    </row>
    <row r="23" spans="1:4" ht="13.5" customHeight="1">
      <c r="A23" s="1" t="s">
        <v>19</v>
      </c>
      <c r="B23" s="3">
        <v>694944</v>
      </c>
      <c r="C23" s="2">
        <v>6</v>
      </c>
      <c r="D23" s="3">
        <v>576501</v>
      </c>
    </row>
    <row r="24" spans="1:4" ht="13.5" customHeight="1">
      <c r="A24" s="1" t="s">
        <v>20</v>
      </c>
      <c r="B24" s="3">
        <v>497671</v>
      </c>
      <c r="C24" s="2">
        <v>5</v>
      </c>
      <c r="D24" s="3">
        <v>386672</v>
      </c>
    </row>
    <row r="25" spans="1:4" ht="13.5" customHeight="1">
      <c r="A25" s="1" t="s">
        <v>21</v>
      </c>
      <c r="B25" s="3">
        <v>220107</v>
      </c>
      <c r="C25" s="2">
        <v>3</v>
      </c>
      <c r="D25" s="3">
        <v>176265</v>
      </c>
    </row>
    <row r="26" spans="1:4" ht="13.5" customHeight="1">
      <c r="A26" s="1" t="s">
        <v>22</v>
      </c>
      <c r="B26" s="3">
        <v>664742</v>
      </c>
      <c r="C26" s="2">
        <v>6</v>
      </c>
      <c r="D26" s="3">
        <v>530342</v>
      </c>
    </row>
    <row r="27" spans="1:4" ht="13.5" customHeight="1">
      <c r="A27" s="1" t="s">
        <v>23</v>
      </c>
      <c r="B27" s="3">
        <v>497387</v>
      </c>
      <c r="C27" s="2">
        <v>5</v>
      </c>
      <c r="D27" s="3">
        <v>447306</v>
      </c>
    </row>
    <row r="28" spans="1:4" ht="13.5" customHeight="1">
      <c r="A28" s="1" t="s">
        <v>24</v>
      </c>
      <c r="B28" s="3">
        <v>414015</v>
      </c>
      <c r="C28" s="2">
        <v>4</v>
      </c>
      <c r="D28" s="3">
        <v>311773</v>
      </c>
    </row>
    <row r="29" spans="1:4" ht="13.5" customHeight="1">
      <c r="A29" s="1" t="s">
        <v>26</v>
      </c>
      <c r="B29" s="3">
        <v>355176</v>
      </c>
      <c r="C29" s="2">
        <v>4</v>
      </c>
      <c r="D29" s="3">
        <v>346534</v>
      </c>
    </row>
    <row r="30" spans="1:4" ht="13.5" customHeight="1">
      <c r="A30" s="1" t="s">
        <v>27</v>
      </c>
      <c r="B30" s="3">
        <v>6081689</v>
      </c>
      <c r="C30" s="2">
        <v>35</v>
      </c>
      <c r="D30" s="3">
        <v>4490040</v>
      </c>
    </row>
    <row r="31" spans="1:4" ht="13.5" customHeight="1">
      <c r="A31" s="1" t="s">
        <v>28</v>
      </c>
      <c r="B31" s="3">
        <v>1517523</v>
      </c>
      <c r="C31" s="2">
        <v>10</v>
      </c>
      <c r="D31" s="3">
        <v>1077550</v>
      </c>
    </row>
    <row r="32" spans="1:4" ht="13.5" customHeight="1">
      <c r="A32" s="1" t="s">
        <v>29</v>
      </c>
      <c r="B32" s="3">
        <v>1392117</v>
      </c>
      <c r="C32" s="2">
        <v>10</v>
      </c>
      <c r="D32" s="3">
        <v>969946</v>
      </c>
    </row>
    <row r="33" spans="1:4" ht="13.5" customHeight="1">
      <c r="A33" s="1" t="s">
        <v>30</v>
      </c>
      <c r="B33" s="3">
        <v>605876</v>
      </c>
      <c r="C33" s="2">
        <v>5</v>
      </c>
      <c r="D33" s="3">
        <v>474058</v>
      </c>
    </row>
    <row r="34" spans="1:4" ht="13.5" customHeight="1">
      <c r="A34" s="1" t="s">
        <v>31</v>
      </c>
      <c r="B34" s="3">
        <v>336926</v>
      </c>
      <c r="C34" s="2">
        <v>4</v>
      </c>
      <c r="D34" s="3">
        <v>355289</v>
      </c>
    </row>
    <row r="35" spans="1:4" ht="13.5" customHeight="1">
      <c r="A35" s="1" t="s">
        <v>33</v>
      </c>
      <c r="B35" s="3">
        <v>173281</v>
      </c>
      <c r="C35" s="2">
        <v>3</v>
      </c>
      <c r="D35" s="3">
        <v>150130</v>
      </c>
    </row>
    <row r="36" spans="1:4" ht="13.5" customHeight="1">
      <c r="A36" s="1" t="s">
        <v>34</v>
      </c>
      <c r="B36" s="3">
        <v>1042131</v>
      </c>
      <c r="C36" s="2">
        <v>8</v>
      </c>
      <c r="D36" s="3">
        <v>763957</v>
      </c>
    </row>
    <row r="37" spans="1:4" ht="13.5" customHeight="1">
      <c r="A37" s="1" t="s">
        <v>35</v>
      </c>
      <c r="B37" s="3">
        <v>947639</v>
      </c>
      <c r="C37" s="2">
        <v>7</v>
      </c>
      <c r="D37" s="3">
        <v>868560</v>
      </c>
    </row>
    <row r="38" spans="1:4" ht="13.5" customHeight="1">
      <c r="A38" s="1" t="s">
        <v>25</v>
      </c>
      <c r="B38" s="3">
        <v>308968</v>
      </c>
      <c r="C38" s="2">
        <v>4</v>
      </c>
      <c r="D38" s="3">
        <v>238808</v>
      </c>
    </row>
    <row r="39" spans="1:4" ht="13.5" customHeight="1">
      <c r="A39" s="1" t="s">
        <v>36</v>
      </c>
      <c r="B39" s="3">
        <v>351326</v>
      </c>
      <c r="C39" s="2">
        <v>4</v>
      </c>
      <c r="D39" s="3">
        <v>311095</v>
      </c>
    </row>
    <row r="40" spans="1:4" ht="13.5" customHeight="1">
      <c r="A40" s="1" t="s">
        <v>37</v>
      </c>
      <c r="B40" s="3">
        <v>983820</v>
      </c>
      <c r="C40" s="2">
        <v>7</v>
      </c>
      <c r="D40" s="3">
        <v>762221</v>
      </c>
    </row>
    <row r="41" spans="1:4" ht="13.5" customHeight="1">
      <c r="A41" s="1" t="s">
        <v>39</v>
      </c>
      <c r="B41" s="3">
        <v>159322</v>
      </c>
      <c r="C41" s="2">
        <v>3</v>
      </c>
      <c r="D41" s="3">
        <v>124226</v>
      </c>
    </row>
    <row r="42" spans="1:4" ht="13.5" customHeight="1">
      <c r="A42" s="1" t="s">
        <v>40</v>
      </c>
      <c r="B42" s="3">
        <v>1849268</v>
      </c>
      <c r="C42" s="2">
        <v>12</v>
      </c>
      <c r="D42" s="3">
        <v>1469076</v>
      </c>
    </row>
    <row r="43" spans="1:4" ht="13.5" customHeight="1">
      <c r="A43" s="1" t="s">
        <v>41</v>
      </c>
      <c r="B43" s="3">
        <v>93593</v>
      </c>
      <c r="C43" s="2">
        <v>2</v>
      </c>
      <c r="D43" s="3">
        <v>77370</v>
      </c>
    </row>
    <row r="44" spans="1:4" ht="13.5" customHeight="1">
      <c r="A44" s="1" t="s">
        <v>42</v>
      </c>
      <c r="B44" s="3">
        <v>757795</v>
      </c>
      <c r="C44" s="2">
        <v>6</v>
      </c>
      <c r="D44" s="3">
        <v>543383</v>
      </c>
    </row>
    <row r="45" spans="1:4" ht="13.5" customHeight="1">
      <c r="A45" s="1" t="s">
        <v>43</v>
      </c>
      <c r="B45" s="3">
        <v>144046</v>
      </c>
      <c r="C45" s="2">
        <v>3</v>
      </c>
      <c r="D45" s="3">
        <v>114212</v>
      </c>
    </row>
    <row r="46" spans="1:4" ht="13.5" customHeight="1">
      <c r="A46" s="1" t="s">
        <v>44</v>
      </c>
      <c r="B46" s="3">
        <v>639621</v>
      </c>
      <c r="C46" s="2">
        <v>6</v>
      </c>
      <c r="D46" s="3">
        <v>488388</v>
      </c>
    </row>
    <row r="47" spans="1:4" ht="13.5" customHeight="1">
      <c r="A47" s="1" t="s">
        <v>45</v>
      </c>
      <c r="B47" s="3">
        <v>2486483</v>
      </c>
      <c r="C47" s="2">
        <v>16</v>
      </c>
      <c r="D47" s="3">
        <v>1899263</v>
      </c>
    </row>
    <row r="48" spans="1:4" ht="13.5" customHeight="1">
      <c r="A48" s="1" t="s">
        <v>46</v>
      </c>
      <c r="B48" s="3">
        <v>521661</v>
      </c>
      <c r="C48" s="2">
        <v>5</v>
      </c>
      <c r="D48" s="3">
        <v>433204</v>
      </c>
    </row>
    <row r="49" spans="1:4" ht="13.5" customHeight="1">
      <c r="A49" s="1" t="s">
        <v>47</v>
      </c>
      <c r="B49" s="3">
        <v>1141457</v>
      </c>
      <c r="C49" s="2">
        <v>8</v>
      </c>
      <c r="D49" s="3">
        <v>956709</v>
      </c>
    </row>
    <row r="50" spans="1:4" ht="13.5" customHeight="1">
      <c r="A50" s="1" t="s">
        <v>48</v>
      </c>
      <c r="B50" s="3">
        <v>197237</v>
      </c>
      <c r="C50" s="2">
        <v>3</v>
      </c>
      <c r="D50" s="3">
        <v>179355</v>
      </c>
    </row>
    <row r="51" spans="1:4" ht="13.5" customHeight="1">
      <c r="A51" s="1" t="s">
        <v>49</v>
      </c>
      <c r="B51" s="3">
        <v>932502</v>
      </c>
      <c r="C51" s="2">
        <v>7</v>
      </c>
      <c r="D51" s="3">
        <v>725943</v>
      </c>
    </row>
    <row r="52" spans="1:4" ht="13.5" customHeight="1">
      <c r="A52" s="1" t="s">
        <v>50</v>
      </c>
      <c r="B52" s="3">
        <v>76603</v>
      </c>
      <c r="C52" s="2">
        <v>1</v>
      </c>
      <c r="D52" s="3">
        <v>57805</v>
      </c>
    </row>
    <row r="53" spans="1:4" ht="13.5" customHeight="1">
      <c r="A53" s="1" t="s">
        <v>51</v>
      </c>
      <c r="B53" s="3">
        <v>69440</v>
      </c>
      <c r="C53" s="2">
        <v>1</v>
      </c>
      <c r="D53" s="3">
        <v>50711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dcterms:created xsi:type="dcterms:W3CDTF">2009-08-20T09:13:14Z</dcterms:created>
  <dcterms:modified xsi:type="dcterms:W3CDTF">2009-08-26T09:35:13Z</dcterms:modified>
  <cp:category/>
  <cp:version/>
  <cp:contentType/>
  <cp:contentStatus/>
</cp:coreProperties>
</file>