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omments1.xml" ContentType="application/vnd.openxmlformats-officedocument.spreadsheetml.comments+xml"/>
  <Override PartName="/xl/tables/table3.xml" ContentType="application/vnd.openxmlformats-officedocument.spreadsheetml.table+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tables/table4.xml" ContentType="application/vnd.openxmlformats-officedocument.spreadsheetml.table+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tables/table5.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9.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2.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126"/>
  <workbookPr defaultThemeVersion="166925"/>
  <mc:AlternateContent xmlns:mc="http://schemas.openxmlformats.org/markup-compatibility/2006">
    <mc:Choice Requires="x15">
      <x15ac:absPath xmlns:x15ac="http://schemas.microsoft.com/office/spreadsheetml/2010/11/ac" url="D:\Universidad\EA\SMS\"/>
    </mc:Choice>
  </mc:AlternateContent>
  <xr:revisionPtr revIDLastSave="0" documentId="13_ncr:1_{F98A4D98-597F-4BA8-87FA-A48DF3DC9B9A}" xr6:coauthVersionLast="40" xr6:coauthVersionMax="40" xr10:uidLastSave="{00000000-0000-0000-0000-000000000000}"/>
  <bookViews>
    <workbookView xWindow="0" yWindow="0" windowWidth="19155" windowHeight="5220" tabRatio="930" activeTab="2" xr2:uid="{00000000-000D-0000-FFFF-FFFF00000000}"/>
  </bookViews>
  <sheets>
    <sheet name="Primary Selection" sheetId="2" r:id="rId1"/>
    <sheet name="SMS" sheetId="7" r:id="rId2"/>
    <sheet name="PRIMARY" sheetId="11" r:id="rId3"/>
    <sheet name="Hoja1" sheetId="22" r:id="rId4"/>
    <sheet name="EXTRACTION_FORM" sheetId="21" r:id="rId5"/>
    <sheet name="param" sheetId="1" r:id="rId6"/>
    <sheet name="Year" sheetId="8" r:id="rId7"/>
    <sheet name="Country" sheetId="10" r:id="rId8"/>
    <sheet name="Authors" sheetId="9" r:id="rId9"/>
    <sheet name="Type" sheetId="12" r:id="rId10"/>
    <sheet name="Source Artifacts" sheetId="13" r:id="rId11"/>
    <sheet name="Techniques" sheetId="14" r:id="rId12"/>
    <sheet name="EA Concern" sheetId="15" r:id="rId13"/>
    <sheet name="EA Framework" sheetId="16" r:id="rId14"/>
    <sheet name="Modelling Language" sheetId="17" r:id="rId15"/>
    <sheet name="applicability" sheetId="18" r:id="rId16"/>
    <sheet name="Quality" sheetId="19" r:id="rId17"/>
    <sheet name="Bubble" sheetId="20" r:id="rId18"/>
  </sheets>
  <definedNames>
    <definedName name="_xlchart.v5.0" hidden="1">Country!$A$1</definedName>
    <definedName name="_xlchart.v5.1" hidden="1">Country!$A$1:$A$23</definedName>
    <definedName name="_xlchart.v5.2" hidden="1">Country!$A$1:$A$24</definedName>
    <definedName name="_xlchart.v5.3" hidden="1">Country!$A$2:$A$23</definedName>
    <definedName name="_xlchart.v5.4" hidden="1">Country!$B$1</definedName>
    <definedName name="_xlchart.v5.5" hidden="1">Country!$B$1:$B$23</definedName>
    <definedName name="_xlchart.v5.6" hidden="1">Country!$B$1:$B$24</definedName>
    <definedName name="_xlchart.v5.7" hidden="1">Country!$B$2:$B$23</definedName>
    <definedName name="DatosExternos_1" localSheetId="0" hidden="1">'Primary Selection'!$B$2:$J$238</definedName>
    <definedName name="DatosExternos_1" localSheetId="1" hidden="1">SMS!$C$1:$P$731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 i="22" l="1"/>
  <c r="D6" i="22"/>
  <c r="D7" i="22"/>
  <c r="D4" i="22"/>
  <c r="AA47" i="11" l="1"/>
  <c r="AD47" i="11"/>
  <c r="AE47" i="11"/>
  <c r="AF47" i="11"/>
  <c r="AG47" i="11"/>
  <c r="AH47" i="11"/>
  <c r="AI47" i="11"/>
  <c r="AJ47" i="11"/>
  <c r="AK47" i="11"/>
  <c r="AL47" i="11"/>
  <c r="AM47" i="11"/>
  <c r="AN47" i="11"/>
  <c r="AO47" i="11"/>
  <c r="AP47" i="11"/>
  <c r="AQ47" i="11"/>
  <c r="AR47" i="11"/>
  <c r="AS47" i="11"/>
  <c r="AT47" i="11"/>
  <c r="AU47" i="11"/>
  <c r="AV47" i="11"/>
  <c r="AW47" i="11"/>
  <c r="AX47" i="11"/>
  <c r="AY47" i="11"/>
  <c r="AZ47" i="11"/>
  <c r="BA47" i="11"/>
  <c r="BB47" i="11"/>
  <c r="BC47" i="11"/>
  <c r="BD47" i="11"/>
  <c r="BE47" i="11"/>
  <c r="BF47" i="11"/>
  <c r="BG47" i="11"/>
  <c r="BH47" i="11"/>
  <c r="BI47" i="11"/>
  <c r="BJ47" i="11"/>
  <c r="BK47" i="11"/>
  <c r="BL47" i="11"/>
  <c r="BM47" i="11"/>
  <c r="BN47" i="11"/>
  <c r="BO47" i="11"/>
  <c r="BP47" i="11"/>
  <c r="BQ47" i="11"/>
  <c r="BS47" i="11"/>
  <c r="BT47" i="11"/>
  <c r="BU47" i="11"/>
  <c r="BV47" i="11"/>
  <c r="BW47" i="11"/>
  <c r="D19" i="8"/>
  <c r="C19" i="8"/>
  <c r="B19" i="8"/>
  <c r="AA46" i="11"/>
  <c r="AD46" i="11"/>
  <c r="AE46" i="11"/>
  <c r="AF46" i="11"/>
  <c r="AG46" i="11"/>
  <c r="AH46" i="11"/>
  <c r="AI46" i="11"/>
  <c r="AJ46" i="11"/>
  <c r="AK46" i="11"/>
  <c r="AL46" i="11"/>
  <c r="AM46" i="11"/>
  <c r="AN46" i="11"/>
  <c r="AO46" i="11"/>
  <c r="AP46" i="11"/>
  <c r="AQ46" i="11"/>
  <c r="AR46" i="11"/>
  <c r="AS46" i="11"/>
  <c r="AT46" i="11"/>
  <c r="AU46" i="11"/>
  <c r="AV46" i="11"/>
  <c r="AW46" i="11"/>
  <c r="AX46" i="11"/>
  <c r="AY46" i="11"/>
  <c r="AZ46" i="11"/>
  <c r="BA46" i="11"/>
  <c r="BB46" i="11"/>
  <c r="BC46" i="11"/>
  <c r="BD46" i="11"/>
  <c r="BE46" i="11"/>
  <c r="BF46" i="11"/>
  <c r="BG46" i="11"/>
  <c r="BH46" i="11"/>
  <c r="BI46" i="11"/>
  <c r="BJ46" i="11"/>
  <c r="BK46" i="11"/>
  <c r="BL46" i="11"/>
  <c r="BM46" i="11"/>
  <c r="BN46" i="11"/>
  <c r="BO46" i="11"/>
  <c r="BP46" i="11"/>
  <c r="BQ46" i="11"/>
  <c r="BS46" i="11"/>
  <c r="BT46" i="11"/>
  <c r="BU46" i="11"/>
  <c r="BV46" i="11"/>
  <c r="BW46" i="11"/>
  <c r="AA43" i="11"/>
  <c r="AA44" i="11"/>
  <c r="AA45" i="11"/>
  <c r="AD45" i="11"/>
  <c r="AE45" i="11"/>
  <c r="AF45" i="11"/>
  <c r="AG45" i="11"/>
  <c r="AI45" i="11"/>
  <c r="AJ45" i="11"/>
  <c r="AK45" i="11"/>
  <c r="AL45" i="11"/>
  <c r="AM45" i="11"/>
  <c r="AN45" i="11"/>
  <c r="AO45" i="11"/>
  <c r="AP45" i="11"/>
  <c r="AQ45" i="11"/>
  <c r="AR45" i="11"/>
  <c r="AS45" i="11"/>
  <c r="AT45" i="11"/>
  <c r="AU45" i="11"/>
  <c r="AV45" i="11"/>
  <c r="AW45" i="11"/>
  <c r="AX45" i="11"/>
  <c r="AY45" i="11"/>
  <c r="AZ45" i="11"/>
  <c r="BA45" i="11"/>
  <c r="BB45" i="11"/>
  <c r="BC45" i="11"/>
  <c r="BD45" i="11"/>
  <c r="BE45" i="11"/>
  <c r="BF45" i="11"/>
  <c r="BG45" i="11"/>
  <c r="BH45" i="11"/>
  <c r="BI45" i="11"/>
  <c r="BJ45" i="11"/>
  <c r="BK45" i="11"/>
  <c r="BL45" i="11"/>
  <c r="BM45" i="11"/>
  <c r="BN45" i="11"/>
  <c r="BO45" i="11"/>
  <c r="BP45" i="11"/>
  <c r="BQ45" i="11"/>
  <c r="BS45" i="11"/>
  <c r="BT45" i="11"/>
  <c r="BU45" i="11"/>
  <c r="BV45" i="11"/>
  <c r="BW45" i="11"/>
  <c r="AD44" i="11"/>
  <c r="AE44" i="11"/>
  <c r="AF44" i="11"/>
  <c r="AG44" i="11"/>
  <c r="AH44" i="11"/>
  <c r="AI44" i="11"/>
  <c r="AJ44" i="11"/>
  <c r="AK44" i="11"/>
  <c r="AL44" i="11"/>
  <c r="AM44" i="11"/>
  <c r="AN44" i="11"/>
  <c r="AO44" i="11"/>
  <c r="AP44" i="11"/>
  <c r="AQ44" i="11"/>
  <c r="AR44" i="11"/>
  <c r="AS44" i="11"/>
  <c r="AT44" i="11"/>
  <c r="AU44" i="11"/>
  <c r="AV44" i="11"/>
  <c r="AW44" i="11"/>
  <c r="AX44" i="11"/>
  <c r="AY44" i="11"/>
  <c r="AZ44" i="11"/>
  <c r="BA44" i="11"/>
  <c r="BB44" i="11"/>
  <c r="BC44" i="11"/>
  <c r="BD44" i="11"/>
  <c r="BE44" i="11"/>
  <c r="BF44" i="11"/>
  <c r="BG44" i="11"/>
  <c r="BH44" i="11"/>
  <c r="BI44" i="11"/>
  <c r="BJ44" i="11"/>
  <c r="BK44" i="11"/>
  <c r="BL44" i="11"/>
  <c r="BM44" i="11"/>
  <c r="BN44" i="11"/>
  <c r="BO44" i="11"/>
  <c r="BP44" i="11"/>
  <c r="BQ44" i="11"/>
  <c r="BT44" i="11"/>
  <c r="BU44" i="11"/>
  <c r="BV44" i="11"/>
  <c r="BW44" i="11"/>
  <c r="AD43" i="11"/>
  <c r="AE43" i="11"/>
  <c r="AF43" i="11"/>
  <c r="AG43" i="11"/>
  <c r="AH43" i="11"/>
  <c r="AI43" i="11"/>
  <c r="AJ43" i="11"/>
  <c r="AK43" i="11"/>
  <c r="AL43" i="11"/>
  <c r="AM43" i="11"/>
  <c r="AN43" i="11"/>
  <c r="AO43" i="11"/>
  <c r="AP43" i="11"/>
  <c r="AQ43" i="11"/>
  <c r="AR43" i="11"/>
  <c r="AS43" i="11"/>
  <c r="AT43" i="11"/>
  <c r="AU43" i="11"/>
  <c r="AV43" i="11"/>
  <c r="AW43" i="11"/>
  <c r="AX43" i="11"/>
  <c r="AY43" i="11"/>
  <c r="AZ43" i="11"/>
  <c r="BA43" i="11"/>
  <c r="BB43" i="11"/>
  <c r="BC43" i="11"/>
  <c r="BD43" i="11"/>
  <c r="BE43" i="11"/>
  <c r="BF43" i="11"/>
  <c r="BG43" i="11"/>
  <c r="BH43" i="11"/>
  <c r="BI43" i="11"/>
  <c r="BJ43" i="11"/>
  <c r="BK43" i="11"/>
  <c r="BL43" i="11"/>
  <c r="BM43" i="11"/>
  <c r="BN43" i="11"/>
  <c r="BO43" i="11"/>
  <c r="BP43" i="11"/>
  <c r="BQ43" i="11"/>
  <c r="BS43" i="11"/>
  <c r="BT43" i="11"/>
  <c r="BU43" i="11"/>
  <c r="BV43" i="11"/>
  <c r="BW43" i="11"/>
  <c r="E19" i="8" l="1"/>
  <c r="F19" i="8"/>
  <c r="F9" i="19"/>
  <c r="K7" i="19" s="1"/>
  <c r="E9" i="19"/>
  <c r="K6" i="19" s="1"/>
  <c r="D9" i="19"/>
  <c r="K5" i="19" s="1"/>
  <c r="C9" i="19"/>
  <c r="K4" i="19" s="1"/>
  <c r="F10" i="19"/>
  <c r="L7" i="19" s="1"/>
  <c r="E10" i="19"/>
  <c r="L6" i="19" s="1"/>
  <c r="D10" i="19"/>
  <c r="L5" i="19" s="1"/>
  <c r="C10" i="19"/>
  <c r="L4" i="19" s="1"/>
  <c r="B10" i="19"/>
  <c r="L3" i="19" s="1"/>
  <c r="B9" i="19"/>
  <c r="K3" i="19" s="1"/>
  <c r="F8" i="19" l="1"/>
  <c r="N7" i="19" s="1"/>
  <c r="E8" i="19"/>
  <c r="N6" i="19" s="1"/>
  <c r="D8" i="19"/>
  <c r="N5" i="19" s="1"/>
  <c r="C8" i="19"/>
  <c r="N4" i="19" s="1"/>
  <c r="B8" i="19"/>
  <c r="N3" i="19" s="1"/>
  <c r="F7" i="19"/>
  <c r="M7" i="19" s="1"/>
  <c r="C7" i="19"/>
  <c r="M4" i="19" s="1"/>
  <c r="D7" i="19"/>
  <c r="M5" i="19" s="1"/>
  <c r="E7" i="19"/>
  <c r="M6" i="19" s="1"/>
  <c r="B7" i="19"/>
  <c r="M3" i="19" s="1"/>
  <c r="C32" i="12" l="1"/>
  <c r="C33" i="12"/>
  <c r="C34" i="12"/>
  <c r="B3" i="19"/>
  <c r="C3" i="19"/>
  <c r="D3" i="19"/>
  <c r="E3" i="19"/>
  <c r="F3" i="19"/>
  <c r="B4" i="19"/>
  <c r="C4" i="19"/>
  <c r="D4" i="19"/>
  <c r="E4" i="19"/>
  <c r="F4" i="19"/>
  <c r="B5" i="19"/>
  <c r="C5" i="19"/>
  <c r="D5" i="19"/>
  <c r="E5" i="19"/>
  <c r="F5" i="19"/>
  <c r="B6" i="19"/>
  <c r="C6" i="19"/>
  <c r="D6" i="19"/>
  <c r="E6" i="19"/>
  <c r="F6" i="19"/>
  <c r="F2" i="19"/>
  <c r="E2" i="19"/>
  <c r="D2" i="19"/>
  <c r="C2" i="19"/>
  <c r="B2" i="19"/>
  <c r="AA38" i="11"/>
  <c r="AA12" i="11"/>
  <c r="AA6" i="11"/>
  <c r="AA17" i="11"/>
  <c r="AA7" i="11"/>
  <c r="AA13" i="11"/>
  <c r="AA16" i="11"/>
  <c r="AA37" i="11"/>
  <c r="AA4" i="11"/>
  <c r="AA11" i="11"/>
  <c r="AA36" i="11"/>
  <c r="AA20" i="11"/>
  <c r="AA14" i="11"/>
  <c r="AA3" i="11"/>
  <c r="AA18" i="11"/>
  <c r="AA21" i="11"/>
  <c r="AA5" i="11"/>
  <c r="AA26" i="11"/>
  <c r="AA39" i="11"/>
  <c r="AA35" i="11"/>
  <c r="AA27" i="11"/>
  <c r="AA30" i="11"/>
  <c r="AA8" i="11"/>
  <c r="AA25" i="11"/>
  <c r="AA22" i="11"/>
  <c r="AA41" i="11"/>
  <c r="AA40" i="11"/>
  <c r="AA15" i="11"/>
  <c r="AA29" i="11"/>
  <c r="AA10" i="11"/>
  <c r="AA28" i="11"/>
  <c r="AA24" i="11"/>
  <c r="AA34" i="11"/>
  <c r="AA31" i="11"/>
  <c r="AA33" i="11"/>
  <c r="AA9" i="11"/>
  <c r="AA42" i="11"/>
  <c r="AA23" i="11"/>
  <c r="AA19" i="11"/>
  <c r="AA32" i="11"/>
  <c r="G9" i="19" l="1"/>
  <c r="K8" i="19" s="1"/>
  <c r="G10" i="19"/>
  <c r="L8" i="19" s="1"/>
  <c r="G8" i="19"/>
  <c r="N8" i="19" s="1"/>
  <c r="G7" i="19"/>
  <c r="M8" i="19" s="1"/>
  <c r="G2" i="19"/>
  <c r="G5" i="19"/>
  <c r="G6" i="19"/>
  <c r="G4" i="19"/>
  <c r="G3" i="19"/>
  <c r="BW3" i="11"/>
  <c r="BW4" i="11"/>
  <c r="BW5" i="11"/>
  <c r="BW6" i="11"/>
  <c r="BW8" i="11"/>
  <c r="BW12" i="11"/>
  <c r="BW7" i="11"/>
  <c r="BW16" i="11"/>
  <c r="BW14" i="11"/>
  <c r="BW10" i="11"/>
  <c r="BW17" i="11"/>
  <c r="BW11" i="11"/>
  <c r="BW19" i="11"/>
  <c r="BW13" i="11"/>
  <c r="BW22" i="11"/>
  <c r="BW24" i="11"/>
  <c r="BW9" i="11"/>
  <c r="BW25" i="11"/>
  <c r="BW20" i="11"/>
  <c r="BW18" i="11"/>
  <c r="BW21" i="11"/>
  <c r="BW26" i="11"/>
  <c r="BW27" i="11"/>
  <c r="BW29" i="11"/>
  <c r="BW38" i="11"/>
  <c r="BW37" i="11"/>
  <c r="BW36" i="11"/>
  <c r="BW39" i="11"/>
  <c r="BW35" i="11"/>
  <c r="BW30" i="11"/>
  <c r="BW41" i="11"/>
  <c r="BW40" i="11"/>
  <c r="BW15" i="11"/>
  <c r="BW28" i="11"/>
  <c r="BW34" i="11"/>
  <c r="BW31" i="11"/>
  <c r="BW33" i="11"/>
  <c r="BW42" i="11"/>
  <c r="BW23" i="11"/>
  <c r="BW32" i="11"/>
  <c r="BV4" i="11"/>
  <c r="BV5" i="11"/>
  <c r="BV6" i="11"/>
  <c r="BV8" i="11"/>
  <c r="BV12" i="11"/>
  <c r="BV7" i="11"/>
  <c r="BV16" i="11"/>
  <c r="BV14" i="11"/>
  <c r="BV10" i="11"/>
  <c r="BV17" i="11"/>
  <c r="BV11" i="11"/>
  <c r="BV19" i="11"/>
  <c r="BV13" i="11"/>
  <c r="BV22" i="11"/>
  <c r="BV24" i="11"/>
  <c r="BV9" i="11"/>
  <c r="BV25" i="11"/>
  <c r="BV20" i="11"/>
  <c r="BV18" i="11"/>
  <c r="BV21" i="11"/>
  <c r="BV26" i="11"/>
  <c r="BV27" i="11"/>
  <c r="BV29" i="11"/>
  <c r="BV38" i="11"/>
  <c r="BV37" i="11"/>
  <c r="BV36" i="11"/>
  <c r="BV39" i="11"/>
  <c r="BV35" i="11"/>
  <c r="BV30" i="11"/>
  <c r="BV41" i="11"/>
  <c r="BV40" i="11"/>
  <c r="BV15" i="11"/>
  <c r="BV28" i="11"/>
  <c r="BV34" i="11"/>
  <c r="BV31" i="11"/>
  <c r="BV33" i="11"/>
  <c r="BV42" i="11"/>
  <c r="BV23" i="11"/>
  <c r="BV32" i="11"/>
  <c r="BV3" i="11"/>
  <c r="BU4" i="11"/>
  <c r="BU5" i="11"/>
  <c r="BU6" i="11"/>
  <c r="BU8" i="11"/>
  <c r="BU12" i="11"/>
  <c r="BU7" i="11"/>
  <c r="BU16" i="11"/>
  <c r="BU14" i="11"/>
  <c r="BU10" i="11"/>
  <c r="BU17" i="11"/>
  <c r="BU11" i="11"/>
  <c r="BU19" i="11"/>
  <c r="BU13" i="11"/>
  <c r="BU22" i="11"/>
  <c r="BU24" i="11"/>
  <c r="BU9" i="11"/>
  <c r="BU25" i="11"/>
  <c r="BU20" i="11"/>
  <c r="BU18" i="11"/>
  <c r="BU21" i="11"/>
  <c r="BU26" i="11"/>
  <c r="BU27" i="11"/>
  <c r="BU29" i="11"/>
  <c r="BU38" i="11"/>
  <c r="BU37" i="11"/>
  <c r="BU36" i="11"/>
  <c r="BU39" i="11"/>
  <c r="BU35" i="11"/>
  <c r="BU30" i="11"/>
  <c r="BU41" i="11"/>
  <c r="BU40" i="11"/>
  <c r="BU15" i="11"/>
  <c r="BU28" i="11"/>
  <c r="BU34" i="11"/>
  <c r="BU31" i="11"/>
  <c r="BU33" i="11"/>
  <c r="BU42" i="11"/>
  <c r="BU23" i="11"/>
  <c r="BU32" i="11"/>
  <c r="BU3" i="11"/>
  <c r="BT4" i="11"/>
  <c r="BT5" i="11"/>
  <c r="BT6" i="11"/>
  <c r="BT8" i="11"/>
  <c r="BT12" i="11"/>
  <c r="BT7" i="11"/>
  <c r="BT16" i="11"/>
  <c r="BT14" i="11"/>
  <c r="BT10" i="11"/>
  <c r="BT17" i="11"/>
  <c r="BT11" i="11"/>
  <c r="BT19" i="11"/>
  <c r="BT13" i="11"/>
  <c r="BT22" i="11"/>
  <c r="BT24" i="11"/>
  <c r="BT9" i="11"/>
  <c r="BT25" i="11"/>
  <c r="BT20" i="11"/>
  <c r="BT18" i="11"/>
  <c r="BT21" i="11"/>
  <c r="BT26" i="11"/>
  <c r="BT27" i="11"/>
  <c r="BT29" i="11"/>
  <c r="BT38" i="11"/>
  <c r="BT37" i="11"/>
  <c r="BT36" i="11"/>
  <c r="BT39" i="11"/>
  <c r="BT35" i="11"/>
  <c r="BT30" i="11"/>
  <c r="BT41" i="11"/>
  <c r="BT40" i="11"/>
  <c r="BT15" i="11"/>
  <c r="BT28" i="11"/>
  <c r="BT34" i="11"/>
  <c r="BT31" i="11"/>
  <c r="BT33" i="11"/>
  <c r="BT42" i="11"/>
  <c r="BT23" i="11"/>
  <c r="BT32" i="11"/>
  <c r="BT3" i="11"/>
  <c r="BS3" i="11"/>
  <c r="BS4" i="11"/>
  <c r="BS5" i="11"/>
  <c r="BS6" i="11"/>
  <c r="BS8" i="11"/>
  <c r="BS12" i="11"/>
  <c r="BS7" i="11"/>
  <c r="BS16" i="11"/>
  <c r="BS14" i="11"/>
  <c r="BS10" i="11"/>
  <c r="BS17" i="11"/>
  <c r="BS11" i="11"/>
  <c r="BS19" i="11"/>
  <c r="BS13" i="11"/>
  <c r="BS22" i="11"/>
  <c r="BS24" i="11"/>
  <c r="BS9" i="11"/>
  <c r="BS25" i="11"/>
  <c r="BS20" i="11"/>
  <c r="BS18" i="11"/>
  <c r="BS21" i="11"/>
  <c r="BS26" i="11"/>
  <c r="BS27" i="11"/>
  <c r="BS29" i="11"/>
  <c r="BS38" i="11"/>
  <c r="BS37" i="11"/>
  <c r="BS36" i="11"/>
  <c r="BS39" i="11"/>
  <c r="BS35" i="11"/>
  <c r="BS30" i="11"/>
  <c r="BS41" i="11"/>
  <c r="BS40" i="11"/>
  <c r="BS15" i="11"/>
  <c r="BS28" i="11"/>
  <c r="BS34" i="11"/>
  <c r="BS31" i="11"/>
  <c r="BS33" i="11"/>
  <c r="BS42" i="11"/>
  <c r="BS23" i="11"/>
  <c r="BS32" i="11"/>
  <c r="BM4" i="11"/>
  <c r="BM5" i="11"/>
  <c r="BM6" i="11"/>
  <c r="BM8" i="11"/>
  <c r="BM12" i="11"/>
  <c r="BM7" i="11"/>
  <c r="BM16" i="11"/>
  <c r="BM14" i="11"/>
  <c r="BM10" i="11"/>
  <c r="BM17" i="11"/>
  <c r="BM11" i="11"/>
  <c r="BM19" i="11"/>
  <c r="BM13" i="11"/>
  <c r="BM22" i="11"/>
  <c r="BM24" i="11"/>
  <c r="BM9" i="11"/>
  <c r="BM25" i="11"/>
  <c r="BM20" i="11"/>
  <c r="BM18" i="11"/>
  <c r="BM21" i="11"/>
  <c r="BM26" i="11"/>
  <c r="BM27" i="11"/>
  <c r="BM29" i="11"/>
  <c r="BM38" i="11"/>
  <c r="BM37" i="11"/>
  <c r="BM36" i="11"/>
  <c r="BM39" i="11"/>
  <c r="BM35" i="11"/>
  <c r="BM30" i="11"/>
  <c r="BM41" i="11"/>
  <c r="BM40" i="11"/>
  <c r="BM15" i="11"/>
  <c r="BM28" i="11"/>
  <c r="BM34" i="11"/>
  <c r="BM31" i="11"/>
  <c r="BM33" i="11"/>
  <c r="BM42" i="11"/>
  <c r="BM23" i="11"/>
  <c r="BM32" i="11"/>
  <c r="BN4" i="11"/>
  <c r="BN5" i="11"/>
  <c r="BN6" i="11"/>
  <c r="BN8" i="11"/>
  <c r="BN12" i="11"/>
  <c r="BN7" i="11"/>
  <c r="BN16" i="11"/>
  <c r="BN14" i="11"/>
  <c r="BN10" i="11"/>
  <c r="BN17" i="11"/>
  <c r="BN11" i="11"/>
  <c r="BN19" i="11"/>
  <c r="BN13" i="11"/>
  <c r="BN22" i="11"/>
  <c r="BN24" i="11"/>
  <c r="BN9" i="11"/>
  <c r="BN25" i="11"/>
  <c r="BN20" i="11"/>
  <c r="BN18" i="11"/>
  <c r="BN21" i="11"/>
  <c r="BN26" i="11"/>
  <c r="BN27" i="11"/>
  <c r="BN29" i="11"/>
  <c r="BN38" i="11"/>
  <c r="BN37" i="11"/>
  <c r="BN36" i="11"/>
  <c r="BN39" i="11"/>
  <c r="BN35" i="11"/>
  <c r="BN30" i="11"/>
  <c r="BN41" i="11"/>
  <c r="BN40" i="11"/>
  <c r="BN15" i="11"/>
  <c r="BN28" i="11"/>
  <c r="BN34" i="11"/>
  <c r="BN31" i="11"/>
  <c r="BN33" i="11"/>
  <c r="BN42" i="11"/>
  <c r="BN23" i="11"/>
  <c r="BN32" i="11"/>
  <c r="BO4" i="11"/>
  <c r="BO5" i="11"/>
  <c r="BO6" i="11"/>
  <c r="BO8" i="11"/>
  <c r="BO12" i="11"/>
  <c r="BO7" i="11"/>
  <c r="BO16" i="11"/>
  <c r="BO14" i="11"/>
  <c r="BO10" i="11"/>
  <c r="BO17" i="11"/>
  <c r="BO11" i="11"/>
  <c r="BO19" i="11"/>
  <c r="BO13" i="11"/>
  <c r="BO22" i="11"/>
  <c r="BO24" i="11"/>
  <c r="BO9" i="11"/>
  <c r="BO25" i="11"/>
  <c r="BO20" i="11"/>
  <c r="BO18" i="11"/>
  <c r="BO21" i="11"/>
  <c r="BO26" i="11"/>
  <c r="BO27" i="11"/>
  <c r="BO29" i="11"/>
  <c r="BO38" i="11"/>
  <c r="BO37" i="11"/>
  <c r="BO36" i="11"/>
  <c r="BO39" i="11"/>
  <c r="BO35" i="11"/>
  <c r="BO30" i="11"/>
  <c r="BO41" i="11"/>
  <c r="BO40" i="11"/>
  <c r="BO15" i="11"/>
  <c r="BO28" i="11"/>
  <c r="BO34" i="11"/>
  <c r="BO31" i="11"/>
  <c r="BO33" i="11"/>
  <c r="BO42" i="11"/>
  <c r="BO23" i="11"/>
  <c r="BO32" i="11"/>
  <c r="BP4" i="11"/>
  <c r="BP5" i="11"/>
  <c r="BP6" i="11"/>
  <c r="BP8" i="11"/>
  <c r="BP12" i="11"/>
  <c r="BP7" i="11"/>
  <c r="BP16" i="11"/>
  <c r="BP14" i="11"/>
  <c r="BP10" i="11"/>
  <c r="BP17" i="11"/>
  <c r="BP11" i="11"/>
  <c r="BP19" i="11"/>
  <c r="BP13" i="11"/>
  <c r="BP22" i="11"/>
  <c r="BP24" i="11"/>
  <c r="BP9" i="11"/>
  <c r="BP25" i="11"/>
  <c r="BP20" i="11"/>
  <c r="BP18" i="11"/>
  <c r="BP21" i="11"/>
  <c r="BP26" i="11"/>
  <c r="BP27" i="11"/>
  <c r="BP29" i="11"/>
  <c r="BP38" i="11"/>
  <c r="BP37" i="11"/>
  <c r="BP36" i="11"/>
  <c r="BP39" i="11"/>
  <c r="BP35" i="11"/>
  <c r="BP30" i="11"/>
  <c r="BP41" i="11"/>
  <c r="BP40" i="11"/>
  <c r="BP15" i="11"/>
  <c r="BP28" i="11"/>
  <c r="BP34" i="11"/>
  <c r="BP31" i="11"/>
  <c r="BP33" i="11"/>
  <c r="BP42" i="11"/>
  <c r="BP23" i="11"/>
  <c r="BP32" i="11"/>
  <c r="BQ4" i="11"/>
  <c r="BQ5" i="11"/>
  <c r="BQ6" i="11"/>
  <c r="BQ8" i="11"/>
  <c r="BQ12" i="11"/>
  <c r="BQ7" i="11"/>
  <c r="BQ16" i="11"/>
  <c r="BQ14" i="11"/>
  <c r="BQ10" i="11"/>
  <c r="BQ17" i="11"/>
  <c r="BQ11" i="11"/>
  <c r="BQ19" i="11"/>
  <c r="BQ13" i="11"/>
  <c r="BQ22" i="11"/>
  <c r="BQ24" i="11"/>
  <c r="BQ9" i="11"/>
  <c r="BQ25" i="11"/>
  <c r="BQ20" i="11"/>
  <c r="BQ18" i="11"/>
  <c r="BQ21" i="11"/>
  <c r="BQ26" i="11"/>
  <c r="BQ27" i="11"/>
  <c r="BQ29" i="11"/>
  <c r="BQ38" i="11"/>
  <c r="BQ37" i="11"/>
  <c r="BQ36" i="11"/>
  <c r="BQ39" i="11"/>
  <c r="BQ35" i="11"/>
  <c r="BQ30" i="11"/>
  <c r="BQ41" i="11"/>
  <c r="BQ40" i="11"/>
  <c r="BQ15" i="11"/>
  <c r="BQ28" i="11"/>
  <c r="BQ34" i="11"/>
  <c r="BQ31" i="11"/>
  <c r="BQ33" i="11"/>
  <c r="BQ42" i="11"/>
  <c r="BQ23" i="11"/>
  <c r="BQ32" i="11"/>
  <c r="BQ3" i="11"/>
  <c r="BP3" i="11"/>
  <c r="BO3" i="11"/>
  <c r="BN3" i="11"/>
  <c r="BM3" i="11"/>
  <c r="BL4" i="11"/>
  <c r="BL5" i="11"/>
  <c r="BL6" i="11"/>
  <c r="BL8" i="11"/>
  <c r="BL12" i="11"/>
  <c r="BL7" i="11"/>
  <c r="BL16" i="11"/>
  <c r="BL14" i="11"/>
  <c r="BL10" i="11"/>
  <c r="BL17" i="11"/>
  <c r="BL11" i="11"/>
  <c r="BL19" i="11"/>
  <c r="BL13" i="11"/>
  <c r="BL22" i="11"/>
  <c r="BL24" i="11"/>
  <c r="BL9" i="11"/>
  <c r="BL25" i="11"/>
  <c r="BL20" i="11"/>
  <c r="BL18" i="11"/>
  <c r="BL21" i="11"/>
  <c r="BL26" i="11"/>
  <c r="BL27" i="11"/>
  <c r="BL29" i="11"/>
  <c r="BL38" i="11"/>
  <c r="BL37" i="11"/>
  <c r="BL36" i="11"/>
  <c r="BL39" i="11"/>
  <c r="BL35" i="11"/>
  <c r="BL30" i="11"/>
  <c r="BL41" i="11"/>
  <c r="BL40" i="11"/>
  <c r="BL15" i="11"/>
  <c r="BL28" i="11"/>
  <c r="BL34" i="11"/>
  <c r="BL31" i="11"/>
  <c r="BL33" i="11"/>
  <c r="BL42" i="11"/>
  <c r="BL23" i="11"/>
  <c r="BL32" i="11"/>
  <c r="BL3" i="11"/>
  <c r="BK4" i="11"/>
  <c r="BK5" i="11"/>
  <c r="BK6" i="11"/>
  <c r="BK8" i="11"/>
  <c r="BK12" i="11"/>
  <c r="BK7" i="11"/>
  <c r="BK16" i="11"/>
  <c r="BK14" i="11"/>
  <c r="BK10" i="11"/>
  <c r="BK17" i="11"/>
  <c r="BK11" i="11"/>
  <c r="BK19" i="11"/>
  <c r="BK13" i="11"/>
  <c r="BK22" i="11"/>
  <c r="BK24" i="11"/>
  <c r="BK9" i="11"/>
  <c r="BK25" i="11"/>
  <c r="BK20" i="11"/>
  <c r="BK18" i="11"/>
  <c r="BK21" i="11"/>
  <c r="BK26" i="11"/>
  <c r="BK27" i="11"/>
  <c r="BK29" i="11"/>
  <c r="BK38" i="11"/>
  <c r="BK37" i="11"/>
  <c r="BK36" i="11"/>
  <c r="BK39" i="11"/>
  <c r="BK35" i="11"/>
  <c r="BK30" i="11"/>
  <c r="BK41" i="11"/>
  <c r="BK40" i="11"/>
  <c r="BK15" i="11"/>
  <c r="BK28" i="11"/>
  <c r="BK34" i="11"/>
  <c r="BK31" i="11"/>
  <c r="BK33" i="11"/>
  <c r="BK42" i="11"/>
  <c r="BK23" i="11"/>
  <c r="BK32" i="11"/>
  <c r="BK3" i="11"/>
  <c r="BJ4" i="11"/>
  <c r="BJ5" i="11"/>
  <c r="BJ6" i="11"/>
  <c r="BJ8" i="11"/>
  <c r="BJ12" i="11"/>
  <c r="BJ7" i="11"/>
  <c r="BJ16" i="11"/>
  <c r="BJ14" i="11"/>
  <c r="BJ10" i="11"/>
  <c r="BJ17" i="11"/>
  <c r="BJ11" i="11"/>
  <c r="BJ19" i="11"/>
  <c r="BJ13" i="11"/>
  <c r="BJ22" i="11"/>
  <c r="BJ24" i="11"/>
  <c r="BJ9" i="11"/>
  <c r="BJ25" i="11"/>
  <c r="BJ20" i="11"/>
  <c r="BJ18" i="11"/>
  <c r="BJ21" i="11"/>
  <c r="BJ26" i="11"/>
  <c r="BJ27" i="11"/>
  <c r="BJ29" i="11"/>
  <c r="BJ38" i="11"/>
  <c r="BJ37" i="11"/>
  <c r="BJ36" i="11"/>
  <c r="BJ39" i="11"/>
  <c r="BJ35" i="11"/>
  <c r="BJ30" i="11"/>
  <c r="BJ41" i="11"/>
  <c r="BJ40" i="11"/>
  <c r="BJ15" i="11"/>
  <c r="BJ28" i="11"/>
  <c r="BJ34" i="11"/>
  <c r="BJ31" i="11"/>
  <c r="BJ33" i="11"/>
  <c r="BJ42" i="11"/>
  <c r="BJ23" i="11"/>
  <c r="BJ32" i="11"/>
  <c r="BJ3" i="11"/>
  <c r="BH4" i="11"/>
  <c r="BH5" i="11"/>
  <c r="BH6" i="11"/>
  <c r="BH8" i="11"/>
  <c r="BH12" i="11"/>
  <c r="BH7" i="11"/>
  <c r="BH16" i="11"/>
  <c r="BH14" i="11"/>
  <c r="BH10" i="11"/>
  <c r="BH17" i="11"/>
  <c r="BH11" i="11"/>
  <c r="BH19" i="11"/>
  <c r="BH13" i="11"/>
  <c r="BH22" i="11"/>
  <c r="BH24" i="11"/>
  <c r="BH9" i="11"/>
  <c r="BH25" i="11"/>
  <c r="BH20" i="11"/>
  <c r="BH18" i="11"/>
  <c r="BH21" i="11"/>
  <c r="BH26" i="11"/>
  <c r="BH27" i="11"/>
  <c r="BH29" i="11"/>
  <c r="BH38" i="11"/>
  <c r="BH37" i="11"/>
  <c r="BH36" i="11"/>
  <c r="BH39" i="11"/>
  <c r="BH35" i="11"/>
  <c r="BH30" i="11"/>
  <c r="BH41" i="11"/>
  <c r="BH40" i="11"/>
  <c r="BH15" i="11"/>
  <c r="BH28" i="11"/>
  <c r="BH34" i="11"/>
  <c r="BH31" i="11"/>
  <c r="BH33" i="11"/>
  <c r="BH42" i="11"/>
  <c r="BH23" i="11"/>
  <c r="BH32" i="11"/>
  <c r="BI4" i="11"/>
  <c r="BI5" i="11"/>
  <c r="BI6" i="11"/>
  <c r="BI8" i="11"/>
  <c r="BI12" i="11"/>
  <c r="BI7" i="11"/>
  <c r="BI16" i="11"/>
  <c r="BI14" i="11"/>
  <c r="BI10" i="11"/>
  <c r="BI17" i="11"/>
  <c r="BI11" i="11"/>
  <c r="BI19" i="11"/>
  <c r="BI13" i="11"/>
  <c r="BI22" i="11"/>
  <c r="BI24" i="11"/>
  <c r="BI9" i="11"/>
  <c r="BI25" i="11"/>
  <c r="BI20" i="11"/>
  <c r="BI18" i="11"/>
  <c r="BI21" i="11"/>
  <c r="BI26" i="11"/>
  <c r="BI27" i="11"/>
  <c r="BI29" i="11"/>
  <c r="BI38" i="11"/>
  <c r="BI37" i="11"/>
  <c r="BI36" i="11"/>
  <c r="BI39" i="11"/>
  <c r="BI35" i="11"/>
  <c r="BI30" i="11"/>
  <c r="BI41" i="11"/>
  <c r="BI40" i="11"/>
  <c r="BI15" i="11"/>
  <c r="BI28" i="11"/>
  <c r="BI34" i="11"/>
  <c r="BI31" i="11"/>
  <c r="BI33" i="11"/>
  <c r="BI42" i="11"/>
  <c r="BI23" i="11"/>
  <c r="BI32" i="11"/>
  <c r="BI3" i="11"/>
  <c r="BH3" i="11"/>
  <c r="BG4" i="11"/>
  <c r="BG5" i="11"/>
  <c r="BG6" i="11"/>
  <c r="BG8" i="11"/>
  <c r="BG12" i="11"/>
  <c r="BG7" i="11"/>
  <c r="BG16" i="11"/>
  <c r="BG14" i="11"/>
  <c r="BG10" i="11"/>
  <c r="BG17" i="11"/>
  <c r="BG11" i="11"/>
  <c r="BG19" i="11"/>
  <c r="BG13" i="11"/>
  <c r="BG22" i="11"/>
  <c r="BG24" i="11"/>
  <c r="BG9" i="11"/>
  <c r="BG25" i="11"/>
  <c r="BG20" i="11"/>
  <c r="BG18" i="11"/>
  <c r="BG21" i="11"/>
  <c r="BG26" i="11"/>
  <c r="BG27" i="11"/>
  <c r="BG29" i="11"/>
  <c r="BG38" i="11"/>
  <c r="BG37" i="11"/>
  <c r="BG36" i="11"/>
  <c r="BG39" i="11"/>
  <c r="BG35" i="11"/>
  <c r="BG30" i="11"/>
  <c r="BG41" i="11"/>
  <c r="BG40" i="11"/>
  <c r="BG15" i="11"/>
  <c r="BG28" i="11"/>
  <c r="BG34" i="11"/>
  <c r="BG31" i="11"/>
  <c r="BG33" i="11"/>
  <c r="BG42" i="11"/>
  <c r="BG23" i="11"/>
  <c r="BG32" i="11"/>
  <c r="BG3" i="11"/>
  <c r="BF4" i="11"/>
  <c r="BF5" i="11"/>
  <c r="BF6" i="11"/>
  <c r="BF8" i="11"/>
  <c r="BF12" i="11"/>
  <c r="BF7" i="11"/>
  <c r="BF16" i="11"/>
  <c r="BF14" i="11"/>
  <c r="BF10" i="11"/>
  <c r="BF17" i="11"/>
  <c r="BF11" i="11"/>
  <c r="BF19" i="11"/>
  <c r="BF13" i="11"/>
  <c r="BF22" i="11"/>
  <c r="BF24" i="11"/>
  <c r="BF9" i="11"/>
  <c r="BF25" i="11"/>
  <c r="BF20" i="11"/>
  <c r="BF18" i="11"/>
  <c r="BF21" i="11"/>
  <c r="BF26" i="11"/>
  <c r="BF27" i="11"/>
  <c r="BF29" i="11"/>
  <c r="BF38" i="11"/>
  <c r="BF37" i="11"/>
  <c r="BF36" i="11"/>
  <c r="BF39" i="11"/>
  <c r="BF35" i="11"/>
  <c r="BF30" i="11"/>
  <c r="BF41" i="11"/>
  <c r="BF40" i="11"/>
  <c r="BF15" i="11"/>
  <c r="BF28" i="11"/>
  <c r="BF34" i="11"/>
  <c r="BF31" i="11"/>
  <c r="BF33" i="11"/>
  <c r="BF42" i="11"/>
  <c r="BF23" i="11"/>
  <c r="BF32" i="11"/>
  <c r="BF3" i="11"/>
  <c r="BE4" i="11"/>
  <c r="BE5" i="11"/>
  <c r="BE6" i="11"/>
  <c r="BE8" i="11"/>
  <c r="BE12" i="11"/>
  <c r="BE7" i="11"/>
  <c r="BE16" i="11"/>
  <c r="BE14" i="11"/>
  <c r="BE10" i="11"/>
  <c r="BE17" i="11"/>
  <c r="BE11" i="11"/>
  <c r="BE19" i="11"/>
  <c r="BE13" i="11"/>
  <c r="BE22" i="11"/>
  <c r="BE24" i="11"/>
  <c r="BE9" i="11"/>
  <c r="BE25" i="11"/>
  <c r="BE20" i="11"/>
  <c r="BE18" i="11"/>
  <c r="BE21" i="11"/>
  <c r="BE26" i="11"/>
  <c r="BE27" i="11"/>
  <c r="BE29" i="11"/>
  <c r="BE38" i="11"/>
  <c r="BE37" i="11"/>
  <c r="BE36" i="11"/>
  <c r="BE39" i="11"/>
  <c r="BE35" i="11"/>
  <c r="BE30" i="11"/>
  <c r="BE41" i="11"/>
  <c r="BE40" i="11"/>
  <c r="BE15" i="11"/>
  <c r="BE28" i="11"/>
  <c r="BE34" i="11"/>
  <c r="BE31" i="11"/>
  <c r="BE33" i="11"/>
  <c r="BE42" i="11"/>
  <c r="BE23" i="11"/>
  <c r="BE32" i="11"/>
  <c r="BE3" i="11"/>
  <c r="BD4" i="11"/>
  <c r="BD5" i="11"/>
  <c r="BD6" i="11"/>
  <c r="BD8" i="11"/>
  <c r="BD12" i="11"/>
  <c r="BD7" i="11"/>
  <c r="BD16" i="11"/>
  <c r="BD14" i="11"/>
  <c r="BD10" i="11"/>
  <c r="BD17" i="11"/>
  <c r="BD11" i="11"/>
  <c r="BD19" i="11"/>
  <c r="BD13" i="11"/>
  <c r="BD22" i="11"/>
  <c r="BD24" i="11"/>
  <c r="BD9" i="11"/>
  <c r="BD25" i="11"/>
  <c r="BD20" i="11"/>
  <c r="BD18" i="11"/>
  <c r="BD21" i="11"/>
  <c r="BD26" i="11"/>
  <c r="BD27" i="11"/>
  <c r="BD29" i="11"/>
  <c r="BD38" i="11"/>
  <c r="BD37" i="11"/>
  <c r="BD36" i="11"/>
  <c r="BD39" i="11"/>
  <c r="BD35" i="11"/>
  <c r="BD30" i="11"/>
  <c r="BD41" i="11"/>
  <c r="BD40" i="11"/>
  <c r="BD15" i="11"/>
  <c r="BD28" i="11"/>
  <c r="BD34" i="11"/>
  <c r="BD31" i="11"/>
  <c r="BD33" i="11"/>
  <c r="BD42" i="11"/>
  <c r="BD23" i="11"/>
  <c r="BD32" i="11"/>
  <c r="BD3" i="11"/>
  <c r="BC4" i="11"/>
  <c r="BC5" i="11"/>
  <c r="BC6" i="11"/>
  <c r="BC8" i="11"/>
  <c r="BC12" i="11"/>
  <c r="BC7" i="11"/>
  <c r="BC16" i="11"/>
  <c r="BC14" i="11"/>
  <c r="BC10" i="11"/>
  <c r="BC17" i="11"/>
  <c r="BC11" i="11"/>
  <c r="BC19" i="11"/>
  <c r="BC13" i="11"/>
  <c r="BC22" i="11"/>
  <c r="BC24" i="11"/>
  <c r="BC9" i="11"/>
  <c r="BC25" i="11"/>
  <c r="BC20" i="11"/>
  <c r="BC18" i="11"/>
  <c r="BC21" i="11"/>
  <c r="BC26" i="11"/>
  <c r="BC27" i="11"/>
  <c r="BC29" i="11"/>
  <c r="BC38" i="11"/>
  <c r="BC37" i="11"/>
  <c r="BC36" i="11"/>
  <c r="BC39" i="11"/>
  <c r="BC35" i="11"/>
  <c r="BC30" i="11"/>
  <c r="BC41" i="11"/>
  <c r="BC40" i="11"/>
  <c r="BC15" i="11"/>
  <c r="BC28" i="11"/>
  <c r="BC34" i="11"/>
  <c r="BC31" i="11"/>
  <c r="BC33" i="11"/>
  <c r="BC42" i="11"/>
  <c r="BC23" i="11"/>
  <c r="BC32" i="11"/>
  <c r="BC3" i="11"/>
  <c r="BB4" i="11"/>
  <c r="BB5" i="11"/>
  <c r="BB6" i="11"/>
  <c r="BB8" i="11"/>
  <c r="BB12" i="11"/>
  <c r="BB7" i="11"/>
  <c r="BB16" i="11"/>
  <c r="BB14" i="11"/>
  <c r="BB10" i="11"/>
  <c r="BB17" i="11"/>
  <c r="BB11" i="11"/>
  <c r="BB19" i="11"/>
  <c r="BB13" i="11"/>
  <c r="BB22" i="11"/>
  <c r="BB24" i="11"/>
  <c r="BB9" i="11"/>
  <c r="BB25" i="11"/>
  <c r="BB20" i="11"/>
  <c r="BB18" i="11"/>
  <c r="BB21" i="11"/>
  <c r="BB26" i="11"/>
  <c r="BB27" i="11"/>
  <c r="BB29" i="11"/>
  <c r="BB38" i="11"/>
  <c r="BB37" i="11"/>
  <c r="BB36" i="11"/>
  <c r="BB39" i="11"/>
  <c r="BB35" i="11"/>
  <c r="BB30" i="11"/>
  <c r="BB41" i="11"/>
  <c r="BB40" i="11"/>
  <c r="BB15" i="11"/>
  <c r="BB28" i="11"/>
  <c r="BB34" i="11"/>
  <c r="BB31" i="11"/>
  <c r="BB33" i="11"/>
  <c r="BB42" i="11"/>
  <c r="BB23" i="11"/>
  <c r="BB32" i="11"/>
  <c r="BB3" i="11"/>
  <c r="BA3" i="11"/>
  <c r="BA4" i="11"/>
  <c r="BA5" i="11"/>
  <c r="BA6" i="11"/>
  <c r="BA8" i="11"/>
  <c r="BA12" i="11"/>
  <c r="BA7" i="11"/>
  <c r="BA16" i="11"/>
  <c r="BA14" i="11"/>
  <c r="BA10" i="11"/>
  <c r="BA17" i="11"/>
  <c r="BA11" i="11"/>
  <c r="BA19" i="11"/>
  <c r="BA13" i="11"/>
  <c r="BA22" i="11"/>
  <c r="BA24" i="11"/>
  <c r="BA9" i="11"/>
  <c r="BA25" i="11"/>
  <c r="BA20" i="11"/>
  <c r="BA18" i="11"/>
  <c r="BA21" i="11"/>
  <c r="BA26" i="11"/>
  <c r="BA27" i="11"/>
  <c r="BA29" i="11"/>
  <c r="BA38" i="11"/>
  <c r="BA37" i="11"/>
  <c r="BA36" i="11"/>
  <c r="BA39" i="11"/>
  <c r="BA35" i="11"/>
  <c r="BA30" i="11"/>
  <c r="BA41" i="11"/>
  <c r="BA40" i="11"/>
  <c r="BA15" i="11"/>
  <c r="BA28" i="11"/>
  <c r="BA34" i="11"/>
  <c r="BA31" i="11"/>
  <c r="BA33" i="11"/>
  <c r="BA42" i="11"/>
  <c r="BA23" i="11"/>
  <c r="BA32" i="11"/>
  <c r="AM3" i="11"/>
  <c r="AN3" i="11"/>
  <c r="AO3" i="11"/>
  <c r="AP3" i="11"/>
  <c r="AQ3" i="11"/>
  <c r="AR3" i="11"/>
  <c r="AS3" i="11"/>
  <c r="AT3" i="11"/>
  <c r="AM4" i="11"/>
  <c r="AN4" i="11"/>
  <c r="AO4" i="11"/>
  <c r="AP4" i="11"/>
  <c r="AQ4" i="11"/>
  <c r="AR4" i="11"/>
  <c r="AS4" i="11"/>
  <c r="AT4" i="11"/>
  <c r="AM5" i="11"/>
  <c r="AN5" i="11"/>
  <c r="AO5" i="11"/>
  <c r="AP5" i="11"/>
  <c r="AQ5" i="11"/>
  <c r="AR5" i="11"/>
  <c r="AS5" i="11"/>
  <c r="AT5" i="11"/>
  <c r="AM6" i="11"/>
  <c r="AN6" i="11"/>
  <c r="AO6" i="11"/>
  <c r="AP6" i="11"/>
  <c r="AQ6" i="11"/>
  <c r="AR6" i="11"/>
  <c r="AS6" i="11"/>
  <c r="AT6" i="11"/>
  <c r="AM8" i="11"/>
  <c r="AN8" i="11"/>
  <c r="AO8" i="11"/>
  <c r="AP8" i="11"/>
  <c r="AQ8" i="11"/>
  <c r="AR8" i="11"/>
  <c r="AS8" i="11"/>
  <c r="AT8" i="11"/>
  <c r="AM12" i="11"/>
  <c r="AN12" i="11"/>
  <c r="AO12" i="11"/>
  <c r="AP12" i="11"/>
  <c r="AQ12" i="11"/>
  <c r="AR12" i="11"/>
  <c r="AS12" i="11"/>
  <c r="AT12" i="11"/>
  <c r="AM7" i="11"/>
  <c r="AN7" i="11"/>
  <c r="AO7" i="11"/>
  <c r="AP7" i="11"/>
  <c r="AQ7" i="11"/>
  <c r="AR7" i="11"/>
  <c r="AS7" i="11"/>
  <c r="AT7" i="11"/>
  <c r="AM16" i="11"/>
  <c r="AN16" i="11"/>
  <c r="AO16" i="11"/>
  <c r="AP16" i="11"/>
  <c r="AQ16" i="11"/>
  <c r="AR16" i="11"/>
  <c r="AS16" i="11"/>
  <c r="AT16" i="11"/>
  <c r="AM14" i="11"/>
  <c r="AN14" i="11"/>
  <c r="AO14" i="11"/>
  <c r="AP14" i="11"/>
  <c r="AQ14" i="11"/>
  <c r="AR14" i="11"/>
  <c r="AS14" i="11"/>
  <c r="AT14" i="11"/>
  <c r="AM10" i="11"/>
  <c r="AN10" i="11"/>
  <c r="AO10" i="11"/>
  <c r="AP10" i="11"/>
  <c r="AQ10" i="11"/>
  <c r="AR10" i="11"/>
  <c r="AS10" i="11"/>
  <c r="AT10" i="11"/>
  <c r="AM17" i="11"/>
  <c r="AN17" i="11"/>
  <c r="AO17" i="11"/>
  <c r="AP17" i="11"/>
  <c r="AQ17" i="11"/>
  <c r="AR17" i="11"/>
  <c r="AS17" i="11"/>
  <c r="AT17" i="11"/>
  <c r="AM11" i="11"/>
  <c r="AN11" i="11"/>
  <c r="AO11" i="11"/>
  <c r="AP11" i="11"/>
  <c r="AQ11" i="11"/>
  <c r="AR11" i="11"/>
  <c r="AS11" i="11"/>
  <c r="AT11" i="11"/>
  <c r="AM19" i="11"/>
  <c r="AN19" i="11"/>
  <c r="AO19" i="11"/>
  <c r="AP19" i="11"/>
  <c r="AQ19" i="11"/>
  <c r="AR19" i="11"/>
  <c r="AS19" i="11"/>
  <c r="AT19" i="11"/>
  <c r="AM13" i="11"/>
  <c r="AN13" i="11"/>
  <c r="AO13" i="11"/>
  <c r="AP13" i="11"/>
  <c r="AQ13" i="11"/>
  <c r="AR13" i="11"/>
  <c r="AS13" i="11"/>
  <c r="AT13" i="11"/>
  <c r="AM22" i="11"/>
  <c r="AN22" i="11"/>
  <c r="AO22" i="11"/>
  <c r="AP22" i="11"/>
  <c r="AQ22" i="11"/>
  <c r="AR22" i="11"/>
  <c r="AS22" i="11"/>
  <c r="AT22" i="11"/>
  <c r="AM24" i="11"/>
  <c r="AN24" i="11"/>
  <c r="AO24" i="11"/>
  <c r="AP24" i="11"/>
  <c r="AQ24" i="11"/>
  <c r="AR24" i="11"/>
  <c r="AS24" i="11"/>
  <c r="AT24" i="11"/>
  <c r="AM9" i="11"/>
  <c r="AN9" i="11"/>
  <c r="AO9" i="11"/>
  <c r="AP9" i="11"/>
  <c r="AQ9" i="11"/>
  <c r="AR9" i="11"/>
  <c r="AS9" i="11"/>
  <c r="AT9" i="11"/>
  <c r="AM25" i="11"/>
  <c r="AN25" i="11"/>
  <c r="AO25" i="11"/>
  <c r="AP25" i="11"/>
  <c r="AQ25" i="11"/>
  <c r="AR25" i="11"/>
  <c r="AS25" i="11"/>
  <c r="AT25" i="11"/>
  <c r="AM20" i="11"/>
  <c r="AN20" i="11"/>
  <c r="AO20" i="11"/>
  <c r="AP20" i="11"/>
  <c r="AQ20" i="11"/>
  <c r="AR20" i="11"/>
  <c r="AS20" i="11"/>
  <c r="AT20" i="11"/>
  <c r="AM18" i="11"/>
  <c r="AN18" i="11"/>
  <c r="AO18" i="11"/>
  <c r="AP18" i="11"/>
  <c r="AQ18" i="11"/>
  <c r="AR18" i="11"/>
  <c r="AS18" i="11"/>
  <c r="AT18" i="11"/>
  <c r="AM21" i="11"/>
  <c r="AN21" i="11"/>
  <c r="AO21" i="11"/>
  <c r="AP21" i="11"/>
  <c r="AQ21" i="11"/>
  <c r="AR21" i="11"/>
  <c r="AS21" i="11"/>
  <c r="AT21" i="11"/>
  <c r="AM26" i="11"/>
  <c r="AN26" i="11"/>
  <c r="AO26" i="11"/>
  <c r="AP26" i="11"/>
  <c r="AQ26" i="11"/>
  <c r="AR26" i="11"/>
  <c r="AS26" i="11"/>
  <c r="AT26" i="11"/>
  <c r="AM27" i="11"/>
  <c r="AN27" i="11"/>
  <c r="AO27" i="11"/>
  <c r="AP27" i="11"/>
  <c r="AQ27" i="11"/>
  <c r="AR27" i="11"/>
  <c r="AS27" i="11"/>
  <c r="AT27" i="11"/>
  <c r="AM29" i="11"/>
  <c r="AN29" i="11"/>
  <c r="AO29" i="11"/>
  <c r="AP29" i="11"/>
  <c r="AQ29" i="11"/>
  <c r="AR29" i="11"/>
  <c r="AS29" i="11"/>
  <c r="AT29" i="11"/>
  <c r="AM38" i="11"/>
  <c r="AN38" i="11"/>
  <c r="AO38" i="11"/>
  <c r="AP38" i="11"/>
  <c r="AQ38" i="11"/>
  <c r="AR38" i="11"/>
  <c r="AS38" i="11"/>
  <c r="AT38" i="11"/>
  <c r="AM37" i="11"/>
  <c r="AN37" i="11"/>
  <c r="AO37" i="11"/>
  <c r="AP37" i="11"/>
  <c r="AQ37" i="11"/>
  <c r="AR37" i="11"/>
  <c r="AS37" i="11"/>
  <c r="AT37" i="11"/>
  <c r="AM36" i="11"/>
  <c r="AN36" i="11"/>
  <c r="AO36" i="11"/>
  <c r="AP36" i="11"/>
  <c r="AQ36" i="11"/>
  <c r="AR36" i="11"/>
  <c r="AS36" i="11"/>
  <c r="AT36" i="11"/>
  <c r="AM39" i="11"/>
  <c r="AN39" i="11"/>
  <c r="AO39" i="11"/>
  <c r="AP39" i="11"/>
  <c r="AQ39" i="11"/>
  <c r="AR39" i="11"/>
  <c r="AS39" i="11"/>
  <c r="AT39" i="11"/>
  <c r="AM35" i="11"/>
  <c r="AN35" i="11"/>
  <c r="AO35" i="11"/>
  <c r="AP35" i="11"/>
  <c r="AQ35" i="11"/>
  <c r="AR35" i="11"/>
  <c r="AS35" i="11"/>
  <c r="AT35" i="11"/>
  <c r="AM30" i="11"/>
  <c r="AN30" i="11"/>
  <c r="AO30" i="11"/>
  <c r="AP30" i="11"/>
  <c r="AQ30" i="11"/>
  <c r="AR30" i="11"/>
  <c r="AS30" i="11"/>
  <c r="AT30" i="11"/>
  <c r="AM41" i="11"/>
  <c r="AN41" i="11"/>
  <c r="AO41" i="11"/>
  <c r="AP41" i="11"/>
  <c r="AQ41" i="11"/>
  <c r="AR41" i="11"/>
  <c r="AS41" i="11"/>
  <c r="AT41" i="11"/>
  <c r="AM40" i="11"/>
  <c r="AN40" i="11"/>
  <c r="AO40" i="11"/>
  <c r="AP40" i="11"/>
  <c r="AQ40" i="11"/>
  <c r="AR40" i="11"/>
  <c r="AS40" i="11"/>
  <c r="AT40" i="11"/>
  <c r="AM15" i="11"/>
  <c r="AN15" i="11"/>
  <c r="AO15" i="11"/>
  <c r="AP15" i="11"/>
  <c r="AQ15" i="11"/>
  <c r="AR15" i="11"/>
  <c r="AS15" i="11"/>
  <c r="AT15" i="11"/>
  <c r="AM28" i="11"/>
  <c r="AN28" i="11"/>
  <c r="AO28" i="11"/>
  <c r="AP28" i="11"/>
  <c r="AQ28" i="11"/>
  <c r="AR28" i="11"/>
  <c r="AS28" i="11"/>
  <c r="AT28" i="11"/>
  <c r="AM34" i="11"/>
  <c r="AN34" i="11"/>
  <c r="AO34" i="11"/>
  <c r="AP34" i="11"/>
  <c r="AQ34" i="11"/>
  <c r="AR34" i="11"/>
  <c r="AS34" i="11"/>
  <c r="AT34" i="11"/>
  <c r="AM31" i="11"/>
  <c r="AN31" i="11"/>
  <c r="AO31" i="11"/>
  <c r="AP31" i="11"/>
  <c r="AQ31" i="11"/>
  <c r="AR31" i="11"/>
  <c r="AS31" i="11"/>
  <c r="AT31" i="11"/>
  <c r="AM33" i="11"/>
  <c r="AN33" i="11"/>
  <c r="AO33" i="11"/>
  <c r="AP33" i="11"/>
  <c r="AQ33" i="11"/>
  <c r="AR33" i="11"/>
  <c r="AS33" i="11"/>
  <c r="AT33" i="11"/>
  <c r="AM42" i="11"/>
  <c r="AN42" i="11"/>
  <c r="AO42" i="11"/>
  <c r="AP42" i="11"/>
  <c r="AQ42" i="11"/>
  <c r="AR42" i="11"/>
  <c r="AS42" i="11"/>
  <c r="AT42" i="11"/>
  <c r="AM23" i="11"/>
  <c r="AN23" i="11"/>
  <c r="AO23" i="11"/>
  <c r="AP23" i="11"/>
  <c r="AQ23" i="11"/>
  <c r="AR23" i="11"/>
  <c r="AS23" i="11"/>
  <c r="AT23" i="11"/>
  <c r="AM32" i="11"/>
  <c r="AN32" i="11"/>
  <c r="AO32" i="11"/>
  <c r="AP32" i="11"/>
  <c r="AQ32" i="11"/>
  <c r="AR32" i="11"/>
  <c r="AS32" i="11"/>
  <c r="AT32" i="11"/>
  <c r="B3" i="18"/>
  <c r="B4" i="18"/>
  <c r="B5" i="18"/>
  <c r="B6" i="18"/>
  <c r="B7" i="18"/>
  <c r="B8" i="18"/>
  <c r="B9" i="18"/>
  <c r="B10" i="18"/>
  <c r="B11" i="18"/>
  <c r="B4" i="17"/>
  <c r="B5" i="17"/>
  <c r="B6" i="17"/>
  <c r="B7" i="17"/>
  <c r="B8" i="17"/>
  <c r="B9" i="17"/>
  <c r="B10" i="17"/>
  <c r="B11" i="17"/>
  <c r="B12" i="17"/>
  <c r="B13" i="17"/>
  <c r="B14" i="17"/>
  <c r="B15" i="17"/>
  <c r="B16" i="17"/>
  <c r="B17" i="17"/>
  <c r="B18" i="17"/>
  <c r="B19" i="17"/>
  <c r="B20" i="17"/>
  <c r="B21" i="17"/>
  <c r="B22" i="17"/>
  <c r="B23" i="17"/>
  <c r="B3" i="17"/>
  <c r="B4" i="16"/>
  <c r="B5" i="16"/>
  <c r="B6" i="16"/>
  <c r="B7" i="16"/>
  <c r="B8" i="16"/>
  <c r="B9" i="16"/>
  <c r="B10" i="16"/>
  <c r="B11" i="16"/>
  <c r="B3" i="16"/>
  <c r="AZ4" i="11"/>
  <c r="AZ5" i="11"/>
  <c r="AZ6" i="11"/>
  <c r="AZ8" i="11"/>
  <c r="AZ12" i="11"/>
  <c r="AZ7" i="11"/>
  <c r="AZ16" i="11"/>
  <c r="AZ14" i="11"/>
  <c r="AZ10" i="11"/>
  <c r="AZ17" i="11"/>
  <c r="AZ11" i="11"/>
  <c r="AZ19" i="11"/>
  <c r="AZ13" i="11"/>
  <c r="AZ22" i="11"/>
  <c r="AZ24" i="11"/>
  <c r="AZ9" i="11"/>
  <c r="AZ25" i="11"/>
  <c r="AZ20" i="11"/>
  <c r="AZ18" i="11"/>
  <c r="AZ21" i="11"/>
  <c r="AZ26" i="11"/>
  <c r="AZ27" i="11"/>
  <c r="AZ29" i="11"/>
  <c r="AZ38" i="11"/>
  <c r="AZ37" i="11"/>
  <c r="AZ36" i="11"/>
  <c r="AZ39" i="11"/>
  <c r="AZ35" i="11"/>
  <c r="AZ30" i="11"/>
  <c r="AZ41" i="11"/>
  <c r="AZ40" i="11"/>
  <c r="AZ15" i="11"/>
  <c r="AZ28" i="11"/>
  <c r="AZ34" i="11"/>
  <c r="AZ31" i="11"/>
  <c r="AZ33" i="11"/>
  <c r="AZ42" i="11"/>
  <c r="AZ23" i="11"/>
  <c r="AZ32" i="11"/>
  <c r="AZ3" i="11"/>
  <c r="AY4" i="11"/>
  <c r="AY5" i="11"/>
  <c r="AY6" i="11"/>
  <c r="AY8" i="11"/>
  <c r="AY12" i="11"/>
  <c r="AY7" i="11"/>
  <c r="AY16" i="11"/>
  <c r="AY14" i="11"/>
  <c r="AY10" i="11"/>
  <c r="AY17" i="11"/>
  <c r="AY11" i="11"/>
  <c r="AY19" i="11"/>
  <c r="AY13" i="11"/>
  <c r="AY22" i="11"/>
  <c r="AY24" i="11"/>
  <c r="AY9" i="11"/>
  <c r="AY25" i="11"/>
  <c r="AY20" i="11"/>
  <c r="AY18" i="11"/>
  <c r="AY21" i="11"/>
  <c r="AY26" i="11"/>
  <c r="AY27" i="11"/>
  <c r="AY29" i="11"/>
  <c r="AY38" i="11"/>
  <c r="AY37" i="11"/>
  <c r="AY36" i="11"/>
  <c r="AY39" i="11"/>
  <c r="AY35" i="11"/>
  <c r="AY30" i="11"/>
  <c r="AY41" i="11"/>
  <c r="AY40" i="11"/>
  <c r="AY15" i="11"/>
  <c r="AY28" i="11"/>
  <c r="AY34" i="11"/>
  <c r="AY31" i="11"/>
  <c r="AY33" i="11"/>
  <c r="AY42" i="11"/>
  <c r="AY23" i="11"/>
  <c r="AY32" i="11"/>
  <c r="AY3" i="11"/>
  <c r="AW4" i="11"/>
  <c r="AW5" i="11"/>
  <c r="AW6" i="11"/>
  <c r="AW8" i="11"/>
  <c r="AW12" i="11"/>
  <c r="AW7" i="11"/>
  <c r="AW16" i="11"/>
  <c r="AW14" i="11"/>
  <c r="AW10" i="11"/>
  <c r="AW17" i="11"/>
  <c r="AW11" i="11"/>
  <c r="AW19" i="11"/>
  <c r="AW13" i="11"/>
  <c r="AW22" i="11"/>
  <c r="AW24" i="11"/>
  <c r="AW9" i="11"/>
  <c r="AW25" i="11"/>
  <c r="AW20" i="11"/>
  <c r="AW18" i="11"/>
  <c r="AW21" i="11"/>
  <c r="AW26" i="11"/>
  <c r="AW27" i="11"/>
  <c r="AW29" i="11"/>
  <c r="AW38" i="11"/>
  <c r="AW37" i="11"/>
  <c r="AW36" i="11"/>
  <c r="AW39" i="11"/>
  <c r="AW35" i="11"/>
  <c r="AW30" i="11"/>
  <c r="AW41" i="11"/>
  <c r="AW40" i="11"/>
  <c r="AW15" i="11"/>
  <c r="AW28" i="11"/>
  <c r="AW34" i="11"/>
  <c r="AW31" i="11"/>
  <c r="AW33" i="11"/>
  <c r="AW42" i="11"/>
  <c r="AW23" i="11"/>
  <c r="AW32" i="11"/>
  <c r="AX4" i="11"/>
  <c r="AX5" i="11"/>
  <c r="AX6" i="11"/>
  <c r="AX8" i="11"/>
  <c r="AX12" i="11"/>
  <c r="AX7" i="11"/>
  <c r="AX16" i="11"/>
  <c r="AX14" i="11"/>
  <c r="AX10" i="11"/>
  <c r="AX17" i="11"/>
  <c r="AX11" i="11"/>
  <c r="AX19" i="11"/>
  <c r="AX13" i="11"/>
  <c r="AX22" i="11"/>
  <c r="AX24" i="11"/>
  <c r="AX9" i="11"/>
  <c r="AX25" i="11"/>
  <c r="AX20" i="11"/>
  <c r="AX18" i="11"/>
  <c r="AX21" i="11"/>
  <c r="AX26" i="11"/>
  <c r="AX27" i="11"/>
  <c r="AX29" i="11"/>
  <c r="AX38" i="11"/>
  <c r="AX37" i="11"/>
  <c r="AX36" i="11"/>
  <c r="AX39" i="11"/>
  <c r="AX35" i="11"/>
  <c r="AX30" i="11"/>
  <c r="AX41" i="11"/>
  <c r="AX40" i="11"/>
  <c r="AX15" i="11"/>
  <c r="AX28" i="11"/>
  <c r="AX34" i="11"/>
  <c r="AX31" i="11"/>
  <c r="AX33" i="11"/>
  <c r="AX42" i="11"/>
  <c r="AX23" i="11"/>
  <c r="AX32" i="11"/>
  <c r="AX3" i="11"/>
  <c r="AW3" i="11"/>
  <c r="AU4" i="11"/>
  <c r="AU5" i="11"/>
  <c r="AU6" i="11"/>
  <c r="AU8" i="11"/>
  <c r="AU12" i="11"/>
  <c r="AU7" i="11"/>
  <c r="AU16" i="11"/>
  <c r="AU14" i="11"/>
  <c r="AU10" i="11"/>
  <c r="AU17" i="11"/>
  <c r="AU11" i="11"/>
  <c r="AU19" i="11"/>
  <c r="AU13" i="11"/>
  <c r="AU22" i="11"/>
  <c r="AU24" i="11"/>
  <c r="AU9" i="11"/>
  <c r="AU25" i="11"/>
  <c r="AU20" i="11"/>
  <c r="AU18" i="11"/>
  <c r="AU21" i="11"/>
  <c r="AU26" i="11"/>
  <c r="AU27" i="11"/>
  <c r="AU29" i="11"/>
  <c r="AU38" i="11"/>
  <c r="AU37" i="11"/>
  <c r="AU36" i="11"/>
  <c r="AU39" i="11"/>
  <c r="AU35" i="11"/>
  <c r="AU30" i="11"/>
  <c r="AU41" i="11"/>
  <c r="AU40" i="11"/>
  <c r="AU15" i="11"/>
  <c r="AU28" i="11"/>
  <c r="AU34" i="11"/>
  <c r="AU31" i="11"/>
  <c r="AU33" i="11"/>
  <c r="AU42" i="11"/>
  <c r="AU23" i="11"/>
  <c r="AU32" i="11"/>
  <c r="AU3" i="11"/>
  <c r="AV4" i="11"/>
  <c r="AV5" i="11"/>
  <c r="AV6" i="11"/>
  <c r="AV8" i="11"/>
  <c r="AV12" i="11"/>
  <c r="AV7" i="11"/>
  <c r="AV16" i="11"/>
  <c r="AV14" i="11"/>
  <c r="AV10" i="11"/>
  <c r="AV17" i="11"/>
  <c r="AV11" i="11"/>
  <c r="AV19" i="11"/>
  <c r="AV13" i="11"/>
  <c r="AV22" i="11"/>
  <c r="AV24" i="11"/>
  <c r="AV9" i="11"/>
  <c r="AV25" i="11"/>
  <c r="AV20" i="11"/>
  <c r="AV18" i="11"/>
  <c r="AV21" i="11"/>
  <c r="AV26" i="11"/>
  <c r="AV27" i="11"/>
  <c r="AV29" i="11"/>
  <c r="AV38" i="11"/>
  <c r="AV37" i="11"/>
  <c r="AV36" i="11"/>
  <c r="AV39" i="11"/>
  <c r="AV35" i="11"/>
  <c r="AV30" i="11"/>
  <c r="AV41" i="11"/>
  <c r="AV40" i="11"/>
  <c r="AV15" i="11"/>
  <c r="AV28" i="11"/>
  <c r="AV34" i="11"/>
  <c r="AV31" i="11"/>
  <c r="AV33" i="11"/>
  <c r="AV42" i="11"/>
  <c r="AV23" i="11"/>
  <c r="AV32" i="11"/>
  <c r="AV3" i="11"/>
  <c r="B4" i="15"/>
  <c r="B5" i="15"/>
  <c r="B6" i="15"/>
  <c r="B7" i="15"/>
  <c r="B8" i="15"/>
  <c r="B9" i="15"/>
  <c r="B10" i="15"/>
  <c r="B11" i="15"/>
  <c r="B12" i="15"/>
  <c r="B13" i="15"/>
  <c r="B3" i="15"/>
  <c r="AK4" i="11"/>
  <c r="AK5" i="11"/>
  <c r="AK6" i="11"/>
  <c r="AK8" i="11"/>
  <c r="AK12" i="11"/>
  <c r="AK7" i="11"/>
  <c r="AK16" i="11"/>
  <c r="AK14" i="11"/>
  <c r="AK10" i="11"/>
  <c r="AK17" i="11"/>
  <c r="AK11" i="11"/>
  <c r="AK19" i="11"/>
  <c r="AK13" i="11"/>
  <c r="AK22" i="11"/>
  <c r="AK24" i="11"/>
  <c r="AK9" i="11"/>
  <c r="AK25" i="11"/>
  <c r="AK20" i="11"/>
  <c r="AK18" i="11"/>
  <c r="AK21" i="11"/>
  <c r="AK26" i="11"/>
  <c r="AK27" i="11"/>
  <c r="AK29" i="11"/>
  <c r="AK38" i="11"/>
  <c r="AK37" i="11"/>
  <c r="AK36" i="11"/>
  <c r="AK39" i="11"/>
  <c r="AK35" i="11"/>
  <c r="AK30" i="11"/>
  <c r="AK41" i="11"/>
  <c r="AK40" i="11"/>
  <c r="AK15" i="11"/>
  <c r="AK28" i="11"/>
  <c r="AK34" i="11"/>
  <c r="AK31" i="11"/>
  <c r="AK33" i="11"/>
  <c r="AK42" i="11"/>
  <c r="AK23" i="11"/>
  <c r="AK32" i="11"/>
  <c r="AK3" i="11"/>
  <c r="AD3" i="11"/>
  <c r="AE3" i="11"/>
  <c r="AF3" i="11"/>
  <c r="AG3" i="11"/>
  <c r="AH3" i="11"/>
  <c r="AI3" i="11"/>
  <c r="AJ3" i="11"/>
  <c r="AL3" i="11"/>
  <c r="AD4" i="11"/>
  <c r="AE4" i="11"/>
  <c r="AF4" i="11"/>
  <c r="AG4" i="11"/>
  <c r="AH4" i="11"/>
  <c r="AI4" i="11"/>
  <c r="AJ4" i="11"/>
  <c r="AL4" i="11"/>
  <c r="AD5" i="11"/>
  <c r="AE5" i="11"/>
  <c r="AF5" i="11"/>
  <c r="AG5" i="11"/>
  <c r="AH5" i="11"/>
  <c r="AI5" i="11"/>
  <c r="AJ5" i="11"/>
  <c r="AL5" i="11"/>
  <c r="AD6" i="11"/>
  <c r="AE6" i="11"/>
  <c r="AF6" i="11"/>
  <c r="AG6" i="11"/>
  <c r="AH6" i="11"/>
  <c r="AI6" i="11"/>
  <c r="AJ6" i="11"/>
  <c r="AL6" i="11"/>
  <c r="AD8" i="11"/>
  <c r="AE8" i="11"/>
  <c r="AF8" i="11"/>
  <c r="AG8" i="11"/>
  <c r="AH8" i="11"/>
  <c r="AI8" i="11"/>
  <c r="AJ8" i="11"/>
  <c r="AL8" i="11"/>
  <c r="AD12" i="11"/>
  <c r="AE12" i="11"/>
  <c r="AF12" i="11"/>
  <c r="AG12" i="11"/>
  <c r="AH12" i="11"/>
  <c r="AI12" i="11"/>
  <c r="AJ12" i="11"/>
  <c r="AL12" i="11"/>
  <c r="AD7" i="11"/>
  <c r="AE7" i="11"/>
  <c r="AF7" i="11"/>
  <c r="AG7" i="11"/>
  <c r="AH7" i="11"/>
  <c r="AI7" i="11"/>
  <c r="AJ7" i="11"/>
  <c r="AL7" i="11"/>
  <c r="AD16" i="11"/>
  <c r="AE16" i="11"/>
  <c r="AF16" i="11"/>
  <c r="AG16" i="11"/>
  <c r="AH16" i="11"/>
  <c r="AI16" i="11"/>
  <c r="AJ16" i="11"/>
  <c r="AL16" i="11"/>
  <c r="AD14" i="11"/>
  <c r="AE14" i="11"/>
  <c r="AF14" i="11"/>
  <c r="AG14" i="11"/>
  <c r="AH14" i="11"/>
  <c r="AI14" i="11"/>
  <c r="AJ14" i="11"/>
  <c r="AL14" i="11"/>
  <c r="AD10" i="11"/>
  <c r="AE10" i="11"/>
  <c r="AF10" i="11"/>
  <c r="AG10" i="11"/>
  <c r="AH10" i="11"/>
  <c r="AI10" i="11"/>
  <c r="AJ10" i="11"/>
  <c r="AL10" i="11"/>
  <c r="AD17" i="11"/>
  <c r="AE17" i="11"/>
  <c r="AF17" i="11"/>
  <c r="AG17" i="11"/>
  <c r="AH17" i="11"/>
  <c r="AI17" i="11"/>
  <c r="AJ17" i="11"/>
  <c r="AL17" i="11"/>
  <c r="AD11" i="11"/>
  <c r="AE11" i="11"/>
  <c r="AF11" i="11"/>
  <c r="AG11" i="11"/>
  <c r="AH11" i="11"/>
  <c r="AI11" i="11"/>
  <c r="AJ11" i="11"/>
  <c r="AL11" i="11"/>
  <c r="AD19" i="11"/>
  <c r="AE19" i="11"/>
  <c r="AF19" i="11"/>
  <c r="AG19" i="11"/>
  <c r="AH19" i="11"/>
  <c r="AI19" i="11"/>
  <c r="AJ19" i="11"/>
  <c r="AL19" i="11"/>
  <c r="AD13" i="11"/>
  <c r="AE13" i="11"/>
  <c r="AF13" i="11"/>
  <c r="AG13" i="11"/>
  <c r="AH13" i="11"/>
  <c r="AI13" i="11"/>
  <c r="AJ13" i="11"/>
  <c r="AL13" i="11"/>
  <c r="AD22" i="11"/>
  <c r="AE22" i="11"/>
  <c r="AF22" i="11"/>
  <c r="AG22" i="11"/>
  <c r="AH22" i="11"/>
  <c r="AI22" i="11"/>
  <c r="AJ22" i="11"/>
  <c r="AL22" i="11"/>
  <c r="AD24" i="11"/>
  <c r="AE24" i="11"/>
  <c r="AF24" i="11"/>
  <c r="AG24" i="11"/>
  <c r="AH24" i="11"/>
  <c r="AI24" i="11"/>
  <c r="AJ24" i="11"/>
  <c r="AL24" i="11"/>
  <c r="AD9" i="11"/>
  <c r="AE9" i="11"/>
  <c r="AF9" i="11"/>
  <c r="AG9" i="11"/>
  <c r="AH9" i="11"/>
  <c r="AI9" i="11"/>
  <c r="AJ9" i="11"/>
  <c r="AL9" i="11"/>
  <c r="AD25" i="11"/>
  <c r="AE25" i="11"/>
  <c r="AF25" i="11"/>
  <c r="AG25" i="11"/>
  <c r="AH25" i="11"/>
  <c r="AI25" i="11"/>
  <c r="AJ25" i="11"/>
  <c r="AL25" i="11"/>
  <c r="AD20" i="11"/>
  <c r="AE20" i="11"/>
  <c r="AF20" i="11"/>
  <c r="AG20" i="11"/>
  <c r="AH20" i="11"/>
  <c r="AI20" i="11"/>
  <c r="AJ20" i="11"/>
  <c r="AL20" i="11"/>
  <c r="AD18" i="11"/>
  <c r="AE18" i="11"/>
  <c r="AF18" i="11"/>
  <c r="AG18" i="11"/>
  <c r="AH18" i="11"/>
  <c r="AI18" i="11"/>
  <c r="AJ18" i="11"/>
  <c r="AL18" i="11"/>
  <c r="AD21" i="11"/>
  <c r="AE21" i="11"/>
  <c r="AF21" i="11"/>
  <c r="AG21" i="11"/>
  <c r="AH21" i="11"/>
  <c r="AI21" i="11"/>
  <c r="AJ21" i="11"/>
  <c r="AL21" i="11"/>
  <c r="AD26" i="11"/>
  <c r="AE26" i="11"/>
  <c r="AF26" i="11"/>
  <c r="AG26" i="11"/>
  <c r="AH26" i="11"/>
  <c r="AI26" i="11"/>
  <c r="AJ26" i="11"/>
  <c r="AL26" i="11"/>
  <c r="AD27" i="11"/>
  <c r="AE27" i="11"/>
  <c r="AF27" i="11"/>
  <c r="AG27" i="11"/>
  <c r="AH27" i="11"/>
  <c r="AI27" i="11"/>
  <c r="AJ27" i="11"/>
  <c r="AL27" i="11"/>
  <c r="AD29" i="11"/>
  <c r="AE29" i="11"/>
  <c r="AF29" i="11"/>
  <c r="AG29" i="11"/>
  <c r="AH29" i="11"/>
  <c r="AI29" i="11"/>
  <c r="AJ29" i="11"/>
  <c r="AL29" i="11"/>
  <c r="AD38" i="11"/>
  <c r="AE38" i="11"/>
  <c r="AF38" i="11"/>
  <c r="AG38" i="11"/>
  <c r="AH38" i="11"/>
  <c r="AI38" i="11"/>
  <c r="AJ38" i="11"/>
  <c r="AL38" i="11"/>
  <c r="AD37" i="11"/>
  <c r="AE37" i="11"/>
  <c r="AF37" i="11"/>
  <c r="AG37" i="11"/>
  <c r="AH37" i="11"/>
  <c r="AI37" i="11"/>
  <c r="AJ37" i="11"/>
  <c r="AL37" i="11"/>
  <c r="AD36" i="11"/>
  <c r="AE36" i="11"/>
  <c r="AF36" i="11"/>
  <c r="AG36" i="11"/>
  <c r="AH36" i="11"/>
  <c r="AI36" i="11"/>
  <c r="AJ36" i="11"/>
  <c r="AL36" i="11"/>
  <c r="AD39" i="11"/>
  <c r="AE39" i="11"/>
  <c r="AF39" i="11"/>
  <c r="AG39" i="11"/>
  <c r="AH39" i="11"/>
  <c r="AI39" i="11"/>
  <c r="AJ39" i="11"/>
  <c r="AL39" i="11"/>
  <c r="AD35" i="11"/>
  <c r="AE35" i="11"/>
  <c r="AF35" i="11"/>
  <c r="AG35" i="11"/>
  <c r="AH35" i="11"/>
  <c r="AI35" i="11"/>
  <c r="AJ35" i="11"/>
  <c r="AL35" i="11"/>
  <c r="AD30" i="11"/>
  <c r="AE30" i="11"/>
  <c r="AF30" i="11"/>
  <c r="AG30" i="11"/>
  <c r="AH30" i="11"/>
  <c r="AI30" i="11"/>
  <c r="AJ30" i="11"/>
  <c r="AL30" i="11"/>
  <c r="AD41" i="11"/>
  <c r="AE41" i="11"/>
  <c r="AF41" i="11"/>
  <c r="AG41" i="11"/>
  <c r="AH41" i="11"/>
  <c r="AI41" i="11"/>
  <c r="AJ41" i="11"/>
  <c r="AL41" i="11"/>
  <c r="AD40" i="11"/>
  <c r="AE40" i="11"/>
  <c r="AF40" i="11"/>
  <c r="AG40" i="11"/>
  <c r="AH40" i="11"/>
  <c r="AI40" i="11"/>
  <c r="AJ40" i="11"/>
  <c r="AL40" i="11"/>
  <c r="AD15" i="11"/>
  <c r="AE15" i="11"/>
  <c r="AF15" i="11"/>
  <c r="AG15" i="11"/>
  <c r="AH15" i="11"/>
  <c r="AI15" i="11"/>
  <c r="AJ15" i="11"/>
  <c r="AL15" i="11"/>
  <c r="AD28" i="11"/>
  <c r="AE28" i="11"/>
  <c r="AF28" i="11"/>
  <c r="AG28" i="11"/>
  <c r="AH28" i="11"/>
  <c r="AI28" i="11"/>
  <c r="AJ28" i="11"/>
  <c r="AL28" i="11"/>
  <c r="AD34" i="11"/>
  <c r="AE34" i="11"/>
  <c r="AF34" i="11"/>
  <c r="AG34" i="11"/>
  <c r="AH34" i="11"/>
  <c r="AI34" i="11"/>
  <c r="AJ34" i="11"/>
  <c r="AL34" i="11"/>
  <c r="AD31" i="11"/>
  <c r="AE31" i="11"/>
  <c r="AF31" i="11"/>
  <c r="AG31" i="11"/>
  <c r="AH31" i="11"/>
  <c r="AI31" i="11"/>
  <c r="AJ31" i="11"/>
  <c r="AL31" i="11"/>
  <c r="AD33" i="11"/>
  <c r="AE33" i="11"/>
  <c r="AF33" i="11"/>
  <c r="AG33" i="11"/>
  <c r="AH33" i="11"/>
  <c r="AI33" i="11"/>
  <c r="AJ33" i="11"/>
  <c r="AL33" i="11"/>
  <c r="AD42" i="11"/>
  <c r="AE42" i="11"/>
  <c r="AF42" i="11"/>
  <c r="AG42" i="11"/>
  <c r="AH42" i="11"/>
  <c r="AI42" i="11"/>
  <c r="AJ42" i="11"/>
  <c r="AL42" i="11"/>
  <c r="AD23" i="11"/>
  <c r="AE23" i="11"/>
  <c r="AF23" i="11"/>
  <c r="AG23" i="11"/>
  <c r="AH23" i="11"/>
  <c r="AI23" i="11"/>
  <c r="AJ23" i="11"/>
  <c r="AL23" i="11"/>
  <c r="AD32" i="11"/>
  <c r="AE32" i="11"/>
  <c r="AF32" i="11"/>
  <c r="AG32" i="11"/>
  <c r="AH32" i="11"/>
  <c r="AI32" i="11"/>
  <c r="AJ32" i="11"/>
  <c r="AL32" i="11"/>
  <c r="B4" i="14"/>
  <c r="B5" i="14"/>
  <c r="B6" i="14"/>
  <c r="B7" i="14"/>
  <c r="B8" i="14"/>
  <c r="B9" i="14"/>
  <c r="B10" i="14"/>
  <c r="B11" i="14"/>
  <c r="B12" i="14"/>
  <c r="B13" i="14"/>
  <c r="B14" i="14"/>
  <c r="B15" i="14"/>
  <c r="B16" i="14"/>
  <c r="B17" i="14"/>
  <c r="B18" i="14"/>
  <c r="B19" i="14"/>
  <c r="B20" i="14"/>
  <c r="B21" i="14"/>
  <c r="B22" i="14"/>
  <c r="B23" i="14"/>
  <c r="B3" i="14"/>
  <c r="B4" i="13"/>
  <c r="B5" i="13"/>
  <c r="B6" i="13"/>
  <c r="B7" i="13"/>
  <c r="B8" i="13"/>
  <c r="B9" i="13"/>
  <c r="B10" i="13"/>
  <c r="B11" i="13"/>
  <c r="B12" i="13"/>
  <c r="B13" i="13"/>
  <c r="B14" i="13"/>
  <c r="B15" i="13"/>
  <c r="B16" i="13"/>
  <c r="B17" i="13"/>
  <c r="B18" i="13"/>
  <c r="B19" i="13"/>
  <c r="B20" i="13"/>
  <c r="B21" i="13"/>
  <c r="B22" i="13"/>
  <c r="B23" i="13"/>
  <c r="B24" i="13"/>
  <c r="B25" i="13"/>
  <c r="B26" i="13"/>
  <c r="B27" i="13"/>
  <c r="B28" i="13"/>
  <c r="B3" i="13"/>
  <c r="C18" i="12"/>
  <c r="C21" i="12"/>
  <c r="C19" i="12"/>
  <c r="C22" i="12"/>
  <c r="C23" i="12"/>
  <c r="C20" i="12"/>
  <c r="C2" i="12"/>
  <c r="C5" i="12"/>
  <c r="C4" i="12"/>
  <c r="C3" i="12"/>
  <c r="E2" i="9"/>
  <c r="E4" i="9"/>
  <c r="E5" i="9"/>
  <c r="E3" i="9"/>
  <c r="E8" i="9"/>
  <c r="E12" i="9"/>
  <c r="E13" i="9"/>
  <c r="E14" i="9"/>
  <c r="E16" i="9"/>
  <c r="E6" i="9"/>
  <c r="E7" i="9"/>
  <c r="E9" i="9"/>
  <c r="E17" i="9"/>
  <c r="E11" i="9"/>
  <c r="E10" i="9"/>
  <c r="E15" i="9"/>
  <c r="E81" i="9"/>
  <c r="E82" i="9"/>
  <c r="E67" i="9"/>
  <c r="E83" i="9"/>
  <c r="E84" i="9"/>
  <c r="E50" i="9"/>
  <c r="E68" i="9"/>
  <c r="E53" i="9"/>
  <c r="E69" i="9"/>
  <c r="E70" i="9"/>
  <c r="E20" i="9"/>
  <c r="E44" i="9"/>
  <c r="E32" i="9"/>
  <c r="E39" i="9"/>
  <c r="E51" i="9"/>
  <c r="E71" i="9"/>
  <c r="E72" i="9"/>
  <c r="E18" i="9"/>
  <c r="E52" i="9"/>
  <c r="E40" i="9"/>
  <c r="E85" i="9"/>
  <c r="E73" i="9"/>
  <c r="E74" i="9"/>
  <c r="E45" i="9"/>
  <c r="E64" i="9"/>
  <c r="E41" i="9"/>
  <c r="E86" i="9"/>
  <c r="E87" i="9"/>
  <c r="E88" i="9"/>
  <c r="E89" i="9"/>
  <c r="E75" i="9"/>
  <c r="E90" i="9"/>
  <c r="E76" i="9"/>
  <c r="E91" i="9"/>
  <c r="E25" i="9"/>
  <c r="E26" i="9"/>
  <c r="E92" i="9"/>
  <c r="E54" i="9"/>
  <c r="E55" i="9"/>
  <c r="E93" i="9"/>
  <c r="E94" i="9"/>
  <c r="E95" i="9"/>
  <c r="E96" i="9"/>
  <c r="E65" i="9"/>
  <c r="E46" i="9"/>
  <c r="E97" i="9"/>
  <c r="E98" i="9"/>
  <c r="E33" i="9"/>
  <c r="E77" i="9"/>
  <c r="E42" i="9"/>
  <c r="E34" i="9"/>
  <c r="E35" i="9"/>
  <c r="E21" i="9"/>
  <c r="E19" i="9"/>
  <c r="E47" i="9"/>
  <c r="E99" i="9"/>
  <c r="E100" i="9"/>
  <c r="E101" i="9"/>
  <c r="E102" i="9"/>
  <c r="E29" i="9"/>
  <c r="E103" i="9"/>
  <c r="E56" i="9"/>
  <c r="E22" i="9"/>
  <c r="E104" i="9"/>
  <c r="E105" i="9"/>
  <c r="E57" i="9"/>
  <c r="E43" i="9"/>
  <c r="E106" i="9"/>
  <c r="E107" i="9"/>
  <c r="E36" i="9"/>
  <c r="E58" i="9"/>
  <c r="E108" i="9"/>
  <c r="E59" i="9"/>
  <c r="E109" i="9"/>
  <c r="E110" i="9"/>
  <c r="E30" i="9"/>
  <c r="E111" i="9"/>
  <c r="E48" i="9"/>
  <c r="E27" i="9"/>
  <c r="E112" i="9"/>
  <c r="E28" i="9"/>
  <c r="E78" i="9"/>
  <c r="E60" i="9"/>
  <c r="E79" i="9"/>
  <c r="E113" i="9"/>
  <c r="E114" i="9"/>
  <c r="E31" i="9"/>
  <c r="E61" i="9"/>
  <c r="E80" i="9"/>
  <c r="E66" i="9"/>
  <c r="E115" i="9"/>
  <c r="E23" i="9"/>
  <c r="E62" i="9"/>
  <c r="E63" i="9"/>
  <c r="E116" i="9"/>
  <c r="E117" i="9"/>
  <c r="E37" i="9"/>
  <c r="E24" i="9"/>
  <c r="E49" i="9"/>
  <c r="E38" i="9"/>
  <c r="H6" i="9"/>
  <c r="H5" i="9"/>
  <c r="H4" i="9"/>
  <c r="C132" i="20" l="1"/>
  <c r="C100" i="20"/>
  <c r="C52" i="20"/>
  <c r="C36" i="20"/>
  <c r="C20" i="20"/>
  <c r="C12" i="20"/>
  <c r="C4" i="20"/>
  <c r="C108" i="20"/>
  <c r="C60" i="20"/>
  <c r="C44" i="20"/>
  <c r="C28" i="20"/>
  <c r="C92" i="20"/>
  <c r="C116" i="20"/>
  <c r="C68" i="20"/>
  <c r="C124" i="20"/>
  <c r="C109" i="20"/>
  <c r="C61" i="20"/>
  <c r="C45" i="20"/>
  <c r="C29" i="20"/>
  <c r="C53" i="20"/>
  <c r="C37" i="20"/>
  <c r="C13" i="20"/>
  <c r="C117" i="20"/>
  <c r="C69" i="20"/>
  <c r="C101" i="20"/>
  <c r="C5" i="20"/>
  <c r="C125" i="20"/>
  <c r="C93" i="20"/>
  <c r="C133" i="20"/>
  <c r="C21" i="20"/>
  <c r="C136" i="20"/>
  <c r="C104" i="20"/>
  <c r="C56" i="20"/>
  <c r="C40" i="20"/>
  <c r="C24" i="20"/>
  <c r="C16" i="20"/>
  <c r="C8" i="20"/>
  <c r="C112" i="20"/>
  <c r="C64" i="20"/>
  <c r="C48" i="20"/>
  <c r="C32" i="20"/>
  <c r="C128" i="20"/>
  <c r="C120" i="20"/>
  <c r="C72" i="20"/>
  <c r="C96" i="20"/>
  <c r="C118" i="20"/>
  <c r="C70" i="20"/>
  <c r="C126" i="20"/>
  <c r="C94" i="20"/>
  <c r="C110" i="20"/>
  <c r="C30" i="20"/>
  <c r="C134" i="20"/>
  <c r="C102" i="20"/>
  <c r="C54" i="20"/>
  <c r="C38" i="20"/>
  <c r="C22" i="20"/>
  <c r="C14" i="20"/>
  <c r="C6" i="20"/>
  <c r="C62" i="20"/>
  <c r="C46" i="20"/>
  <c r="C114" i="20"/>
  <c r="C66" i="20"/>
  <c r="C106" i="20"/>
  <c r="C58" i="20"/>
  <c r="C90" i="20"/>
  <c r="C130" i="20"/>
  <c r="C98" i="20"/>
  <c r="C50" i="20"/>
  <c r="C42" i="20"/>
  <c r="C34" i="20"/>
  <c r="C26" i="20"/>
  <c r="C18" i="20"/>
  <c r="C10" i="20"/>
  <c r="C2" i="20"/>
  <c r="C122" i="20"/>
  <c r="C127" i="20"/>
  <c r="C95" i="20"/>
  <c r="C135" i="20"/>
  <c r="C103" i="20"/>
  <c r="C55" i="20"/>
  <c r="C39" i="20"/>
  <c r="C23" i="20"/>
  <c r="C15" i="20"/>
  <c r="C7" i="20"/>
  <c r="C119" i="20"/>
  <c r="C111" i="20"/>
  <c r="C63" i="20"/>
  <c r="C47" i="20"/>
  <c r="C31" i="20"/>
  <c r="C71" i="20"/>
  <c r="C113" i="20"/>
  <c r="C65" i="20"/>
  <c r="C49" i="20"/>
  <c r="C33" i="20"/>
  <c r="C25" i="20"/>
  <c r="C121" i="20"/>
  <c r="C73" i="20"/>
  <c r="C137" i="20"/>
  <c r="C57" i="20"/>
  <c r="C41" i="20"/>
  <c r="C17" i="20"/>
  <c r="C129" i="20"/>
  <c r="C97" i="20"/>
  <c r="C105" i="20"/>
  <c r="C9" i="20"/>
  <c r="C123" i="20"/>
  <c r="C91" i="20"/>
  <c r="C43" i="20"/>
  <c r="C131" i="20"/>
  <c r="C99" i="20"/>
  <c r="C51" i="20"/>
  <c r="C35" i="20"/>
  <c r="C19" i="20"/>
  <c r="C11" i="20"/>
  <c r="C3" i="20"/>
  <c r="C67" i="20"/>
  <c r="C107" i="20"/>
  <c r="C59" i="20"/>
  <c r="C115" i="20"/>
  <c r="C27" i="20"/>
  <c r="BU1" i="11"/>
  <c r="BH1" i="11"/>
  <c r="M1" i="17" s="1"/>
  <c r="BV1" i="11"/>
  <c r="BW1" i="11"/>
  <c r="BS1" i="11"/>
  <c r="BT1" i="11"/>
  <c r="B12" i="18"/>
  <c r="BO1" i="11"/>
  <c r="F1" i="17" s="1"/>
  <c r="BP1" i="11"/>
  <c r="E1" i="17" s="1"/>
  <c r="BJ1" i="11"/>
  <c r="L1" i="17" s="1"/>
  <c r="BK1" i="11"/>
  <c r="K1" i="17" s="1"/>
  <c r="BL1" i="11"/>
  <c r="D1" i="17" s="1"/>
  <c r="BQ1" i="11"/>
  <c r="H1" i="17" s="1"/>
  <c r="BM1" i="11"/>
  <c r="I1" i="17" s="1"/>
  <c r="BA1" i="11"/>
  <c r="J1" i="16" s="1"/>
  <c r="BI1" i="11"/>
  <c r="J1" i="17" s="1"/>
  <c r="BN1" i="11"/>
  <c r="G1" i="17" s="1"/>
  <c r="AT1" i="11"/>
  <c r="E1" i="14" s="1"/>
  <c r="AP1" i="11"/>
  <c r="J1" i="14" s="1"/>
  <c r="AS1" i="11"/>
  <c r="D1" i="14" s="1"/>
  <c r="AO1" i="11"/>
  <c r="H1" i="14" s="1"/>
  <c r="BB1" i="11"/>
  <c r="I1" i="16" s="1"/>
  <c r="BC1" i="11"/>
  <c r="F1" i="16" s="1"/>
  <c r="BE1" i="11"/>
  <c r="E1" i="16" s="1"/>
  <c r="BF1" i="11"/>
  <c r="G1" i="16" s="1"/>
  <c r="BG1" i="11"/>
  <c r="D1" i="16" s="1"/>
  <c r="AR1" i="11"/>
  <c r="F1" i="14" s="1"/>
  <c r="AN1" i="11"/>
  <c r="K1" i="14" s="1"/>
  <c r="BD1" i="11"/>
  <c r="H1" i="16" s="1"/>
  <c r="AQ1" i="11"/>
  <c r="G1" i="14" s="1"/>
  <c r="AM1" i="11"/>
  <c r="I1" i="14" s="1"/>
  <c r="AY1" i="11"/>
  <c r="F1" i="15" s="1"/>
  <c r="B24" i="17"/>
  <c r="AU1" i="11"/>
  <c r="I1" i="15" s="1"/>
  <c r="AZ1" i="11"/>
  <c r="D1" i="15" s="1"/>
  <c r="B12" i="16"/>
  <c r="AX1" i="11"/>
  <c r="H1" i="15" s="1"/>
  <c r="AW1" i="11"/>
  <c r="E1" i="15" s="1"/>
  <c r="AV1" i="11"/>
  <c r="G1" i="15" s="1"/>
  <c r="B14" i="15"/>
  <c r="AJ1" i="11"/>
  <c r="G1" i="13" s="1"/>
  <c r="AF1" i="11"/>
  <c r="I1" i="13" s="1"/>
  <c r="AK1" i="11"/>
  <c r="K1" i="13" s="1"/>
  <c r="AG1" i="11"/>
  <c r="E1" i="13" s="1"/>
  <c r="AI1" i="11"/>
  <c r="H1" i="13" s="1"/>
  <c r="AE1" i="11"/>
  <c r="L1" i="13" s="1"/>
  <c r="AL1" i="11"/>
  <c r="D1" i="13" s="1"/>
  <c r="AH1" i="11"/>
  <c r="J1" i="13" s="1"/>
  <c r="AD1" i="11"/>
  <c r="F1" i="13" s="1"/>
  <c r="B29" i="13"/>
  <c r="B24" i="14"/>
  <c r="D11" i="8"/>
  <c r="D12" i="8"/>
  <c r="D13" i="8"/>
  <c r="D14" i="8"/>
  <c r="D15" i="8"/>
  <c r="D16" i="8"/>
  <c r="D17" i="8"/>
  <c r="D18" i="8"/>
  <c r="C3" i="8"/>
  <c r="C4" i="8"/>
  <c r="C5" i="8"/>
  <c r="C6" i="8"/>
  <c r="C7" i="8"/>
  <c r="C8" i="8"/>
  <c r="C9" i="8"/>
  <c r="C10" i="8"/>
  <c r="C11" i="8"/>
  <c r="C12" i="8"/>
  <c r="C13" i="8"/>
  <c r="C14" i="8"/>
  <c r="C15" i="8"/>
  <c r="C16" i="8"/>
  <c r="C17" i="8"/>
  <c r="C18" i="8"/>
  <c r="C2" i="8"/>
  <c r="C21" i="8" s="1"/>
  <c r="B3" i="8"/>
  <c r="B4" i="8"/>
  <c r="B5" i="8"/>
  <c r="B6" i="8"/>
  <c r="B7" i="8"/>
  <c r="B8" i="8"/>
  <c r="B9" i="8"/>
  <c r="B10" i="8"/>
  <c r="B11" i="8"/>
  <c r="B12" i="8"/>
  <c r="B13" i="8"/>
  <c r="B14" i="8"/>
  <c r="B15" i="8"/>
  <c r="B16" i="8"/>
  <c r="B17" i="8"/>
  <c r="B18" i="8"/>
  <c r="B2" i="8"/>
  <c r="B21" i="8" l="1"/>
  <c r="E17" i="8"/>
  <c r="F17" i="8"/>
  <c r="E13" i="8"/>
  <c r="F13" i="8"/>
  <c r="F16" i="8"/>
  <c r="E16" i="8"/>
  <c r="E12" i="8"/>
  <c r="F12" i="8"/>
  <c r="E15" i="8"/>
  <c r="F15" i="8"/>
  <c r="F11" i="8"/>
  <c r="E11" i="8"/>
  <c r="E18" i="8"/>
  <c r="F18" i="8"/>
  <c r="F14" i="8"/>
  <c r="E14" i="8"/>
  <c r="L1" i="2" l="1"/>
  <c r="M1" i="2"/>
  <c r="N1" i="2"/>
  <c r="K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Alarcos</author>
  </authors>
  <commentList>
    <comment ref="U528" authorId="0" shapeId="0" xr:uid="{00000000-0006-0000-0100-000001000000}">
      <text>
        <r>
          <rPr>
            <b/>
            <sz val="9"/>
            <color indexed="81"/>
            <rFont val="Tahoma"/>
            <family val="2"/>
          </rPr>
          <t>Alarcos:</t>
        </r>
        <r>
          <rPr>
            <sz val="9"/>
            <color indexed="81"/>
            <rFont val="Tahoma"/>
            <family val="2"/>
          </rPr>
          <t xml:space="preserve">
Social software is based on four basic principles: social production [9], weak ties
[10], collective decisions [23], and value co-creation [11]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Alarcos</author>
  </authors>
  <commentList>
    <comment ref="P10" authorId="0" shapeId="0" xr:uid="{00000000-0006-0000-0200-000001000000}">
      <text>
        <r>
          <rPr>
            <b/>
            <sz val="9"/>
            <color indexed="81"/>
            <rFont val="Tahoma"/>
            <family val="2"/>
          </rPr>
          <t>Alarcos:</t>
        </r>
        <r>
          <rPr>
            <sz val="9"/>
            <color indexed="81"/>
            <rFont val="Tahoma"/>
            <family val="2"/>
          </rPr>
          <t xml:space="preserve">
Social software is based on four basic principles: social production [9], weak ties
[10], collective decisions [23], and value co-creation [11]</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onsulta - all" description="Conexión a la consulta 'all' en el libro." type="5" refreshedVersion="6" background="1" saveData="1">
    <dbPr connection="Provider=Microsoft.Mashup.OleDb.1;Data Source=$Workbook$;Location=all;Extended Properties=&quot;&quot;" command="SELECT * FROM [all]"/>
  </connection>
  <connection id="2" xr16:uid="{00000000-0015-0000-FFFF-FFFF01000000}" keepAlive="1" name="Consulta - SMS_ArquiRev_2_basic" description="Conexión a la consulta 'SMS_ArquiRev_2_basic' en el libro." type="5" refreshedVersion="0" background="1">
    <dbPr connection="Provider=Microsoft.Mashup.OleDb.1;Data Source=$Workbook$;Location=SMS_ArquiRev_2_basic;Extended Properties=&quot;&quot;" command="SELECT * FROM [SMS_ArquiRev_2_basic]"/>
  </connection>
  <connection id="3" xr16:uid="{00000000-0015-0000-FFFF-FFFF02000000}" keepAlive="1" name="Consulta - SMS_ArquiRev_2_noDuplicates" description="Conexión a la consulta 'SMS_ArquiRev_2_noDuplicates' en el libro." type="5" refreshedVersion="6" background="1" saveData="1">
    <dbPr connection="Provider=Microsoft.Mashup.OleDb.1;Data Source=$Workbook$;Location=SMS_ArquiRev_2_noDuplicates;Extended Properties=&quot;&quot;" command="SELECT * FROM [SMS_ArquiRev_2_noDuplicates]"/>
  </connection>
</connections>
</file>

<file path=xl/sharedStrings.xml><?xml version="1.0" encoding="utf-8"?>
<sst xmlns="http://schemas.openxmlformats.org/spreadsheetml/2006/main" count="13117" uniqueCount="5733">
  <si>
    <t>Conference Proceedings</t>
  </si>
  <si>
    <t/>
  </si>
  <si>
    <t>Table of contents</t>
  </si>
  <si>
    <t>2011 First ACIS/JNU International Conference on Computers, Networks, Systems and Industrial Engineering</t>
  </si>
  <si>
    <t>http://ieeexplore.ieee.org/document/5954381/</t>
  </si>
  <si>
    <t>cloud computing_x000D_
data mining_x000D_
electronic commerce_x000D_
groupware_x000D_
information systems_x000D_
intelligent sensors_x000D_
mobile communication_x000D_
mobile computing_x000D_
pattern recognition_x000D_
program testing_x000D_
project management_x000D_
radar signal processing_x000D_
radio networks_x000D_
security of data_x000D_
software engineering_x000D_
IT convergence_x000D_
Internet technology_x000D_
MICE_x000D_
collaboration techniques_x000D_
communication systems_x000D_
data engineering_x000D_
e-Commerce_x000D_
e-activity_x000D_
enterprise architecture challenges_x000D_
future security technologies_x000D_
information science_x000D_
intelligent networks_x000D_
mobile communications_x000D_
model-based software testing_x000D_
smart sensor systems_x000D_
ubiquitous computing_x000D_
wireless computing</t>
  </si>
  <si>
    <t>Summary form only given. Strong light-matter coupling has been recently successfully explored in the GHz and THz [1] range with on-chip platforms. New and intriguing quantum optical phenomena have been predicted in the ultrastrong coupling regime [2], when the coupling strength &amp;#x03A9; becomes comparable to the unperturbed frequency of the system &amp;#x03C9;. We recently proposed a new experimental platform where we couple the inter-Landau level transition of an high-mobility 2DEG to the highly subwavelength photonic mode of an LC meta-atom [3] showing very large &amp;#x03A9;/&amp;#x03C9;&lt;sub&gt;c&lt;/sub&gt; = 0.87. Our system benefits from the collective enhancement of the light-matter coupling which comes from the scaling of the coupling &amp;#x03A9; &amp;#x221D; &amp;#x221A;n, were n is the number of optically active electrons. In our previous experiments [3] and in literature [4] this number varies from 10&lt;sup&gt;4&lt;/sup&gt;-10&lt;sup&gt;3&lt;/sup&gt; electrons per meta-atom. We now engineer a new cavity, resonant at 290 GHz, with an extremely reduced effective mode surface S&lt;sub&gt;eff&lt;/sub&gt; = 4 &amp;#x00D7; 10&lt;sup&gt;-14&lt;/sup&gt; m&lt;sup&gt;2&lt;/sup&gt; (FE simulations, CST), yielding large field enhancements above 1500 and allowing to enter the few (&amp;lt;;100) electron regime. It consist of a complementary metasurface with two very sharp metallic tips separated by a 60 nm gap (Fig.1(a, b)) on top of a single triangular quantum well. THz-TDS transmission experiments as a function of the applied magnetic field reveal strong anticrossing of the cavity mode with linear cyclotron dispersion. Measurements for arrays of only 12 cavities are reported in Fig.1(c). On the top horizontal axis we report the number of electrons occupying the topmost Landau level as a function of the magnetic field. At the anticrossing field of B=0.73 T we measure approximately 60 electrons ultra strongly coupled (&amp;#x03A9;/&amp;#x03C9-</t>
  </si>
  <si>
    <t>[Title page i]</t>
  </si>
  <si>
    <t>2016 49th Hawaii International Conference on System Sciences (HICSS)</t>
  </si>
  <si>
    <t>http://ieeexplore.ieee.org/document/7427175/</t>
  </si>
  <si>
    <t>Internet_x000D_
administrative data processing_x000D_
computer games_x000D_
data handling_x000D_
data mining_x000D_
decision making_x000D_
ecology_x000D_
emergency management_x000D_
human computer interaction_x000D_
information systems_x000D_
operations research_x000D_
organisational aspects_x000D_
power systems_x000D_
project management_x000D_
public domain software_x000D_
security_x000D_
social networking (online)_x000D_
teaching_x000D_
ubiquitous computing_x000D_
value engineering_x000D_
BOLD_x000D_
Big Data analytics_x000D_
Big and Linked Data_x000D_
ICT-enabled services_x000D_
IS cross-cultural issues_x000D_
IT architectures_x000D_
IT management_x000D_
Internet of Everything_x000D_
Internet of Things_x000D_
Web content analysis_x000D_
Web content usage_x000D_
Web mining_x000D_
agile_x000D_
behavioral IS security_x000D_
business analytics_x000D_
business intelligence_x000D_
business operations_x000D_
clinical decision-making_x000D_
cloud computing_x000D_
collaboration research_x000D_
collaboration systems_x000D_
collective intelligence_x000D_
communication technology_x000D_
crisis management_x000D_
cross-border IS/IT collaboration_x000D_
cross-organizational IS/IT collaboration_x000D_
crowdfunding_x000D_
cybercrimes_x000D_
cybersecurity_x000D_
cyberwarfare_x000D_
data science_x000D_
defensive software technologies_x000D_
digital economy_x000D_
digital forensics_x000D_
digital government_x000D_
digital media_x000D_
digital service innovations_x000D_
disaster management_x000D_
distributed generation_x000D_
distributed group decision-making_x000D_
e-Business transformation_x000D_
e-Health_x000D_
e-Society services_x000D_
ecosystems decision support_x000D_
electric energy systems_x000D_
electronic government_x000D_
electronic marketing_x000D_
enterprise architecture_x000D_
entrepreneurial systems_x000D_
game-like systems_x000D_
gamification_x000D_
global health IT strategies_x000D_
global virtual teams_x000D_
health behavior change support systems_x000D_
healthcare_x000D_
healthy aging technologies_x000D_
human capital_x000D_
human development_x000D_
human-centered assistance systems_x000D_
human-computer interaction_x000D_
humanitarian operations research_x000D_
information and communication technologies_x000D_
information design_x000D_
information systems procurement_x000D_
information systems technology_x000D_
innovation_x000D_
intelligent decision support_x000D_
interactive visual decision analytics_x000D_
knowledge economics_x000D_
knowledge exchange_x000D_
knowledge flows_x000D_
knowledge innovation_x000D_
knowledge management_x000D_
knowledge sharing_x000D_
knowledge society_x000D_
knowledge systems_x000D_
knowledge transfer_x000D_
lean_x000D_
learning health systems_x000D_
learning technologies_x000D_
logistics_x000D_
mobile applications_x000D_
mobile value services_x000D_
mobility-enhanced social collaborations_x000D_
multicriteria decision analysis_x000D_
network analysis_x000D_
offensive software technologies_x000D_
online games_x000D_
open phenomena_x000D_
open source application software_x000D_
organizational creativity_x000D_
organizational information technologies_x000D_
organizational learning_x000D_
parallel computing_x000D_
power system control_x000D_
power system monitoring_x000D_
power system protection_x000D_
privacy_x000D_
renewable generation_x000D_
resilient networks_x000D_
serious games_x000D_
service analytics_x000D_
service science_x000D_
smart city government_x000D_
smart service systems_x000D_
social computing_x000D_
social justice_x000D_
social media_x000D_
social networking services_x000D_
social shopping_x000D_
socio-political legitimization_x000D_
soft computing_x000D_
software product lines_x000D_
streaming data analytics_x000D_
supply chain management_x000D_
sustainability decision technologies_x000D_
systemic financial risk analytics_x000D_
systems sciences_x000D_
task-centered assistance systems_x000D_
teaching technologies_x000D_
team collaboration_x000D_
team creativity_x000D_
text mining_x000D_
user experience design_x000D_
value creation_x000D_
wireless networks</t>
  </si>
  <si>
    <t>[Front cover]</t>
  </si>
  <si>
    <t>2016 4th IEEE International Colloquium on Information Science and Technology (CiSt)</t>
  </si>
  <si>
    <t>http://ieeexplore.ieee.org/document/7804841/</t>
  </si>
  <si>
    <t>Internet_x000D_
administrative data processing_x000D_
artificial intelligence_x000D_
crowdsourcing_x000D_
decision making_x000D_
educational computing_x000D_
emergency management_x000D_
engineering computing_x000D_
file organisation_x000D_
image processing_x000D_
information systems_x000D_
information theory_x000D_
intelligent transportation systems_x000D_
languages_x000D_
natural language processing_x000D_
neural nets_x000D_
operations research_x000D_
optimisation_x000D_
programming_x000D_
reverse engineering_x000D_
security_x000D_
smart cities_x000D_
smart power grids_x000D_
social networking (online)_x000D_
software engineering_x000D_
statistics_x000D_
telecommunication_x000D_
2-D DOA estimation_x000D_
3D segmentation algorithms_x000D_
3G mobile networks_x000D_
4th generation heterogeneous wireless network_x000D_
AHP method_x000D_
ALS_CORR[LP]_x000D_
ARIS_x000D_
AprioriMin_x000D_
BIDCBR-MAS_x000D_
Bayesian network_x000D_
CCSD_x000D_
CIM_x000D_
DCT_x000D_
DSWT_x000D_
E-learning_x000D_
EA readiness instrument_x000D_
EST.Stemmer_x000D_
FLOSS ERP system_x000D_
FPGA_x000D_
GPU_x000D_
GUI_x000D_
HP filter_x000D_
Hadoop-Agent_x000D_
IDE 2.0_x000D_
IDS-AM-Clust_x000D_
IFML_x000D_
ITIL framework_x000D_
Java source code analysis_x000D_
KPI_x000D_
LEACH protocol_x000D_
LSB steganography_x000D_
Lahajat_x000D_
MDA_x000D_
MIH architecture_x000D_
MOOC_x000D_
MUSIC algorithm_x000D_
Moodle_x000D_
O&amp;M cost simulation_x000D_
PHM as a service_x000D_
PIM_x000D_
PPMIS_x000D_
PSO algorithm_x000D_
Pennes bioheat equation_x000D_
Q-learning_x000D_
QFN electronic package_x000D_
R_x000D_
RIA interfaces_x000D_
SCOR model_x000D_
SEM_x000D_
SME_x000D_
SYSML language_x000D_
Scrum process_x000D_
SoaML_x000D_
TOPSIS_x000D_
TestNG tests_x000D_
Tr-OrBAC model_x000D_
UML sequence diagrams_x000D_
UTAUT2_x000D_
VANET_x000D_
Web applications_x000D_
Web mining_x000D_
XBRL_x000D_
XML technology_x000D_
activity recognition_x000D_
adaptive learning system_x000D_
air-flow_x000D_
alert message dissemination protocol_x000D_
association rules_x000D_
automatic keyphrase extraction_x000D_
back-propagation algorithm_x000D_
bag of features model_x000D_
big incremental dynamic case-based reasoning-multi-agents system_x000D_
business process verification_x000D_
cloud computing_x000D_
cloud database_x000D_
cognitive radio system_x000D_
community question answering_x000D_
critical infrastructures_x000D_
data hiding_x000D_
data mining_x000D_
data quality_x000D_
data warehouse security_x000D_
dictionary Al-Qamus_x000D_
disaster emergency system_x000D_
distributed test architecture_x000D_
distributional semantics_x000D_
drug supply_x000D_
dynamic programming_x000D_
embedded system_x000D_
enterprise architecture_x000D_
evolutionary machine learning_x000D_
extended Kalman filter_x000D_
feature extraction_x000D_
finance management system_x000D_
fluid-structure interaction problems_x000D_
game theory_x000D_
genetic algorithm_x000D_
good governance monitoring_x000D_
harmony search algorithm_x000D_
health data management system_x000D_
homomorphic encryption_x000D_
honeypots_x000D_
hospital logistics_x000D_
identity management systems_x000D_
image cropping_x000D_
indoor localization_x000D_
information entropy_x000D_
information retrieval_x000D_
information system security risk management_x000D_
intelligence E-CRM_x000D_
intelligent tutoring systems_x000D_
interoperability_x000D_
intrusion detection_x000D_
inventory management_x000D_
k-means algorithm_x000D_
lean-maintenance_x000D_
least significant bit steganography_x000D_
liquidity_x000D_
massive open online courses_x000D_
max-cut problem_x000D_
memetic hunting search algorithm_x000D_
metacognitive learning management system_x000D_
metadata_x000D_
min-conflict heuristic_x000D_
mobile cloud_x000D_
neural network_x000D_
object oriented programs_x000D_
ontology_x000D_
particle map matching_x000D_
partitioning filter_x000D_
pipelined AES S-box_x000D_
project portfolio management information systems_x000D_
recommender system_x000D_
residential microgrid_x000D_
response surface approach_x000D_
routing process_x000D_
rule-based converter_x000D_
safety instrumented system_x000D_
sampling theory_x000D_
self-regulated learning_x000D_
sentiment analysis_x000D_
sign language_x000D_
signaling DoS attacks_x000D_
smart curriculum sequencing_x000D_
smart grid_x000D_
social networks_x000D_
software engineering learning_x000D_
spanning tree_x000D_
spectrum allocation_x000D_
stateful pattern matching_x000D_
stock market price prediction_x000D_
supply chain demand forecasts_x000D_
text summarization_x000D_
traffic signal control system_x000D_
traveling salesman problem_x000D_
tube hydroforming_x000D_
uniform circular array_x000D_
university of the future_x000D_
vehicle path planning problem_x000D_
vehicular navigation spoofing detection_x000D_
vertical handover_x000D_
virtual labs_x000D_
wind turbine blade_x000D_
wireless sensor networks</t>
  </si>
  <si>
    <t>A. Abdallah; J. Lapalme; A. Abran</t>
  </si>
  <si>
    <t>Enterprise Architecture Measurement: A Systematic Mapping Study</t>
  </si>
  <si>
    <t>2016 4th International Conference on Enterprise Systems (ES)</t>
  </si>
  <si>
    <t>http://ieeexplore.ieee.org/document/7880427/</t>
  </si>
  <si>
    <t>business data processing_x000D_
EA measurement_x000D_
enterprise architecture measurement_x000D_
Area measurement_x000D_
Business_x000D_
Computer architecture_x000D_
Current measurement_x000D_
Data mining_x000D_
Databases_x000D_
Systematics_x000D_
EA artifacts_x000D_
EA concepts_x000D_
EA measurement terms_x000D_
EA school of thoughts_x000D_
enterprise architecture</t>
  </si>
  <si>
    <t>A. S. Alghamdi; I. Ahmad</t>
  </si>
  <si>
    <t>2010 2nd International Conference on Computer Engineering and Technology</t>
  </si>
  <si>
    <t>http://ieeexplore.ieee.org/document/5486188/</t>
  </si>
  <si>
    <t>command and control systems_x000D_
C4I architecture frameworks_x000D_
aegis erudition systems_x000D_
chrysalis process_x000D_
doodle_x000D_
incommensurable aegis megacorp frameworks_x000D_
metaphorical assay_x000D_
multi-criteria analysis_x000D_
Airports_x000D_
Communication system control_x000D_
Computer architecture_x000D_
Data mining_x000D_
Educational institutions_x000D_
Force control_x000D_
Information analysis_x000D_
Rails_x000D_
Roads_x000D_
Software engineering_x000D_
Architecture Frameworks (AFs)_x000D_
Australian Defense Organization Architecture Framework (ADOAF)_x000D_
Department of National Defense Architecture Framework (DNDAF)_x000D_
FEA (Federal Enterprise Architecture)_x000D_
French Military Architecture (FMAF)_x000D_
Multi Criteria Software</t>
  </si>
  <si>
    <t>D. Fitzpatrick; S. Ratté; F. Coallier</t>
  </si>
  <si>
    <t>RA-EKI: A use case for collaborative logistics planning in coalition force deployment</t>
  </si>
  <si>
    <t>2013 Military Communications and Information Systems Conference</t>
  </si>
  <si>
    <t>defence industry_x000D_
electronic data interchange_x000D_
knowledge management_x000D_
logistics_x000D_
military computing_x000D_
open systems_x000D_
NAF_x000D_
NATO architecture framework_x000D_
RA-EKI_x000D_
TOGAF_x000D_
coalition force deployment_x000D_
collaborative logistics planning_x000D_
data exchange_x000D_
government_x000D_
information exchange_x000D_
knowledge exchange_x000D_
knowledge lifecycle_x000D_
logistics plans_x000D_
military force deployment_x000D_
military logistics planning_x000D_
organizational collaboration_x000D_
reference architecture of an enterprise knowledge infrastructure_x000D_
social media_x000D_
supplier sites_x000D_
system interoperability_x000D_
the open group architecture framework_x000D_
unstructured data_x000D_
Collaboration_x000D_
Data mining_x000D_
Databases_x000D_
Ontologies_x000D_
Planning_x000D_
Semantics_x000D_
data integration_x000D_
enterprise architecture_x000D_
multi-domain ontology</t>
  </si>
  <si>
    <t>A. Golnam; G. Regev; A. Wegmann; S. Kyriakopoulou</t>
  </si>
  <si>
    <t>The integration of an RE method and AHP: A pilot study in a large Swiss bank</t>
  </si>
  <si>
    <t>2013 21st IEEE International Requirements Engineering Conference (RE)</t>
  </si>
  <si>
    <t>http://ieeexplore.ieee.org/document/6636735/</t>
  </si>
  <si>
    <t>analytic hierarchy process_x000D_
bank data processing_x000D_
formal specification_x000D_
formal verification_x000D_
investment_x000D_
service-oriented architecture_x000D_
AHP_x000D_
RE method_x000D_
SEAM_x000D_
SOA tool_x000D_
Swiss Bank_x000D_
Switzerland_x000D_
bank business units_x000D_
private banking_x000D_
purchasing_x000D_
requirements elicitation process_x000D_
requirements engineering project_x000D_
stakeholders_x000D_
systemic enterprise architecture method_x000D_
Banking_x000D_
Interviews_x000D_
Security_x000D_
Semiconductor optical amplifiers_x000D_
Analytic Hierarchy Process (AHP)_x000D_
Requirements Engineering_x000D_
Service Oriented Architecture (SOA)</t>
  </si>
  <si>
    <t>O. Moscoso-Zea; S. Andres; S. Luján-Mora</t>
  </si>
  <si>
    <t>Datawarehouse design for educational data mining</t>
  </si>
  <si>
    <t>2016 15th International Conference on Information Technology Based Higher Education and Training (ITHET)</t>
  </si>
  <si>
    <t>http://ieeexplore.ieee.org/document/7760754/</t>
  </si>
  <si>
    <t>Big Data_x000D_
competitive intelligence_x000D_
data analysis_x000D_
data mining_x000D_
data warehouses_x000D_
educational administrative data processing_x000D_
educational institutions_x000D_
knowledge management_x000D_
EDM technique_x000D_
KMF_x000D_
big data analysis_x000D_
business intelligence_x000D_
data warehouse design_x000D_
decision making support_x000D_
educational data mining_x000D_
enterprise architecture repository_x000D_
higher institution_x000D_
information analysis_x000D_
information handling_x000D_
key performance indicators_x000D_
knowledge capture_x000D_
knowledge creation_x000D_
knowledge digitalization_x000D_
knowledge discovery process_x000D_
knowledge management framework_x000D_
knowledge transfer_x000D_
private university_x000D_
process improvement_x000D_
Decision making_x000D_
Loading_x000D_
Organizations_x000D_
Software_x000D_
Datawarehouse_x000D_
ETL</t>
  </si>
  <si>
    <t>O. Moscoso-Zea; S. Luján-Mora</t>
  </si>
  <si>
    <t>Knowledge management in higher education institutions for the generation of organizational knowledge</t>
  </si>
  <si>
    <t>2017 12th Iberian Conference on Information Systems and Technologies (CISTI)</t>
  </si>
  <si>
    <t>http://ieeexplore.ieee.org/document/7975823/</t>
  </si>
  <si>
    <t>competitive intelligence_x000D_
data mining_x000D_
further education_x000D_
knowledge management_x000D_
organisational aspects_x000D_
HEI_x000D_
KM_x000D_
business intelligence_x000D_
educational data mining_x000D_
enterprise architecture_x000D_
higher education institutions_x000D_
organizational knowledge generation_x000D_
organizational knowledge transfer_x000D_
Data visualization_x000D_
Data warehouses_x000D_
Education_x000D_
Predictive models_x000D_
Tools_x000D_
Educational Management_x000D_
Organizational Knowledge</t>
  </si>
  <si>
    <t>D. Naranjo; M. Sánchez; J. Villalobos</t>
  </si>
  <si>
    <t>Visual Analysis of Enterprise Models</t>
  </si>
  <si>
    <t>2012 IEEE 16th International Enterprise Distributed Object Computing Conference Workshops</t>
  </si>
  <si>
    <t>http://ieeexplore.ieee.org/document/6406248/</t>
  </si>
  <si>
    <t>cognition_x000D_
corporate modelling_x000D_
data mining_x000D_
data structures_x000D_
data visualisation_x000D_
programming language semantics_x000D_
service-oriented architecture_x000D_
visual languages_x000D_
EA model analysis_x000D_
cognitive effectiveness_x000D_
data abstraction_x000D_
enterprise architecture_x000D_
pattern discovery_x000D_
semantics_x000D_
visual analysis_x000D_
visualization tool_x000D_
Analytical models_x000D_
Complexity theory_x000D_
Data visualization_x000D_
Layout_x000D_
Unified modeling language_x000D_
Visualization_x000D_
analysis_x000D_
architecture_x000D_
tool evaluation</t>
  </si>
  <si>
    <t>A. Naseer; L. Laera; T. Matsutsuka</t>
  </si>
  <si>
    <t>Enterprise BigGraph</t>
  </si>
  <si>
    <t>2013 46th Hawaii International Conference on System Sciences</t>
  </si>
  <si>
    <t>http://ieeexplore.ieee.org/document/6479954/</t>
  </si>
  <si>
    <t>business data processing_x000D_
data handling_x000D_
data mining_x000D_
big data_x000D_
competitive advantages_x000D_
data-centric enterprise architecture_x000D_
enterprise BigGraph_x000D_
enterprise data_x000D_
enterprise productivity_x000D_
information flow_x000D_
intuitive navigation_x000D_
knowledge discovery_x000D_
real business value_x000D_
social analysis_x000D_
social capabilities_x000D_
unified communications_x000D_
Data storage systems_x000D_
Distributed databases_x000D_
Information management_x000D_
Resource description framework_x000D_
Social network services_x000D_
Enterprise social_x000D_
Graph networks_x000D_
Linked Data</t>
  </si>
  <si>
    <t>A. G. Özdoğan; K. O. Akgün; C. Kaya</t>
  </si>
  <si>
    <t>Service governance in service oriented architecture</t>
  </si>
  <si>
    <t>2017 International Conference on Computer Science and Engineering (UBMK)</t>
  </si>
  <si>
    <t>http://ieeexplore.ieee.org/document/8093374/</t>
  </si>
  <si>
    <t>Web services_x000D_
business process re-engineering_x000D_
information systems_x000D_
meta data_x000D_
service-oriented architecture_x000D_
software architecture_x000D_
code repetition_x000D_
enterprise information systems_x000D_
enterprise service governance_x000D_
heterogeneous distribution_x000D_
service metadata_x000D_
service oriented architecture_x000D_
Banking_x000D_
Contracts_x000D_
Productivity_x000D_
Registers_x000D_
collaboration_x000D_
enterprise architecture_x000D_
impact analysis</t>
  </si>
  <si>
    <t>In today's world, enterprise information systems exhibit a heterogeneous distribution due to highly coupled applications and systems. As a result of this coupling, there are many problems such as inefficient code, delayed project deliveries, code repetition, lack of documentation and reduced happiness and productivity among software developers. An application named Enterprise Service Governance (ESG) aims to remedy these problems. With this application, our goal was to discover and register different services, provide a search interface for finding service metadata, allow management of service development within a lifecycle, and provide dependency and impact analysis and reporting for a service oriented architecture.</t>
  </si>
  <si>
    <t>R. Pavon; B. Carpenter</t>
  </si>
  <si>
    <t>Synthesis of Decision Making: From Data to Business Execution</t>
  </si>
  <si>
    <t>2013 IEEE 13th International Conference on Data Mining Workshops</t>
  </si>
  <si>
    <t>http://ieeexplore.ieee.org/document/6753920/</t>
  </si>
  <si>
    <t>data analysis_x000D_
decision making_x000D_
electronic commerce_x000D_
anomaly detection_x000D_
cluster analysis_x000D_
data collection and process analysis_x000D_
data repositories_x000D_
data to decisions framework_x000D_
decision making synthesis_x000D_
digital data_x000D_
information technology system outages classification_x000D_
information technology system outages identification_x000D_
Data mining_x000D_
Market research_x000D_
Monitoring_x000D_
Organizations_x000D_
Software_x000D_
business operations_x000D_
business service_x000D_
enterprise architecture_x000D_
framework_x000D_
process improvement</t>
  </si>
  <si>
    <t>P. Petrov; U. Buy; R. L. Nord</t>
  </si>
  <si>
    <t>Enhancing the software architecture analysis and design process with inferred macro-architectural requirements</t>
  </si>
  <si>
    <t>2012 First IEEE International Workshop on the Twin Peaks of Requirements and Architecture (TwinPeaks)</t>
  </si>
  <si>
    <t>http://ieeexplore.ieee.org/document/6344556/</t>
  </si>
  <si>
    <t>formal specification_x000D_
organisational aspects_x000D_
software architecture_x000D_
software quality_x000D_
agile methods_x000D_
architectural heuristics_x000D_
architectural patterns_x000D_
authoritative information flow_x000D_
backward inferred macro-architectural requirements_x000D_
contextual environment concerns_x000D_
forward inferred macroarchitectural requirements_x000D_
iterative methods_x000D_
organizational boundaries_x000D_
project life cycle_x000D_
requirement discovery_x000D_
requirement elicitation_x000D_
requirements control_x000D_
requirements engineering process_x000D_
software architecture analysis process_x000D_
software architecture design process_x000D_
software engineering_x000D_
software product quality_x000D_
spiral methods_x000D_
Computer architecture_x000D_
Context_x000D_
Ecosystems_x000D_
Organizations_x000D_
Software_x000D_
Enterprise architecture_x000D_
analysis and design_x000D_
architectural requirements_x000D_
contextual concern_x000D_
requirements engineering</t>
  </si>
  <si>
    <t>M. Pulkkinen; L. Kapraali</t>
  </si>
  <si>
    <t>Collaborative EA Information Elicitation Method: The IEM for Business Architecture</t>
  </si>
  <si>
    <t>2015 IEEE 17th Conference on Business Informatics</t>
  </si>
  <si>
    <t>http://ieeexplore.ieee.org/document/7264770/</t>
  </si>
  <si>
    <t>business data processing_x000D_
formal specification_x000D_
knowledge acquisition_x000D_
organisational aspects_x000D_
BA elicitation method_x000D_
EA planning_x000D_
IEM_x000D_
architectural requirements elicitation_x000D_
business architecture_x000D_
collaborative EA information elicitation method_x000D_
enterprise architecture_x000D_
organizational change management_x000D_
public organization_x000D_
Collaboration_x000D_
Computer architecture_x000D_
Conferences_x000D_
Organizations_x000D_
Portfolios_x000D_
Stakeholders_x000D_
Method_x000D_
Public Administration_x000D_
Requirements elicitation</t>
  </si>
  <si>
    <t>T. Reimer; Q. Tan</t>
  </si>
  <si>
    <t>Ecosystem for Business Driven IT Management</t>
  </si>
  <si>
    <t>2014 IEEE Network Operations and Management Symposium (NOMS)</t>
  </si>
  <si>
    <t>http://ieeexplore.ieee.org/document/6838374/</t>
  </si>
  <si>
    <t>information technology_x000D_
organisational aspects_x000D_
IT infrastructure_x000D_
business driven IT management_x000D_
business processes_x000D_
business value_x000D_
computing landscapes_x000D_
ecosystem_x000D_
enterprise architecture_x000D_
Business_x000D_
Computer architecture_x000D_
Data mining_x000D_
Databases_x000D_
Ecosystems_x000D_
Measurement_x000D_
Monitoring_x000D_
BDIM_x000D_
BPM_x000D_
Monitoring Framework_x000D_
process mining</t>
  </si>
  <si>
    <t>N. Rosasco; J. Dehlinger</t>
  </si>
  <si>
    <t>Business Architecture Elicitation for Enterprise Architecture: VMOST versus Conventional Strategy Capture</t>
  </si>
  <si>
    <t>2011 Ninth International Conference on Software Engineering Research, Management and Applications</t>
  </si>
  <si>
    <t>http://ieeexplore.ieee.org/document/6065633/</t>
  </si>
  <si>
    <t>academic libraries_x000D_
business data processing_x000D_
strategic planning_x000D_
IT strategy_x000D_
VMOST_x000D_
Zachman framework_x000D_
business architecture elicitation_x000D_
business environment_x000D_
conventional strategy capture_x000D_
enterprise architecture framework_x000D_
enterprise strategy_x000D_
information technology infrastructure_x000D_
strategic plan_x000D_
university library_x000D_
Computer architecture_x000D_
Educational institutions_x000D_
Interviews_x000D_
Libraries_x000D_
Organizations_x000D_
Zachman_x000D_
alignment_x000D_
enterprise architecture_x000D_
strategy</t>
  </si>
  <si>
    <t>Eliciting Business Architecture Information in Enterprise Architecture Frameworks Using VMOST</t>
  </si>
  <si>
    <t>http://ieeexplore.ieee.org/document/5954365/</t>
  </si>
  <si>
    <t>business data processing_x000D_
IT strategy_x000D_
VMOST elicitation approach_x000D_
business architecture information_x000D_
enterprise architecture framework_x000D_
information technology infrastructure_x000D_
vision-mission-objective-strategy-tactic approach_x000D_
Adaptation models_x000D_
Business_x000D_
Computer architecture_x000D_
Information technology_x000D_
Interviews_x000D_
Libraries_x000D_
Software</t>
  </si>
  <si>
    <t>Application of a lightweight enterprise architecture elicitation technique using a case study approach</t>
  </si>
  <si>
    <t>2014 9th International Conference on Evaluation of Novel Approaches to Software Engineering (ENASE)</t>
  </si>
  <si>
    <t>Business_x000D_
Communities_x000D_
Computer architecture_x000D_
Context_x000D_
Information systems_x000D_
Libraries_x000D_
Portfolios_x000D_
Case Study_x000D_
Enterprise Architecture_x000D_
Experiential Software Engineering_x000D_
Grounded Theory Method</t>
  </si>
  <si>
    <t>P. Saint-Louis; J. Lapalme</t>
  </si>
  <si>
    <t>Investigation of the Lack of Common Understanding in the Discipline of Enterprise Architecture : A Systematic Mapping Study</t>
  </si>
  <si>
    <t>2016 IEEE 20th International Enterprise Distributed Object Computing Workshop (EDOCW)</t>
  </si>
  <si>
    <t>http://ieeexplore.ieee.org/document/7584364/</t>
  </si>
  <si>
    <t>organisational aspects_x000D_
EA discipline_x000D_
enterprise architecture discipline_x000D_
language issue_x000D_
multidisciplinary issue_x000D_
Computer architecture_x000D_
Data mining_x000D_
Libraries_x000D_
Organizations_x000D_
Planning_x000D_
Systematics_x000D_
Terminology</t>
  </si>
  <si>
    <t>T. M. Truong; L. L. S; L. P. Tôn</t>
  </si>
  <si>
    <t>Re-engineering Enterprises Using Data Warehouse as a Driver and Requirements as an Enabler</t>
  </si>
  <si>
    <t>2017 IEEE 21st International Enterprise Distributed Object Computing Conference (EDOC)</t>
  </si>
  <si>
    <t>http://ieeexplore.ieee.org/document/8089864/</t>
  </si>
  <si>
    <t>business data processing_x000D_
data mining_x000D_
data warehouses_x000D_
business layer_x000D_
business processes_x000D_
data mining rules_x000D_
design-time_x000D_
enterprise architecture_x000D_
enterprise data warehouse_x000D_
high-level requirements_x000D_
high-level strategic elements_x000D_
low-cost domestic airfare_x000D_
process re-design_x000D_
re-engineering Enterprises_x000D_
Companies_x000D_
Computer architecture_x000D_
Data models_x000D_
ArchiMate_x000D_
BPMN_x000D_
Enterprise Re-Engineering_x000D_
Process Redesign</t>
  </si>
  <si>
    <t>Re-engineering is essential for maintaining the competitiveness of enterprises. Enterprise re-engineering involves addressing (emergent) changes, re-organizing, outsourcing, realigning, etc. In this paper, we investigate how to re-engineer enterprises by coupling high-level requirements and the data warehouse, leading to a process re-design that makes the business layer of an enterprise more effective. More specifically, we propose an approach to reasoning about enterprise's strategy together with data mining rules extracted from the data warehouse of the enterprise in order to make design-time changes to its business processes, primarily by means of eliminating redundant tasks and re-ordering inefficiently-located tasks. As such, the redesign is enabled by high-level strategic elements and driven by the enterprise data warehouse. The rationale behind this realignment is to combine yesterday's behavioral facts (i.e., mining enterprise's operational data) with today's operationalization possibilities (e.g., goals), which results in tomorrow's business model. We report our work on the enterprise architecture developed for a retailer of low-cost domestic airfare.</t>
  </si>
  <si>
    <t>Q. Wang</t>
  </si>
  <si>
    <t>Architecture Design of Mass Data Processing Mode</t>
  </si>
  <si>
    <t>2011 Third Pacific-Asia Conference on Circuits, Communications and System (PACCS)</t>
  </si>
  <si>
    <t>http://ieeexplore.ieee.org/document/5990096/</t>
  </si>
  <si>
    <t>Java_x000D_
data analysis_x000D_
data mining_x000D_
information retrieval_x000D_
management information systems_x000D_
public domain software_x000D_
software architecture_x000D_
B/S mixed model architecture_x000D_
C/S mixed model architecture_x000D_
DI_x000D_
IoC_x000D_
Java lightweight enterprise architecture_x000D_
data algorithm analysis_x000D_
data import_x000D_
data modification_x000D_
data query_x000D_
data statistics_x000D_
database data model design_x000D_
dependency injection_x000D_
enormous data_x000D_
formatted export_x000D_
hierarchical architecture design models_x000D_
information extraction_x000D_
inversion of control_x000D_
mainstream open-source framework technology_x000D_
management information system_x000D_
mass data processing mode_x000D_
Computer architecture_x000D_
Data models_x000D_
Databases_x000D_
Instruction sets_x000D_
Object oriented modeling_x000D_
Presses</t>
  </si>
  <si>
    <t>R. Weinreich; C. Miesbauer; G. Buchgeher; T. Kriechbaum</t>
  </si>
  <si>
    <t>Extracting and Facilitating Architecture in Service-Oriented Software Systems</t>
  </si>
  <si>
    <t>2012 Joint Working IEEE/IFIP Conference on Software Architecture and European Conference on Software Architecture</t>
  </si>
  <si>
    <t>http://ieeexplore.ieee.org/document/6337764/</t>
  </si>
  <si>
    <t>bank data processing_x000D_
business data processing_x000D_
information retrieval_x000D_
service-oriented architecture_x000D_
software maintenance_x000D_
software quality_x000D_
text analysis_x000D_
SOA_x000D_
architectural information extraction_x000D_
architecture facilitation_x000D_
banking domain_x000D_
design tools_x000D_
enterprise architecture management tools_x000D_
quality assurance tasks_x000D_
service registries_x000D_
service repositories_x000D_
service-oriented architecture architectural information_x000D_
service-oriented software systems_x000D_
synchronization_x000D_
text documents_x000D_
Business_x000D_
Computer architecture_x000D_
Data mining_x000D_
Java_x000D_
Object oriented modeling_x000D_
Service oriented architecture_x000D_
Unified modeling language_x000D_
architectural views_x000D_
architecture extraction_x000D_
architecture visualization_x000D_
service-oriented architecture (SOA)</t>
  </si>
  <si>
    <t>R. Yuliana; B. Rahardjo</t>
  </si>
  <si>
    <t>Designing an agile enterprise architecture for mining company by using TOGAF framework</t>
  </si>
  <si>
    <t>2016 4th International Conference on Cyber and IT Service Management</t>
  </si>
  <si>
    <t>http://ieeexplore.ieee.org/document/7577466/</t>
  </si>
  <si>
    <t>mining industry_x000D_
quality management_x000D_
software prototyping_x000D_
ICT initiatives_x000D_
ICT strategic alignment_x000D_
TOGAF_x000D_
agile enterprise architecture model rules_x000D_
architectural principles_x000D_
business growth_x000D_
design standards_x000D_
mining company business_x000D_
mining enterprise architecture meta model_x000D_
quality assessment_x000D_
Companies_x000D_
Data mining_x000D_
Information systems_x000D_
Standards organizations_x000D_
TOGAF Architecture Development Method (ADM)_x000D_
agile enterprise architecture_x000D_
design and development the information technology architecture_x000D_
metamodel</t>
  </si>
  <si>
    <t>Journal Article</t>
  </si>
  <si>
    <t>M. Aghaei; R. Anoushehi; N. Gharibnavaz; K. Bayat</t>
  </si>
  <si>
    <t>AN EXAMINATION OF EFFECTS THE BUSINESS INTELLIGENCE ON STRATEGIC DECISIONS</t>
  </si>
  <si>
    <t>Iioab Journal</t>
  </si>
  <si>
    <t>&lt;Go to ISI&gt;://WOS:000390579300003</t>
  </si>
  <si>
    <t>Nowadays, scientific management organizations need to make good use of ICT tools such as business intelligence systems. The main objective of this study was to investigate the relationship between systems, business intelligence and strategic decision support systems. Business Intelligence is a tool and not as a product or a system, but as a new approach in enterprise architecture based on speed in data analysis, to make strategic decisions and accurate business intelligence in minimal time and with maximum quality possible. In this research, conceptual model of the impact of strategic decisions designed business intelligence and with questionnaire prepared and distributed among the business intelligence experts in the ICT Department of the Ministry of Industry, Mine and Trade and the Association of Iranian e-commerce, the validity of the model was evaluated. To analyze the results of the assessment factor analysis, correlation analysis and structural equation LISREL and SPSS software were used. Results show that business intelligence to improve strategic decisions and strategic decisions on aspects such as efficiency, effectiveness, agility, flexibility and integration. At the end of the study based on hypotheses, suggestions for extending the use of business intelligence in organizations as well as future research are done.</t>
  </si>
  <si>
    <t>M. Bernaert; G. Poels; M. Snoeck; M. De Backer</t>
  </si>
  <si>
    <t>CHOOSE: Towards a metamodel for enterprise architecture in small and medium-sized enterprises</t>
  </si>
  <si>
    <t>Information Systems Frontiers</t>
  </si>
  <si>
    <t>&lt;Go to ISI&gt;://WOS:000380713800010_x000D_
https://link.springer.com/content/pdf/10.1007%2Fs10796-015-9559-0.pdf</t>
  </si>
  <si>
    <t>Enterprise architecture (EA) is a coherent whole of principles, methods, and models that are used in the design and realization of an enterprise's organizational structure, business processes, information systems, and IT infrastructure. Recent research indicates the need for EA in small and medium-sized enterprises (SMEs), important drivers of the economy, as they struggle with problems related to a lack of structure and overview of their business. However, existing EA frameworks are perceived as too complex and, to date, none of the EA approaches are sufficiently adapted to the SME context. Therefore, this paper presents the CHOOSE metamodel for EA in SMEs that was developed and evaluated through action research in an SME and further refined and validated through case study research in five other SMEs. This metamodel is based on the essential dimensions of EA frameworks and is kept simple so that it may be applied in an SME context. The final CHOOSE metamodel includes only four essential concepts (i.e. goal, actor, operation, object), one for each most frequently used EA focus. As an example, an extract is included from the specific model that was created for the SME used in our action research. Finally, the CHOOSE metamodel is evaluated according to the dimensions essential in EA and the requirements for EA in an SME context.</t>
  </si>
  <si>
    <t>Book Section</t>
  </si>
  <si>
    <t>J.-M. Brook; R. Brooks</t>
  </si>
  <si>
    <t>A Decade of Lessons Learned: Transforming the Enterprise for Today's Cloud Architecture</t>
  </si>
  <si>
    <t>Proceedings of the 3rd International Conference on Cloud Security and Management</t>
  </si>
  <si>
    <t>&lt;Go to ISI&gt;://WOS:000371800800002</t>
  </si>
  <si>
    <t>This paper focuses on how the Cloud transforms traditional enterprise security architecture models to handle the security and management needs of the 21st century. It leverages over 10 years of enterprise experience and the lessons learned from cloud security research and industry groups, such as the Cloud Security Alliance (CSA), offering important strategies for adoption and reference examples. The session provides a detailed overview of the history of the enterprise computing environment over the past 10 years, the catalysts that advanced reference architectures, and examples of use. A comprehensive timeline will be discussed, covering how virtualization and cloud architectures based on Infrastructure as a Service (IaaS), Platform as a Service (PaaS), and Software as a Service (SaaS) have affected the network boundary paradigm. Additionally, the session will cover influences, such as Application Store models and Bring your Own Device (BYOD), as well as other prevalent technologies and how they constantly push enterprise architectures beyond the limit of Information Technology (IT) monoculture. It is important to understand What prompted the moves?" and "What was their direct effect?". Looking at our distributed nature and mobile computing led to distributed applications. The Cloud needs to be accessible 24/7, which gave rise to scalability requirements. Cost drivers also played a major role in elasticity and charge back and in many other transformation examples. Understanding the strategies for transitioning to the Cloud and its distributed mobile nature influences areas such as academia research and development. This key effort gave rise to cloud-based start-ups, which enabled a diverse and geographically omnipresent group to act as one single department and development team. As companies made the move to the Cloud, the biggest focus was managing risk. Organizations had to extract business value and avoid operational loss through resiliency in an environment when new 0day exploits are being discovered daily. As we've learned from the past, organizations must understand prevalent threats and how they've changed from 2005-2015, such as research from the Cloud Security Alliance, "The Notorious Nine: Cloud Computing Top Threats." As companies look towards the future, they must pay attention to the numerous providers establishing infrastructure, platform, software, and other service offerings. What risks have been identified and what techniques learned can be used when implementing today's cutting edge services successfully for the future? Can a single consumer manage all of the services discussed in the Trusted Cloud Initiative's Enterprise Architecture successfully, or does the risk transfer and expertise required necessitate a more effective brokerage?"</t>
  </si>
  <si>
    <t>W. A. Cram; M. K. Brohman; R. B. Gallupe</t>
  </si>
  <si>
    <t>Hitting a moving target: a process model of information systems control change</t>
  </si>
  <si>
    <t>Information Systems Journal</t>
  </si>
  <si>
    <t>&lt;Go to ISI&gt;://WOS:000374596300002_x000D_
http://onlinelibrary.wiley.com/doi/10.1111/isj.12059/abstract</t>
  </si>
  <si>
    <t>Controls are widely regarded as a key factor in driving high performing organisational processes. However, because of ongoing changes within information systems (IS) processes, control modifications are commonly required in order to maintain performance levels. Although past research recognises the ongoing benefits derived from successful control changes, there is a limited understanding of the actual steps taken by organisations, particularly with regard to avoiding negative performance implications such as process delays or employee resistance. This research draws on empirical data from six case studies to propose a new process model that depicts the interconnected steps involved in control changes. Our findings suggest that the sources of IS control change may be more diverse than most past research suggests and that control changes within non-project-oriented processes (e.g. enterprise architecture) present additional challenges in comparison to project-oriented processes (e.g. systems development). Insights from this research can aid practitioners in streamlining control changes as a means to improve effectiveness, whilst also contributing to research by uncovering an enhanced understanding of why and how control changes are made in IS processes.</t>
  </si>
  <si>
    <t>Book</t>
  </si>
  <si>
    <t>G. Firmansyah; Z. A. Hasibuan; Y. G. Sucahyo; I. Destech Publicat</t>
  </si>
  <si>
    <t>Generic Government Enterprise Architecture: A Comparative Approach</t>
  </si>
  <si>
    <t>International Conference on Advances in Management Engineering and Information Technology</t>
  </si>
  <si>
    <t>&lt;Go to ISI&gt;://WOS:000361173400015</t>
  </si>
  <si>
    <t>Studies to rank e-government were already performed by various organizations, aimed at measuring the level of success in e-government implementation within a country. A successful implementation in one country may not be directly applicable for adoption by other countries. There is no consensus of factors that significantly influence the success of e-government implementation. On the other hand, investment in e-government is increasing year by year. Enterprise Architecture can help in optimizing the link between business process and information technology to influence the success of e-government implementation. This study explores a common enterprise architecture, government enterprise architecture of developed countries and international ICT Index to extract main components. The result shows that a generic government enterprise architecture can develop by reviewing theories and existing best practice.</t>
  </si>
  <si>
    <t>M. Kirikova; R. Matulevicius; K. Sandkuhl</t>
  </si>
  <si>
    <t>Application of the Enterprise Model Frame for Security Requirements and Control Identification</t>
  </si>
  <si>
    <t>Databases and Information Systems Ix</t>
  </si>
  <si>
    <t>&lt;Go to ISI&gt;://WOS:000390305200010</t>
  </si>
  <si>
    <t>It is generally accepted that security requirements have to be identified as early as possible to avoid later rework in the systems development process. However, in practice quite often security aspects are considered either at the later stages of development cycles (increments in agile projects) or addressed only when problems arise. One of the reasons for difficulties of early detection of security requirements is the complexity of security requirements identification. In this paper we discuss an extension of the method for security requirements elicitation from business processes (SREBP). The extension includes the application of the enterprise model frame to provide an enterprise architecture context for analyzed business process models. The enterprise model frame covers practically all concepts of the information security related definitions; the use of the frame with the SREBP method complies with the common enterprise modeling and enterprise architecture approaches; and it use helps to consider security requirements and control at the business, application, and technology levels simultaneously.</t>
  </si>
  <si>
    <t>The Enterprise Model Frame for Supporting Security Requirement Elicitation from Business Processes</t>
  </si>
  <si>
    <t>Databases and Information Systems, Db&amp;Is 2016</t>
  </si>
  <si>
    <t>&lt;Go to ISI&gt;://WOS:000389806000016_x000D_
https://link.springer.com/chapter/10.1007%2F978-3-319-40180-5_16</t>
  </si>
  <si>
    <t>It is generally accepted that security requirements have to be elicited as early as possible to avoid later rework in the systems development process. One of the reasons for difficulties of early detection of security requirements is the complexity of security requirements identification. In this paper we propose an extension of the method for security requirements elicitation from business processes (SREBP). The extension includes the application of the enterprise model frame to capture enterprise views and relationships of the analysed system assets. Although the proposal was used in some practical settings, the main goal of this work is conceptual discussion of the proposal. Our study shows that (i) the enterprise model frame covers practically all concepts of the information security related definitions, and that (ii) the use of the frame with the SREBP method complies with the common enterprise modeling and enterprise architecture approaches.</t>
  </si>
  <si>
    <t>N. Konovalov; N. Kazantsev</t>
  </si>
  <si>
    <t>Shaping decision-making on Cloud Services application in business processes</t>
  </si>
  <si>
    <t>2016 Ieee 4th International Conference on Future Internet of Things and Cloud</t>
  </si>
  <si>
    <t>&lt;Go to ISI&gt;://WOS:000391237900010_x000D_
http://ieeexplore.ieee.org/document/7575846/</t>
  </si>
  <si>
    <t>This paper contains theoretical foundations and practical insights for reasonable penetration of cloud computing technologies into modern business architectures. Its main novelty is that the strategic alignment model is considered from the cloud vendors' perspective. We discover the extent of cloud penetration into the company's business processes and give practical recommendations on choosing the amount of cloud services.</t>
  </si>
  <si>
    <t>I. Mandal</t>
  </si>
  <si>
    <t>Machine learning algorithms for the creation of clinical healthcare enterprise systems</t>
  </si>
  <si>
    <t>Enterprise Information Systems</t>
  </si>
  <si>
    <t>&lt;Go to ISI&gt;://WOS:000407511400006</t>
  </si>
  <si>
    <t>Clinical recommender systems are increasingly becoming popular for improving modern healthcare systems. Enterprise systems are persuasively used for creating effective nurse care plans to provide nurse training, clinical recommendations and clinical quality control. A novel design of a reliable clinical recommender system based on multiple classifier system (MCS) is implemented. A hybrid machine learning (ML) ensemble based on random subspace method and random forest is presented. The performance accuracy and robustness of proposed enterprise architecture are quantitatively estimated to be above 99% and 97%, respectively (above 95% confidence interval). The study then extends to experimental analysis of the clinical recommender system with respect to the noisy data environment. The ranking of items in nurse care plan is demonstrated using machine learning algorithms (MLAs) to overcome the drawback of the traditional association rule method. The promising experimental results are compared against the sate-of-the-art approaches to highlight the advancement in recommendation technology. The proposed recommender system is experimentally validated using five benchmark clinical data to reinforce the research findings.</t>
  </si>
  <si>
    <t>Business intelligence (BI) builds upon a set of tools and applications that enable the analysis of vast amounts of information (Big Data). Educational institutions handle large volumes of Big Data every year. There is a strong need for the use of BI in these institutions to improve their processes and support decision making. The core technology in a BI project is a datawarehouse (DW). This paper describes the design considerations for the implementation of the DW in an educational scenario. The DW will be used in a knowledge discovery process to handle the information for the analysis of key performance indicators using educational data mining (EDM) techniques. The DW along with an enterprise architecture (EA) repository are the key technological assets of a knowledge management framework (KMF). This framework was designed to put order in the creation, capture, transfer and digitalization of knowledge. This guide and the framework are two of the outcomes of a research project in a private university. Furthermore, a case study suggests how to choose the best methodology in higher institutions. In the case study the steps for the DW design are presented. This study can be useful for academics and practitioners that plan to design a DW to analyze information using EDM techniques.</t>
  </si>
  <si>
    <t>O. Moscoso-Zea; S. Lujan-Mora; C. Esquetini Caceres; N. Schweimanns</t>
  </si>
  <si>
    <t>Knowledge Management Framework using Enterprise Architecture and Business Intelligence</t>
  </si>
  <si>
    <t>Proceedings of the 18th International Conference on Enterprise Information Systems, Vol 1</t>
  </si>
  <si>
    <t>&lt;Go to ISI&gt;://WOS:000393155500026</t>
  </si>
  <si>
    <t>Knowledge Management (KM) has emerged as a tool which enables the efficient creation, use, distribution and transfer of knowledge in organizations. In the core of KM there are three dimensions of analysis: people, processes and technology. KM Frameworks presented in the past have had a strong theoretical background, but they have not been well explained in terms of how to implement them in practice to cover all KM dimensions. In this paper, a novel KM framework is presented. This framework was designed as a practical guide to implement KM endeavours in organizations. To accomplish our research objective, two management practices are incorporated in the framework: Enterprise Architecture and Business Intelligence. Enterprise Architecture allows companies to visualize organizational objects in different areas (business, applications and technology) through the use of models. Moreover, Business Intelligence technologies as data warehouses, data mining and visualization can enable the capture, transfer and the creation of new and purposeful knowledge. This work is intended to be a good resource for companies or individuals that want to implement a KM initiative.</t>
  </si>
  <si>
    <t>Enterprise architecture availability analysis using fault trees and stakeholder interviews</t>
  </si>
  <si>
    <t>This study contributes to the enterprise architecture (EA) methodologies by suggesting a method for eliciting architecture requirements: gathering both the current architecture information, and the development needs and requirements for the business architecture (BA) dimension in EA planning. Most of all EA dimensions, the developing of the BA requires collaboration with various non-IT stakeholders. It presents thus challenges to the IT department, or the consultancy involved in EA related efforts. The contribution of the various stakeholder groups as informants is, however, crucial to well founded EA design decisions. The suggested method takes related IS development fields as starting points. Collaborative approaches are well established in the fields of requirements engineering and business process design. However, EA specific issues remain to be explicated and incorporated to the collaboration. A BA information elicitation method (IEM) is not only a tool of the IT professional for a sound foundation for defining of the EA baseline, and developing of the requirements, but also an organizational change management vehicle. Involving stakeholders in a planned, consistent and balanced manner, it supports the establishing of collaboration routines of the IT and business stakeholder groups. The observations in a 12 month EA initiation project in a public organization are a basis for this constructive effort, where a BA elicitation method for the enterprise architecting is created. The constructed method is enhanced by evaluative comments of seven EA-experienced IT professionals.</t>
  </si>
  <si>
    <t>R. Rijo; R. Martinho; D. Ermida</t>
  </si>
  <si>
    <t>F. Sandoval; V. Galvez; O. Moscoso</t>
  </si>
  <si>
    <t>Development of Enterprise Architecture using a Framework with Agile Approach</t>
  </si>
  <si>
    <t>Enfoque Ute</t>
  </si>
  <si>
    <t>&lt;Go to ISI&gt;://WOS:000396633400010</t>
  </si>
  <si>
    <t>The development of an enterprise architecture ( EA) in large organizations is complex. Thus, is important that the implementation of EA creates value in early stages of the process. This document contains a proposal of an EA framework design with agile approach based in TOGAF. This proposal is done with the objective to streamline the EA process. This framework presents a new design taking into account the current regulations, the target line of the organization and the principles proposed by the agile approach of EA. The objectives of each phase of the architecture development method ADM of TOGAF are matched with the requirements of the organization to extract only those that are aligned to the business. The deliverables proposed by TOGAF are analyzed with the goal to obtain, integrate and reduce the documentation in the implementation and modeling phases. This reduction allows more flexibility, less impact in the processes, reduction in development time and costs.</t>
  </si>
  <si>
    <t>The role of ICT in the organization will continue to experience growth in line with business growth. However, in reality, there is a gap between ICT initiatives with the development (needs) of company business that is caused by yet inadequate of ICT strategic alignment. Therefore this study was conducted with the aim to create an agile enterprise architecture model rules, particularly in mining company, by using TOGAF framework. The results from the design development phase of the mining enterprise architecture meta model represents the domain of business, applications, data, and technology. The results of the design as a whole were analyzed from four perspectives, namely the perspective of contextual, conceptual, logical and physical. In the end, the quality assessment of the mining enterprise architecture is conducted to assess the suitability of the design standards and architectural principles.</t>
  </si>
  <si>
    <t>Computer Science and Information Systems</t>
  </si>
  <si>
    <t>T. Binz; F. Leymann; A. Nowak; D. Schumm</t>
  </si>
  <si>
    <t>S. Buckl; F. Matthes; C. M. Schweda</t>
  </si>
  <si>
    <t>W. Chen; C. Hess; M. Langermeier; J. Stuelpnagel; P. Diefenthaler</t>
  </si>
  <si>
    <t>Semantic Enterprise Architecture Management</t>
  </si>
  <si>
    <t>Iceis: Proceedings of the 15th International Conference on Enterprise Information Systems - Vol 3</t>
  </si>
  <si>
    <t>&lt;Go to ISI&gt;://WOS:000386615500038</t>
  </si>
  <si>
    <t>Enterprise architecture management (EAM) provides information about an enterprise and its information systems landscape for thorough analysis. Semantic technologies allow for integrating data sets from various relevant information sources within enterprises in a so-called EA repository, which serves as a comprehensive formal information base for EAM. We call this approach Semantic Enterprise Architecture Management, SEAM for short. We show how SEAM uses semantic technologies to bridge the heterogeneity between various data sets relevant for EAM, such as The Open Group Architecture Framework (TOGAF) models, Business Process Modeling Notation (BPMN) business process models and Service-oriented Architecture (SOA) models. Query answering and reasoning enable detailed analysis and consistency checks on the SEAM repository in order to discover complex dependencies and implicit knowledge.</t>
  </si>
  <si>
    <t>Software Quality Journal</t>
  </si>
  <si>
    <t>E. Gadaleta; N. R. Lemoine; C. Chelala</t>
  </si>
  <si>
    <t>Online resources of cancer data: barriers, benefits and lessons</t>
  </si>
  <si>
    <t>Briefings in Bioinformatics</t>
  </si>
  <si>
    <t>&lt;Go to ISI&gt;://WOS:000286991000006_x000D_
https://watermark.silverchair.com/bbq010.pdf?token=AQECAHi208BE49Ooan9kkhW_Ercy7Dm3ZL_9Cf3qfKAc485ysgAAAZ8wggGbBgkqhkiG9w0BBwagggGMMIIBiAIBADCCAYEGCSqGSIb3DQEHATAeBglghkgBZQMEAS4wEQQMq56h6CkxeC2DV6bwAgEQgIIBUsrOQX-B6hq3LCflPWmwWyZsgL9atn3zYd-y3dlcddeUEEPvJmkXnRsbrvB3tNGD1uiT0K0I6I3heiGdkLOhAb4oEGK51XzcUtUjmb1QlDyNMie7D9Mds6gvGU4hQBxY8jFr5z1Hlu5a8BSEX-vtwDFi3cy3P_ibEBH3DJnYImbLqaWt2ZvNAPaotsYdIzM-3_JgaZkyAq6vI8LHFMWZs0NVKLYSIiJH_q3JAYuW-hDCfWdLxC3fMzjOtB0i_XrxcO0p49rMjnGI4BqWxqssu48jvLW1Jr8VzD3RYcllh4ZBAgBoHxQQ47bQPw3LIAr6QMXD-3QIoC97ZTf3eV5b4YrYnWl0s_LjHhQAjKTgUODgMGVurJIUxdK77ko7eVMGb9UaAilBs_Q0FW4tGM4nIFMkcTCh13hndRDe8iTuiBpnfFYtXzPBK1av-EO-c9NKBBh5</t>
  </si>
  <si>
    <t>With advances in high-throughput techniques, the volume of data generated has resulted in the creation of a plethora of resources for the cancer research community. However, a key factor in the utility, sustainability and future use of a novel resource lies in its ability to allow for data sharing and to be interoperable with major international cancer research efforts. This article will introduce some of these efforts, the interoperable cancer data-mining resources and repositories, from a user-perspective. Some of the considerations to be addressed when building interoperable, sustainable cancer resources will be discussed with case studies-hoping this will prove useful for researchers designing their own cancer databases.</t>
  </si>
  <si>
    <t>B. Gomes; A. Vasconcelos; P. Sousa; W. Castelnovo; E. Ferrari</t>
  </si>
  <si>
    <t>An Enterprise Ontology Approach for Defining Enterprise Information Architecture</t>
  </si>
  <si>
    <t>Proceedings of the 5th European Conference on Information Management and Evaluation</t>
  </si>
  <si>
    <t>&lt;Go to ISI&gt;://WOS:000307994600071</t>
  </si>
  <si>
    <t>The role played by information in organizations is becoming increasingly important, since it is becoming clear its relevance as a central background for Enterprise Architecture and Enterprise Engineering. The enormous amount of Information in organizations leads to the development of Information Architectures in order to support this problem. Thus, the Portuguese Public Administration, being aware of that, wants to be well prepared regarding the information context, having a consistent Information Architecture to be used as a reference. Such architecture aims to identify the fundamental business information, define the data independently from the applications or systems, and provide the basis for corporative data management. This work aims to contribute in the development of that Information Architecture, introducing the Enterprise Ontologies theme in the Portuguese Public Administration context, as a new approach for Enterprise Architecture, especially for Information Architecture development. In this paper we present a new methodology for developing Information Architecture, based on the DEMO methodology, in particular in the Transaction concept in order to extract Information Entities, their Attributes and Relationships for an Information Architecture. In our research this methodology is being tested in some case studies among the Portuguese Public Administration. The methodology proposed major steps are: (1) collecting of the necessary amount of data about the case study, (2) which must be resumed in some legible text. From that text, the first steps of DEMO are performed ((3) Performa-Informa-Forma Analysis, (4) Coordination-Actors-Production Analysis, (5) Transaction Pattern Synthesis), in order to identify the Transactions that describe that environment. Based on those Transactions, (6) both the Information Entities and Attributes are identified. In order to identify Relationships between those entities, (7) the Result Structure Analysis step is performed. To complete the methodology, and based on the previously results, an (8) Entity-Relationship is designed to represent the entities and their relationships.</t>
  </si>
  <si>
    <t>L. Grigoriev; D. Kudryavtsev</t>
  </si>
  <si>
    <t>ORG-Master: Combining Classifications, Matrices and Diagrams in the Enterprise Architecture Modeling Tool</t>
  </si>
  <si>
    <t>S. Grunow; F. Matthes; S. Roth</t>
  </si>
  <si>
    <t>Towards Automated Enterprise Architecture Documentation: Data Quality Aspects of SAP PI</t>
  </si>
  <si>
    <t>Advances in Databases and Information Systems</t>
  </si>
  <si>
    <t>&lt;Go to ISI&gt;://WOS:000313020600010</t>
  </si>
  <si>
    <t>Well executed, Enterprise Architecture (EA) management is commonly perceived as a strategic advantage. EA management sermonizes IT savvy firms to take profound decisions based on mature EA information. As of today, gathering required information, i.e. documenting the EA, is regarded both, time consuming and error-prone. As a reaction, recent approaches seek to automate EA documentation by extracting information out of productive system environments. In our recent work we showed that a particular Enterprise Service Bus (ESB) namely SAP Process Integration can be used to extract EA relevant information. As a next step towards automated EA documentation, this paper analyzes the quality of the data stored in SAP Process Integration systems in practice. Survey results of 19 industry partners on 4 continents are presented.</t>
  </si>
  <si>
    <t>W. He; S. Zha</t>
  </si>
  <si>
    <t>Insights into the adoption of social media mashups</t>
  </si>
  <si>
    <t>Internet Research</t>
  </si>
  <si>
    <t>&lt;Go to ISI&gt;://WOS:000332998600002_x000D_
http://www.emeraldinsight.com/doi/abs/10.1108/IntR-01-2013-0017</t>
  </si>
  <si>
    <t>Purpose - The existing mashup literature paid little attention to the actual adoption and diffusion of mashups in an organizational context. As more and more organizations are engaged in mashup initiatives, more research efforts focussing on the mashup use and adoption issues from the organizational perspective are needed to ensure that organizations can receive the maximum benefits from their mashup initiatives. Two studies are conducted to increase the understanding of the use and adoption issues with social media mashups. The paper aims at discussing these issues. Design/methodology/approach - The paper first used a text mining approach to analyze relevant posts on blogs and messages in a major online mashup forum in order to understand the current status of social media mashup as well as representative themes and issues with social media mashups in general. Subsequently, the paper reviewed a number of social media mashup sites created by higher education institutions (HEIs) in the USA. Findings - The paper identified some representative themes and issues with social media mashups in general. The paper also identified the approaches that were used to design the interface of social media mashup sites by HEIs. Based on the two studies, this paper provides recommendations and insights to guide social media mashup development and adoption in an organizational context. Originality value - This is the first article to discuss the use and adoption of social media mashups in organizational environments. This paper can be used as a starting point to motivate other researchers to further explore the diffusion of social media mashups in different industries. This paper also helps organizations improve their social media mashup initiatives.</t>
  </si>
  <si>
    <t>H. Kandjani; L. Wen; P. Bernus</t>
  </si>
  <si>
    <t>R. Lagerstrom; C. Baldwin; A. MacCormack; S. Aier</t>
  </si>
  <si>
    <t>Visualizing and Measuring Enterprise Application Architecture: An Exploratory Telecom Case</t>
  </si>
  <si>
    <t>2014 47th Hawaii International Conference on System Sciences</t>
  </si>
  <si>
    <t>&lt;Go to ISI&gt;://WOS:000343806603119_x000D_
http://ieeexplore.ieee.org/document/6759079/</t>
  </si>
  <si>
    <t>We test a method for visualizing and measuring enterprise application architectures. The method was designed and previously used to reveal the hidden internal architectural structure of software applications. The focus of this paper is to test if it can also uncover new facts about the applications and their relationships in an enterprise architecture, i.e., if the method can reveal the hidden external structure between software applications. Our test uses data from a large international telecom company. In total, we analyzed 103 applications and 243 dependencies. Results show that the enterprise application structure can be classified as a core-periphery architecture with a propagation cost of 25%, core size of 34%, and architecture flow through of 64%. These findings suggest that the method could be effective in uncovering the hidden structure of an enterprise application architecture.</t>
  </si>
  <si>
    <t>C. Lucke; U. Lechner</t>
  </si>
  <si>
    <t>Information Technology and Control</t>
  </si>
  <si>
    <t>G. Motta; G. Pignatelli</t>
  </si>
  <si>
    <t>J. Pombinho; D. Aveiro; J. Tribolet</t>
  </si>
  <si>
    <t>Value-Oriented Solution Development Process: Uncovering the Rationale behind Organization Components</t>
  </si>
  <si>
    <t>Advances in Enterprise Engineering Vii</t>
  </si>
  <si>
    <t>&lt;Go to ISI&gt;://WOS:000345300900001</t>
  </si>
  <si>
    <t>Although significant progresses have been made in recent years regarding the goals of Enterprise Engineering, we find that the rationale behind every component of an organization is still not systematically and clearly specified. Indeed, state of the art approaches to enterprise development processes do not explicitly incorporate an essential dimension of analysis: value. This state of affairs does not warrant a leading role in enterprise alignment. We propose to address this issue by specifying a value-aware system development process and a system development organization. To this end, we began by applying DEMO to model the system development organization. Furthermore, the original Generic System Development Process (GSDP) was modelled, and improvement points identified. Our main contribution is a revision of the GSDP, combined with research on value modelling and enterprise architecture that explicitly includes the teleological part of the system development process. The explicitation of the development process focusing on the value dimension, contributes to providing traceability and clarifying the rationale of each organizational artefact. We believe that modelling this rationale systematically will improve reactive and proactive change management through increased self-awareness, improved scenario specification, objective evaluation and well-grounded system development decisions.</t>
  </si>
  <si>
    <t>L. Pruijt; R. Slot; H. Plessius; R. Bos; S. Brinkkemper</t>
  </si>
  <si>
    <t>I. Pyrlina</t>
  </si>
  <si>
    <t>OPERATIONAL RISKS CLASSIFICATION WITHIN SERVICE-ORIENTED ARCHITECTURE OF IN\FORMATION SYSTEMS</t>
  </si>
  <si>
    <t>Business Informatics</t>
  </si>
  <si>
    <t>&lt;Go to ISI&gt;://RSCI:17110867</t>
  </si>
  <si>
    <t>The study identifies operational risks within service-oriented architecture (SOA) of information systems. As a part of operational risks a new error classification scheme is proposed for SOA applications. It is based on errors of the information systems which are service providers for application with service-oriented architecture. The proposed classification approach was used to classify system errors from two different enterprises (oil and gas industry, metal and mining industry). Besides we conducted a research to identify possible losses from operational risks and estimated losses for each error group per day._x000D_
В статье проведено исследование операционных рисков в рамках сервисного подхода создания информационных систем (ИС) и предложен подход к их классификации, основывающийся на ошибках систем, которые являются поставщиками сервисов для типового приложения с сервисно-ориентированной архитектурой. С использованием предложенной классификации собрана статистика сообщений об ошибках за 5 лет по двум предприятиям нефтегазовой и металлургической отрасли. Проведен опрос экспертов с целью определения убытков от исследованных рисков и приведена оценка возможного урона.</t>
  </si>
  <si>
    <t>J. Ramanathan; R. Ramnath; J. Bolinger; P. Nagarajan</t>
  </si>
  <si>
    <t>With the improved elasticity of the computing landscape, resources can be added or removed on demand. These new capabilities require a closer look at the link between business processes and IT infrastructure. Therefore, it seems prudent to focus on a conceptual blueprint that will encourage research in developing pragmatic offerings in monitoring, measuring, and analyzing this relationship with the purpose of measuring generated business value. This paper proposes a monitoring framework that can be integrated into enterprise architecture and would address these issues.</t>
  </si>
  <si>
    <t>D. van der Linden; S. Hoppenbrouwers; A. Lartseva; W. Molnar</t>
  </si>
  <si>
    <t>Beyond terminologies: Using psychometrics to validate shared ontologies</t>
  </si>
  <si>
    <t>Applied Ontology</t>
  </si>
  <si>
    <t>&lt;Go to ISI&gt;://WOS:000312382000006_x000D_
https://content.iospress.com/articles/applied-ontology/ao115</t>
  </si>
  <si>
    <t>In this paper we present our vision of how the practice of ontology analysis and engineering could be used to support the integration of (conceptual) models capturing various different aspects of an enterprise, originating from different stakeholders. Creating an overall enterprise model (or architecture) requires a deep understanding not only of what the words used in models mean to their creators, but also how the various modelers interpret the meta-conceptual constructs they use (i.e., categories in the modeling language). We argue this cannot be achieved by assuming a priori consensus on the used semantics (as is common practice), but that we need to incorporate methods that let us discover the existing categorization tendencies of specialized discourse communities and their individual members. Thus, we propose that conceptual integration in enterprise modeling, and perhaps also in other fields, would strongly benefit from an approach to Ontology that is more concerned with figuring out how people actually categorize than with stipulating how they ought to categorize. To show the possibilities such an approach offers we describe how the semantic differential can be adapted to fit this need and demonstrate its application by investigating the categorization tendencies of some computing science students in regard to modeling notation constructs.</t>
  </si>
  <si>
    <t>Proceedings - 4th International Conference on Enterprise Systems: Advances in Enterprise Systems, ES 2016</t>
  </si>
  <si>
    <t>Institute of Electrical and Electronics Engineers Inc.</t>
  </si>
  <si>
    <t>https://www.scopus.com/inward/record.uri?eid=2-s2.0-85017328188&amp;partnerID=40&amp;md5=0aa898b663c2ff1e5164e4488f47418b</t>
  </si>
  <si>
    <t>The proceedings contain 26 papers. The topics discussed include: applying the foundations of enterprise systems engineering in complex real-world environments: lessons learnt from real-world project examples; enterprise architecture measurement: a systematic mapping study; a similarity graph matching approach for instance disambiguation; towards an IT service lifecycle management (ITSLM) concept; managing distribution logistics using enterprise systems; a smart decision making system for managing patient database; customer loyalty enhancement of online-to-offline marketing in beauty industry; the design and implementation of automatic grabbing tool in Tripadvisor; a conceptual model for an intelligent simulation-based learning management system using a data mining agent in clinical skills education; an android system vulnerability risk evaluation method for heap overflow; security alignment analysis of software product lines; an SDKEY data protection and sharing scheme with attribute-based encryption for smartphone; SEOMAS: an ontology-based multi-agent system for capturing semantics of software project information; the application system landscapes of it service providers: a multi case study; the impact of an information security breach announcement on a firm's values: a cross-listing perspective; and a semantically-enhanced modelling environment for business process as a service.</t>
  </si>
  <si>
    <t>Proceedings - International Conference of the Chilean Computer Science Society, SCCC</t>
  </si>
  <si>
    <t>IEEE Computer Society</t>
  </si>
  <si>
    <t>https://www.scopus.com/inward/record.uri?eid=2-s2.0-85011898463&amp;partnerID=40&amp;md5=e7a6bb3cafd5ab80c649bb35f0c999bc</t>
  </si>
  <si>
    <t>The proceedings contain 26 papers. The topics discussed include: parallel Lepp-bisection algorithm over distributed memory systems; analysis of cost-aware policies for intersection caching in search nodes; an overview of syntactic and semantic issues in software product lines; a conceptual framework to develop mobile recommender systems of points of interest; exploring the trust and knowledge obsolescence relation; toward a more generalized quantum-inspired evolutionary algorithm for combinatorial optimization problems; wind speed forecast under a distributed learning approach; new version of Davies-Bouldin index for clustering validation based on cylindrical distance; combining techniques to find the number of bins for discretization; anomaly detection using forecasting methods ARIMA and HWDS; a descriptor for handwritten strokes off-line analysis: a preliminary study; OVMMSOM: a variation of MMSOM and VMSOM as a clusterization technique; digital image processing by a parallel selective model; combining descriptors obtained through different sampling techniques in image retrieval; network anomaly detection by IP flow graph analysis: a DDoS attack case study; an approach based on language ontology and serious play methodologies to improve the participation and validation of enterprise architecture structural models; method for applying process mining to the distribution of non-alcoholic beverages; and a feasibility analysis for the application of design patterns in search based product line design.</t>
  </si>
  <si>
    <t>Serial</t>
  </si>
  <si>
    <t>M. Huber; S. Zimmermann; C. Rentrop; C. Felden</t>
  </si>
  <si>
    <t>The influence of shadow IT systems on enterprise architecture management concerns</t>
  </si>
  <si>
    <t>Springer Verlag</t>
  </si>
  <si>
    <t>https://www.scopus.com/inward/record.uri?eid=2-s2.0-85028685902&amp;doi=10.1007%2f978-3-319-65930-5_37&amp;partnerID=40&amp;md5=44163eb7720b435e9184d5c2b7dd02b2_x000D_
https://link.springer.com/chapter/10.1007%2F978-3-319-65930-5_37</t>
  </si>
  <si>
    <t>Enterprise architecture_x000D_
Shadow IT_x000D_
Shadow IT systems_x000D_
Transparency_x000D_
Business units_x000D_
Enterprise architecture managements_x000D_
Enterprise system_x000D_
Information technology systems_x000D_
IT system_x000D_
Literature reviews_x000D_
Information systems</t>
  </si>
  <si>
    <t>Shadow information technology systems (SITS) coexist with formal enterprise systems in organisations. SITS pose risks but also increase flexibility of business units. Practice shows that SITS emerge, despite that Enterprise Architecture Management (EAM) aims at controling all IT systems in an organization. Studies acknowledge this problem in general. However, they neither show the specific influencing areas of SITS nor provide approaches to address them. To close this gap, we use a literature review to analyse examples of practical SITS and their interference with EAM concerns. Thus, we find that they hinder especially transparency, reduction of EA complexity and governance. Research has focused on achieving transparency, governing the evolution of the EA but lacks strategies for reducing complexity. This study contributes to research and practice by uncovering the main influencing areas of SITS on EAM, as well as by laying a foundation for future research on this topic. © Springer International Publishing AG 2017.</t>
  </si>
  <si>
    <t>I. Ilin; A. Levina; O. Iliashenko</t>
  </si>
  <si>
    <t>Enterprise architecture approach to mining companies engineering</t>
  </si>
  <si>
    <t>EDP Sciences</t>
  </si>
  <si>
    <t>https://www.scopus.com/inward/record.uri?eid=2-s2.0-85020192734&amp;doi=10.1051%2fmatecconf%2f201710608066&amp;partnerID=40&amp;md5=e37b63e3b7c93b90a88227a74d889d2e_x000D_
https://www.matec-conferences.org/articles/matecconf/pdf/2017/20/matecconf_spbw2017_08066.pdf</t>
  </si>
  <si>
    <t>Computer architecture_x000D_
Information systems_x000D_
Smart city_x000D_
Enterprise Architecture_x000D_
Integrated management systems_x000D_
Life qualities_x000D_
Management systems_x000D_
Mining companies_x000D_
Mining enterprise_x000D_
Russian economy_x000D_
Systems and information_x000D_
Information management</t>
  </si>
  <si>
    <t>As Russian economy is still largely oriented on commodities production, there are a lot of cities where mining and commodity-oriented enterprises are the backbone of city economy. The mentioned enterprises mostly define the life quality of citizens in such cities, thus there are high requirements for engineering of city-forming enterprises. The paper describes the enterprise architecture approach for management system engineering of the mining enterprises. The paper contains the model of the mining enterprise architecture, the approach to the development and implementation of an integrated management system based on the concept of enterprise architecture and the structure of information systems and information technology infrastructure of the mining enterprise. © The Authors, published by EDP Sciences, 2017.</t>
  </si>
  <si>
    <t>M. Kleehaus; Ö. Uludaǧ; F. Matthes</t>
  </si>
  <si>
    <t>Towards a multi-layer IT infrastructure monitoring approach based on enterprise architecture information</t>
  </si>
  <si>
    <t>CEUR-WS</t>
  </si>
  <si>
    <t>https://www.scopus.com/inward/record.uri?eid=2-s2.0-85016413810&amp;partnerID=40&amp;md5=4c36596680bbca52bbde679fa2d71e2a</t>
  </si>
  <si>
    <t>Application performance monitoring_x000D_
Business process monitoring_x000D_
Enterprise architecture management_x000D_
Infrastructure monitoring_x000D_
Log mining_x000D_
Abstracting_x000D_
Process monitoring_x000D_
Software engineering_x000D_
Application performance_x000D_
Enterprise architecture managements_x000D_
Monitoring</t>
  </si>
  <si>
    <t>Enterprise Architecture Management (EAM) tools play an important supporting role in IT management of organizations to align their IT infrastructure to actual business needs. The continuously measurement and observation of each layer in an enterprise architecture is critical in order to achieve an holistic view about the EA operation. This paper describes a concept how to exploit and extend the metainformation of an IT architecture documented in an EA tool in order to support a multi-layer monitoring approach that provides traceability and correlation between monitoring data extracted from several abstraction layers. Copyright © 2017 for the individual papers by the papers' authors.</t>
  </si>
  <si>
    <t>C. Moser; R. A. Buchmann; W. Utz; D. Karagiannis</t>
  </si>
  <si>
    <t>CE-SIB: A modelling method plug-in for managing standards in enterprise architectures</t>
  </si>
  <si>
    <t>https://www.scopus.com/inward/record.uri?eid=2-s2.0-85033484594&amp;doi=10.1007%2f978-3-319-69904-2_2&amp;partnerID=40&amp;md5=86adcb8a8106fce3b3bd33d9e45ba1c2_x000D_
https://link.springer.com/chapter/10.1007%2F978-3-319-69904-2_2</t>
  </si>
  <si>
    <t>Compliance evaluation_x000D_
Enterprise architecture management_x000D_
Metamodelling_x000D_
Standardization_x000D_
TOGAF standards information base_x000D_
Administrative data processing_x000D_
Data mining_x000D_
Enterprise resource management_x000D_
Information management_x000D_
Management science_x000D_
Regulatory compliance_x000D_
Semantics_x000D_
Software engineering_x000D_
Standards_x000D_
Business process management_x000D_
Compliance evaluations_x000D_
Enterprise architecture managements_x000D_
Information base_x000D_
Meta-modelling_x000D_
Model driven software engineering_x000D_
Model-based integrations_x000D_
Prototypical implementation_x000D_
Decision making</t>
  </si>
  <si>
    <t>In Enterprise Architecture (EA) Management, adoption of standards brings essential benefits pertaining to compatibility and repeatability but also raises governance challenges. EA frameworks recommend placing architecture artifacts under strict governance to control technological diversity towards reduced costs of operation or business-IT alignment; however, they do not provide methodological guidance on how to support decision-making for standards management. Business process management, model-driven software engineering or IT service management do address such challenges, but fall short in covering all relevant architectural layers. Driven by industry experience, this paper proposes a modelling method plug-in (“function block”) to support a model-based integration of practices for standards compliance management and their relevant model bases. It also aims for generality, as the proposal is pluggable through “semantic docking points” to arbitrary EA frameworks. A prototypical implementation in the form of a modelling tool is discussed as an expository instantiation, as well as basis for evaluation and learned lessons. © Springer International Publishing AG 2017.</t>
  </si>
  <si>
    <t>R. Van Langerak; J. M. E. M. Van Der Werf; S. Brinkkemper</t>
  </si>
  <si>
    <t>Uncovering the runtime enterprise architecture of a large distributed organisation a process mining-oriented approach</t>
  </si>
  <si>
    <t>https://www.scopus.com/inward/record.uri?eid=2-s2.0-85021230951&amp;doi=10.1007%2f978-3-319-59536-8_16&amp;partnerID=40&amp;md5=1a0abfcbfa42aa57ba0a5dde042859eb_x000D_
https://link.springer.com/chapter/10.1007%2F978-3-319-59536-8_16</t>
  </si>
  <si>
    <t>Business analytics_x000D_
Data analytics_x000D_
Enterprise architecture_x000D_
Process mining_x000D_
Runtime enterprise architecture_x000D_
Data mining_x000D_
Data visualization_x000D_
Information systems_x000D_
Systems engineering_x000D_
Business Process_x000D_
Run-time execution_x000D_
Runtime behaviors_x000D_
Visualization technique_x000D_
Network architecture</t>
  </si>
  <si>
    <t>Process mining mainly focuses on analyzing a single process that runs through an organization. Often organisations consist of multiple departments that need to work together to deliver a process. Archi-Mate introduced the Business Process Cooperation Viewpoint for this. However, such models tend to focus on modeling design time, and not the runtime behavior. Additionally, many approaches exist to analyze multiple departments in isolation, or the social network they form, but the cooperation between processes received little attention. In this paper we take a different approach by analyzing the runtime execution data to create a new visualization technique to uncover cooperation between departments by means of the Runtime Enterprise Architecture using process mining techniques. By means of a real-life case study at a large logistic organization, we apply the presented approach. © Springer International Publishing AG 2017.</t>
  </si>
  <si>
    <t>D. Wille; K. Wehling; C. Seidl; M. Pluchator; I. Schaefer</t>
  </si>
  <si>
    <t>Proceedings - 2010 14th IEEE International Enterprise Distributed Object Computing Conference, EDOC 2010</t>
  </si>
  <si>
    <t>https://www.scopus.com/inward/record.uri?eid=2-s2.0-79951918543&amp;partnerID=40&amp;md5=a03ea0c7519aa2de80244fd38cc463e1</t>
  </si>
  <si>
    <t>The proceedings contain 24 papers. The topics discussed include: IT portfolio valuation - using enterprise architecture and business requirements modeling; supporting change propagation in the evolution of enterprise architectures; hybrid probabilistic relational models for system quality analysis; typed business process specification; an incremental process mining approach to extract knowledge from legacy systems; process viewing patterns; a framework for service outsourcing using process views; an ontology-based approach for semantic integration; a model-driven approach for designing e-services using business ontological frameworks; enterprise application-specific data management; using aspect-oriented programming to trace imperative transformations; comparing state- and operation-based change tracking on models; a componentized architecture for externalized business rules; and towards a flexible service integration through separation of business rules.</t>
  </si>
  <si>
    <t>16th Americas Conference on Information Systems, AMCIS 2010, Volume 4</t>
  </si>
  <si>
    <t>https://www.scopus.com/inward/record.uri?eid=2-s2.0-84870513733&amp;partnerID=40&amp;md5=e4e0e790a3f91b64d7768b29f064be59</t>
  </si>
  <si>
    <t>The proceedings contain 76 papers. The special focus in this conference is on business intelligence, business process modelling, project management, IT organizational learning and healthcare information technology. The topics include: IT investment decision making; virtual team collaboration; a taxonomy of digital music services; knowledge sharing in globally distributed IT outsourcing arrangements; IT innovation budgets in turbulent times; overcoming challenges for managing IT innovations in Non-IT companies; service contract automation; cloud services from a consumer perspective; a framework for the design of service maps; ITSM and education; user acceptance of multiple password systems; corporatizing open source software innovation in the Plone Community; a new approach for collaborative knowledge management; organizational green IT; master data compliance; citation analysis and trends in knowledge management; IT outsourcing's role in China's economic growth; a survey of doctoral programs in IS in the USA and Canada; the role of cognitive conflict in open-content collaboration; web service standards taxonomy; mobile technology in governmental organizations; ERP implementation as participatory design; understanding the performance impact of enterprise architecture management; information systems evolution; an ERP-centric master data management approach; mobile technology in governmental organizations; the effect of pricing online content on perceived information quality in online sites and application of a data mining process model.</t>
  </si>
  <si>
    <t>Enterprise, Business-Process and Information Systems Modeling - 11th International Workshop, BPMDS 2010 and 15th International Conference, EMMSAD 2010, Held at CAiSE 2010, Proceedings</t>
  </si>
  <si>
    <t>https://www.scopus.com/inward/record.uri?eid=2-s2.0-84911356839&amp;partnerID=40&amp;md5=724444e787fac1ce7cb24f94f3111069</t>
  </si>
  <si>
    <t>The proceedings contain 27 papers. The topics discussed include: in search of the holy grail: integrating social software with BPM experience report; ontology driven government services inventory and business process management; a service-oriented view on business processes and supporting applications; viewpoints reconciliation in services design: a model-driven approach for highly collaborative environments; perspectives for integrating knowledge and business processes through collaboration; workflow time patterns for process-aware information systems; identifying drivers of inefficiency in business processes: a DEA and data mining perspective; an enterprise architecture framework for integrating the multiple perspectives of business processes; an interperspective-oriented business process modeling approach; a meta-language for ea information modeling - state-of-the-art and requirements elicitation; and supporting layered architecture specifications: a domain modeling approach.</t>
  </si>
  <si>
    <t>2011 International Conference on Research and Innovation in Information Systems, ICRIIS'11</t>
  </si>
  <si>
    <t>https://www.scopus.com/inward/record.uri?eid=2-s2.0-84856339435&amp;partnerID=40&amp;md5=03d126d3f009dcdd9dfa3c7327cda841</t>
  </si>
  <si>
    <t>The proceedings contain 87 papers. The topics discussed include: information quality model for halal online business; search space reduction for holistic schema matching: a review; providing digital public services through secure digital postal systems; factors influencing the success of the disaster recovery planning process: a conceptual paper; the usability of 3D interactive navigation in communicating interior space lighting; a knowledge management system for enterprise resource planning implementation; integrating perceived risk and trust with technology acceptance model: an empirical assessment of customers' acceptance of online shopping in Jordan; sequential pattern mining using personalized minimum support threshold with minimum items; investigation on the importance of enterprise architecture in addressing business issues; and understanding ITO decisions and implementations in Malaysia public healthcare sector: the evidence from a pilot case study.</t>
  </si>
  <si>
    <t>Proceedings of the 6th SIKS Conference on Enterprise Information Systems 2011, EIS 2011</t>
  </si>
  <si>
    <t>https://www.scopus.com/inward/record.uri?eid=2-s2.0-84891773042&amp;partnerID=40&amp;md5=cecfa998af1aa8b1f5c76ba91d6c0648</t>
  </si>
  <si>
    <t>The proceedings contain 14 papers. The topics discussed include: quest for know-how, know-why, know-what and know-who: using KAOS for enterprise modeling; towards an investigation of the conceptual landscape of enterprise architecture; issues and challenges in dynamic systems design and engineering - a value-oriented approach; agile process for integrated service delivery; agile service development: a rule-based method engineering approach; towards a service system ontology for service science; business process simulation for management consultants: a DEVS-based simplified business process modeling library; merging computer log files for process mining: an artificial immune system technique; questioning the design of business process maturity models; business service modeling for the service-oriented enterprise; and assessing collaborative modeling quality based on modeling artifacts.</t>
  </si>
  <si>
    <t>Proceedings of the CAiSE Forum 2011</t>
  </si>
  <si>
    <t>https://www.scopus.com/inward/record.uri?eid=2-s2.0-84890626574&amp;partnerID=40&amp;md5=ec150496943170353af442f5a8585301</t>
  </si>
  <si>
    <t>The proceedings contain 23 papers. The topics discussed include: creating declarative process models using test driven modeling suite; a semi-automated tool for requirements trade-off analysis; Flexab - flexible business process model abstraction; a tool for automatic enterprise architecture modeling; tool support for enforcing security policies on databases; a tool for managing evolving security requirements; a software framework for the automated production of schematic maps; a flexible system for ontology matching; advanced management of research publications based on the lightroom paradigm; Diagen: a model-driven framework for integrating bioinformatic tools; visualizing variability models using hyperbolic trees; stepwise context boundary exploration using guide words; when process mining meets bioinformatics; and comprehension and utilization of core assets models in software product line engineering.</t>
  </si>
  <si>
    <t>International Conference on Information Systems, ICIS 2012, Volume 5</t>
  </si>
  <si>
    <t>https://www.scopus.com/inward/record.uri?eid=2-s2.0-84884667362&amp;partnerID=40&amp;md5=e103cbe40f0093afbd6072db2985328e</t>
  </si>
  <si>
    <t>The proceedings contain 308 papers. The special focus in this conference is on Information Systems. The topics include: Heterogeneity in IT landscapes and monopoly power of firms; community ecology for innovation concept; peer influence in a very large social network; assessing value in an online network of products; optimal pricing with positive network effects; research on viral marketing propagating oriented to marketing context; repurchase intentions of information technology; a multi-level analysis of the impact of health information technology on hospital performance; institutional logics of adoption and use of health information technology; post-acceptance of electronic medical records; socio-technical attachments and IT change; comparing the predictive ability of PLS and covariance models; a note of caution on covariance-equivalent models in information systems; differential effects of omitting formative indicators; being innovative about service innovation; estimating demand for applications in the new mobile economy; continuance of professional social networking sites; role of online social networks in job search by unemployed individuals; knowledge contribution in online network of practice; the dual role of IS specificity in governing software as a service; relational antecedents of information visibility in value networks; summarization of corporate risk factor disclosure through topic modeling; a hybrid method for cross-domain sentiment classification using multiple sources; designing intelligent expert systems to cope with liars; IS offshore project risk, contracts and team structure; vendor and client project managers; technology desirability; the role of green IS in developing eco-effectiveness; the impact of IT-enabled manufacturing capabilities on plant profitability; inter-industry IT spillovers after the dot-com bust; effects of undesired online video advertising choice on user behavior and attitude; unfulfilled obligations in recommendation agent use; understanding the formation of trust in IT artifacts; user decisions among digital piracy and legal alternatives for film and music; a probabilistic generative model for latent business networks mining; the effects of information disclosure policy on the diffusion of security attacks; interactivity of social media and online consumer behavior; strategies for establishing service oriented design in organizations; alternative genres of is research; ICT standardization strategies and service innovation in health care; technical support and IT capacity demand; online social networks as a source and symbol of stress; the effects of social network usage on organizational identification; using the Kano model to identify attractive user-interface software components; developing a theory of multitasking behavior; an empirical investigation of information systems departments' configurations; exploring the adaptation of enterprise systems implementation methodology; out of the box and onto the stage; an organizing vision perspective on green IS development; the emergence of sustainability as the new dominant logic; social influence and defaults in peer-to-peer lending networks; multi-screen strategy for selling mobile content to customers; the emergent role of IT capabilities; reducing price uncertainty through demand side management; factors affecting perceived persuasiveness of a behavior change support system; surfacing schemas from firms' informational engagements; optimal design of consumer review systems; measuring product type with dynamics of online product review variance; different effects on retailers of online product reviews; measurement of multitasking with focus shift analysis; an exploration of the impact of information privacy invasion; measuring mobile users' concerns for information privacy; examining the rationality of location data disclosure through mobile devices; towards a design theory for software project risk management systems; identifying optimal IT portfolios to promote healthcare quality; designing a web-based application to s pport peer instruction for very large groups; principles for knowledge creation in collaborative design science research; estimating optimal recommendation set sizes for individual consumers; predicting participation in social media sites by analyzing user participation patterns; a hidden Markov model for conversion rate dynamics in online retail; flow experience and continuance intention toward online learning; design and evaluation of a didactical service blueprinting method for large scale lectures; knowledge sharing and maturation in circles of trust; a model-driven method for the systematic literature review of qualitative empirical research; procedurally transparent design science research; advancing task elicitation systems - an experimental evaluation of design principles; the knowing-doing gap in research methods and what we should do about it; efficient and flexible management of enterprise information systems; granularity metrics for IT services; from observed outcomes to measurable performance; the effect of third party investigation on pay-per-click advertising; identifying factors of e-government acceptance - a literature review; effects of cultural cognitive styles on users' evaluation of website complexity; a sustainability model of green IT initiatives; towards a typology of green IS strategies; digital access, political networks and the diffusion of democracy; the effect of free access on the diffusion of scholarly ideas; an empirical examination of cultural biases in interpersonal economic exchange; effect of business intelligence and IT infrastructure flexibility on organizational agility; news recommender systems with feedback; a multi-theoretical framework for social network-based recommendation; improving coverage of design in information systems education; perceived IT security risks of cloud computing: conceptualization and scale development; capability leapfrogging in the Japanese IT services industry; predatory coercion in social media and protection of children online - a critical discourse analysis approach; encouraging collaborative idea-building in enterprise-wide innovation challenges; analyzing the impact of social media strategies on viewer engagement; supporters in deed - studying online support provision from the perspective of social capital; membership overlap and inter-community collaboration; developing customer agility through information management; keyword search patterns in sponsored link advertisements; the hidden effects of opening bids in online auctions; increasing dynamic capabilities through virtualized grid-in-cloud solutions; design principles for heterogeneity decisions in enterprise architecture management; IT stereotyping and the CEO-CIO headlock; exploring the role of un-enacted projects in IT project portfolio management; the difference of determinants of mobile data services' adoption and continuance - a longitudinal study; a study of effectiveness and satisfaction level of cloud CRM users in Taiwan's enterprises; investigating intelligent agents in a 3D virtual world; an empirical study of a two-sided model of fraudulent exchange; perceptual and conceptual effects of incidental exposure to web ads; self-disclosure on online social networks; critical success factors of location-based services; affect and online privacy concerns; the impact of training and social norms on information security compliance; security management in cross-organizational settings; the effect of customers' emotion on service recovery strategy in IT service failures; the influence of IS affordances on work practices in health care; multi-level knowledge transfer in software development outsourcing projects; organizational performance with environmental knowledge intensity; process visibility - towards a conceptualization and research themes; towards an oil crisis early warning system based on absolute news volume; constructing workflow models from agent profiles; formulating effective coordination strategies in agile global software development teams; the transmission of control in informat on systems projects; the structuration of task-oriented communication in innovative virtual teams and social media in the entrainment of contention to innovation.</t>
  </si>
  <si>
    <t>International Conference on Information Systems, ICIS 2012, Volume 2</t>
  </si>
  <si>
    <t>https://www.scopus.com/inward/record.uri?eid=2-s2.0-84884643093&amp;partnerID=40&amp;md5=27fade6ac3f03a37cb6cf606f1c7b775</t>
  </si>
  <si>
    <t>Proceedings - 2011 9th International Conference on Software Engineering Research, Management and Applications, SERA 2011</t>
  </si>
  <si>
    <t>https://www.scopus.com/inward/record.uri?eid=2-s2.0-82155165741&amp;partnerID=40&amp;md5=62efc17de74e6bf5a64f72123a7e691b</t>
  </si>
  <si>
    <t>The proceedings contain 36 papers. The topics discussed include: introducing support for embedded and real-time devices into existing hierarchical component system: lessons learned; requirements engineering current practice and capability in small and medium software development enterprises in New Zealand; towards automatic generation of ontology-based anti-pattern Bayesian network models; the general variation models of additive and multiplicative noise removal of color images and their split Bregman algorithms; architectural design and development of a hybrid robotics control system; an improved data encryption standard to secure data using smart cards; tool to support constructing, analyzing, comparing and composing models; business architecture elicitation for enterprise architecture: VMOST versus conventional strategy capture; and on testing of implementation correctness of protocol based intrusion detection systems.</t>
  </si>
  <si>
    <t>23rd International Conference on Advanced Information Systems Engineering, CAiSE 2011</t>
  </si>
  <si>
    <t>https://www.scopus.com/inward/record.uri?eid=2-s2.0-85037714664&amp;partnerID=40&amp;md5=bc584c52dae21bb5226bbeabdebf3e3b</t>
  </si>
  <si>
    <t>The proceedings contain 50 papers. The special focus in this conference is on Advanced Information Systems Engineering. The topics include: A trace metamodel proposal based on the model driven architecture framework for the traceability of user requirements in data warehouses; ontological foundations for conceptual part-whole relations: The case of collectives and their parts; product-Based Workflow Design for monitoring of collaborative business processes; modeling design patterns with description logics: A case study; interactively eliciting database constraints and dependencies; a conceptual model for integrated Governance, Risk and Compliance; using synchronised tag clouds for browsing data collections; revisiting Naur’s programming as theory building for Enterprise Architecture modelling; A DSL for corporate wiki initialization; total integration: The case of Information Systems for Olympic Games; The REA-DSL: A domain specific modeling language for business models; a foundational approach for managing process variability; tangible media in process modeling – a controlled experiment; experiences of using different communication styles in business process support systems with the shared spaces architecture; what methodology attributes are critical for potential users? understanding the effect of human needs; Exploratory case study research on SOA investment decision processes in Austria; a metamodelling approach for i* model translations; automatic generation of a data-centered view of business processes; Connecting security requirements analysis and secure design using patterns and UMLsec; transforming Enterprise Architecture Models: An Artificial Ontology View; requirements management with semantic technology: An empirical study on automated requirements categorization and conflict analysis; handling concept drift in process mining; a design of Business-Technology Alignment Consulting Framework.</t>
  </si>
  <si>
    <t>2nd International Conference on Computer Science and Information Technology, CCSIT 2012</t>
  </si>
  <si>
    <t>https://www.scopus.com/inward/record.uri?eid=2-s2.0-84888424905&amp;partnerID=40&amp;md5=d545c459d8d958d38c040e385fd42b40</t>
  </si>
  <si>
    <t>The proceedings contain 69 papers. The special focus in this conference is on Computer Science and Information Technology. The topics include: Qualitative optimization of coupling parasitics and driver width in global VLSI interconnects; survey on optimization techniques in high level synthesis; design of fractional order digital differentiator using inverse multiquadric radial basis function; cognitive symmetric key cryptographic algorithm; modeling and verification of Fiat-Shamir zero knowledge authentication protocol; developing software metrics for analysis and design artifacts in unified process; a novel approach for green computing through event-driven power aware pervasive computing; security analysis of proxy blind signature scheme based on factoring and ECDLP; dynamic enterprises architecture for one or more clouds; congestion control in distributed networks - a comparative study; opinion mining from weblogs and its relevance for socio-political research; generalized projective synchronization of three-scroll chaotic systems via active control; switching algorithms in peer to peer networks - review; proposed software development model for small organization and its explanation; Tele-control of remote digital irrigation system performed through internet; a fuzzy rule based expert system for effective heart disease diagnosis; moving object detection using incremental statistical mean technique; classification of moving vehicles in traffic videos; use of augmented reality in serious game for training medical personnel; encouraging the usage of neural network in video text detection application; a novel face recognition method using PCA, LDA and support vector machine; contextual strategies for detecting spam in academic portals; hybrid synchronization of hyperchaotic Chen systems via sliding mode control; design and implementation of efficient Viterbi decoders; classification of MRI brain images using cosine-modulated wavelets; a novel approach for email login system; a non-revisiting genetic algorithm with adaptive mutation for function optimization; analysis of IG DV protocols in MPLS network for quality of video conference; a comparative analysis of watermarking techniques for copy protection of digital images; unique-minimum conflict-free coloring for a chain of rings; enhanced ad hoc on demand distance vector local repair trial for MANET; hybrid intrusion detection with rule generation; Tele-operation of web enabled wireless robot for old age surveillance; calculation of the minimum time complexity based on information entropy; enhancing E-learning through cognitive structures for learning sports; radix-4 modified interleaved modular multiplier based on sign detection; adapting temporal aspects to static GIS models; a basic comparison of different memories for object oriented computer architecture; password authentication using context-sensitive associative memory neural networks; a heuristic approach for community detection in protein networks; single reduct generation by attribute similarity measurement based on relative indiscernibility; adaptive QoS-aware web service composition; key dependent feature point based image Watermaking scheme; a framework for securing mobile social networks; throughput analysis of next-hop forwarding method for non-linear vehicular ad hoc networks; user-centric situation awareness in ubiquitous computing environments; a review of QoS driven optimal selection of web services for compositions; CNT based channel interconnect for CMOS devices; virtual interactive prototyping; a framework for transparency in SHGs; classification of text documents using B-tree; feature image generation using energy distribution for face recognition in transform domain and a comparative study of placement of processor on silicon and thermal analysis.</t>
  </si>
  <si>
    <t>https://www.scopus.com/inward/record.uri?eid=2-s2.0-84886483941&amp;partnerID=40&amp;md5=6cd9bfdd6a2af8d9c158ec51172c5a42</t>
  </si>
  <si>
    <t>International Conference on Information Systems, ICIS 2012, Volume 3</t>
  </si>
  <si>
    <t>https://www.scopus.com/inward/record.uri?eid=2-s2.0-84886470101&amp;partnerID=40&amp;md5=7f51e14982a32277bb87f17300c42c60</t>
  </si>
  <si>
    <t>International Conference on Information Systems, ICIS 2012, Volume 4</t>
  </si>
  <si>
    <t>https://www.scopus.com/inward/record.uri?eid=2-s2.0-84886483021&amp;partnerID=40&amp;md5=70b50ba9af00fc697b1ff4ef4921fad6</t>
  </si>
  <si>
    <t>International Conference on Information Systems, ICIS 2012, Volume 1</t>
  </si>
  <si>
    <t>https://www.scopus.com/inward/record.uri?eid=2-s2.0-84886536369&amp;partnerID=40&amp;md5=9ad75527585a4798835d4fbb73864ebf</t>
  </si>
  <si>
    <t>https://www.scopus.com/inward/record.uri?eid=2-s2.0-84886550717&amp;partnerID=40&amp;md5=2441a03d215ae7a1b04bc5151531cada</t>
  </si>
  <si>
    <t>ICEIS 2012 - Proceedings of the 14th International Conference on Enterprise Information Systems</t>
  </si>
  <si>
    <t>https://www.scopus.com/inward/record.uri?eid=2-s2.0-84865756845&amp;partnerID=40&amp;md5=0227dce754f8f513f9dd25845eb24ec2</t>
  </si>
  <si>
    <t>The proceedings contain 161 papers. The topics discussed include: database schema elicitation to modernize relational databases; data processing modeling in decision support systems; changing concepts in human-computer-interaction in real-time enterprise systems - introducing a concept for intuitive decision support in SCM scenarios; MQL: a mapping management language for model-based databases; DISEArch - a strategy for searching electronic medical health records; adaptive data distribution for collaboration; ontology support for home care process design; a cooperation system based on ontologies; facilitating the handling of documents through tree-map visualization; changes of learning in mobile scenarios - analysis and comparison of use and browsing of a virtual campus in mobile scenarios; and evolution of enterprise architecture discipline - towards a unified developing theory of enterprise architecture body of knowledge as an evolving discipline.</t>
  </si>
  <si>
    <t>IS Olympics: Information Systems in a Diverse World - CAiSE Forum 2011, Selected Extended Papers</t>
  </si>
  <si>
    <t>https://www.scopus.com/inward/record.uri?eid=2-s2.0-84911355855&amp;partnerID=40&amp;md5=26e4e493ff90c38a4ed8919f2964d099</t>
  </si>
  <si>
    <t>The proceedings contain 15 papers. The topics discussed include: a tool for automatic enterprise architecture modeling; creating declarative process models using test driven modeling suite; Diagen: a model-driven framework for integrating bioinformatic tools; a software framework for the automated production of schematic maps; a flexible system for ontology matching; a CASE tool to support automated modelling and analysis of security requirements, based on secure Tropos; a tool for managing evolving security requirements; tool support for enforcing security policies on databases; towards agile model-driven web engineering; evaluating comprehension and utilization of variability aspects in UML-based models; OLAP on complex data: visualization operator based on correspondence analysis; knowledge dimension in business process modeling; when process mining meets bioinformatics; and stepwise context boundary exploration using guide words.</t>
  </si>
  <si>
    <t>3rd Enterprise Engineering Working Conference, EEWC 2013</t>
  </si>
  <si>
    <t>https://www.scopus.com/inward/record.uri?eid=2-s2.0-84940762520&amp;partnerID=40&amp;md5=8bb8b4e4ae6e95351fe7b0c2d912937f</t>
  </si>
  <si>
    <t>The proceedings contain 8 papers. The special focus in this conference is Advances in Enterprise Engineering. The topics include: Value-Oriented solution development process: uncovering the rationale behind organization components; towards developing a model-based decision support method for enterprise restructuring; exploring organizational implementation fundamentals; a case study on enterprise transformation in a medium-size japanese IT service provider: business process change from the ontological perspective; explaining with mechanisms and its impact on organisational diagnosis; transformation of multi-level systems - theoretical grounding and consequences for enterprise architecture management; identifying combinatorial effects in requirements engineering and understanding entropy generation during the execution of business process instantiations: an illustration from cost accounting</t>
  </si>
  <si>
    <t>14th International Conference on Enterprise Information Systems, ICEIS 2012</t>
  </si>
  <si>
    <t>https://www.scopus.com/inward/record.uri?eid=2-s2.0-85025806473&amp;partnerID=40&amp;md5=53a1054b77bd07823a1e4ba499a4b221</t>
  </si>
  <si>
    <t>The proceedings contain 28 papers. The special focus in this conference is on Enterprise Information Systems. The topics include: An engineering approach for the design of hybrid modelling methods; requirements engineering for emergent application software; finding semi-automatically a greatest common model thanks to formal concept analysis; advanced product lifecycle management by introducing domain-specific service buses; matcher composition methods for automatic schema matching; an SNMP filesystem in userspace; exploring similarity relations according to different contexts in mining generalized association rules; models for human computer interaction in scheduling applications; building domain-specific modeling languages for frameworks; locating and correcting software faults in executable code slices via evolutionary mutation testing; using information visualization and text mining to facilitate the conduction of systematic literature reviews; accelerating crosscutting framework reuse using a model-based approach; time efficiency of point-of-sale payment methods; user-centric data integration with the mappingassistant; introducing new technology in educational contexts; composing interface demonstrations automatically from usage logs; towards a framework for conceptualizing dynamic knowledge; the enterprise architecture body of knowledge as an evolving discipline and a literature review of business/IT alignment strategies.</t>
  </si>
  <si>
    <t>International Conference on Business Information Systems Workshops, BIS 2013</t>
  </si>
  <si>
    <t>https://www.scopus.com/inward/record.uri?eid=2-s2.0-85025156670&amp;partnerID=40&amp;md5=02465d149dba363e4e750388ffe52fb0</t>
  </si>
  <si>
    <t>The proceedings contain 28 papers. The special focus in this conference is on Business Information Systems. The topics include: Using software agents to enhance the functionality of social knowledge portal; research of conventional data mining tools for big data handling in finance institutions; lean agile approach in development of modern mobile and web applications; UML diagrams generation process by using knowledge based subsystem; using ontologies to integrate multiple enterprise architecture domains; policy conflict handling as a monitoring activity of hospital information systems; TOGAF adaption for small and medium enterprises; the industrial practice of ITIL implementation in medium-sized enterprises; a new way of distributing mobile tasks into the cloud; the system conception of investigation of the communication security level in networks; parent plan support system - context, functions and knowledge base; linked open data for legislative domain - ontology and experimental data; causality and other aspects of instrumental reasoning; crawling data-intensive web sources using structure information; aspect-oriented ontology development; RDF data clustering; semantically enhanced analysis of enterprise environment for the needs of business networks identification; conceptual semantic representation of 3D content; creation of interactive AR content on mobile devices; feature extraction based on semantic sentiment analysis; aspect-aware identification of opinion phrases polarity based on summaries of consumer opinions about products and services; a rule-based agent framework for weakly-structured scientific workflows and process mining techniques in conformance testing of inventory processes.</t>
  </si>
  <si>
    <t>19th International Conference on Information and Software Technologies, ICIST 2013</t>
  </si>
  <si>
    <t>https://www.scopus.com/inward/record.uri?eid=2-s2.0-84897369421&amp;partnerID=40&amp;md5=0df4e0a1044e123b338a3b556455dc0b</t>
  </si>
  <si>
    <t>The proceedings contain 34 papers. The special focus in this conference is on Information and Software Technologies. The topics include: Analysis of control system with delay using the Lambert function; the quality management metamodel in the enterprise architecture; ontology matching using TF/IDF measure with synonym recognition; moving averages for financial data smoothing; knowledge transfer in management support system implementation; automation of upgrade process for enterprise resource planning systems; business process flow verification using knowledge based system; web-based analytical information system for spatial data processing; system architecture model based on service-oriented architecture technology; process for applying derived property based traceability framework in software and systems development life cycle; developing SBVR vocabularies and business rules from OWL2 ontologies; incompleteness in conceptual data modelling; semi-supervised learning of action ontology from domain-specific corpora; speech keyword spotting with rule based segmentation; business intelligence maturity models: information management perspective; modified stochastic algorithm for mining frequent subsequences; on two approaches to constructing optimal algorithms for multi-objective optimization; recognition of voice commands using hybrid approach; estimation of the environmental impact on the accuracy of signal recognition; automated method for software integration testing based on UML behavioral models; computational algorithmic generation of high-quality colour patterns; design of visual language syntax for robot programming domaindevelopment in authentication of AODV protocols to resist the attacks; evaluation of open source server-side XSS protection solutions; novel method to generate tests for VHDL; behavior analysis of real-time systems using PLA method and measuring the performance of process synchronization with the model-driven approach.</t>
  </si>
  <si>
    <t>Proceedings - IEEE International Enterprise Distributed Object Computing Workshop, EDOCW</t>
  </si>
  <si>
    <t>https://www.scopus.com/inward/record.uri?eid=2-s2.0-84946698368&amp;partnerID=40&amp;md5=d76c376b78edac379a5d3b1347df75a5</t>
  </si>
  <si>
    <t>The proceedings contain 26 papers. The topics discussed include: process mining as the superglue between data science and enterprise computing; a formalization of complex event stream processing; modeling exception flows in integration systems; extensible model-based approach for supporting automatic enterprise analysis; overview of enterprise information needs in information security risk assessment; enterprise architecture analysis with production functions; customization of domain-specific reference models for data warehouses; fuzzy-set based sentiment analysis of big social data; predicting iPhone sales from iPhone tweets; an ontological analysis of service modeling at ArchiMate's business layer; and WPress: an application-driven performance benchmark for cloud-based virtual machines.</t>
  </si>
  <si>
    <t>ENASE 2014 - Proceedings of the 9th International Conference on Evaluation of Novel Approaches to Software Engineering</t>
  </si>
  <si>
    <t>SciTePress</t>
  </si>
  <si>
    <t>https://www.scopus.com/inward/record.uri?eid=2-s2.0-84902326747&amp;partnerID=40&amp;md5=6d86da5b8f9687e9809a8bba95b03bd8</t>
  </si>
  <si>
    <t>The proceedings contain 28 papers. The topics discussed include: visualizing traceability information with iTrace; application of a lightweight enterprise architecture elicitation technique using a case study approach; the AXIOM model framework - transforming requirements to native code for cross-platform mobile applications; understanding class-level testability through dynamic analysis; investigating defect prediction models for iterative software development when phase data is not recorded - lessons learned; a system for collaborative building of use CaseModels: communication analysis and experiences - experiences of use and lessons learned from the use of the SPACE-DESIGN tool in the domain of use case diagrams; automated generation of activity and sequence diagrams from natural language requirements; and recovering software layers from object oriented systems.</t>
  </si>
  <si>
    <t>iStar 2014 - Proceedings of the 7th International i* Workshop co-located with the 26th International Conference on Advanced Information Systems Engineering, CAiSE 2014</t>
  </si>
  <si>
    <t>https://www.scopus.com/inward/record.uri?eid=2-s2.0-84907081150&amp;partnerID=40&amp;md5=e427f016c75606d8d29fee58e2b98f4b</t>
  </si>
  <si>
    <t>The proceedings contain 26 papers. The topics discussed include: a principle-based goal-oriented requirements language (GRL) for enterprise architecture; architecting enterprise capabilities: creating dynamic capabilities from IT and software architecture; applying business strategy models in organizations; value co-creation modeling: supporting the analysis and design of B2B service engagements through agent orientation and business intelligence; goals and compliance in Nòomos 3; designing socio-technical systems with protos; modeling and applying security patterns using contextual goal models; a goal-oriented analysis to guide the development of a user feedback ontology; using intentional modeling to discover the user preferences in existing software systems; and social team characteristics and architectural decisions: a goal-oriented approach.</t>
  </si>
  <si>
    <t>2014 World Conference on Information Systems and Technologies, WorldCIST 2014</t>
  </si>
  <si>
    <t>https://www.scopus.com/inward/record.uri?eid=2-s2.0-84898619558&amp;partnerID=40&amp;md5=d68a29ca6e54fda2a525a704042da9aa</t>
  </si>
  <si>
    <t>The proceedings contain 47 papers. The special focus in this conference is on Information Systems and Technologies. The topics include: Extending Groovy's reification and closures; the connective scheme between the enterprise architecture and organisational structure; towards a flexible and transparent database evolution; virtual desktop infrastructure (VDI) technology; exploring WebRTC technology for enhanced real-time services; integrating public transportation data; model and application architecture indicators of evaluation the enterprise architecture; software tools for project management - focus on collaborative management; an adaptable infrastructure to generate training datasets for decompilation issues; reengineering of software requirement specification; discrimination of class inheritance hierarchies - a vector approach; transformation of Coloured Petri Nets to UML 2 diagrams; a secure mobile platform integrated with electronic medical records; mobile botnet attacks; evaluation of an integrated mobile payment, ticketing and couponing solution based on NFC; augmented reality mobile tourism application; a data aggregation system for music events; an approach for graphical user interface external bad smells detection; improving high availability and reliability of health interoperability systems; developing a learning objects recommender system based on competences to education; current issues on enterprise architecture implementation methodology; user behavior detection based on statistical traffic analysis for thin client services; using individual interactions to infer group interests and to recommend content for groups in public spaces; a distributed architecture for remote validation of software licenses using USB/IP protocol; bandwidth optimization for real-time online and mobile applications; an evaluation on the usability of E-commerce website using think aloud method; towards a structured electronic patient record for supporting clinical decision-making; architecture for serious games in health rehabilitation; a simple movement classification system for smartphones with accelerometer; a comparative study of cerebral palsy adults with distinct boccia experience; visualization of services availability; information persistence architecture for informal and formal care providers; a web system based on a sports injuries model towards global athletes monitoring; an embryo quality assessment tool; predictive models for hospital bed management using data mining techniques; how to use activity theory contradiction concept to support organization control; pedagogical and organizational concerns for the deployment of interactive public displays at schools; application of virtual and augmented reality technology in education of manufacturing engineers; mobile technologies applied to teaching; mobile games for children; authoring environment for location decision games for decision-making skills development; leveraging web information for E-learning and cross-artefacts for the purpose of education.</t>
  </si>
  <si>
    <t>15th International Conference on Enterprise Information Systems, ICEIS 2013</t>
  </si>
  <si>
    <t>https://www.scopus.com/inward/record.uri?eid=2-s2.0-84928949450&amp;partnerID=40&amp;md5=4d1d78bc36b9210b624478c7ab9256f0</t>
  </si>
  <si>
    <t>The proceedings contain 40 papers. The special focus in this conference is on Databases, Information Systems Integration, Artificial Intelligence, Decision Support Systems, Information Systems Analysis and Specification. The topics include: An evaluation of multi-way joins for relational database systems; applying semantic web tools and techniques to the textile traceability; estimating sufficient sample sizes for approximate decision support queries; a data-driven prediction framework for analyzing and monitoring business process performances; an overview of experimental studies on software inspection process; optimizing power, heating, and cooling capacity on a decision-guided energy investment framework; business intelligence for improving supply chain risk management; Bayesian prediction of fault-proneness of agile-developed object-oriented system; foundation for fine-grained security and DRM control based on a service call graph context identification; capturing semiotic and social factors of organizational evolution; the change impact analysis in BPM based software applications; reengineering of object-oriented software into aspect-oriented ones supported by class models; re-learning of business process models from legacy system using incremental process mining; an analysis of the usage of a micro blogging system; cloud-based collaborative business services provision; an architecture for health information exchange in pervasive healthcare environment; dealing with usability in model-driven development method; self-service classroom capture generating interactive multivideo objects; from gaps to transformation paths in enterprise architecture planning; an automated architectural evaluation approach based on metadata and code analysis and blueprint of a semantic business process-aware enterprise information architecture.</t>
  </si>
  <si>
    <t>2014 International conference on Mechatronics and Intelligent Materials, MIM 2014</t>
  </si>
  <si>
    <t>Trans Tech Publications Ltd</t>
  </si>
  <si>
    <t>https://www.scopus.com/inward/record.uri?eid=2-s2.0-84904211575&amp;partnerID=40&amp;md5=7a26c28be8b0209111210ef89d97f108</t>
  </si>
  <si>
    <t>The proceedings contain 615 papers. The special focus in this conference is on Mechatronics and Intelligent Materials. The topics include: Aluminum parts based on solidworks edge shape analysis and mold design; analysis of factors influencing the flow velocity of heavy oil gravity drive; biomimetic scaffolds containing chitosan and hydroxyapatite for bone tissue engineering; composite lining aseismic design for fault-crossing tunnel structures; effect of carbon content on microstructure and properties of gray cast iron; first-principles study on electronic structure of 15r-sic polytypes; functional properties of poly(lactide) film incorporated with clove essential oil; cultivation model of translation ability based on internet; research on English electronic standard database based on android platform; based on authorware courseware design; the kinematics analysis of carols moya and Thomas enqvist tennis first serve; research on application of symbol typesin design and semiotics; the analysis of cognitive trait anxiety for speed skater in china; striving for offensive rebounds in the basketball game; try to talk about the customers' needs of graduate education management system; the study on media selection strategies in short of education; the popularization of marxism education based on internet platform; the design and implementation of educational administration system; the application research of SMS in higher education; study and analysis of college student extracurricular sports activity; research on the preference evaluation factors of schoolroom via psychophysical tests; research on the multimedia teaching in Chinese universities; research on independent learning model foreign language on multimedia network; research on application multimedia technologies in basketball basic tactic teaching; network ideological and political education of college and research analysis; network architecture and functional development of the foreign linguistics teaching platform; innovation teaching design on the C programming of ability guidance; education and teaching methods of full-time engineering professional master; discussion on the teaching of multimedia technology in higher vocational colleges; design and implementation of translation-based universal English internet system; design and implementation of SMS-based business English education system; design and development of English education system based on internet; design and application of data structure" online teaching platform; cultivation of innovation ability of applied undergraduates basing on own resources; college sports venues management strategy research; college graduates employment management information system development; characteristics and measures for safe and stable work of college students in the new period; analysis of graduate education quality evaluation data on Shenyang aerospace university; a study on training of contemporary college student everyday sports ability; a new ecology of tertiary education in china from the perspective of multimedia technology; evaluation of airlines Operating quality besed on grey multi-level; earned value analysis application in project management; the building of state-owned capital dual budget system; build a network-based system of accounting information system reform; a double-filtration method of recommendation for automobile after-sales service; dynamic cost analysis design and development based on digital pipelinel; vehicle driving oil-saving technologies discussed in this paper; BBS of mechanical amateur management system development; analysis on the problems and measures to the construction project cost management; using enterprise architecture to direct IT governance; the policy effectiveness evaluation on financial investment of scientific and technological innovation of Liaoning province; the analysis of business operation pattern of e-commerce cash flow; summarize on evaluation of advertising effect; research training model employment of migrant workers; research on smart urban metro transport en erprise asset management system; research on mechanism of compensation for participants cooperation in IPD; research on enterprise management model based on internet E-ERP; research and analysis ship sailing environmental assessment; queuing model of container terminal logistics system in event scheduling; project cost management and application of information technology to improve; path of the operation and promotion of market-based Chinese martial arts; inventory control of supply chain environment; information technology improve the administrative efficiency research; game analysis on profit distribution between freight league; game analysis of bidder conspiracy risk in the large-scale government construction project; evaluation the quality of air passenger services; e-commerce application analysis of flowers in china; design of a freeway mathematical model and its performance analysis; data analysis and prediction on Chinese industrial economy and human resource training; cultivation model of human resource management based on internet; construction of green GDP accounting system; china's internet real economy economic management network based on information resources; BOQ bidding problems exist in china and solutions; analysis on the consumer decision time of online shopping; analysis on risks of china's urbanization; analysis of consumption of rural residents in Jilin province based on hidden Markov model; abstractive Thai opinion summarization; the research about media industry boundary based on system economics; the stochastic simulation prediction method for landslide; on green packaging design in packaging design; food packaging designs and researches based on green concept; application of GRNN neural network in short term load forecasting; analysis on lightning striking selectivity and lightning protection; physical environment assessment tools for the performance of recreational farm; new basket-based method for testing coarse aggregate saturated surface-dry mass; the common research theory of the useful life of north pole buoys; the design method of railway land based on objectARX; some opinions on environmental geotechnology; SI residential construction techniques to explore under the system; seismic effect analysis on buckling restrained brace; research on rural pollution treatment technology; research on the formulas for stabilizers of the dian lake peat soil; research on public rental housing facilities management in Changsha; measurement technology in the application of the housing construction; common research questions of municipal sewer construction; IGRS and UPnP devices interconnected security mechanism; the research and implementation of safety isolation system SNMP agent; the building and maintenance of the database under the network economy; TD-LTE market research and analysis of prospects; an aggregation algorithm to balance energy consumption and reduce delay based on unequal clustering; a study of construction and function of digitalized platform of museum; study and exploration into query by humming; student achievement management system development and design; multiobjective topology extraction of the compliant mechanisms; MMA for topology optimization based on the theories of density interpolation schemes; hadoop cloud computing application in database marketing system of a tobacco company; gesture recognition research based on kinect; e-commerce information management system data security research; design for distributed database server of tea traceability system based on amoeba; design and implementation of tourism management information system; a novel parallel vertex processing framework of progressive mesh; support engineering computer-aided design systems and BIM template; manufacturing information based on cloud service platform; fingerprint preprocessing and recognition system development and design; design and implementation of landscape plant information search engine; auxiliary device for SCM and its design project; application of nonnegative tucker decomposition in medical data analysis; based on DNS of a layered web search engine study; web-based monitoring for frequency converters with USS interface; web application development based on MDA project-driven mode; WCDMA wireless resource utilization analysis based on ultimate bearing capacity; vocational colleges wireless network design; video block motion estimation based on walsh-hadamard projection kernels; two-dimensional parameter principal component analysis for face recognition; the study on fire spreading based on mobile agent and grid technology; based on GIS spatial clustering algorithm research; design and implementation of CRM based on j2ee; AR model power spectrum estimation and MATLAB simulation; application of EPON multicast technology over IPTV; an immunity-based algorithm for distribution center location; an edge detection method based on improved sobel operator; an e-business model based on XML and web services; an artificial neural network model for data prediction; an analysis of new mining algorithm for spatial outliers and a study on digital archives based on cloud computing."</t>
  </si>
  <si>
    <t>20th Americas Conference on Information Systems, AMCIS 2014</t>
  </si>
  <si>
    <t>Association for Information Systems</t>
  </si>
  <si>
    <t>https://www.scopus.com/inward/record.uri?eid=2-s2.0-84905994643&amp;partnerID=40&amp;md5=77f2851f6be7920fec94c025d7ba88e4</t>
  </si>
  <si>
    <t>The proceedings contain 436 papers. The special focus in this conference is on Information Systems. The topics include: A classification of factors that impact the role of the CIO; a comparison of IT governance and control frameworks in cloud computing; a conceptual approach for optimizing distribution logistics using big data; a database-driven model for risk assessment; a framework for developing integrated supply chain information system; a maturity model and web application for environmental management benchmarking; a model of distributed agile team; a model of effective IT governance structures for developing economies; a multi-agent system for healthcare data privacy; a novel indexing method for improving timeliness of high-dimensional data; a systematic review of cloud computing, big data and databases on the cloud; a user satisfaction study of the London congestion charging e-service; achieving business goals with gamification; addressing levels issues in IS qualitative research; affect infusion in a computer based multitasking environment; alignment between business process governance and IT governance; an actor-network perspective on business process management; an agent-based system for medication adherence monitoring and patient care; an application of the knowledge management maturity model; an efficient stochastic update propagation method in data warehousing; an empirical study of consumer behavior in online pay-to-bid auctions; an empirical study of the gratifications of customer resonance on purchase intention; an explorative study of mobile apps in the enterprise; an information system framework and prototype for collaborative and standardized Chinese liquor production; an ontology-based record management systems approach for enhancing decision support; an organizational mining approach based on behavioral process patterns; applying emergent outcome controls to mitigate time pressure in agile software development; augmented reality and print communication; barriers to green IT service management; behavioural affect and cognitive effects of time-pressure and justification requirement in software acquisition; a holistic investigation into factors affecting social media utilisation in the workplace; beyond traditional IT-enabled innovation; a key capability for competitive advantage; BIS adoption determinants in SMEs; boundary spanning and the differentiated effects of IS project deviations; business continuity in network organizations - a literature review; business intelligence and analytics; start-ups in the text analytics software industry; categorising software contexts; causal model for predicting knowledge sharing via ICTs; changing boundaries in virtual (open) innovation work; an organizational learning approach; co-creation in branding through social commerce; communication privacy management in the digital age - effects of general and situational privacy concerns; communities of sentiment around man-made disasters; compensation of IT service management employees; conceptual review of formative assessment in virtual learning environment; conceptualizing business value of IT in healthcare to design sustainable e-health solutions; conditions for participation within synchronous online collaborative learning; consultant strategies and technological affordances; contextual preferences and network-based knowledge sharing in china; contingent role of knowledge self-efficacy distribution on diffusion of knowledge in peer-to-peer networks; data fusion-based decision support architecture for intensive care units; decreasing waiting times with human and equipment resources; design guidelines for a mobile app for wellbeing of emerging adults; designing a hybrid academic workshop; determinants of CIOs reporting relationship; determinants of it job occupations; developing a conceptual model for project knowledge management; developing an engaging IT degree; developing social capital in online communities; development of measurement instrument for sustainable agricultural management; drivers of informatio quality on blogs; communication preparedness using emergency description information technology; extent of use and overall performance mediated by routinization and infusion; educated people with disabilities in the ICT field; effectiveness and efficiency of blended learning - a literature review; effects of IT-culture conflict and user dissatisfaction on information security policy non-compliance; EHR adoption in healthcare practices; ensuring positive impact of data quality metadata; enterprise architecture as enabler of organizational agility - a municipality case study; enterprise SNS use and profile perceptions; enterprise system lifecycle-wide innovation; evaluating emotions in mobile application descriptions; evaluation of firm level technology usage in developing countries; examining intersubjectivity in social knowledge artifacts; examining the impact of emotions on trust in virtual teams; examining the role of legal climate on individual creativity in virtual worlds; experiential learning with an open-source enterprise system; exploring configurations of affordances; exploring the existence of network governance in the software as a service value network; exploring user satisfaction of the public e-services in the state of Qatar; factors related to social media adoption and use for emergency services operations; features for social CRM technology - an organizational perspective; financial incentives for medication adherence; from strategic to operational collaborations; a qualitative and quantitative analysis of scientific literature; icon design and game app adoption; ICT development and corruption; impact of electronic diabetes registry use on care and outcomes in primary care; impact of online customer reviews and incentives on the product sales at the online retail store; impacts of organizational behavior on it project teams; improving healthcare outreach to a vulnerable community group; improving knowledge-intensive business processes through social media; information security and insider threats in small medical practices; information security in value chains; information systems security training in organizations; recognizing ritualistic behavior by abstracting technical indicators from past cases; inspiring and cultivating female innovators through mobile app development; IT enabled agility in organizational ambidexterity; IT enablers for task organization and innovation support to drive team performance; IT-enabled intangibles and IT capabilities; joint effect of organizational identity and trust on ERP implementation success; critical factors for achieving smart grid value; market reaction to information technology investment announcements in Russian firms; method-based versus software-based design innovation; differences in environment-based voluntariness; news media sentiment of data breaches; online electronic thesis support system at maritime university; a pedagogical approach of promoting information security education; patterns of designer-user interactions in the design innovation process; personality type effects on online credit card payment utilization; personalized design of online communities; predicting fraud from quarterly conference calls; pricing quality attributes of internet domain names; protection motivation driven security learning; prudential risk management of IT sourcing strategies; real-time task attributes and temporal constraints; analyzing requirements cognition in multiple development paradigms; rethinking the concept of organizational readiness; role of justice in information system service recovery process; impression management as motivation to use social networks; seeking efficiency and productivity in health care; sentiment analysis method review in information systems research; smart sustainability through system satisfaction; bridging the gap between online social networks; social determinants of Facebook commerce acceptance; social media communication in European airlines; exploring content guidelines and policy using a grounded theory approach; the use of online social networks to support shopping-oriented decision making; software ecosystem orchestration; visibility feature designs increase tablet use; technology in practice in Brazilian judiciary; testing the group task demands-resources model among IT professionals; the antecedents and impacts of mobile technostress in the workplace; the combined effects of IT and HRM capabilities on competitive performance; the effects of salience, deterrence, and social influence on software piracy; towards a business model framework for E-learning companies; towards understanding and overcoming hurdles in PDMS projects in Germany; trends in the E-learning ecosystem; understanding usages and affordances of enterprise social networks; user interface design and the halo effect; using crowdsourcing tools for implementing open strategy; value proposition of agility in software development - an empirical investigation; virtual team performances in crowdsourcing contests; will insurance brokers use mobile insurance service platform and the antecedents and consequences.</t>
  </si>
  <si>
    <t>Proceedings - 17th IEEE Conference on Business Informatics, CBI 2015</t>
  </si>
  <si>
    <t>https://www.scopus.com/inward/record.uri?eid=2-s2.0-84960127884&amp;partnerID=40&amp;md5=21a58f5ec373c4042df2c533ba943ae8</t>
  </si>
  <si>
    <t>The proceedings contain 43 papers. The topics discussed include: analysis of federated business models: an application to the business model Canvas, ArchiMate, and e3value; an internal perspective of business model innovation in manufacturing companies; term of contract and portfolio aware churn modeling in telecommunication campaigns; an information system for sales team assignments utilizing predictive and prescriptive analytics; analyzing privacy policies based on a privacy-aware profile: the Facebook and LinkedIn case studies; collaborative EA information elicitation method: the IEM for business architecture; information reference architecture for the Portuguese health sector; an architectural pattern to implement business rules in information systems; and exploring a three-dimensional, requirements-based, balanced scorecard business model: on the elicitation and generation of a business model canvas.</t>
  </si>
  <si>
    <t>Lecture Notes in Informatics (LNI), Proceedings - Series of the Gesellschaft fur Informatik (GI)</t>
  </si>
  <si>
    <t>Gesellschaft fur Informatik (GI)</t>
  </si>
  <si>
    <t>https://www.scopus.com/inward/record.uri?eid=2-s2.0-85018287150&amp;partnerID=40&amp;md5=2e7e23d8a280c41965e3c3062e4db633</t>
  </si>
  <si>
    <t>The proceedings contain 24 papers. The topics discussed include: customer services in the digital transformation: social media versus hotline channel performance; Appflation - a phenomenon to be considered for future digital services; user engagement in corporate Facebook communities; sales 2.0 in business-to-business (B2B) networks: conceptualization and impact of social media in B2B sales relationship; feasibility of Bluetooth ibeacons for indoor localization; IT operation management - a systematic literature review of ICIS, EDOC and BISE; enterprise architecture management for the Internet of things; providing EA decision support for stakeholders by automated analyses; bottom-up EA management governance using recommender systems; goal-oriented decision support in collaborative enterprise architecture; evolving enterprise architectures for digital transformations; improving the understanding of business processes; application of process mining for improving adaptivity in case management; and experiencing adaptive case management capabilities with cognoscenti.</t>
  </si>
  <si>
    <t>CEUR Workshop Proceedings</t>
  </si>
  <si>
    <t>https://www.scopus.com/inward/record.uri?eid=2-s2.0-84926071140&amp;partnerID=40&amp;md5=2e1d37a361a3743af6127af69baa2e7b</t>
  </si>
  <si>
    <t>The proceedings contain 28 papers. The topics discussed include: requirements specification as executable software design - a behavior perspective; using work agreements as operation-time system requirements for emergent work community support systems; towards a method for integrated semi-automated business process and regulations compliance management for continuous requirements engineering; a model for structuring and reusing security requirements sources and security requirements; enterprise architecture and knowledge perspectives on continuous requirements engineering; success factors for creativity workshops in re; creativity and conceptual modeling for requirements engineering; elicitation of information needs in precontract requirements engineering; and operationalizing the requirements selection process with study selection procedures from systematic literature reviews.</t>
  </si>
  <si>
    <t>14th International Conference on Business Informatics Research, BIR 2015</t>
  </si>
  <si>
    <t>https://www.scopus.com/inward/record.uri?eid=2-s2.0-84951280029&amp;partnerID=40&amp;md5=da9ae85ff2b0b2a1ee906044d4c8dfbd</t>
  </si>
  <si>
    <t>The proceedings contain 25 papers. The special focus in this conference is on Business Information Systems Interoperability, Business Information System Requirements and Architecture. The topics include: Creation of smart-contracting collaborations for decentralized autonomous organizations; reliable customers and credible fixed-price contracts for software development projects; a crucial point of e-government; a linked data model for web API-s; requirement elicitation using business process models; elements and characteristics of enterprise architecture capabilities; governing IT services for quantifying business impact; on design research; modeling and animation of crisis management process with statecharts; change point detection and dealing with gradual and multi-order dynamics in process mining; a tool to aid the analytic hierarchy process for group decisions; towards a consumer preference-based taxonomy for information systems development; code transformation pattern alignments and induction for ERP legacy systems migration; passive condition pre-enforcement for rights exporting; a business process based method for capability modelling; modeling for viability; towards graphical query notation for semantic databases and conceptualizing a network process model based production platform.</t>
  </si>
  <si>
    <t>18th International Conference on Business Information Systems, BIS 2015</t>
  </si>
  <si>
    <t>https://www.scopus.com/inward/record.uri?eid=2-s2.0-84946431015&amp;partnerID=40&amp;md5=dcd7d728e4dbe71720dec558e9f3e3f5</t>
  </si>
  <si>
    <t>The proceedings contain 36 papers. The special focus in this conference is on Big, Smart Data and Semantic Technologies. The topics include: A parallel approach for decision trees learning from big data streams; empirical research results; evaluating new approaches of big data analytics frameworks; automated equation formulation for causal loop diagrams; an empirical study on spreadsheet shortcomings from an information systems perspective; a mark based-temporal conceptual graphs for enhancing big data management and attack scenario reconstruction; ontology-based creation of 3D content in a service-oriented environment; modeling and querying sensor services using ontologies; validation and calibration of dietary intake in chronic kidney disease; evaluation of the dynamic construct competition miner for an ehealth system; dynamic reconfiguration of composite convergent services supported by multimodal search; on extracting information from semi-structured deep web documents; a novel approach to web information extraction; mining multi-variant process models from low-level logs; on improving the maintainability of compliance rules for business processes; evolutionary computation based discovery of hierarchical business process models; empowering end-users to collaboratively structure processes for knowledge work; social collaboration solutions as a catalyst of consumer trust in service management platforms; the relative advantage of collaborative virtual environments and two-dimensional websites in multichannel retail; combining business processes and cloud services; the nature and a process for development of enterprise architecture principles; interrelations between enterprise modeling focal areas and business and IT alignment domains and multi-dimensional performance measurement in complex networks.</t>
  </si>
  <si>
    <t>12th International Workshop on Enterprise and Organizational Modeling and Simulation, EOMAS 2016</t>
  </si>
  <si>
    <t>https://www.scopus.com/inward/record.uri?eid=2-s2.0-84997269680&amp;partnerID=40&amp;md5=8ab224d3eb750d340b7a903500de1aa3</t>
  </si>
  <si>
    <t>The proceedings contain 12 papers. The special focus in this conference is on Formal Approaches and Human-Centric Approaches. The topics include: Towards simulation- and mining-based translation of process models; complementing the BPMN to enable data-driven simulations of business processes; analysis of enterprise architecture evolution using Markov decision processes; multi-level event and anomaly correlation based on enterprise architecture information; towards OntoUML for software engineering; towards a formal approach to solution of ontological competence distribution problem; the algorithmizable modeling of the object-oriented data model in Craft.CASE; exploring human resource management in crowdsourcing platforms; assessment of brand competences in a family business; a methodological proposal; ontology-based translation of the fusion free word order languages - neoslavonic example; designing business continuity processes Using DEMO; an insurance company case study and educational business process model skills improvement.</t>
  </si>
  <si>
    <t>10th Conference on Information Systems Management, ISM 2015 and 13th Conference on Advanced Information Technologies for Management, AITM 2015</t>
  </si>
  <si>
    <t>https://www.scopus.com/inward/record.uri?eid=2-s2.0-84961155173&amp;partnerID=40&amp;md5=38262b147704bcb5c38c0111663d1ce9</t>
  </si>
  <si>
    <t>The proceedings contain 11 papers. The special focus in this conference is on Knowledge Management Systems, Information Technology for Business, Public Organizations and Evaluation of Information Systems. The topics include: The evolution of adaptive case management from a DSS and social collaboration perspective; process of ontology design for business intelligence system; construction and restructuring of the knowledge repository of website evaluation methods; risk factors relationships for information systems projects; an analysis of supplier and client behavior in polish and German enterprises; modelling of software agents in knowledge-based organisations; fuzzy logic as agents’ knowledge representation in a-trader system; data mining approach to assessment of the ERP system from the vendor’s perspective; comparative analysis of electronic banking websites in Poland in 2014 and 2015; the impact of enhancing a performance measurement system on the Israeli police and evaluating efficiency of archimate business processes verification with NUSMV.</t>
  </si>
  <si>
    <t>BMSD 2016 - Proceedings of the 6th International Symposium on Business Modeling and Software Design</t>
  </si>
  <si>
    <t>https://www.scopus.com/inward/record.uri?eid=2-s2.0-85003837196&amp;partnerID=40&amp;md5=6a34a1d0ee2c6e84a012c7e7ebca66a2</t>
  </si>
  <si>
    <t>The proceedings contain 27 papers. The topics discussed include: interactions, transitions and inference rules in semantically integrated conceptual modelling; modelling information systems using NOMIS - an overview of its modelling notation and implementation; hard problems and soft information; assessing business processes by checking transaction documents for inconsistency risks; on the effect of digital frontstores on transforming business models - concept and use-case from the consulting industry; a multi-criteria evaluation framework for selecting sensitive business processes modeling formalism; a proposal to model knowledge in knowledge-intensive business processes; characteristics of enterprise architecture analyses; an in depth comparative analysis of software tools for modelling and simulating business processes; Microflows: lightweight automated planning and enactment of workflows comprising semantically-annotated microservices; on service e-marketplaces for independent and assisted living; rule-based business process abstraction framework; cross-system process mining using RFID technology; towards a service-oriented architecture for eVoting; the effect of network performance on high energy physics computing; and a backpressure framework applied to road traffic routing for electric vehicles.</t>
  </si>
  <si>
    <t>https://www.scopus.com/inward/record.uri?eid=2-s2.0-85020554963&amp;partnerID=40&amp;md5=61ddc7e3d787226c71fa62d695dfb0d7</t>
  </si>
  <si>
    <t>The proceedings contain 24 papers. The topics discussed include: smart logistics: an enterprise architecture perspective; enriching business artifacts with coordination; hybrid remote expert - an emerging pattern of industrial remote support; a process mining based model for customer journey mapping; VarMeR a variability mechanisms recommender for software artifacts; model fragment reuse driven by requirements; regerator: a registry generator for blockchain; and privacy level agreements for public administration information systems.</t>
  </si>
  <si>
    <t>29th International Conference on Advanced Information Systems Engineering, CAiSE 2017</t>
  </si>
  <si>
    <t>https://www.scopus.com/inward/record.uri?eid=2-s2.0-85021190667&amp;partnerID=40&amp;md5=a280431a1b144da1177bd62ceea75f18</t>
  </si>
  <si>
    <t>The proceedings contain 39 papers. The special focus in this conference is on Advanced Information Systems Engineering. The topics include: Information systems for retail companies; information systems for retail companies; understanding the blockchain using enterprise ontology; accommodating openness requirements in software platforms; development of mobile data collection applications by domain experts; checking process compliance on the basis of uncertain event-to-activity mappings; aligning modeled and observed behavior; multi-party business process resilience by design; identifying domains and concepts in short texts via partial taxonomy and unlabeled data; user interests clustering in business intelligence interactions; analysis of online discussions in support of requirements discovery; discovering causal factors explaining business process performance variation; enriching decision making with data based thresholds of process-related KPIS; characterizing drift from event streams of business processes; massively distributed environments and closed itemset mining; uncovering the runtime enterprise architecture of a large distributed organisation; summarisation and relevance evaluation techniques for big data exploration; instance based process matching using event-log information; analyzing process variants to understand differences in key performance indices; discovering hierarchical consolidated models from process families; survival in schema evolution; on the similarity of process change operations; agile transformation success factors; structural descriptions of process models based on goal-oriented unfolding; aligning textual and graphical descriptions of processes through ILP techniques; use cases for understanding business process models and predictive business process monitoring considering reliability estimates.</t>
  </si>
  <si>
    <t>16th IFIP TC8 International Conference on Computer Information Systems and Industrial Management, CISIM 2017</t>
  </si>
  <si>
    <t>https://www.scopus.com/inward/record.uri?eid=2-s2.0-85019726575&amp;partnerID=40&amp;md5=69d374b4d29142cf4f9bccc9400a87b9</t>
  </si>
  <si>
    <t>The proceedings contain 60 papers. The special focus in this conference is on Computer Information Systems and Industrial Management. The topics include: Pattern classification with rejection using cellular automata-based filtering; optimal controlled random tests; tabu search and greedy algorithm adaptation to logistic task; evolutionary algorithm for the time-dependent orienteering problem; optimalization of parallel GNG by neurons assigned to processes; SVM kernel configuration and optimization for the handwritten digit recognition; object classification using sequences of Zernike moments; classifier selection for motor imagery brain computer interface; a multimodal face and fingerprint recognition biometrics system; keystroke dynamics and finger knuckle imaging fusion for continuous user verification; gesture recognition in 3D space using dimensionally reduced set of features; evaluation of chord and chroma features and dynamic time warping scores on cover song identification task; algorithms for automatic selection of allophones to the acoustic units database; blockchain transaction analysis using dominant sets; ontology driven conceptualization of context-dependent data streams and streaming databases; towards the exploitation of statistical language models for sentiment analysis of twitter posts; context driven approach for enterprise architecture framework; share market sectoral indices movement forecast with lagged correlation and association rule mining; productivity oriented cooperative approach to scheduling IT project tasks; sequential purchase recommendation system for E-Commerce sites; risk assessment in a parallel production system with the use of FMEA method and linguistic variables; smart building climate control considering indoor and outdoor parameters.</t>
  </si>
  <si>
    <t>20th International Conference on Business Information Systems, BIS 2017</t>
  </si>
  <si>
    <t>https://www.scopus.com/inward/record.uri?eid=2-s2.0-85022201464&amp;partnerID=40&amp;md5=995ba983a9a81c334274796ab0218c29</t>
  </si>
  <si>
    <t>The proceedings contain 24 papers. The special focus in this conference is on Business Information Systems. The topics include: On enriching user-centered data integration schemas in service lakes; design principles for digital occupational health systems; estimating the quality of articles in Russian Wikipedia using the logical-linguistic model of fact extraction; automatic discovery of object-centric behavioral constraint models; semi-automated model-based generation of enterprise architecture deliverables; towards automated process model annotation with activity taxonomies; multi-process reporting and analysis for change management and performance reviews; on avoiding erroneous synchronization in BPMN processes; software application interfaces regression testing; influence of task interdependence on teamwork quality and project performance; potentials of digitization in the tourism industry; semi-automatic development of modelling techniques with computational linguistics methods; obstacle aware resource allocation in business processes; ontology-based data access for extracting event logs from legacy data; subgroup discovery in process mining; business process comparison; a smart energy platform for the internet of things; towards a taxonomy of constraints in demand-side-management-methods for a residential context; decomposition of tasks in business process outsourcing; analysis method for conceptual context modeling applied in production environments; evaluating business domain specific e-collaboration and improving pavement anomaly detection using backward feature elimination.</t>
  </si>
  <si>
    <t>36th International Conference on Conceptual Modeling, ER 2017</t>
  </si>
  <si>
    <t>https://www.scopus.com/inward/record.uri?eid=2-s2.0-85033483879&amp;partnerID=40&amp;md5=8010fb32a1d4148704dff3a6ec2b70a3</t>
  </si>
  <si>
    <t>The proceedings contain 39 papers. The special focus in this conference is on Conceptual Modeling. The topics include: Querying graph databases: What do graph patterns mean?; Scaffolding relational schemas and APIs from content in web mockups; sourceVote: Fusing multi-valued data via inter-source agreements; level-aware ecosystem transformations for industrial lifecycle interoperability; conceptual Modeling: Enhancement Through Semiotics; towards an Ontology for Privacy Requirements via a Systematic Literature Review; what happens to intentional concepts in requirements engineering if intentional states cannot be known?; goal models for acceptance requirements analysis and gamification design; modeling regulatory ambiguities for requirements analysis; CE-SIB: A modelling method plug-in for managing standards in enterprise architectures; an experimental evaluation of the understanding of safety compliance needs with models; cardinality constraints with probabilistic intervals; contextual keys; a comprehensive formal theory for multi-level conceptual modeling; alignment-based trace clustering; the conceptual modelling of dynamic teams for autonomous systems; conceptual modeling for genomics: Building an integrated repository of open data; towards thinking manufacturing and design together: An aeronautical case study; OCL UNIV: Expressive UML/OCL conceptual schemas for finite reasoning; goal orchestrations: Modelling and mining flexible business processes; a catalogue of reusable context model elements based on the i* framework; configurable and executable task structures supporting knowledge-intensive processes; various notions of soundness for decision-aware business processes; data, control, and process flow modeling for IoT driven smart solutions; determining the preferred representation of temporal constraints in conceptual models; user perception of numeric contribution semantics for goal models: An exploratory experiment; teleologies: Objects, actions and functions.</t>
  </si>
  <si>
    <t>J. H. Ahn; Y. Ryu; D. K. Baik</t>
  </si>
  <si>
    <t>An acknowledged system of systems architecture description method</t>
  </si>
  <si>
    <t>Information (Japan)</t>
  </si>
  <si>
    <t>International Information Institute Ltd.</t>
  </si>
  <si>
    <t>https://www.scopus.com/inward/record.uri?eid=2-s2.0-84877985801&amp;partnerID=40&amp;md5=2cc644cbb2b31c8a674ef449384709e2</t>
  </si>
  <si>
    <t>Capability_x000D_
Enterprise architecture_x000D_
Interoperability_x000D_
System of systems</t>
  </si>
  <si>
    <t>Large-scale organizations usually perform a mission with several systems with interoperability rather than with a single system. In this paper, we present a System of Systems (SoS) architecture description method which extracts necessary constituent systems from the enterprise architecture repository to achieve the SoS mission objectives. The proposed method can assess the performance and interoperability among the constituent systems in order to know the capability gaps for the mission goals. For a case study, we demonstrate a Missile Defense SoS using the proposed method and algorithms. ©2013 International Information Institute.</t>
  </si>
  <si>
    <t>O. Akhigbe; M. Alhaj; D. Amyot; O. Badreddin; E. Braun; N. Cartwright; G. Richards; G. Mussbacher</t>
  </si>
  <si>
    <t>Creating quantitative goal models: Governmental experience</t>
  </si>
  <si>
    <t>https://www.scopus.com/inward/record.uri?eid=2-s2.0-84910666609&amp;partnerID=40&amp;md5=f9d6f0852475c01cb29689f50368de18</t>
  </si>
  <si>
    <t>AHP_x000D_
Compliance_x000D_
Contributions_x000D_
Decision Making_x000D_
Enterprise Architecture_x000D_
GRL_x000D_
Indicators_x000D_
Quantitative Values_x000D_
Artificial intelligence_x000D_
Bioinformatics_x000D_
Indicators (instruments)_x000D_
Data mining</t>
  </si>
  <si>
    <t>Precision in goal models can be enhanced using quantitative rather than qualitative scales. Selecting appropriate values is however often difficult, especially when groups of stakeholders are involved. This paper identifies and compares generic and domain-specific group decision approaches for selecting quantitative values in goal models. It then reports on the use of two approaches targeting quantitative contributions, actor importance, and indicator definitions in the Goal-oriented Requirement Language. The approaches have been deployed in two independent branches of the Canadian government. © Springer International Publishing Switzerland 2014.</t>
  </si>
  <si>
    <t>O. Akhigbe; D. Amyot; G. Richards</t>
  </si>
  <si>
    <t>A framework for a business intelligence-enabled adaptive enterprise architecture</t>
  </si>
  <si>
    <t>https://www.scopus.com/inward/record.uri?eid=2-s2.0-84910605222&amp;partnerID=40&amp;md5=e0b5212ca9ab3e1ab612a3781682d0ff</t>
  </si>
  <si>
    <t>Adaptive Enterprise Architecture_x000D_
Business Intelligence_x000D_
Decisions_x000D_
Goal Modeling_x000D_
Information Systems_x000D_
User Requirements Notation_x000D_
Competitive intelligence_x000D_
Data mining_x000D_
Adaptive enterprise_x000D_
Adaptive framework_x000D_
Business objectives_x000D_
Enterprise Architecture_x000D_
Government departments</t>
  </si>
  <si>
    <t>The environments in which businesses currently operate are dynamic and constantly changing, with influence from external and internal factors. When businesses evolve, leading to changes in business objectives, it is hard to determine and visualize what direct Information System responses are needed to respond to these changes. This paper introduces an enterprise architecture framework which allows for anticipating and supporting proactively, adaptation in enterprise architectures as and when the business evolves. This adaptive framework exploits and models relationships between business objectives of important stakeholders, decisions related to these objectives, and Information Systems that support these decisions. This framework exploits goal modeling in a Business Intelligence context. The tool-supported framework was assessed against different levels and types of changes in a real enterprise architecture of a Canadian government department, with encouraging results. © Springer International Publishing Switzerland 2014.</t>
  </si>
  <si>
    <t>D. Allemang; J. Hendler</t>
  </si>
  <si>
    <t>Semantic Web for the Working Ontologist</t>
  </si>
  <si>
    <t>Elsevier Inc.</t>
  </si>
  <si>
    <t>https://www.scopus.com/inward/record.uri?eid=2-s2.0-85013970684&amp;doi=10.1016%2fC2010-0-68657-3&amp;partnerID=40&amp;md5=054025e8e62419a8eb53b5c027d32fd9</t>
  </si>
  <si>
    <t>Semantic Web models and technologies provide information in machine-readable languages that enable computers to access the Web more intelligently and perform tasks automatically without the direction of users. These technologies are relatively recent and advancing rapidly, creating a set of unique challenges for those developing applications. Semantic Web for the Working Ontologist is the essential, comprehensive resource on semantic modeling, for practitioners in health care, artificial intelligence, finance, engineering, military intelligence, enterprise architecture, and more. Focused on developing useful and reusable models, this market-leading book explains how to build semantic content (ontologies) and how to build applications that access that content. New in this edition: Coverage of the latest Semantic Web tools for organizing, querying, and processing information - see details in TOC below Detailed information on the latest ontologies used in key web applications including ecommerce, social networking, data mining, using government data, and more . Provides practical information for all programmers and subject matter experts engaged in modeling data to fit the requirements of the Semantic Web. De-emphasizes algorithms and proofs, focusing instead on real-world problems, creative solutions, and highly illustrative examples. . Presents detailed, ready-to-apply recipes" for use in many specific situations. . Shows how to create new recipes from RDF, RDFS, and OWL constructs. © 2011 Elsevier Inc. All rights reserved."</t>
  </si>
  <si>
    <t>D. Arora; P. Malik</t>
  </si>
  <si>
    <t>Analytics: Key to go from generating big data to deriving business value</t>
  </si>
  <si>
    <t>https://www.scopus.com/inward/record.uri?eid=2-s2.0-84959511460&amp;doi=10.1109%2fBigDataService.2015.62&amp;partnerID=40&amp;md5=645b4d8136ff69d48b9c690e4f95a83b_x000D_
http://ieeexplore.ieee.org/document/7184914/</t>
  </si>
  <si>
    <t>algorithms_x000D_
big data_x000D_
machine learning_x000D_
review_x000D_
Artificial intelligence_x000D_
Competition_x000D_
Data mining_x000D_
Learning algorithms_x000D_
Learning systems_x000D_
Optimization_x000D_
Reviews_x000D_
Telecommunication industry_x000D_
Analytical skills_x000D_
Business benefits_x000D_
Competitive advantage_x000D_
Computing paradigm_x000D_
Data security and privacy_x000D_
Emerging technologies_x000D_
Enterprise Architecture_x000D_
Industrial sector</t>
  </si>
  <si>
    <t>The potential to extract actionable insights from big data has gained increased attention of researchers in academia as well as several industrial sectors. The field has become interesting and problems look even more exciting to solve ever since organizations have been trying to tame large volumes of complex and fast arriving big data streams through newer computing paradigms. However, extracting meaningful and actionable information from big data is a challenging and daunting task. The ability to generate value from large volumes of data is an art which combined with analytical skills needs to be mastered in order to gain competitive advantage in business. The ability of organizations to leverage the emerging technologies and integrate big data into their enterprise architectures effectively depends on the maturity level of the technology and business teams, capabilities they develop as well as the strategies they adopt. In this paper, through selected use cases, we demonstrate how statistical analyses, machine learning algorithms, optimization and text mining algorithms can be applied to extract meaningful insights from the data available through social media, online commerce, telecommunication industry, smart utility meters and used for variety of business benefits, including improving security. The nature of applied analytical techniques largely depends on the underlying nature of the problem so a one-size-fits-all solution hardly exists. Deriving information from big data is also subject to challenges associated with data security and privacy. These and other challenges are discussed in context of the selected problems to illustrate the potential of big data analytics. © 2015 IEEE.</t>
  </si>
  <si>
    <t>M. Baker</t>
  </si>
  <si>
    <t>All for one: New common dam safety practices for the bureaus of the U.S. Department of the Interior</t>
  </si>
  <si>
    <t>https://www.scopus.com/inward/record.uri?eid=2-s2.0-84879146045&amp;partnerID=40&amp;md5=dc0bd0be6acf7a415b4d634b959df1a0</t>
  </si>
  <si>
    <t>Bureau of land managements_x000D_
Bureau of reclamations_x000D_
Enterprise Architecture_x000D_
Implementation projects_x000D_
Office of surface mining reclamation and enforcements_x000D_
Portfolio risk management_x000D_
Quality control standards_x000D_
Us fish and wildlife services_x000D_
Risk management_x000D_
Safety engineering_x000D_
Dams</t>
  </si>
  <si>
    <t>The US Department of the Interior (Department) is responsible for the safety of 616 high or significant hazard potential dams. Six bureaus within the Department are working together to identify and adopt common dam safety best practices. The bureaus are: Bureau of Indian Affairs (BIA) Bureau of Land Management (BLM) Bureau of Reclamation (BOR) US Fish and Wildlife Service (FWS) National Park Service (NPS) Office of Surface Mining Reclamation and Enforcement (OSM) These practices, when adopted, are expected to reduce the risks of these 616 DOI dams and make the programs more efficient. The dam safety programs will be improved by having better technical approaches, having more streamlined processes, and scaling activities to dam size/complexity. The bureaus are using a comprehensive business improvement model called Enterprise Architecture to analyze existing dam safety program areas and to identify best practices. The bureaus completed the planning component of Enterprise Architecture with the creation of the Reduce Dam Safety Risk (RDSR) Modernization Blueprint". This blueprint includes 72 recommendations for implementation. The implementation project is subdivided into several phases. Phase 1, Launch Real Risk Reduction, is completing in the summer of 2010 and consists of the following 8 subprojects: Dam examination types, frequency, and examiner qualifications Dam categorization, scale, complexity Dam and portfolio risk management Emergency Action Plans Inundation mapping standards Dam incident management Dam monitoring quality control Standard terminology and glossary This paper describes the approach used to model dam safety program areas, expected phase 1 results, and anticipated implementation activities for Phase 2 and beyond."</t>
  </si>
  <si>
    <t>Improving the manageability of enterprise topologies through segmentation, graph transformation, and analysis strategies</t>
  </si>
  <si>
    <t>https://www.scopus.com/inward/record.uri?eid=2-s2.0-84870679332&amp;doi=10.1109%2fEDOC.2012.17&amp;partnerID=40&amp;md5=46de47dbf0753c18acf3e9cab9135ac4_x000D_
http://ieeexplore.ieee.org/document/6337186/</t>
  </si>
  <si>
    <t>aggregation_x000D_
EAM_x000D_
enterprise topology_x000D_
enterprise topology graph_x000D_
segmentation_x000D_
topology abstraction_x000D_
Application scenario_x000D_
Data centers_x000D_
Different mechanisms_x000D_
Enterprise architecture managements_x000D_
Enterprise IS_x000D_
Enterprise IT_x000D_
Graph processing_x000D_
Graph Transformation_x000D_
Graph-based_x000D_
Graph-based representations_x000D_
Human users_x000D_
Running-in_x000D_
Segmentation techniques_x000D_
Software systems_x000D_
Technical infrastructure_x000D_
Virtualized environment_x000D_
Agglomeration_x000D_
Computer software_x000D_
Graph theory_x000D_
Image segmentation_x000D_
Information technology_x000D_
Virtual reality_x000D_
Industry</t>
  </si>
  <si>
    <t>The software systems running in an enterprise consist of countless components, having complex dependencies, are hosted on physical or virtualized environments, and are scattered across the technical infrastructure of an enterprise, ranging from on-premise data centers up to public cloud deployments. The resulting topology of the current IT landscape of an enterprise is often extremely complex. We show that information about this complex ecosystem can be captured in a graph-based structure, the enterprise topology graph. We argue that, using such graph-based representation, many challenges in Enterprise Architecture Management (EAM) can be tackled through the aid of graph processing algorithms. However, the high complexity of an enterprise topology graph is the main obstacle to this approach. An enterprise topology graph may consist of millions of nodes, each representing an element of the enterprise IT landscape. Further, these nodes comprise a large variety of properties and relationships, making the topology hardly manageable by human users and software tools. To address this complexity problem, we propose different mechanisms to make enterprise topology graphs manageable. Segmentation techniques, tailored to specific use cases, extract manageable segments from the enterprise topology graph. Based on a set of formally defined transformation operations we then demonstrate the power of the approach in three application scenarios. © 2012 IEEE.</t>
  </si>
  <si>
    <t>M. Bjeković; H. A. Proper; J. S. Sottet</t>
  </si>
  <si>
    <t>Embracing pragmatics</t>
  </si>
  <si>
    <t>https://www.scopus.com/inward/record.uri?eid=2-s2.0-84910626289&amp;partnerID=40&amp;md5=2df88e7ba6e7e0500f4523d8deba0f96</t>
  </si>
  <si>
    <t>Language use_x000D_
Model_x000D_
Modelling language_x000D_
Pragmatics_x000D_
Artificial intelligence_x000D_
Bioinformatics_x000D_
Models_x000D_
Actual use_x000D_
Conceptual frameworks_x000D_
Enterprise modelling_x000D_
Pragmatic-context_x000D_
Problem areas_x000D_
Data mining</t>
  </si>
  <si>
    <t>In enterprise modelling, we witness numerous efforts to predefine and integrate perspectives and concepts for modelling some problem area, which result in standardised modelling languages (e.g. BPMN, ArchiMate). The empirical observations however indicate that, in actual use, standardising and integrating effect of such modelling languages erodes, due to the need to accommodate specific modelling contexts. Instead of designing yet another mechanism to control this phenomena, we argue it should first be fundamentally understood. To account for the functioning of a modelling language in a socio-pragmatic context of modelling, we claim it is necessary to go beyond a normative view often adopted in modelling language study.We present a developing explanatory theory as to why and howmodelling languages are used in enterprise modelling. The explanatory theory relies on a conceptual framework on modelling developed as the critical synthesis of the existing theoretical work, and from the position of socio-pragmatic constructivism. © Springer International Publishing Switzerland 2014.</t>
  </si>
  <si>
    <t>Conceptual models for cross-cutting aspects in enterprise architecture modeling</t>
  </si>
  <si>
    <t>https://www.scopus.com/inward/record.uri?eid=2-s2.0-79951934843&amp;doi=10.1109%2fEDOCW.2010.18&amp;partnerID=40&amp;md5=dd4455068dc8a4ed0541bec7fb7e44d8_x000D_
http://ieeexplore.ieee.org/document/5629053/</t>
  </si>
  <si>
    <t>Conceptual modeling_x000D_
Cross-cutting aspects_x000D_
Enterprise architecture_x000D_
Areas of interests_x000D_
Conceptual model_x000D_
Cross-cutting_x000D_
Enterprise architecture managements_x000D_
Enterprise architecture modeling_x000D_
Modeling languages_x000D_
Object oriented_x000D_
Architecture_x000D_
Data mining_x000D_
Teaching_x000D_
Industry</t>
  </si>
  <si>
    <t>The benefit of enterprise architecture (EA) management is directly coupled to the underlying conceptualization of the enterprise. This conceptualization should reflect the goals pursued by the EA management endeavor and focus on the areas of interest of the involved stakeholders. Whereas this statements often goes as a matter of course, an enterprise willing to develop such a goal-adequate conceptualization, finds itself confronted with a plethora of different approaches typically proposing a one-size-fits-it-all model, which neglects the subject of enterprise-specificity. These models are typically described in an object-oriented manner utilizing concepts like class, property, and relationship. Specific aspects relevant in the area of EA management, such as temporality, property-dependency, and cross-cutting aspects are more often than not neglected in this approaches. In this paper, we addresses the challenge of conceptualizing cross-cutting aspects in EA modeling. Cross-cutting aspects refer to EA-related concepts, like goals or projects, which may exert influence on other concepts of the EA model. Therefore, the state-of-the-art in EA conceptualization is revisited resulting in the identification of four cross-cutting aspects of EA modeling: goals, lifecycles, projects, and standards. Along these aspects we raise questions concerning a suitable alternative modeling language for EA conceptualizations and discuss options of future research. © 2010 IEEE.</t>
  </si>
  <si>
    <t>A meta-language for EA information modeling - State-of-the-art and requirements elicitation</t>
  </si>
  <si>
    <t>https://www.scopus.com/inward/record.uri?eid=2-s2.0-84876225369&amp;doi=10.1007%2f978-3-642-13051-9_15&amp;partnerID=40&amp;md5=e5b02e1785102c4af81a900f3d06672e_x000D_
https://link.springer.com/content/pdf/10.1007%2F978-3-642-13051-9_15.pdf</t>
  </si>
  <si>
    <t>Enterprise architecture_x000D_
Modeling language_x000D_
Industry_x000D_
Systems analysis_x000D_
Systems engineering_x000D_
Business opportunities_x000D_
Enterprise architecture managements_x000D_
Information Modeling_x000D_
Information models_x000D_
Market environment_x000D_
Modeling languages_x000D_
Requirements elicitation_x000D_
Information theory</t>
  </si>
  <si>
    <t>Enterprise architecture (EA) management has not only recently gained importance as means to support enterprises in adapting to a changing market environment and in seizing new business opportunities. This twofold role of EA management in transforming enterprises is connected to describing the current state as well as future states of the EA. Although different information models for the description of these states have yet been proposed in literature, no 'standard' information model exists, and the plurality advocates for the idea that such models are enterprise-specific design artifacts. In this paper, we explore the fundamentals of EA information modeling, namely the meta-languages underlying today's models, and analyze their diversity. Based on the analysis, we elicit requirements for a unifying" meta-language. By showing that multi-purpose modeling facilities, as the OMG's UML, fail to fully satisfy these requirements, we establish a future field of research - a meta-language for EA information modeling. © 2010 Springer-Verlag Berlin Heidelberg."</t>
  </si>
  <si>
    <t>S. Buckl; C. M. Schweda</t>
  </si>
  <si>
    <t>A systemic view on enterprise architecture management: State-of-the-art and outline of a building block-based approach to design organization-specific enterprise architecture management functions</t>
  </si>
  <si>
    <t>A Systemic Perspective to Managing Complexity with Enterprise Architecture</t>
  </si>
  <si>
    <t>IGI Global</t>
  </si>
  <si>
    <t>https://www.scopus.com/inward/record.uri?eid=2-s2.0-84956828887&amp;doi=10.4018%2f978-1-4666-4518-9.ch007&amp;partnerID=40&amp;md5=a30c723f610b32b4e27128994b66064d</t>
  </si>
  <si>
    <t>Architectural design_x000D_
Building blockes_x000D_
Design organizations_x000D_
Development method_x000D_
Enterprise architecture management functions_x000D_
Enterprise architecture managements_x000D_
Management activities_x000D_
State of the art_x000D_
Viable System Model_x000D_
Structural design</t>
  </si>
  <si>
    <t>Multiple approaches for Enterprise Architecture (EA) management are discussed in literature, many of them differing regarding the understanding of the EA as well as of the performed management activities. Applying a cybernetic point of view, the differences between these approaches can be mitigated, a more embracing perspective can be established, and fields for future research that lack support in current EA management approaches can be identified. In this work, the authors apply the Viable System Model (VSM) as reference for elaborating an overarching conceptualization of the EA management function. In comparison to the VSM reference, they discover that system five of the VSM-the identity system-is underrepresented in prevalent EA management approaches. Using a building block-based approach that makes reuse of existing best practices for EA management, the authors outline a development method that addresses the challenge of identity of an EA management function by enabling an organizationspecific design thereof. The development method can be used to govern the EA management function by providing means and techniques to configure and adapt, that is, to design and to re-design an EA management function tailored to the specific situation of an organization. © 2014, IGI Global. All rights reserved.</t>
  </si>
  <si>
    <t>V. Čyras; R. Riedl</t>
  </si>
  <si>
    <t>Formulating the enterprise architecture compliance problem</t>
  </si>
  <si>
    <t>https://www.scopus.com/inward/record.uri?eid=2-s2.0-84893265189&amp;partnerID=40&amp;md5=24d6d86a825f73910f6c29a717d2946f</t>
  </si>
  <si>
    <t>Electronic identity compliance_x000D_
Enterprise systems_x000D_
Legal informatics_x000D_
Legal visualization_x000D_
Regulatory compliance_x000D_
Transparency engineering_x000D_
Electronic identity_x000D_
Enterprise architects_x000D_
Enterprise Architecture_x000D_
Enterprise engineering_x000D_
Enterprise system_x000D_
Laws and regulations_x000D_
Requirements elicitation_x000D_
Industry_x000D_
Information science_x000D_
Information systems_x000D_
Requirements engineering_x000D_
Compliance control</t>
  </si>
  <si>
    <t>We start from the Klaus Julisch's (2008) IT compliance problem definition and make an attempt to formulate the enterprise architecture compliance problem (EACP). The challenging issues comprise the complexity of the law phenomenon, compliance frameworks and methodologies to check EA for non-compliance with laws and regulations. We hold that a compliance methodology should take into account shared" relevant laws and a requirements engineering framework. We reflect mainly on the view of enterprise architects on legal informatics and a vision driven approach on requirements elicitation in the context of enterprise engineering, which was proposed by Albertas Čaplinskas (2009). Then we raise a question of placing EACP into the Bonazzi-Hussami-Pigneur regulation and IT alignment framework (2009)."</t>
  </si>
  <si>
    <t>W. Engelsman; R. Wieringa</t>
  </si>
  <si>
    <t>Understandability of goal concepts by requirements engineering experts</t>
  </si>
  <si>
    <t>https://www.scopus.com/inward/record.uri?eid=2-s2.0-84910666399&amp;partnerID=40&amp;md5=3bed400268e5553b1401293ef4186a87</t>
  </si>
  <si>
    <t>Data mining_x000D_
Requirements engineering_x000D_
Business goals_x000D_
Enterprise architects_x000D_
Enterprise Architecture_x000D_
Goal concept_x000D_
Goal-oriented_x000D_
Graphical languages_x000D_
Quasi-experiments_x000D_
Understandability_x000D_
Experiments</t>
  </si>
  <si>
    <t>ARMOR is a graphical language for modeling business goals and enterprise architectures. In previous work we have identified problems with understandability of goal-oriented concepts for practicing enterprise architects. In this paper we replicate the earlier quasi-experiments with experts in requirements engineering, to see if similar problems arise. We found that fewer mistakes were made in this replication than were made in the previous experiment with practitioners, but that the types of mistakes made in all the concepts were similar to the mistakes made in our previous experiments with enterprise architects. The stakeholder concept was used perfectly by our sample, but the goal decomposition relation was not understood. The subjects provided explanations for understandability problems that are similar to our previous hypothesized explanations. By replicating some of our earlier results, this paper provides additional support for the generalizability of our earlier results. © Springer International Publishing Switzerland 2014.</t>
  </si>
  <si>
    <t>H. Faller; S. De Kinderen; C. Constantinidis</t>
  </si>
  <si>
    <t>Organizational subcultures and enterprise architecture effectiveness: Findings from a case study at a European airport company</t>
  </si>
  <si>
    <t>https://www.scopus.com/inward/record.uri?eid=2-s2.0-84975481997&amp;doi=10.1109%2fHICSS.2016.569&amp;partnerID=40&amp;md5=06598fe8fb4caa0df449cf55f01db003_x000D_
http://ieeexplore.ieee.org/document/7427755/</t>
  </si>
  <si>
    <t>Case study_x000D_
Communication defects_x000D_
Enterprise architecture effectiveness_x000D_
Organizational subculture_x000D_
Qualitative research_x000D_
Systems science_x000D_
Enterprise Architecture_x000D_
European airports_x000D_
Defects</t>
  </si>
  <si>
    <t>This paper studies how organizational subcultures influence the effectiveness of the enterprise architecture (EA) function. It provides findings from a case study in a European airport company. We find specific subcultural differences that can lower EA effectiveness. In addition, we discover that not only subcultural differences but also subcultural similarity can reduce EA effectiveness. For instance, the preference for working isolated of some business departments results in a lack of communication between those departments, which lowers EA effectiveness. Also, our data suggest that the subcultural influence is indirect. We identify, amongst others, communication defects as an important intermediary variable. © 2016 IEEE.</t>
  </si>
  <si>
    <t>M. Farwick; B. Agreiter; R. Breu; M. Häring; K. Voges; I. Hanschke</t>
  </si>
  <si>
    <t>Towards living landscape models: Automated integration of infrastructure cloud in Enterprise Architecture Management</t>
  </si>
  <si>
    <t>https://www.scopus.com/inward/record.uri?eid=2-s2.0-77957963340&amp;doi=10.1109%2fCLOUD.2010.20&amp;partnerID=40&amp;md5=a46522e61739176a5a5c76076d452366_x000D_
http://ieeexplore.ieee.org/document/5558014/</t>
  </si>
  <si>
    <t>Cloud API_x000D_
Cloud computing_x000D_
EAM_x000D_
Enterprise architecture management_x000D_
IaaS_x000D_
Infrastructure cloud_x000D_
IT-landscape modeling_x000D_
IT-management_x000D_
Open-source_x000D_
Enterprise architecture managements_x000D_
Landscape modeling_x000D_
Architecture_x000D_
Data processing_x000D_
Grid computing_x000D_
Information systems_x000D_
Management_x000D_
Industry</t>
  </si>
  <si>
    <t>Enterprise Architecture Management (EAM), and in particular IT-landscape management try to model the IT-and business elements of a company, in order to analyze its efficiency towards supporting business goals, optimize business-IT alignment, and to plan future IT-transformation as well as IT- standardization. A major challenge in this field is the elicitation of infrastructure information from run-time systems, e.g., to answer the question which servers provide services to a specific information system. Capturing this data is a time consuming manual task which leads to quickly outdated information. Similar to traditional hardware, cloud infrastructure needs to be documented in an EA model in order to gain insight on its relationships with business information systems and ultimately the business goals. The aim of our research in this area is the automatic integration of various runtime information sources into an EAM view. The overall goal is to minimize manual work to keep enterprise architecture information up-to-date. This enables enterprise architects to make timely and precise decisions. In this work we focus on how information on the cloud infrastructure can be seamlessly integrated into an EA view. Making the cloud visible for enterprise architects is especially important to meet legal (privacy) requirements, on the storage and processing location of data. We present a conceptual approach for the information integration problem, and introduce our prototypical implementation with the open-source infrastructure cloud implementation Eucalyptus, and the open-source enterprise architecture management tool iteraplan. © 2010 IEEE.</t>
  </si>
  <si>
    <t>A. Fayoumi; P. Loucopoulos</t>
  </si>
  <si>
    <t>Conceptual modeling for the design of intelligent and emergent information systems</t>
  </si>
  <si>
    <t>Expert Systems with Applications</t>
  </si>
  <si>
    <t>Elsevier Ltd</t>
  </si>
  <si>
    <t>https://www.scopus.com/inward/record.uri?eid=2-s2.0-84968895061&amp;doi=10.1016%2fj.eswa.2016.04.019&amp;partnerID=40&amp;md5=df5df54c0dea0336e24e8e1775da49b2</t>
  </si>
  <si>
    <t>Business architecture_x000D_
Business best practices_x000D_
Conceptual modeling_x000D_
Design rationale_x000D_
Enterprise architecture_x000D_
System dynamics_x000D_
Data mining_x000D_
Decision making_x000D_
Design_x000D_
Knowledge based systems_x000D_
Conceptual model_x000D_
Enterprise software</t>
  </si>
  <si>
    <t>A key requirement to today's fast changing economic environment is the ability of organizations to adapt dynamically in an effective and efficient manner. Information and Communication Technologies play a crucially important role in addressing such adaptation requirements. The notion of 'intelligent software' has emerged as a means by which enterprises can respond to changes in a reactive manner but also to explore, in a pro-active manner, possibilities for new business models. The development of such software systems demands analysis, design and implementation paradigms that recognize the need for 'co-development' of these systems with enterprise goals, processes and capabilities. The work presented in this paper is motivated by this need and to this end it proposes a paradigm that recognizes co-development as a knowledge-based activity. The proposed solution is based on a multi-perspective modeling approach that involves (i) modeling key aspects of the enterprise, (ii) reasoning about design choices and (iii) supporting strategic decision-making through simulations. The utility of the approach is demonstrated though a case study in the field of marketing for a start-up company. © 2016 Elsevier Ltd. All rights reserved.</t>
  </si>
  <si>
    <t>K. Folkert; M. Bochenek; Ł. Huczała</t>
  </si>
  <si>
    <t>The concept of using data mining methods for creating efficiency and reliability model of middleware applications</t>
  </si>
  <si>
    <t>https://www.scopus.com/inward/record.uri?eid=2-s2.0-84863917039&amp;doi=10.1007%2f978-3-642-31217-5_6&amp;partnerID=40&amp;md5=bfed47a083b211297945bed75d456fdc_x000D_
https://link.springer.com/content/pdf/10.1007%2F978-3-642-31217-5_6.pdf</t>
  </si>
  <si>
    <t>data mining_x000D_
enterprise architectures_x000D_
high availability_x000D_
performance_x000D_
Application models_x000D_
Data mining methods_x000D_
Data-mining tools_x000D_
Efficiency and reliability_x000D_
Enterprise Architecture_x000D_
Middle layer_x000D_
Middleware</t>
  </si>
  <si>
    <t>Complexity of contemporary computer systems induces complicatedness of application models which implement those systems. In the same time, many systems consist of similar parts that may be defined globally and seamlessly configured to be used in specific systems. In many solutions this kind of application parts are defined as a separate middle layer of the application. With increasing demands on systems scalability and reliability, more and more applications were using so called middleware model. There are many applications that may be enhanced to the middleware model, but there is no methodology of determining the way of choosing proper environment, technology and implementation. Moreover, there is no research on how to increase application's reliability and performance using opportunities given by middleware. This article is a description of concept how data mining tools may be used in defining these factors. © 2012 Springer-Verlag.</t>
  </si>
  <si>
    <t>U. Franke; P. Johnson; J. König; L. Marcks von Würtemberg</t>
  </si>
  <si>
    <t>Availability of enterprise it systems: An expert-based bayesian framework</t>
  </si>
  <si>
    <t>Kluwer Academic Publishers</t>
  </si>
  <si>
    <t>https://www.scopus.com/inward/record.uri?eid=2-s2.0-84860493993&amp;doi=10.1007%2fs11219-011-9141-z&amp;partnerID=40&amp;md5=00108813e2499986373ffcf43991081d_x000D_
https://link.springer.com/content/pdf/10.1007%2Fs11219-011-9141-z.pdf</t>
  </si>
  <si>
    <t>Bayesian networks_x000D_
Downtime_x000D_
Expert elicitation_x000D_
High availability_x000D_
Noisy-or_x000D_
Systems availability</t>
  </si>
  <si>
    <t>Ensuring the availability of enterprise IT systems is a challenging task. The factors that can bring systems down are numerous, and their impact on various system architectures is difficult to predict. At the same time, maintaining high availability is crucial in many applications, ranging from control systems in the electric power grid, over electronic trading systems on the stock market to specialized command and control systems for military and civilian purposes. This paper describes a Bayesian decision support model, designed to help enterprise IT system decision-makers evaluate the consequences of their decisions by analyzing various scenarios. The model is based on expert elicitation from 50 experts on IT systems availability, obtained through an electronic survey. The Bayesian model uses a leaky Noisy-OR method to weigh together the expert opinions on 16 factors affecting systems availability. Using this model, the effect of changes to a system can be estimated beforehand, providing decision support for improvement of enterprise IT systems availability. The Bayesian model thus obtained is then integrated within a standard, reliability block diagram-style, mathematical model for assessing availability on the architecture level. In this model, the IT systems play the role of building blocks. The overall assessment framework thus addresses measures to ensure high availability both on the level of individual systems and on the level of the entire enterprise architecture. Examples are presented to illustrate how the framework can be used by practitioners aiming to ensure high availability. © Springer Science+Business Media, LLC 2011.</t>
  </si>
  <si>
    <t>A. Golnam; V. Viswanathan; C. I. Moser; P. Ritala; A. Wegmann</t>
  </si>
  <si>
    <t>Value Map: A diagnostic framework to improve value creation and capture in service systems</t>
  </si>
  <si>
    <t>https://www.scopus.com/inward/record.uri?eid=2-s2.0-84926050327&amp;partnerID=40&amp;md5=3665a5fa5d6a225fa73b7ea80528b3c1</t>
  </si>
  <si>
    <t>Modeling_x000D_
Problem structuring method (PSM)_x000D_
SEAM_x000D_
Service systems_x000D_
Value creation and capture_x000D_
Value map_x000D_
Economics_x000D_
Models_x000D_
Systems engineering_x000D_
Enterprise Architecture_x000D_
In-service systems_x000D_
Literature reviews_x000D_
Modeling construct_x000D_
Problem structuring methods_x000D_
Value creation_x000D_
Software design</t>
  </si>
  <si>
    <t>In this paper, we introduce a problem structuring method (PSM) called Value Map". Value Map is an extension to the Supplier Adopter Relationship Diagram in the Systemic Enterprise Architecture Method (SEAM). Value Map assists in understanding, analysis and design of value creation and capture in service systems. To develop the Value Map, we reviewed the literature that examine value creation and capture particularly in the marketing and microeconomics domains. The literature review helped us to discover and explore the relationships among the important concepts relevant to the processes of value creation and capture. Having identified these concepts and their relationships, we graphically represented them in the form of a conceptual model. The conceptual model provided insights into the structure and the dynamics of value creation and capture and served as a reference point for developing the notational elements and the modeling constructs in the Value Map. We illustrate the applicability of the Value Map by modeling value creation and capture in the service system of a social networking company called Webdoc."</t>
  </si>
  <si>
    <t>https://www.scopus.com/inward/record.uri?eid=2-s2.0-84884602011&amp;doi=10.1007%2f978-3-642-41360-5_20&amp;partnerID=40&amp;md5=f21e39c4df56de79808a067d680afd0e_x000D_
https://link.springer.com/content/pdf/10.1007%2F978-3-642-41360-5_20.pdf</t>
  </si>
  <si>
    <t>classifications_x000D_
diagrams_x000D_
enterprise architecture management tool_x000D_
enterprise modeling tool_x000D_
knowledge acquisition_x000D_
knowledge structuring_x000D_
knowledge visualization_x000D_
matrices_x000D_
matrix method_x000D_
multi-representation technology_x000D_
Classification (of information)_x000D_
Industry_x000D_
Information technology_x000D_
Matrix algebra_x000D_
Tools_x000D_
Enterprise architecture managements_x000D_
Enterprise modeling_x000D_
Matrix methods_x000D_
Multi-representations_x000D_
Graphic methods</t>
  </si>
  <si>
    <t>Enterprise architecture management is the basis of systemic enterprise transformations and information technology architecture development. Nowadays enterprise architecting is almost synonymous to diagramming. Diagrams are effective for knowledge elicitation, structuring, and dissemination. But as the number of diagrams and their types grows, they overlap and evolve, it becomes hard to maintain a collection of interrelated diagrams, even with the help of a common repository. Besides the very nature of enterprise architecting requires a lot of classifications (e.g. process architecture/classification) and matrices (goals - processes, processes - organizational roles, processes - applications...). The ORG-Master tool combines classifications and matrices with traditional diagram-based technologies. © Springer-Verlag Berlin Heidelberg 2013.</t>
  </si>
  <si>
    <t>S. J. C. Joosten</t>
  </si>
  <si>
    <t>Parsing and printing of and with triples</t>
  </si>
  <si>
    <t>https://www.scopus.com/inward/record.uri?eid=2-s2.0-85019249793&amp;doi=10.1007%2f978-3-319-57418-9_10&amp;partnerID=40&amp;md5=b0b6b7b12ebd8adb50300f28a3a5573c_x000D_
https://link.springer.com/chapter/10.1007%2F978-3-319-57418-9_10</t>
  </si>
  <si>
    <t>Algebra_x000D_
Context free grammars_x000D_
Printing_x000D_
Printing machinery_x000D_
Printing presses_x000D_
Archimate_x000D_
AS graph_x000D_
Graph manipulation_x000D_
Source codes_x000D_
Printers (computer)</t>
  </si>
  <si>
    <t>We introduce the tool Amperspiegel, which uses triple graphs for parsing, printing and manipulating data. We show how to conveniently encode parsers, graph manipulation-rules, and printers using several relations. As such, parsers, rules and printers are all encoded as graphs themselves. This allows us to parse, manipulate and print these parsers, rules and printers within the system. A parser for a context free grammar is graph-encoded with only four relations. The graph manipulation-rules turn out to be especially helpful when parsing. The printers strongly correspond to the parsers, being described using only five relations. The combination of parsers, rules and printers allows us to extract Ampersand source code from ArchiMate XML documents. Amperspiegel was originally developed to aid in the development of Ampersand. © Springer International Publishing AG 2017.</t>
  </si>
  <si>
    <t>Enterprise architecture cybernetics for global mining projects: Reducing the structural complexity of global mining supply networks via virtual brokerage</t>
  </si>
  <si>
    <t>https://www.scopus.com/inward/record.uri?eid=2-s2.0-84873269980&amp;doi=10.4028%2fwww.scientific.net%2fAMR.634-638.3339&amp;partnerID=40&amp;md5=4687819475ba187d7ee7a797dc5c0a43_x000D_
https://www.scientific.net/AMR.634-638.3339</t>
  </si>
  <si>
    <t>Enterprise Architecture Cybernetics_x000D_
Extended Axiomatic Design Theory_x000D_
Global Mining Projects_x000D_
Global Mining Supply Networks_x000D_
Structural complexity_x000D_
Virtual Brokerage_x000D_
Axiomatic design theory_x000D_
Enterprise Architecture_x000D_
Mining projects_x000D_
Mining supplies_x000D_
Metallurgical engineering_x000D_
Supply chains_x000D_
Cybernetics</t>
  </si>
  <si>
    <t>This paper applies the emerging paradigm of Collaborative Networks (CNs) to the global mining supply chains (introducing the new concept of 'global mining supply networks') and demonstrates that the efficiency of the global mining projects initiated and managed by the global mining supply networks can be limited by the complexity of the supply network itself. This paper then presents methods and theoretical examples to calculate and reduce the structural complexity of the global mining supply networks and the complexity of creation of the global mining projects through applying the virtual brokerages to the global mining supply networks. © (2013) Trans Tech Publications, Switzerland.</t>
  </si>
  <si>
    <t>P. A. Khosroshahi; S. Roth; M. Hauder</t>
  </si>
  <si>
    <t>Impact of solvency II on the enterprise architecture of insurances: A qualitative study in Germany</t>
  </si>
  <si>
    <t>University of Paderborn</t>
  </si>
  <si>
    <t>https://www.scopus.com/inward/record.uri?eid=2-s2.0-84984694170&amp;partnerID=40&amp;md5=6c00f4302164e5468fd29d869d68b82d</t>
  </si>
  <si>
    <t>Risk management_x000D_
Capital requirements_x000D_
Enterprise Architecture_x000D_
Enterprise architecture managements_x000D_
European Commission_x000D_
Framework directives_x000D_
Insurance companies_x000D_
Qualitative study_x000D_
Regulatory requirements_x000D_
Insurance</t>
  </si>
  <si>
    <t>In 2007, the European commission suggested a new framework directive for insurance companies, called Solvency II. This directive defines a three-Pillar approach regarding Solvency-/Minimum Capital requirements (Pillar I), requirements regarding governance and risk management (Pillar II) and disclosure and transparency requirements (Pillar III). This scientific paper gives an overview of the major challenges and the general impact of Solvency II on the Enterprise Architecture (EA) management of insurance companies. Furthermore, we discover general strategies that were defined for implementing the Solvency II requirements from an IT-perspective. We conduct expert interviews with participants from the insurance sector to discover impacts of Solvency II on the EA. The results can be used to prepare more effective for upcoming projects that refer to regulatory requirements within insurance and related industries.</t>
  </si>
  <si>
    <t>R. Lagerström; C. Baldwin; A. MacCormack; D. Dreyfus</t>
  </si>
  <si>
    <t>Visualizing and measuring enterprise architecture: An exploratory biopharma case</t>
  </si>
  <si>
    <t>Lecture Notes in Business Information Processing</t>
  </si>
  <si>
    <t>https://www.scopus.com/inward/record.uri?eid=2-s2.0-85006010455&amp;doi=10.1007%2f978-3-642-41641-5_2&amp;partnerID=40&amp;md5=6de5a8ba8aed9a100f9a536bbf45e015_x000D_
https://link.springer.com/content/pdf/10.1007%2F978-3-642-41641-5_2.pdf</t>
  </si>
  <si>
    <t>Architecture visualization_x000D_
Design structure matrices_x000D_
Enterprise architecture_x000D_
Enterprise modeling_x000D_
Application programs_x000D_
Architectural components_x000D_
Architectural structure_x000D_
Enterprise structure_x000D_
Software applications_x000D_
Software testing</t>
  </si>
  <si>
    <t>We test a method that was designed and used previously to reveal the hidden internal architectural structure of software systems. The focus of this paper is to test if it can also uncover new facts about the components and their relationships in an enterprise architecture, i.e., if the method can reveal the hidden external structure between architectural components. Our test uses data from a biopharmaceutical company. In total, we analyzed 407 components and 1,157 dependencies. Results show that the enterprise structure can be classified as a core-periphery architecture with a propagation cost of 23%, core size of 32%, and architecture flow through of 67%. We also found that business components can be classified as control elements, infrastructure components as shared, and software applications as belonging to the core. These findings suggest that the method could be effective in uncovering the hidden structure of an enterprise architecture. © IFIP International Federation for Information Processing 2013.</t>
  </si>
  <si>
    <t>Towards an approach for stakeholder-oriented elicitation and identification of concerns in EA</t>
  </si>
  <si>
    <t>https://www.scopus.com/inward/record.uri?eid=2-s2.0-80655143504&amp;doi=10.1007%2f978-3-642-24849-8_12&amp;partnerID=40&amp;md5=2937acb5ffb62b7dab84a91eb7ee703c_x000D_
https://link.springer.com/content/pdf/10.1007%2F978-3-642-24849-8_12.pdf</t>
  </si>
  <si>
    <t>concern elicitation_x000D_
concern identification_x000D_
enterprise architecture_x000D_
Goal-oriented requirements engineering_x000D_
GORE_x000D_
stakeholder orientation_x000D_
Architecture_x000D_
Requirements engineering_x000D_
Industry</t>
  </si>
  <si>
    <t>The concept of concern is used in Enterprise Architecture (EA) to express a stakeholder's area of interest in a system whose architecture is to be described. Many EA-related problems are rooted in weak stakeholder orientation. We propose an approach to explicitly model stakeholders' concerns as part of an architecture description. Our contribution is a modeling notation for concern elicitation and a method for concern identification. Our approach is based on goal-oriented requirements engineering and is compatible to the conceptual framework of the ISO 42010 international standard. We claim that our approach allows for a more thorough understanding of stakeholders' concerns and facilitates a stronger stakeholder orientation in EA. © 2011 IFIP International Federation for Information Processing.</t>
  </si>
  <si>
    <t>H. Luo</t>
  </si>
  <si>
    <t>Navigating complexity with enterprise architecture management</t>
  </si>
  <si>
    <t>https://www.scopus.com/inward/record.uri?eid=2-s2.0-84949025992&amp;doi=10.4018%2f978-1-4666-4518-9.ch012&amp;partnerID=40&amp;md5=d33739458222ee6166a906f6c696bcb4</t>
  </si>
  <si>
    <t>Chaos theory_x000D_
Disaster prevention_x000D_
Disasters_x000D_
Memory architecture_x000D_
Navigation_x000D_
Changing environment_x000D_
Disaster relief operations_x000D_
Dynamic alignment_x000D_
Enterprise architecture managements_x000D_
Integrated approach_x000D_
Life cycle stages_x000D_
Multi dimensional_x000D_
Systemic approach_x000D_
Air navigation</t>
  </si>
  <si>
    <t>Enterprises are like living creatures in the ecosystem - there are vast varieties of species; each individual in any species is unique, complex, dynamic, and constantly interacting with its ever-changing environment. Also, like living creatures, enterprises have many commonalities. These commonalities exist in all enterprises, regardless of their business, size, environment, culture, lifecycle stage, or any other factor. Enterprise Architecture (EA) management helps enterprises discover their commonalities, adopt best practices to manage the commonalities, and apply holistic and systemic approaches to tackling unique complexity encountered by enterprises. This chapter extracts thinking from many thought leaders in the EA discipline and consolidates a dynamic and multi-dimensional alignment approach to managing an enterprise's architecture as a living system. This integrated approach utilizes the Fractal" concept in Chaos Theory and identifies six common alignment dimensions in enterprises. This approach includes dynamic alignment mechanisms to help enterprises navigate the increasingly complex and ever-changing world. This approach bridges individual alignments with enterprise optimization. A fictional example of a disaster relief operation is used to illustrate how the EA approach could help a relief enterprise navigate through the complexity and dynamics of the disaster relief operation to achieve life-saving results. © 2014, IGI Global. All rights reserved."</t>
  </si>
  <si>
    <t>A. Morkevičius; S. Gudas</t>
  </si>
  <si>
    <t>Enterprise knowledge based software requirements elicitation</t>
  </si>
  <si>
    <t>https://www.scopus.com/inward/record.uri?eid=2-s2.0-80053351957&amp;partnerID=40&amp;md5=1530ebd18d6442dac3efb924ca6c371a</t>
  </si>
  <si>
    <t>Enterprise architecture_x000D_
Enterprise knowledge_x000D_
Requirements elicitation_x000D_
SBVR_x000D_
Software requirements specification_x000D_
SysML_x000D_
UPDM</t>
  </si>
  <si>
    <t>One of the ways to capture enterprise knowledge is Enterprise Architecture (EA). EA allows inden-tifying the majority of software to-be" requirements for information systems (IS) engineering. However, the transition between enterprise architecture model and IT resource design still lacks a clear approach and tools for implementing it in practice. The paper presents an approach for the enterprise knowledge based software requirements elicitation. The suggested approach is based on the Unified profile for Ministry of Defence Architecture Framework (MODAF) and Department of Defense Architecture Framework (DoDAF), System Modeling Language (SysML) requirements model, and a Semantics of Business Vocabulary and Business Rules (SBVR) standard as a formal background for elicited soft-ware requirements. A real world example is presented to validate the suitability of the approach."</t>
  </si>
  <si>
    <t>From strategic to conceptual information modelling: A method and a case study</t>
  </si>
  <si>
    <t>Physica-Verlag</t>
  </si>
  <si>
    <t>https://www.scopus.com/inward/record.uri?eid=2-s2.0-84901651080&amp;doi=10.1007%2f978-3-7908-2632-6_21&amp;partnerID=40&amp;md5=c41fb3acf268cc662ebcc64b4a7be610_x000D_
https://link.springer.com/chapter/10.1007%2F978-3-7908-2632-6_21</t>
  </si>
  <si>
    <t>Industry_x000D_
Abstraction level_x000D_
Enterprise architecture modeling_x000D_
Enterprise information architectures_x000D_
Entity-Relationship schema_x000D_
Information domains_x000D_
Information modelling_x000D_
Information requirement_x000D_
Open source tools_x000D_
Information systems</t>
  </si>
  <si>
    <t>This paper presents a method that models Enterprise Information Architecture with the objective of integrating overall Enterprise Architecture Modeling frameworks such as TOGAF. The method, called SIRE (Strategic Information Requirements Elicitation), includes elicitation and modeling of strategic information requirements, that are an abstraction level higher than traditional conceptual level. Elicitation is based on a framework that identifies information classes in enterprises, by using two logical categories, Information Domains and Information Types. Specifically the paper considers the method by which SIRE schemata are mapped and transformed into Entity Relationship schemata, using a set of predefined rules and an open source tool. The method is validated by a real life case study. The novelty of the approach is its universality. Furthermore it shortens times and is very easy understood by user managers. © Springer-Verlag 2011.</t>
  </si>
  <si>
    <t>T. H. Mou; C. D. Ni; F. Du</t>
  </si>
  <si>
    <t>Analysis on innovative factors of influencing medium and small sized enterprises for mining equipment manufactures</t>
  </si>
  <si>
    <t>https://www.scopus.com/inward/record.uri?eid=2-s2.0-84891539232&amp;doi=10.1007%2f978-3-642-38427-1-166&amp;partnerID=40&amp;md5=8c66a21bbbce7acf14b577c448c3b483</t>
  </si>
  <si>
    <t>Australia_x000D_
China_x000D_
Innovative models_x000D_
Medium and small enterprises_x000D_
Enterprise Architecture_x000D_
Financial environments_x000D_
Medium and small enterprise_x000D_
Medium and small-sized enterprise_x000D_
Research and development_x000D_
Commerce_x000D_
Competition_x000D_
Industrial engineering_x000D_
Industry_x000D_
Management_x000D_
Marketing_x000D_
Mining equipment_x000D_
Research_x000D_
Patents and inventions</t>
  </si>
  <si>
    <t>Xiamen Chenggong Ltd is took as case study of small and medium mining equipment enterprises, and technology and economic are considered appreciable influential factors for enterprise to optimize innovation path. Environment and management have less impact. Other factors in order of importance as follows: industry policy, market competition, natural environment, investment in research and development, marketing mode, financial environment etc. The ability to integrate resources, process innovation and marketing model are the advantages innovation capability of sample enterprises. The innovation mode will encounter a problem of lack of competitiveness in technology, patent and marketing mode during its further development. The relevant adjustment on research and development, human resource mechanism and enterprise architecture is necessary to improve technology and patent. The strategy change from resources integration to resources integration and core technology research and development is an important model to expand innovation path for small and medium mining equipment enterprises. © 2013 Springer-Verlag Berlin Heidelberg.</t>
  </si>
  <si>
    <t>P. Närman; U. Franke; J. König; M. Buschle; M. Ekstedt</t>
  </si>
  <si>
    <t>https://www.scopus.com/inward/record.uri?eid=2-s2.0-84890611982&amp;doi=10.1080%2f17517575.2011.647092&amp;partnerID=40&amp;md5=b395e8eda0fb73216201e662f36c64b9</t>
  </si>
  <si>
    <t>architecture analysis_x000D_
availability_x000D_
enterprise architecture_x000D_
fault tree analysis_x000D_
probabilistic relational models_x000D_
stakeholder elicitation_x000D_
Availability analysis_x000D_
Case-studies_x000D_
Electrical utilities_x000D_
Enterprise information system_x000D_
Forestry_x000D_
Maintenance_x000D_
Information systems_x000D_
Defects</t>
  </si>
  <si>
    <t>The availability of enterprise information systems is a key concern for many organisations. This article describes a method for availability analysis based on Fault Tree Analysis and constructs from the ArchiMate enterprise architecture (EA) language. To test the quality of the method, several case-studies within the banking and electrical utility industries were performed. Input data were collected through stakeholder interviews. The results from the case studies were compared with availability of log data to determine the accuracy of the method's predictions. In the five cases where accurate log data were available, the yearly downtime estimates were within eight hours from the actual downtimes. The cost of performing the analysis was low; no case study required more than 20 man-hours of work, making the method ideal for practitioners with an interest in obtaining rapid availability estimates of their enterprise information systems. © 2014 Copyright Taylor and Francis Group, LLC.</t>
  </si>
  <si>
    <t>R. Nascimento; R. Carvalho; S. Delabrida; A. G. C. Bianchi; R. A. R. Oliveira; L. G. U. Garcia</t>
  </si>
  <si>
    <t>An integrated inspection system for belt conveyor rollers advancing in an enterprise architecture</t>
  </si>
  <si>
    <t>https://www.scopus.com/inward/record.uri?eid=2-s2.0-85023159748&amp;partnerID=40&amp;md5=de596f845d2ac80982779115a58350ff</t>
  </si>
  <si>
    <t>Conveyor belt rollers_x000D_
EA integration_x000D_
Maintenance planning_x000D_
Monitoring system_x000D_
Belt conveyors_x000D_
Conveyors_x000D_
Enterprise resource planning_x000D_
Integration_x000D_
Materials handling_x000D_
Materials handling equipment_x000D_
Rollers (machine components)_x000D_
Conveyor belt system_x000D_
Conveyor belts_x000D_
Enterprise Architecture_x000D_
Feasible alternatives_x000D_
Integration architecture_x000D_
Mobile control systems_x000D_
Information systems</t>
  </si>
  <si>
    <t>One of the most critical equipment used by mining companies is the belt conveyor. Thousands of kilometers of these elements are used for bulk material transportation. A belt conveyor system is composed of several components, and the maintenance process is not trivial and usually reactive. Thousands of dollars are lost per hour with the failure of a conveyor belt system. This occurs due to the lack of appropriate mechanisms for efficient monitoring and integration of this process to the enterprise systems. This paper presents a novel monitoring and integration architecture for a Brazilian mining company. The challenge is to provide a mobile control system and its integration with the current enterprise solutions. We also describe a set of restrictions for the particular component (rollers) in order to identify methods for the integration. Preliminary results demonstrate our solution is a feasible alternative for the case study. ©2017 by SCITEPRESS - Science and Technology Publications, Lda. All rights reserved.</t>
  </si>
  <si>
    <t>J. C. Nwokeji; T. Clark; B. Barn; V. Kulkarni</t>
  </si>
  <si>
    <t>Automated completeness check in KAOS</t>
  </si>
  <si>
    <t>https://www.scopus.com/inward/record.uri?eid=2-s2.0-84910596395&amp;partnerID=40&amp;md5=91c0322e28369330c2f7c3898f0d1148</t>
  </si>
  <si>
    <t>Data mining_x000D_
Specifications_x000D_
Automated techniques_x000D_
Business process modelling_x000D_
Business requirement_x000D_
Enterprise Architecture_x000D_
Goal-oriented requirements engineering_x000D_
Requirements analysis_x000D_
Requirements analyst_x000D_
Requirements specifications_x000D_
Requirements engineering</t>
  </si>
  <si>
    <t>KAOS is a popular and useful goal oriented requirements engineering (GORE) language, which can be used in business requirements modelling, specification, and analysis. Currently, KAOS is being used in areas such as business process modelling, and enterprise architecture (EA). But, an incomplete or malformed KAOS model can result to incomplete and erroneous requirements analysis, which in turn can lead to overall systems failure . Therefore, it is necessary to check that a requirements specification in KAOS language are complete and well formed. The contribution at hand is to provide an automated technique for checking the completeness and well-formed-ness of a requirements specification in KAOS language. Such a technique can be useful, especially to business or requirements analysts in industries and research, to check that requirements specification in KAOS language is well formed. © Springer International Publishing Switzerland 2014.</t>
  </si>
  <si>
    <t>S. O'Riain; E. Curry; P. Buitelaar</t>
  </si>
  <si>
    <t>Engaging Practitioners within Design Science Research: A Natural Language Processing Case Study</t>
  </si>
  <si>
    <t>https://www.scopus.com/inward/record.uri?eid=2-s2.0-84904595100&amp;doi=10.1007%2f978-3-319-04090-5_14&amp;partnerID=40&amp;md5=da3a1e33072d00ee7993c0b8fe5e0386_x000D_
https://link.springer.com/content/pdf/10.1007%2F978-3-319-04090-5_14.pdf</t>
  </si>
  <si>
    <t>Design Science Research_x000D_
Financial Analytics_x000D_
Information Extraction_x000D_
Knowledge Transformation_x000D_
Natural Language Processing_x000D_
NLP_x000D_
Ontology Modeling_x000D_
Data mining_x000D_
Information retrieval_x000D_
Natural language processing systems_x000D_
Product design_x000D_
Design-science researches_x000D_
Ontology model_x000D_
Research</t>
  </si>
  <si>
    <t>Using domain knowledge to instruct domain specific Natural Language Processing (NLP) applications requires that knowledge intensive design challenges associated with developing extraction rules and conceptual models from that knowledge be addressed. Applying the nested problem-driven approach of Design Science Research (DSR) assists knowledge problem reduction to practical problems, delivering artifacts of utility. Where artifact design has to facilitate practitioner and research stakeholder expectations, dual leveraging of design process stages and conceived artifacts is required. This paper presents how an existing Information Systems (IS) framework, previously applied to enterprise architecture research, can be adapted to enhance stakeholder engagement within a collaborative informatics research project. The business motivation behind domain specific NLP is explained and design challenges encountered in framework application to use case development, discussed. Further contributions that outline artifact evolution using problem decomposition are made through integrating expert domain knowledge and design knowledge translation as part of the adapted research process. © Springer International Publishing Switzerland 2013.</t>
  </si>
  <si>
    <t>Y. Park; G. Lee; Z. Lee</t>
  </si>
  <si>
    <t>Ea configurations: Interplay of ea design factors, strategy types, and environments</t>
  </si>
  <si>
    <t>https://www.scopus.com/inward/record.uri?eid=2-s2.0-84897690904&amp;partnerID=40&amp;md5=4abadb24420d3a79017785466a8f59bb</t>
  </si>
  <si>
    <t>Centralization_x000D_
EA design factor_x000D_
Enterprise architecture_x000D_
FsQCA_x000D_
Modularity_x000D_
Open platform_x000D_
Set-theoretic configurational approach_x000D_
Standardization_x000D_
Design factors_x000D_
Open platforms_x000D_
Information systems_x000D_
Design</t>
  </si>
  <si>
    <t>Since late 1990's, organizations have been increasingly implementing enterprise architecture (EA) to address the problems of fragmented systems of processes, applications, data, and technologies. Despite this growing adoption of EA, there has been little academic research that provides compelling empirical evidence of the impact of EA on organizational performance and prescriptive design principles for EA. As a result, scholars and practitioners are not well informed about the business value of EA as well as about effective design approaches to EA. We argue that the lack of strong empirical evidence is partly and importantly due to the complexity of EA configurations and to the limitations of the traditional correlation-based methods used for uncovering the complex causal relationships between heterogeneous EA configurations and organizational performance. This research intends to examine how EA elements combine with organizational and environmental elements to produce high organizational performance and to suggest ways to design effective EA configurations. We propose that it is the holistic dynamics of the EA design factors and organizational and environmental elements that determine the impact of EA on organizational performance. First, based on the EA literature we define four EA design factors such as centralization, modularity, standardization, and open platforms, which represent crucial decisions an enterprise architect should make. Then, with fuzzy-set qualitative comparative analysis (fsQCA), an emerging set-theoretic configurational methodology, we analyze empirical field data to examine multiple EA configurations that have different structures but result in the same outcome. Especially, we focus on explaining how the EA design factors play different roles over the multiple equifinal configurations in achieving high organizational performance while interacting with organizational and environmental factors. Based on the fsQCA findings, we develop design principles for implementing effective enterprise architecture in terms of the four EA design factors. © (2013) by the AIS/ICIS Administrative Office All rights reserved.</t>
  </si>
  <si>
    <t>Configurational approach to uncovering the effect of enterprise architecture design on organizational performance</t>
  </si>
  <si>
    <t>Americas Conference on Information Systems</t>
  </si>
  <si>
    <t>https://www.scopus.com/inward/record.uri?eid=2-s2.0-84963612001&amp;partnerID=40&amp;md5=bc839e6d12a4ba7117ef83b369704b11</t>
  </si>
  <si>
    <t>Centralization_x000D_
EA design factor_x000D_
Enterprise architecture_x000D_
FsQCA_x000D_
Modularity_x000D_
Open platform_x000D_
Set-theoretic configurational approach_x000D_
Standardization_x000D_
Correlation methods_x000D_
Information systems_x000D_
Design factors_x000D_
Open platforms_x000D_
Design</t>
  </si>
  <si>
    <t>Despite this growing adoption of enterprise architecture (EA), there has been little research that provides compelling empirical evidence of the EA impact on organizational performance. We argue that the lack of strong empirical evidence is due to the complexity of EA configurations and the limitations of the traditional correlation-based methods for uncovering the complex relationships. This research intends to examine how EA elements are combined with organizational and environmental elements to produce high or low organizational performance. We identify four EA design factors including centralization, modularity, standardization, and open platforms. Then, we analyze empirical field data, using fuzzy-set qualitative comparative analysis (fsQCA), an emerging set-theoretic configurational methodology. We seek to explain that the way of configuring EA design factors matters for the EA impact on organizational performance and the multifaceted role of each factor over the equifinal configurations. We present our preliminary result and discuss its implications for EA design.</t>
  </si>
  <si>
    <t>V. A. Pinto; C. L. de Rezende Rohlfs; F. S. Parreiras</t>
  </si>
  <si>
    <t>Applications of ontologies in enterprise modelling: A systematic mapping study</t>
  </si>
  <si>
    <t>https://www.scopus.com/inward/record.uri?eid=2-s2.0-84910682742&amp;partnerID=40&amp;md5=9db1ff4a115728c4c99955ade1ff545a</t>
  </si>
  <si>
    <t>Enterprise Architecture_x000D_
Enterprise Modelling_x000D_
Ontology_x000D_
Systematic Review_x000D_
Data mining_x000D_
Mapping_x000D_
Application of ontologies_x000D_
Business segments_x000D_
Enterprise modeling_x000D_
Health and environment_x000D_
Systematic mapping studies_x000D_
Enterprise resource planning</t>
  </si>
  <si>
    <t>Ontologies have been used in several fields as an engineering artefact with the main purpose of conceptualizing a specific object of study. Therefore, it is reasonable to think about using ontologies to support enterprise modelling. In this paper, we investigate the application of ontologies in enterprise modelling. We performed a comprehensive systematic mapping study in order to understand the usage of ontologies to enterprise modeling. We group the results by business areas, business segments, languages, environments and methodologies. We conclude that ontologies are applicable to assist enterprise modelling and have been used specially in Industry, Health and Environment and Government. © Springer International Publishing Switzerland 2014.</t>
  </si>
  <si>
    <t>J. Prater; R. Mueller; B. Beauregard</t>
  </si>
  <si>
    <t>An ontological approach to oracle BPM</t>
  </si>
  <si>
    <t>https://www.scopus.com/inward/record.uri?eid=2-s2.0-84862235852&amp;doi=10.1007%2f978-3-642-29923-0_30&amp;partnerID=40&amp;md5=ab5a0e5ac794b5276596c6fe06ed88cd_x000D_
https://link.springer.com/content/pdf/10.1007%2F978-3-642-29923-0_30.pdf</t>
  </si>
  <si>
    <t>BPM Ontology_x000D_
BPMN 2.0_x000D_
OWL 2_x000D_
SCA_x000D_
Semantic Technologies_x000D_
SOA_x000D_
SPARQL_x000D_
Enterprise resource management_x000D_
Industry_x000D_
Information services_x000D_
Query languages_x000D_
Semantic Web_x000D_
Service oriented architecture (SOA)_x000D_
Administrative data processing</t>
  </si>
  <si>
    <t>A modern business process management (BPM) operates using common tenants of an underlying Service Oriented Architecture (SOA) runtime infrastructure based on the Service Component Architecture (SCA) and supports the BPMN 2.0 OMG 1 standard. Semantically-enabling all BPM artifacts, from high-level design to deployment and the runtime model of a BPM application, promotes continuous process refinement, comprehensive impact analysis, and reuse to minimize process and service proliferation. A semantic database can manage semantically-enabled BPM ontologies and models, enable machine-driven inference to discover implicit relationships in the models, and perform pattern-matching queries to find associations. This paper presents an ontology for BPM based upon BPMN 2.0, Service Component Architecture (SCA) and the Web Ontology Language (OWL 2) that can support a wide range of use cases for process analysis, governance, business intelligence and systems management. It has the potential to bring together stakeholders across an enterprise, for a truly agile, end-to-end enterprise architecture. © 2012 Springer-Verlag.</t>
  </si>
  <si>
    <t>The enterprise architecture realization scorecard: A result oriented assessment instrument</t>
  </si>
  <si>
    <t>https://www.scopus.com/inward/record.uri?eid=2-s2.0-84868322874&amp;doi=10.1007%2f978-3-642-34163-2_18&amp;partnerID=40&amp;md5=20bda6a088bf070873f9191a263862ce_x000D_
https://link.springer.com/content/pdf/10.1007%2F978-3-642-34163-2_18.pdf</t>
  </si>
  <si>
    <t>Assessment_x000D_
CobiT_x000D_
Enterprise Architecture_x000D_
TOGAF_x000D_
Industry_x000D_
Instruments_x000D_
Assessment instruments_x000D_
Development method_x000D_
Management functions_x000D_
Realization process_x000D_
Research</t>
  </si>
  <si>
    <t>Enterprise Architecture (EA) is a well-accepted, but relatively young discipline. Since most practices are in the early stages of maturity, our research is aimed to develop an assessment instrument to measure and improve the EA management function's ability to realize its goals. In this paper, we propose the Enterprise Architecture Realization Scorecard (EARS) and an accompanying method to discover the strengths and weaknesses in the realization process of an EA management function. During an assessment, representative EA goals are selected, and for each goal, the results, delivered during the different stages of the realization process, are analyzed, discussed and valued. The outcome of an assessment is a numerical EARScorecard, explicated with indicator-values, strengths, weaknesses, and recommendations. The concept and composition of the EARS is primarily inspired by the principles of CobiT and TOGAF's Architecture Development Method. Two cases are discussed to illustrate the use of the instrument. © 2012 Springer-Verlag.</t>
  </si>
  <si>
    <t>Stakeholder-driven enterprise process model for complex services adaptation</t>
  </si>
  <si>
    <t>https://www.scopus.com/inward/record.uri?eid=2-s2.0-78650861476&amp;doi=10.1007%2f978-3-642-16419-4_9&amp;partnerID=40&amp;md5=f58fb51403366ce820de0292cbf7f119_x000D_
https://link.springer.com/content/pdf/10.1007%2F978-3-642-16419-4_9.pdf</t>
  </si>
  <si>
    <t>Enterprise Architecture and Services_x000D_
intelligence mining_x000D_
micro and macro modeling_x000D_
organizational change_x000D_
Stakeholder based performance modeling_x000D_
Enterprise Architecture_x000D_
Micro and macro_x000D_
Performance Modeling_x000D_
Decision making_x000D_
Industry_x000D_
Ontology_x000D_
Information systems</t>
  </si>
  <si>
    <t>Service - oriented organizations often deal with incoming non-routine request types, each with significant variations in requirements consequently driving discovery of processing needs. At the same time such organizations are often challenged with sharing high-cost resources and executing static processes that do not lead to effective delivery. This requires an ontology designed for flexible adaptation to facilitate performance traceability and knowledge mining. Specifically we present a formal dynamic service ontology that 1) obtains tacit knowledge as explicit in-the-micro feedback from workers performing roles, 2) provides in-the-small evolutionary (dynamic) process instance structures and monitoring mechanisms, and 3) aggregates process instances metrics into a performance and decision-making facility to align to in-the-large goals of stakeholders. The multidimensional ontology for process flexibility and performance traceability was derived from industry case studies and is cognizant of stakeholder interests. We use customer service request data to validate the ontology through its use in adaptive decision-making applied to a large IT shared services organization. © 2010 Springer-Verlag.</t>
  </si>
  <si>
    <t>G. Regev; L. Regev; Y. Naïm; J. Lang; A. Wegmann</t>
  </si>
  <si>
    <t>Teaching an ethnographic approach to requirements elicitation in an enterprise architecture course</t>
  </si>
  <si>
    <t>https://www.scopus.com/inward/record.uri?eid=2-s2.0-84937428579&amp;partnerID=40&amp;md5=29adb057cdb7d6c86533e70b353da6a7</t>
  </si>
  <si>
    <t>E-learning_x000D_
Requirements engineering_x000D_
Systems engineering_x000D_
Teaching_x000D_
Elicitation techniques_x000D_
Engineering schools_x000D_
Enterprise Architecture_x000D_
Ethnographic approaches_x000D_
Information systems development_x000D_
Requirements elicitation_x000D_
Social activities_x000D_
Technical tasks_x000D_
Information systems</t>
  </si>
  <si>
    <t>Requirements elicitation is an important part of information systems development. It is often performed as a technical task, but from a close look it is mainly a social activity. The main work consists of interacting with stakeholders in order to understand their work practices and how these would change with the introduction of a new IT system. Engineers are often not trained in the necessary social skills. Most elicitation techniques focus on the technical issues rather than the social issues. In this paper we describe a trans-disciplinary collaboration in which students of social sciences help to explain the ethnographic approach to Master's students in an Enterprise Architecture course taught in an engineering school. © Copyright held by the author(s).</t>
  </si>
  <si>
    <t>Developing an Enterprise Architecture Proof of Concept in a Portuguese Hospital</t>
  </si>
  <si>
    <t>Elsevier B.V.</t>
  </si>
  <si>
    <t>https://www.scopus.com/inward/record.uri?eid=2-s2.0-84962800219&amp;doi=10.1016%2fj.procs.2015.08.511&amp;partnerID=40&amp;md5=6abe3c62825be494b5842a8efa1d45ed</t>
  </si>
  <si>
    <t>Enterprise Architecture_x000D_
Health Information Systems Management_x000D_
Strategic Management_x000D_
Benchmarking_x000D_
Health_x000D_
Hospitals_x000D_
Information systems_x000D_
Management science_x000D_
Project management_x000D_
Strategic planning_x000D_
Customer services_x000D_
Health information systems_x000D_
Information technology infrastructure_x000D_
IT infrastructures_x000D_
Key performance indicators_x000D_
Proof of concept_x000D_
Information management</t>
  </si>
  <si>
    <t>A Portuguese hospital with 700 beds and assisting 600 000 inhabitants, in its strategic plan, claimed for the urgent need of using new management approaches for dealing with the complexity of their information systems (IS), the highly coupled Information Technology (IT) infrastructures, and the inefficiency in the communication. This paper describes a proof of concept development using the concepts of Enterprise Architecture (EA) to contribute for a solution for these needs. The work focuses on the improvement of the medical appointment and patients' customer service business processes. Based on key points of existing EA frameworks, we started by using a questionnaire to the top management, and defining a common vision for this specific area, followed by the elicitation of the business processes and the supporting IS and IT infrastructures. Finally, we selected the key performance indicators that will help the hospital to monitor the performance of these processes. With this information gathered we offer a tool for top management to communicate with the clinical and IT areas and, together, take decisions with a common mind map and with the possibility to simulate the impact in the organization of those decisions. Another result of this work is the lessons learned in this proof-of-concept that can be applied in other areas and business processes of the hospital. © 2015 The Authors. Published by Elsevier B.V.</t>
  </si>
  <si>
    <t>A case study investigation of a lightweight, systematic elicitation approach for enterprise architecture requirements</t>
  </si>
  <si>
    <t>https://www.scopus.com/inward/record.uri?eid=2-s2.0-84951990313&amp;doi=10.1007%2f978-3-319-27218-4_3&amp;partnerID=40&amp;md5=9d60254d7b30e7a253d99e1ee107b51a_x000D_
https://link.springer.com/content/pdf/10.1007%2F978-3-319-27218-4_3.pdf</t>
  </si>
  <si>
    <t>Enterprise architecture_x000D_
Grounded theory method_x000D_
Requirements engineering_x000D_
Computers_x000D_
Business architecture_x000D_
Enterprise architecture requirements_x000D_
Grounded theory methods_x000D_
Qualitative analysis_x000D_
Research methodologies_x000D_
System infrastructure_x000D_
Technology infrastructure_x000D_
Software engineering</t>
  </si>
  <si>
    <t>Enterprise architectures (EA) try to develop an alignment between an enterprise’s technology infrastructures with its business objectives and are often facilitated by an EA framework (EAF). EAFs provide the processes to create and govern an EA and have been used to understand both strategy and business architecture to synthesize a supporting information system infrastructure. However, existing EAFs do not provide lightweight, systematic process for eliciting the needed inputs to develop an EA. The contribution of this work is a lightweight, systematic approach for eliciting the enterprise vision, mission and objective requirements necessary as input to an EAF. We make two basic claims for this idea. First, the utilization of the Vision-Mission-Objectives-Strategy- Tactics (VMOST) queries provides a lightweight approach for eliciting required EA knowledge from stakeholders. Second, the use of the Grounded Theory Method, a qualitative analysis technique, provides a structured, systematic approach for analyzing and documenting elicited EA requirements. To illustrate these claims, we apply our lightweight, EA elicitation approach to a real world enterprise using the case study approach as a research methodology. © Springer International Publishing Switzerland 2015.</t>
  </si>
  <si>
    <t>P. Saha</t>
  </si>
  <si>
    <t>Enterprise architecture for connected e-government: Practices and innovations</t>
  </si>
  <si>
    <t>Enterprise Architecture for Connected E-Government: Practices and Innovations</t>
  </si>
  <si>
    <t>https://www.scopus.com/inward/record.uri?eid=2-s2.0-84898294755&amp;doi=10.4018%2f978-1-4666-1824-4&amp;partnerID=40&amp;md5=1885441a5aa1975c154af0b473d5e827</t>
  </si>
  <si>
    <t>Enterprise Architecture is the inherent design and management approach essential for organizational coherence leading to alignment, agility, and assurance. Structured Enterprise Architecture approach is often used to plan and implement efficient and effective transformation efforts. However, the strongest driver for Enterprise Architecture is to improve service delivery and overall performance within the organization's business segments. Enterprise Architecture for Connected E-Government: Practices and Innovations addresses the gap in current literature in terms of linking and understanding the relationship between e-government and government Enterprise Architecture. Within this broader context, the focus is specifically on uncovering and comprehending the relationship between government Enterprise Architecture and connected government. Perfect for Government CIOs, IT/IS Managers, Chief Architects, Analysts and Designers seeking better, quicker, and easier approaches to respond to needs of their internal and external customers. © 2012 by IGI Global. All rights reserved.</t>
  </si>
  <si>
    <t>P. S. Santos Jr; J. P. A. Almeida; T. L. Pianissolla</t>
  </si>
  <si>
    <t>Uncovering the organisational modelling and business process modelling languages in the ARIS method</t>
  </si>
  <si>
    <t>International Journal of Business Process Integration and Management</t>
  </si>
  <si>
    <t>https://www.scopus.com/inward/record.uri?eid=2-s2.0-79957499308&amp;doi=10.1504%2fIJBPIM.2011.040205&amp;partnerID=40&amp;md5=2cc5d6978bbea27b9cd57d3d371eab93</t>
  </si>
  <si>
    <t>ARIS method_x000D_
Business process modelling_x000D_
Enterprise architecture modelling_x000D_
Metamodelling</t>
  </si>
  <si>
    <t>In this paper, we propose an approach to excavate and define the metamodels of the organisational modelling and business process modelling languages of ARIS method. This approach uses information obtained with user interactions over the modelling environment called ARIS toolset and extra information from tool documentation. The application of this approach results on well-defined language metamodels, clarifying the language's main modelling elements and their relationships. The metamodels serve as a starting point for the definition of the semantics of the language and allow the construction of tools to manage modelling, simulation, analysis and transformation of organisational models and business processes. To validate the metamodels we define a set of transformations which enables one to create instances of the metamodels using as a starting point models in the ARIS toolset serialisation format (the ARIS markup language-AML). Copyright © 2011 Inderscience Enterprises Ltd.</t>
  </si>
  <si>
    <t>A. Saraswati; C. F. Chang; A. Ghose; H. K. Dam</t>
  </si>
  <si>
    <t>Learning relationships between the business layer and the application layer in archimate models</t>
  </si>
  <si>
    <t>https://www.scopus.com/inward/record.uri?eid=2-s2.0-84951813624&amp;doi=10.1007%2f978-3-319-25264-3_37&amp;partnerID=40&amp;md5=410e043f9337c565c9babeb237456ccd_x000D_
https://link.springer.com/content/pdf/10.1007%2F978-3-319-25264-3_37.pdf</t>
  </si>
  <si>
    <t>ArchiMate_x000D_
Data-driven model extraction_x000D_
Enterprise architecture_x000D_
Data mining_x000D_
Application layers_x000D_
Complex task_x000D_
Data collection_x000D_
Data-driven model_x000D_
Physical nodes_x000D_
E-learning</t>
  </si>
  <si>
    <t>Enterprise architecture provides a visualisation tool for stakeholder to manage and improve the current organization strategy to achieve its objectives. However, building an enterprise architecture is a time-consuming and often highly complex task. It involves data collection and analysis in several levels of granularity, from the physical nodes to the business execution. Existing solutions does not provide techniques to learn the relationship between the levels of granularity. In this paper, we proposed a method to correlate the business and application layers in ArchiMate notation. © Springer International Publishing Switzerland 2015.</t>
  </si>
  <si>
    <t>G. Shroff</t>
  </si>
  <si>
    <t>Enterprise cloud computing: Technology, architecture, applications</t>
  </si>
  <si>
    <t>Enterprise Cloud Computing: Technology, Architecture, Applications</t>
  </si>
  <si>
    <t>Cambridge University Press</t>
  </si>
  <si>
    <t>https://www.scopus.com/inward/record.uri?eid=2-s2.0-84924667850&amp;doi=10.1017%2fCBO9780511778476&amp;partnerID=40&amp;md5=b110479c2acc86737e2412e306659e74</t>
  </si>
  <si>
    <t>Cloud computing_x000D_
Data mining_x000D_
Distributed computer systems_x000D_
Reviews_x000D_
Software architecture_x000D_
Software engineering_x000D_
Chief technology officers_x000D_
Cloud computing platforms_x000D_
Cloud computing technologies_x000D_
Computer professionals_x000D_
Enterprise applications_x000D_
Enterprise Architecture_x000D_
Graduate level course_x000D_
Tata consultancy services_x000D_
Computer architecture</t>
  </si>
  <si>
    <t>Cloud computing promises to revolutionize IT and business by making computing available as a utility over the internet. This book is intended primarily for practising software architects who need to assess the impact of such a transformation. It explains the evolution of the internet into a cloud computing platform, describes emerging development paradigms and technologies, and discusses how these will change the way enterprise applications should be architected for cloud deployment. Gautam Shroff provides a technical description of cloud computing technologies, covering cloud infrastructure and platform services, programming paradigms such as MapReduce, as well as ‘do-it-yourself' hosted development tools. He also describes emerging technologies critical to cloud computing. The book also covers the fundamentals of enterprise computing, including a technical introduction to enterprise architecture, so it will interest programmers aspiring to become software architects and serve as a reference for a graduate-level course in software architecture or software engineering. Reviews: Gautam Shroff's new book has arrived at a critical time and ably serves the computer professional wishing explore important new information technology. The past few years have seen an acceleration in the normally rapid pace of technological change. Cloud computing is becoming the new reality. It requires an understanding of virtualization and of the new systems designed to support massively parallel computation in the cloud: map-reduce, Hadoop, Hive, and many others. These techniques in turn make possible very large-scale enterprise analytics, using a variety of modern data-mining algorithms. In a succinct way, the author introduces us to all of these technologies and provides a unique perspective on today's IT infrastructure." Jeffrey D. Ullman, Professor Emeritus, Stanford University "Clouds are usually associated with vapor, and are close cousins of fog and mist - Gautam's book is a huge step forward in bringing clarity and tangibility into this exciting next stage of evolution in enterprise IT. Gautam has a deep understanding of the cloud from the technology, customer requirement, service provider and innovator perspectives. I am glad he has translated this wealth of knowledge to the benefit of the greater technical community." K. Ananth Krishnan, Chief Technology Officer, Tata Consultancy Services "This book provides a sound foundation for software architects who need to understand the potential impacts of moving to cloud computing." David G. Hill, Computing Reviews. © G. Shroff 2010."</t>
  </si>
  <si>
    <t>M. A. Solano; G. Jernigan</t>
  </si>
  <si>
    <t>Enterprise data architecture principles for high-level Multi-Int fusion: A pragmatic guide for implementing a heterogeneous data exploitation framework</t>
  </si>
  <si>
    <t>https://www.scopus.com/inward/record.uri?eid=2-s2.0-84867629249&amp;partnerID=40&amp;md5=f6b43405b4dae628b1f9ce8bd60649b6</t>
  </si>
  <si>
    <t>Data Analytics_x000D_
Data Mining_x000D_
High-Level Fusion_x000D_
Data architectures_x000D_
Data cube_x000D_
Database technology_x000D_
Decision support framework_x000D_
Enterprise Architecture_x000D_
Enterprise data_x000D_
Fusion applications_x000D_
Fusion process_x000D_
Geo-spatial_x000D_
Heterogeneous data_x000D_
Integral components_x000D_
JDL model_x000D_
Multi-Media_x000D_
Predictive algorithms_x000D_
Semantic data_x000D_
Storage and retrievals_x000D_
System-of-systems_x000D_
Data fusion_x000D_
Database systems_x000D_
Decision support systems_x000D_
Industry_x000D_
Information fusion_x000D_
Digital storage</t>
  </si>
  <si>
    <t>Databases have been an integral component of Data Fusion from the outset when the JDL model was introduced. As advances in High-Level fusion using Multi-Int data have been made, the original concept of databases as a static repository of Level 0/1 content has evolved to support heterogeneous data, and as a necessary enabler of High-Level fusion processes. Relatively recent database technologies now support specialized storage for complex content such as multi-media, geospatial, and semantic data types. Additionally, database functionality has been extended from what was once almost exclusively storage and retrieval, to include integrated forensic and predictive algorithms, as well as decision support frameworks such as the data cube. These data mining capabilities provide a rich tool-set from which to tailor a fusion application. However, due to their inherent trade-off space, they present a significant design and integration challenge when implementing an enterprise architecture, which has to provide a comprehensive and cohesive framework across the entire fusion workflow, and which has to meet the needs of various Communities-of- Interest. This paper expounds on the role of data architecture as a key discipline to help analyze and synthesize an enterprise fusion system-of-systems, and presents selected principles to maximize heterogeneous data exploitation. © 2012 ISIF (Intl Society of Information Fusi).</t>
  </si>
  <si>
    <t>P. Szwed</t>
  </si>
  <si>
    <t>Evaluating efficiency of archimate business processes verification with NuSMV</t>
  </si>
  <si>
    <t>https://www.scopus.com/inward/record.uri?eid=2-s2.0-84961190995&amp;doi=10.1007%2f978-3-319-30528-8_11&amp;partnerID=40&amp;md5=2cc309313f95bb21bfcf9ac77a9c141e_x000D_
https://link.springer.com/chapter/10.1007%2F978-3-319-30528-8_11</t>
  </si>
  <si>
    <t>ArchiMate_x000D_
Business process verification_x000D_
Model checking_x000D_
NuSMV_x000D_
Efficiency_x000D_
Formal verification_x000D_
Information management_x000D_
Information systems_x000D_
Semantics_x000D_
Specifications_x000D_
Business Process_x000D_
Model complexity_x000D_
Process definition_x000D_
Process specification_x000D_
Time efficiencies_x000D_
Verification task</t>
  </si>
  <si>
    <t>The motivation for our work was an idea of integrating formal verification with business processes modeling. In the presented approach ArchiMate was selected as a language used for definition of processes. We describe a procedure, which extracts behavioral elements from ArchiMate specification and transforms them into a corresponding representation used by NuSMV model checker. Then, we focus on time efficiency of the verification task. We give results of tests performed on a set of artificial process specifications, as well as on a complex business process, whose development was supported by the implemented solution. We compare three semantics of ArchiMate process definitions and discuss their influence on model complexity and verification time. © Springer International Publishing Switzerland 2016.</t>
  </si>
  <si>
    <t>Z. Tingting; L. Xiaoming; W. Zhixue; D. Qingchao</t>
  </si>
  <si>
    <t>Capability-oriented architectural analysis method based on fuzzy description logic</t>
  </si>
  <si>
    <t>ComSIS Consortium</t>
  </si>
  <si>
    <t>https://www.scopus.com/inward/record.uri?eid=2-s2.0-85000788576&amp;doi=10.2298%2fCSIS150222046T&amp;partnerID=40&amp;md5=9ac02b87854b4f5cba8aa4433d678dc5</t>
  </si>
  <si>
    <t>Description logics_x000D_
Enterprise architecture_x000D_
Fuzzy model checking_x000D_
Fuzzy UML_x000D_
Ontology</t>
  </si>
  <si>
    <t>A number of problems may arise from architectural requirements modeling, including alignment of it with business strategy, model integration and handling the uncertain and vague information. The paper introduces a method for modeling architectural requirements in a way of ontology-based and capability-oriented requirements elicitation. The requirements can be modeled within a three-layer framework. The Capability Meta-concept Framework is provided at the top level. The domain experts can capture the domain knowledge within the framework, forming the domain ontology at the second level. The domain concepts can be used for extending the UML to produce a domain-specific modeling language. A fuzzy UML is introduced to model the vague and uncertain features of the capability requirements. An algorithm is provided to transform the fuzzy UML models into the fuzzy Description Logics ontology for model verification. A case study is given to demonstrate the applicability of the method. © 2016, ComSIS Consortium. All rights reserved.</t>
  </si>
  <si>
    <t>H. Virkanen; J. Mykkänen; M. Tuomainen</t>
  </si>
  <si>
    <t>Interface map as a user-driven and activity-driven interoperability standards portfolio</t>
  </si>
  <si>
    <t>https://www.scopus.com/inward/record.uri?eid=2-s2.0-84894302851&amp;doi=10.3233%2f978-1-61499-289-9-407&amp;partnerID=40&amp;md5=5fc0587ccb0c29c3c7101c6ecd29c3e6</t>
  </si>
  <si>
    <t>Directories_x000D_
Interoperability_x000D_
Portfolio_x000D_
Standards_x000D_
Usability_x000D_
computer interface_x000D_
controlled vocabulary_x000D_
data base_x000D_
data mining_x000D_
international cooperation_x000D_
medical information system_x000D_
medical record_x000D_
natural language processing_x000D_
practice guideline_x000D_
semantics_x000D_
system analysis_x000D_
Database Management Systems_x000D_
Health Information Systems_x000D_
Internationality_x000D_
Medical Record Linkage_x000D_
Practice Guidelines as Topic_x000D_
Systems Integration_x000D_
User-Computer Interface_x000D_
Vocabulary, Controlled</t>
  </si>
  <si>
    <t>Use of interoperability specifications such as standards and their implementation guides is currently hindered by lack of systematic directories. It is difficult for potential users of standards to locate potential specifications which could be useful for their specific development needs. We introduce a multi-directory interface map approach which supports systematic description of healthcare interoperability specifications through consistent metadata and complementary classifications. The approach is built on basic premises of standards portfolios in enterprise architectures as well as activity-driven and interoperability paradigm-based classifications. We illustrate the approach through a case project in Finland. © 2013 IMIA and IOS Press.</t>
  </si>
  <si>
    <t>Z. X. Wang; X. G. Si; Z. K. Zhu; Q. L. Wang; B. Hu; M. G. Yu</t>
  </si>
  <si>
    <t>A novel approach for C4ISR requirements elicitation</t>
  </si>
  <si>
    <t>https://www.scopus.com/inward/record.uri?eid=2-s2.0-84879741346&amp;doi=10.4028%2fwww.scientific.net%2fAMM.321-324.2471&amp;partnerID=40&amp;md5=ab1f33c28480e7f0dc3c5fe699a7401a_x000D_
https://www.scientific.net/AMM.321-324.2471</t>
  </si>
  <si>
    <t>Architecture framework_x000D_
C4ISR capabilities_x000D_
Domain requirements_x000D_
Elicitation_x000D_
Architectural analysis_x000D_
Architecture frameworks_x000D_
Capability requirements_x000D_
Enterprise Architecture_x000D_
Requirements elicitation_x000D_
Architecture_x000D_
Information science_x000D_
Requirements engineering</t>
  </si>
  <si>
    <t>The capability-oriented requirements elicitation is an emerging research topic of requirements engineering, especially for complex system such as the C4ISR system. One of the problems is that the capability requirements are usually articulated in natural languages and need to be formally specified to support enterprise architecture analysis. The paper proposes a framework for modeling the domain requirements of C4ISR capabilities and suggests an extended UML modeling technique. As the modeling framework accords with the standard DoD Architecture Framework, the proposed method may populate C4ISR architectural analysis. © (2013) Trans Tech Publications, Switzerland.</t>
  </si>
  <si>
    <t>R. Winter</t>
  </si>
  <si>
    <t>Construction of situational information systems management methods</t>
  </si>
  <si>
    <t>International Journal of Information System Modeling and Design</t>
  </si>
  <si>
    <t>https://www.scopus.com/inward/record.uri?eid=2-s2.0-84880534091&amp;doi=10.4018%2fjismd.2012100104&amp;partnerID=40&amp;md5=c987315834a30a5ce2d480dc65f51dba_x000D_
https://www.igi-global.com/gateway/article/70926</t>
  </si>
  <si>
    <t>Engineering_x000D_
Enterprise Architecture Management_x000D_
Information Systems Management_x000D_
Situational Method Engineering_x000D_
Software Artifacts_x000D_
Composition supports_x000D_
Design factors_x000D_
Enterprise architecture managements_x000D_
Generic approach_x000D_
Systematic designs_x000D_
Transition paths_x000D_
Management information systems_x000D_
Information systems</t>
  </si>
  <si>
    <t>Situational method engineering (SME) is an established approach to create situated methods which allows the systematic construction of software artifacts while considering specific project context and goals. The author's motivation is to investigate whether and how SME can be applied to Information Systems management (ISM), i.e., if SME concepts can be extended in order to create situated ISM methods whose application allows the systematic design of certain ISM tasks while considering context and goals. Their contribution is the proposal of a generic approach that includes such extensions and can be regarded as a SME method for ISM. For the exemplary domain of Enterprise Architecture Management (EAM), the author illustrates and demonstrate the proposed approach by (a) analyzing existing EAM solutions to discover design factors and identify solution clusters, (b) specifying to-be solution clusters and implied transition paths, and (c) deriving activity modules whose composition supports relevant transition paths and constitutes situated, context and goal specific ISM methods. For the EAM example, They document the identification of (a) eight design factors and three as-is solution clusters, the specification of (b) three to-be solution clusters and four transition paths, and the derivation of (c) five method modules that allow to be composed into four situated EAM methods. Copyright © 2012, IGI Global.</t>
  </si>
  <si>
    <t>Conference Paper</t>
  </si>
  <si>
    <t>T. E. Floore; G. H. Gilman</t>
  </si>
  <si>
    <t>Design and capabilities of an enhanced naval mine warfare simulation framework</t>
  </si>
  <si>
    <t>Proceedings of the Winter Simulation Conference</t>
  </si>
  <si>
    <t>Winter Simulation Conference</t>
  </si>
  <si>
    <t>H. Florez; M. S; #225; nchez; J. Villalobos; Germ; #225; n. Vega</t>
  </si>
  <si>
    <t>Coevolution assistance for enterprise architecture models</t>
  </si>
  <si>
    <t>Proceedings of the 6th International Workshop on Models and Evolution</t>
  </si>
  <si>
    <t>ACM</t>
  </si>
  <si>
    <t>https://dl.acm.org/citation.cfm?doid=2523599.2523605</t>
  </si>
  <si>
    <t>A. Mohammad; H. Mcheick; E. Grant</t>
  </si>
  <si>
    <t>Big data architecture evolution: 2014 and beyond</t>
  </si>
  <si>
    <t>Proceedings of the fourth ACM international symposium on Development and analysis of intelligent vehicular networks and applications</t>
  </si>
  <si>
    <t>https://dl.acm.org/citation.cfm?doid=2656346.2656358</t>
  </si>
  <si>
    <t>C. Salgado; R. J. Machado; R. Suzana</t>
  </si>
  <si>
    <t>Modeling the alignment between business and IS/IT: a requirements engineering perspective</t>
  </si>
  <si>
    <t>Proceedings of the 28th Annual ACM Symposium on Applied Computing</t>
  </si>
  <si>
    <t>https://dl.acm.org/citation.cfm?doid=2480362.2480607</t>
  </si>
  <si>
    <t>Variability Mining of Technical Architectures</t>
  </si>
  <si>
    <t>Proceedings of the 21st International Systems and Software Product Line Conference - Volume A</t>
  </si>
  <si>
    <t>https://dl.acm.org/citation.cfm?doid=3106195.3106202</t>
  </si>
  <si>
    <t>N. Dastranj Mamaghani; F. Mousavi Madani; A. Sharifi</t>
  </si>
  <si>
    <t>Customer oriented enterprise IT architecture framework</t>
  </si>
  <si>
    <t>Telematics and Informatics</t>
  </si>
  <si>
    <t>https://www.sciencedirect.com/science/article/pii/S0736585311000499</t>
  </si>
  <si>
    <t>Enterprise architecture_x000D_
Shannon’s entropy_x000D_
Information technology_x000D_
Customer orientation_x000D_
Axiomatic_x000D_
QFD</t>
  </si>
  <si>
    <t>Due to the rapid expansion and complexity of mechanisms, technologies, systems, processes and communications in organizations, governance and management has become something beyond the control of hardware and software systems and include integration and convergence of all components of an organization. Enterprise architecture (EA) by breaking down the organization’s systems to its components and determining the relationship between them in different layers offers an appropriate solution for understanding and investigating relationships and processes of organizations which develop strategies and information technology plans. This paper proposes a conceptual model for enterprise IT architecture. For this purpose, conceptual and reference models of enterprise architecture are investigated and key concepts of them are described. By identifying dimensions of reviewed models, key dimensions of the proposed model are extracted and by using Shannon’s entropy, weight and priority of each dimension is determined. In order to determine building blocks of each dimension, a mapping has been established between customer and functional requirements by using axiomatic method and relations between customer and functional requirements has been validated by experts’ opinions using Quality Function Development (QFD) method. Proposed model has been described by determining goals, components and relations. Then the model is validated by surveying experts. Finally an Iranian telecommunication enterprise is selected for a case study and the model is tested there and promoting solutions are proposed to improve the status of the organization for implementing the model.</t>
  </si>
  <si>
    <t>J. V. Luisi</t>
  </si>
  <si>
    <t>Part III - Information Systems</t>
  </si>
  <si>
    <t>Pragmatic Enterprise Architecture</t>
  </si>
  <si>
    <t>Morgan Kaufmann</t>
  </si>
  <si>
    <t>https://www.sciencedirect.com/science/article/pii/B9780128002056000032</t>
  </si>
  <si>
    <t>information systems architecture_x000D_
enterprise architecture_x000D_
business architecture_x000D_
operations architecture_x000D_
systems architecture_x000D_
control systems architecture_x000D_
cross-discipline capabilities_x000D_
solution architect_x000D_
subject matter expert_x000D_
stakeholders_x000D_
Legal_x000D_
Compliance_x000D_
Auditing_x000D_
Chief Customer Officer_x000D_
outsourcing partners_x000D_
customers_x000D_
investors_x000D_
shareholders_x000D_
regulators_x000D_
enterprise architects_x000D_
hedgehog principle_x000D_
architectural standards_x000D_
technology portfolio management_x000D_
TPM_x000D_
organizing technologies into portfolios_x000D_
architecture ROI framework_x000D_
application impact_x000D_
infrastructure impact_x000D_
personnel impact_x000D_
vendor impact_x000D_
operational workflow impact_x000D_
business impact_x000D_
after tax implications_x000D_
net present value_x000D_
NPV_x000D_
internal rate of return_x000D_
IRR_x000D_
personnel severance costs_x000D_
airfare_x000D_
lodging_x000D_
enhanced technology portfolio management_x000D_
technology categories_x000D_
technology subcategories_x000D_
technology metadata_x000D_
reporting architecture_x000D_
OLTP_x000D_
online transaction processing_x000D_
OLAP_x000D_
online analytical processing_x000D_
business intelligence_x000D_
nonstatistical analysis_x000D_
data mining_x000D_
predictive analytics_x000D_
operational data store_x000D_
ODS_x000D_
DW_x000D_
data warehouse_x000D_
data mart_x000D_
DM_x000D_
GIS_x000D_
geographic information system_x000D_
Big Data_x000D_
mashup technology_x000D_
data warehouse architecture_x000D_
BI Architecture_x000D_
rollups_x000D_
aggregates_x000D_
dimensions_x000D_
MOLAP_x000D_
ROLAP_x000D_
HOLAP_x000D_
WOLAP_x000D_
DOLAP_x000D_
RTOLAP_x000D_
CEP_x000D_
complex event processing_x000D_
NLP_x000D_
natural language processing_x000D_
data visualization_x000D_
cluster diagrams_x000D_
terrain maps_x000D_
architectural drawings_x000D_
floor plans_x000D_
shelf layouts_x000D_
routes_x000D_
connectivity diagrams_x000D_
bubbles_x000D_
histograms_x000D_
heat maps_x000D_
scatter plots_x000D_
rose charts_x000D_
cockpit gauges_x000D_
radar diagrams_x000D_
stem and leaf plots_x000D_
predict behavior_x000D_
longitudinal analysis_x000D_
survey sampling models_x000D_
stimulus-response predictive models_x000D_
statistical methods_x000D_
nonstatistical models_x000D_
neural networks_x000D_
neural nets_x000D_
polynomial_x000D_
Big Data architecture_x000D_
structured data_x000D_
unstructured data_x000D_
semistructured data_x000D_
velocity_x000D_
volume_x000D_
frequency of updates_x000D_
variety_x000D_
concurrent users_x000D_
OldSQL_x000D_
New SQL_x000D_
SQL_x000D_
free space_x000D_
query language_x000D_
ACID_x000D_
atomicity_x000D_
consistency_x000D_
isolation_x000D_
durability_x000D_
node_x000D_
symmetric multiprocessing_x000D_
SMP_x000D_
massively parallel processing_x000D_
MPP_x000D_
asymmetric massively parallel processing_x000D_
AMPP_x000D_
Hadoop_x000D_
DFS_x000D_
distributed file system_x000D_
MapReduce_x000D_
Apache Software Foundation_x000D_
ASF_x000D_
FOSS_x000D_
IP_x000D_
Google_x000D_
GFS_x000D_
HDSF_x000D_
GPFS_x000D_
BigTable_x000D_
NoSQL_x000D_
Hbase_x000D_
R Language_x000D_
R Programming Language_x000D_
Sqoop_x000D_
Hive_x000D_
Pig_x000D_
Impala_x000D_
FSF_x000D_
free software foundation_x000D_
CRAN_x000D_
Comprehensive R Archive Network_x000D_
R extensions_x000D_
Luisi Prime Numbers_x000D_
competing Hadoop frameworks_x000D_
Cloudera_x000D_
Hortonworks_x000D_
MapR_x000D_
IBM_x000D_
Microsoft_x000D_
Intel_x000D_
Syncsort_x000D_
SAS_x000D_
Big Data is use case driven_x000D_
document management/content management_x000D_
knowledge management_x000D_
graph DB_x000D_
online transaction processing systems_x000D_
data warehousing_x000D_
real-time analytics_x000D_
algorithmic approaches_x000D_
batch analysis_x000D_
advanced search_x000D_
relational database technology in Hadoop_x000D_
novelty discoveries_x000D_
class discoveries_x000D_
association discoveries_x000D_
document management_x000D_
content management_x000D_
government archival records_x000D_
business document management_x000D_
IT document management_x000D_
customer document management_x000D_
Basho Riak_x000D_
MarkLogic_x000D_
MongoDB_x000D_
Cassandra_x000D_
Couchbase_x000D_
Hadoop HDFS_x000D_
Hadoop HBase_x000D_
KYC_x000D_
AML_x000D_
SAP Hana_x000D_
HP Vertica_x000D_
Greenplum_x000D_
Teradata_x000D_
lifetime value_x000D_
LTV_x000D_
forecasting_x000D_
Fair Isaac’s_x000D_
HNC_x000D_
Ward Systems_x000D_
SAS complex event processing_x000D_
algorithm based_x000D_
matrix vector multiplication_x000D_
relational algebraic operations_x000D_
selections and projections_x000D_
union_x000D_
intersection and difference_x000D_
grouping and aggregation_x000D_
reducer size and replication rates_x000D_
similarity joins_x000D_
graph modeling_x000D_
Netezza_x000D_
NewSQL_x000D_
e-Commerce_x000D_
Akiban_x000D_
Clustrix_x000D_
Google Spanner_x000D_
NuoDB_x000D_
SQLFire_x000D_
VoltDB_x000D_
batch analytics_x000D_
HDFS_x000D_
address geocoding_x000D_
linear measures event modeling_x000D_
routing_x000D_
topological_x000D_
cartography_x000D_
Neo4j_x000D_
PostGIS_x000D_
Oracle Spatial_x000D_
Geotime_x000D_
search and discovery_x000D_
Lucidworks_x000D_
Solr_x000D_
Splunk_x000D_
Splice Machine_x000D_
Citus Data_x000D_
use case driven_x000D_
life cycle_x000D_
ad hoc deployment_x000D_
Big Data deployment_x000D_
metadata_x000D_
Big Data ecosystem_x000D_
use case planning_x000D_
business metadata_x000D_
use case requirements_x000D_
internal data discovery_x000D_
external data discovery_x000D_
inbound metadata_x000D_
ingestion metadata_x000D_
data persistence layer metadata_x000D_
outbound metadata_x000D_
lifecycle metadata_x000D_
operations metadata_x000D_
data governance metadata_x000D_
compliance metadata_x000D_
configuration management metadata_x000D_
team metadata_x000D_
directory services metadata_x000D_
ecosystem administrator metadata_x000D_
stakeholder metadata_x000D_
workflow metadata_x000D_
decommissioning metadata_x000D_
metadata summary_x000D_
There is no magic_x000D_
Big Data accelerators_x000D_
parallel and distributed processing_x000D_
reduced code set that eliminates large amounts of DBMS code_x000D_
fewer features_x000D_
compression_x000D_
proprietary hardware_x000D_
SOA_x000D_
OOA_x000D_
LDA_x000D_
CPU_x000D_
LZ77_x000D_
LZ78_x000D_
Huffman_x000D_
columnar_x000D_
Big Data the future_x000D_
quantum computing_x000D_
code breaking_x000D_
cryptography_x000D_
prime number generation_x000D_
traveling salesman problem_x000D_
labeling images and objects within images_x000D_
identifying correlations in genetic code_x000D_
testing a scientific hypothesis_x000D_
machine learning for problem solving (aka self-programming)_x000D_
adiabatic_x000D_
AQC_x000D_
gate model_x000D_
D-Wave_x000D_
qubit_x000D_
quantum error correction_x000D_
quantum processor_x000D_
titanium_x000D_
niobium_x000D_
Columbian_x000D_
Kelvin_x000D_
Tesla_x000D_
Josephson junction_x000D_
Boolean SAT_x000D_
SAPI interface_x000D_
compiler_x000D_
client libraries_x000D_
frameworks_x000D_
applications_x000D_
mashup architecture_x000D_
data virtualization layer_x000D_
cross data landscape metrics_x000D_
data security_x000D_
data visualization styles_x000D_
self-service_x000D_
LDAP_x000D_
compliance architecture_x000D_
treaty zone_x000D_
business compliance_x000D_
IT compliance_x000D_
ISO 17799_x000D_
ISO 27000_x000D_
COSO_x000D_
Committee of Sponsoring Organizations of the Treadway Commission_x000D_
OFAC_x000D_
Office of Foreign Assets Control_x000D_
Treasury department_x000D_
United and Strengthening America by Providing Appropriate Tools Required to Intercept and Obstruct Terrorism_x000D_
Section 314(a)_x000D_
USA PATRIOT Act_x000D_
Office of Federal Contract Compliance Programs_x000D_
OFCCP_x000D_
Equal Employment Opportunity Act_x000D_
EEOA_x000D_
Financial Stability Board_x000D_
FSB_x000D_
Global Financial Markets Association_x000D_
GFMA_x000D_
Bank Secrecy Act_x000D_
BSA_x000D_
Regulation E of the Electronic Fund Transfer Act_x000D_
EFTA_x000D_
Dodd-Frank_x000D_
Securities and Exchange Commission_x000D_
SEC_x000D_
Federal Trade Commission_x000D_
FTC_x000D_
Office of the Comptroller of the Currency_x000D_
OCC_x000D_
Commodity Futures Trading Commission_x000D_
CFTC_x000D_
International Swaps and Derivatives Association_x000D_
ISDA_x000D_
Sarbanes Oxley_x000D_
SOX_x000D_
Basel II_x000D_
Solvency II_x000D_
Blocked Persons List_x000D_
Targeted Countries List_x000D_
Denied Persons List_x000D_
Denied Entities List_x000D_
FBI’s Most Wanted_x000D_
Debarred Parties List_x000D_
Global Watch List_x000D_
Politically Exposed Persons_x000D_
PEP_x000D_
anti-money laundering_x000D_
know your client_x000D_
suspicious activity report_x000D_
SAR_x000D_
CIP_x000D_
DTCC_x000D_
NSCC_x000D_
DTC_x000D_
SWIFT_x000D_
CICI_x000D_
LEI_x000D_
CFTC Interim Compliant Identifier_x000D_
National Securities Clearing Corporation_x000D_
Customer Identification Program_x000D_
Society for the Worldwide Interbank Financial Telecommunication_x000D_
Legal Entity Identifier_x000D_
RIM_x000D_
legal hold_x000D_
records information management_x000D_
Governance Risk and Compliance_x000D_
GRC_x000D_
XBRL_x000D_
10-Q_x000D_
10-K_x000D_
20-F_x000D_
8-K_x000D_
6-K_x000D_
legal compliance_x000D_
HR compliance_x000D_
financial compliance_x000D_
application portfolio architecture_x000D_
APM_x000D_
applications architecture_x000D_
business rules_x000D_
workflow architecture_x000D_
business capabilities_x000D_
BPMN_x000D_
workflow automation_x000D_
BPM technology_x000D_
application architecture_x000D_
singular application_x000D_
first-generation language_x000D_
second-generation language_x000D_
third-generation language_x000D_
fourth-generation language_x000D_
drag-and-drop self-service_x000D_
array language_x000D_
vector language_x000D_
assembly language_x000D_
command line interfaces_x000D_
compiled language_x000D_
interpreted language_x000D_
data manipulation language_x000D_
object-oriented language_x000D_
scripting language_x000D_
procedural language_x000D_
rules engine_x000D_
requirements traceability_x000D_
error handling_x000D_
software reuse_x000D_
application architecture design patterns_x000D_
integration pattern_x000D_
distribution pattern_x000D_
tier pattern_x000D_
procedural pattern_x000D_
processing pattern_x000D_
usage pattern_x000D_
analytical pattern_x000D_
interactive pattern_x000D_
data communication pattern_x000D_
message dissemination pattern_x000D_
resource sequence pattern_x000D_
pipeline pattern_x000D_
pipe and filter_x000D_
event-driven pattern_x000D_
blackboard pattern_x000D_
MV pattern_x000D_
integration architecture_x000D_
hub and spoke_x000D_
ESB_x000D_
service-oriented architecture_x000D_
enterprise service bus_x000D_
extract transform and load_x000D_
ETL_x000D_
FTP_x000D_
file transfer protocol_x000D_
B2B_x000D_
B2C_x000D_
partner integration_x000D_
life cycle architecture_x000D_
software development life cycle_x000D_
data centric life cycle_x000D_
DCLC_x000D_
DGLC_x000D_
DLC_x000D_
merger and acquisition life cycle_x000D_
MALC_x000D_
data center consolidation life cycle_x000D_
DCCLC_x000D_
corporate restructuring life cycle_x000D_
CRLC_x000D_
outsourcing life cycle_x000D_
OSLC_x000D_
insourcing life cycle_x000D_
ISLC_x000D_
operations life cycle_x000D_
OLC_x000D_
SDLC_x000D_
ISO/IEC 12207_x000D_
inception_x000D_
high-level analysis_x000D_
detail analysis_x000D_
logical design_x000D_
physical design_x000D_
build_x000D_
validation_x000D_
deployment_x000D_
post-implementation_x000D_
logical data architecture_x000D_
data requirements_x000D_
data analysis_x000D_
data profiling_x000D_
conceptual data modeling_x000D_
logical data modeling_x000D_
physical data modeling_x000D_
data discovery_x000D_
data acquisition_x000D_
data cleansing_x000D_
data standardization_x000D_
data integration_x000D_
user acceptance_x000D_
production_x000D_
data governance life cycle_x000D_
identifying data points_x000D_
populating business data glossary_x000D_
conceptual data architecture_x000D_
business designated access rights_x000D_
legal and compliance oversight_x000D_
secure canned reporting data points_x000D_
report and querying_x000D_
production to nonproduction data movement_x000D_
AGLC_x000D_
architecture governance life cycle_x000D_
analyze business direction_x000D_
analyze business pain points_x000D_
analyze types of technological issues_x000D_
analyze all business initiative types_x000D_
assess business alignment_x000D_
initial architecture review_x000D_
postmortem architecture review_x000D_
divestiture life cycle_x000D_
identify scope of business being divested_x000D_
identify divested business capabilities_x000D_
identify shared operations_x000D_
automation supporting divested capabilities_x000D_
identify dedicated operations_x000D_
detach general ledger_x000D_
identify unstructured data of divested areas_x000D_
identify RIM data_x000D_
define RIM business data_x000D_
safeguard RIM data_x000D_
validate RIM reporting_x000D_
identify legal holds_x000D_
safeguard legal hold data_x000D_
validate legal hold reporting_x000D_
downsize business operations_x000D_
downsize automation_x000D_
decommission_x000D_
downsize IT operations_x000D_
mergers and acquisitions_x000D_
identify business scope being acquired_x000D_
identify business organization impact_x000D_
identify acquired automation_x000D_
analyze overlapping automation_x000D_
compare data landscapes_x000D_
identify automation impact_x000D_
identify development environment impact_x000D_
implement automation strategy_x000D_
identify IT organization impact_x000D_
general ledger integration_x000D_
right-size business operations_x000D_
right-size automation_x000D_
right-size IT operations_x000D_
data center consolidation</t>
  </si>
  <si>
    <t>Abstract This part enters into the main territory of enterprise architecture for information systems which is as rich in technology specialties as the IT ecosystem is diverse. Most organizations fail to recognize the need for diverse specialization within architecture because they fail to understand the depth of complexity and the costs associated with mediocrity within each area of specialization. They also believe that a general practioner, which we will call a solution architect, is qualified and appropriate to address the complexities across a wide array of technology areas. In reality, this is equivalent to staffing a medical center primarily with general practioners that act as the specialists. A healthy organization maintains top specialists with which the general practioners can participate in getting expertise that is in alignment with a future state vision that reduces complexity and costs.</t>
  </si>
  <si>
    <t>Part IV - Information Architecture</t>
  </si>
  <si>
    <t>https://www.sciencedirect.com/science/article/pii/B9780128002056000044</t>
  </si>
  <si>
    <t>Information architecture_x000D_
data architecture_x000D_
data governance_x000D_
business data glossary architecture_x000D_
data ownership architecture_x000D_
data access rights architecture_x000D_
ETL data masking architecture_x000D_
canned report access architecture_x000D_
data stewardship_x000D_
data discovery_x000D_
semantic modeling_x000D_
architecture governance component registry_x000D_
data governance dashboard_x000D_
data obfuscation architecture_x000D_
data modeling architecture_x000D_
reference data management—product master_x000D_
reference data management—code tables_x000D_
reference data management—external files_x000D_
data in motion architecture_x000D_
data virtualization architecture_x000D_
ETL architecture_x000D_
ESB architecture_x000D_
CEP architecture_x000D_
content management architecture_x000D_
master data management_x000D_
MDM_x000D_
logical data architecture_x000D_
LDA_x000D_
code tables_x000D_
external files_x000D_
operational workflow_x000D_
reference data_x000D_
activity data_x000D_
initial business setup_x000D_
conducting business_x000D_
analyzing business_x000D_
business data glossary_x000D_
business metadata_x000D_
identifying the source of data_x000D_
extracting data to a landing zone_x000D_
data profiling_x000D_
data standardization_x000D_
data integration_x000D_
data ownership_x000D_
data access rights_x000D_
sensitive data_x000D_
masked_x000D_
encrypted_x000D_
canned report with variable data_x000D_
canned report with fixed data_x000D_
treaty zone_x000D_
jurisdictional level_x000D_
authority document level_x000D_
data steward level_x000D_
data discovery architecture_x000D_
data landscape_x000D_
Big Data_x000D_
ontology_x000D_
document management_x000D_
taxonomy of legislative jurisdictions_x000D_
administration_x000D_
document development_x000D_
approval process_x000D_
production use_x000D_
metrics_x000D_
data obfuscation_x000D_
data access restrictions_x000D_
data masking_x000D_
data encryption_x000D_
data at rest_x000D_
DAR_x000D_
data in motion_x000D_
DIM_x000D_
protection of business communications_x000D_
SSN_x000D_
data modeling_x000D_
conceptual data model_x000D_
logical data model_x000D_
physical data model_x000D_
normalization_x000D_
1NF_x000D_
2NF_x000D_
3NF_x000D_
4NF_x000D_
5NF_x000D_
6NF_x000D_
7NF_x000D_
DKNF_x000D_
BCNF_x000D_
weaknesses or normalization_x000D_
abstraction_x000D_
rules of data abstraction_x000D_
class words_x000D_
1AF_x000D_
2AF_x000D_
3AF_x000D_
4AF_x000D_
transaction path analysis_x000D_
TAPA_x000D_
reference data management_x000D_
product master management_x000D_
metadata_x000D_
code tables management_x000D_
ISO_x000D_
International Organization for Standardization_x000D_
external files management_x000D_
A.M Best_x000D_
Bank of Canada_x000D_
Bank of England_x000D_
Dun &amp;amp_x000D_
Bradstreet_x000D_
Equifax_x000D_
Experian_x000D_
Fitch_x000D_
Moody’s_x000D_
Morningstar_x000D_
United Nations_x000D_
ETL_x000D_
ESB_x000D_
CEP_x000D_
FTP_x000D_
XML_x000D_
data streaming_x000D_
data virtualization_x000D_
ODS_x000D_
data warehouse_x000D_
extract transform and load_x000D_
ETL CASE tool_x000D_
enterprise service bus_x000D_
SOAP_x000D_
service-oriented architecture protocol_x000D_
complex event processing_x000D_
content management</t>
  </si>
  <si>
    <t>This part separates one of the most important areas of specialization, information architecture, from the rest of the vast area of enterprise architecture so as to provide it the appropriate degree of focus and attention. Information architecture is the brain and central nervous system of any large organization and as such should be called out as a distinct set of disciplines with its own philosophy and mindset. While arguably the most important part of an organization's ecosystem, information architecture is among the most difficult for the general population to understand due to the need to intimately understand the business as well as a vast array of IT areas of specialization involving data architecture, reference data, master data, data governance, data stewardship, data discovery, data in motion, and a variety of associated disciplines that reside in operations architecture, business architecture, and the main body of enterprise architecture in the previous major section.</t>
  </si>
  <si>
    <t>F. Nikpay; R. Ahmad; C. Yin Kia</t>
  </si>
  <si>
    <t>A hybrid method for evaluating enterprise architecture implementation</t>
  </si>
  <si>
    <t>Evaluation and Program Planning</t>
  </si>
  <si>
    <t>https://www.sciencedirect.com/science/article/pii/S014971891630012X</t>
  </si>
  <si>
    <t>Enterprise architecture_x000D_
Evaluation_x000D_
Hybrid method_x000D_
Information system_x000D_
Decision making</t>
  </si>
  <si>
    <t>Enterprise Architecture (EA) implementation evaluation provides a set of methods and practices for evaluating the EA implementation artefacts within an EA implementation project. There are insufficient practices in existing EA evaluation models in terms of considering all EA functions and processes, using structured methods in developing EA implementation, employing matured practices, and using appropriate metrics to achieve proper evaluation. The aim of this research is to develop a hybrid evaluation method that supports achieving the objectives of EA implementation. To attain this aim, the first step is to identify EA implementation evaluation practices. To this end, a Systematic Literature Review (SLR) was conducted. Second, the proposed hybrid method was developed based on the foundation and information extracted from the SLR, semi-structured interviews with EA practitioners, program theory evaluation and Information Systems (ISs) evaluation. Finally, the proposed method was validated by means of a case study and expert reviews. This research provides a suitable foundation for researchers who wish to extend and continue this research topic with further analysis and exploration, and for practitioners who would like to employ an effective and lightweight evaluation method for EA projects.</t>
  </si>
  <si>
    <t>Procedia Computer Science</t>
  </si>
  <si>
    <t>M. Shariati; F. Bahmani; F. Shams</t>
  </si>
  <si>
    <t>Enterprise information security, a review of architectures and frameworks from interoperability perspective</t>
  </si>
  <si>
    <t>https://www.sciencedirect.com/science/article/pii/S1877050910004643</t>
  </si>
  <si>
    <t>Enterprise Information Security Architecture (EISA)_x000D_
Enterprise Architecture (EA)_x000D_
Enterprise Information Security (EIS)_x000D_
Enterprise Security Management (ESM)_x000D_
Information Security Management (ISM)_x000D_
Interoperability_x000D_
Architecture Framework</t>
  </si>
  <si>
    <t>With the growth of ICT opportunities, the enterprises have realized the significance of interoperability as a competitive advantage. Thus, many enterprises have adopted the main strategy of rapidly changing their structures to support interoperability. On the other hand, interoperability is incompatible with information security. The Enterprise Information Security Architecture (EISA) offers a framework upon which business security requirements, the risks and the threats are analyzed and a portfolio of the best integrated enterprise security solutions is put together. Frameworks and models introduced in the past six years have examined different aspects of EISA. We realized the diversity of the mentioned approaches and in this paper, first, we develop two facets according to which these approaches are categorized. These facets are abstraction level (holistic vs. partial) and architectural viewpoint (managerial vs. technical). As interoperability is the primary focus of our study and it is a broad concept, we restrict our discussion to holistic frameworks and models. In this regard, we survey the prominent holistic approaches namely Gartner, SABSA, RISE frameworks, AGM-based model and intelligent Service-Oriented EISA. In the next step, we compare the mentioned frameworks from technical, organizational and semantic interoperability aspects. We conclude that none of the frameworks, not even those which are holistic, practical and greatly elaborated, have explored interoperability clearly. We assert that the competitive advantages offered by interoperability, justify the costs needed for implementing the incompatible concepts of interoperability and security along with each other. In addition, we suggest that the requirements which are common to both interoperability and security should be extracted and the significance of interoperability to EISA should be apprehended</t>
  </si>
  <si>
    <t>Type</t>
  </si>
  <si>
    <t>Author</t>
  </si>
  <si>
    <t>Year</t>
  </si>
  <si>
    <t>Title</t>
  </si>
  <si>
    <t>Confrence/Journal</t>
  </si>
  <si>
    <t>Publisher</t>
  </si>
  <si>
    <t>Link</t>
  </si>
  <si>
    <t>keywords</t>
  </si>
  <si>
    <t>Abstract</t>
  </si>
  <si>
    <t>Id</t>
  </si>
  <si>
    <t>I-A1</t>
  </si>
  <si>
    <t>E-A1</t>
  </si>
  <si>
    <t>I-A2</t>
  </si>
  <si>
    <t>E-A2</t>
  </si>
  <si>
    <t>Input</t>
  </si>
  <si>
    <t>Output</t>
  </si>
  <si>
    <t>Process</t>
  </si>
  <si>
    <t>Proposal</t>
  </si>
  <si>
    <t>ArchiMate</t>
  </si>
  <si>
    <t>reverse engineering</t>
  </si>
  <si>
    <t>EA Models</t>
  </si>
  <si>
    <t>semi-automated</t>
  </si>
  <si>
    <t>manual</t>
  </si>
  <si>
    <t>MDE</t>
  </si>
  <si>
    <t>Serie</t>
  </si>
  <si>
    <t>Notice of Retraction Multi-criteria analysis of C4I architecture frameworks</t>
  </si>
  <si>
    <t>Today, Big Data is drawing a lot of attention and popularity and is aspiring enterprises to utilise more efficiently their data to help them understand how to better function, grow and manage as a business. Enterprises are aware that to derive real business value from Big Data and seek competitive advantages, they need to have available the right tool to extract, capture and organize a wide variety of useful data and insights from different sources, and to be able to easily use and analyze it within the context of their data. In this paper we present Big Graph, a solution for enterprises to manage Big Data and facilitate data integration, making the enterprise data more accessible and easier to use externally. Big Graph provides the technology and expertise to build a data-centric enterprise architecture by enabling intuitive navigation, knowledge discovery, extensibility and social analysis. It offers 'social' capabilities that enable unified communications and collaborations to help enterprises to reduce the time and cost needed to analyze critical information and efficiently improve enterprise productivity. It is believed that Big Graph is a suitable tool capable of facilitating enterprises to create and link their data as a graph allowing information flow around their world and outside.</t>
  </si>
  <si>
    <t>In Enterprise Architecture (EA) model analysis activities, it is critical to make early statements and diagnosis from a high level of abstraction. Currently, these tasks are difficult to perform, and they require both the involvement of experts and the elaboration of specialized artifacts. Further-more, the complexity of the tasks increases as models become bigger, more detailed, and start covering more domains. In other contexts, it has been noticed that total / holistic / unfiltered visualizations may give insight about the models, providing analysts a starting point for exploration and general pattern discovery. In this paper, we offer an evaluation framework to assess the strengths and weaknesses of visualization tools to support EA analysis activities. The framework is based on a set of 14 requirements which are either visualization-related or specific to EA analysis, and which where harvested from experimentation and from a survey of current EA and visualization tools. The requirements were defined around the design principle of cognitive effectiveness, and they favor a broader use of visual languages in order to enhance the semantics of EA visualizations.</t>
  </si>
  <si>
    <t>Knowledge management (KM) has emerged as a tool that allows the creation, use, distribution and transfer of knowledge in organizations. There are different frameworks that propose KM in the scientific literature. The majority of these frameworks are structured based on a strong theoretical background. This study describes a guide for the implementation of KM in a higher education institution (HEI) based on a framework with a clear description on the practical implementation. This framework is based on a technological infrastructure that includes enterprise architecture, business intelligence and educational data mining. Furthermore, a case study which describes the experience of the implementation in a HEI is presented. As a conclusion, the pros and cons on the use of the framework are analyzed.</t>
  </si>
  <si>
    <t>This paper reports on a pilot study of the integration between the Systemic Enterprise Architecture Method (SEAM) and the Analytic Hierarchy Process (AHP) in a requirements engineering project. The objective of the project, conducted in one of the major banks in Switzerland, was to select a common SOA tool that could satisfy the needs of two of the bank's main business units, investment and private banking. SEAM provided help in identifying stakeholders, eliciting their requirements, and analyzing these requirements. The resulting requirements were then grouped and translated into selection criteria for the alternative SOA tools. Based on these criteria, the stakeholders chose the tool to be purchased using AHP. We describe the project, the challenges we faced and the lessons learned. These relate to the nature and traceability of requirements, to the requirements elicitation process and to the relations between the bank's business units.</t>
  </si>
  <si>
    <t>With greater reliance on coalitions for military force deployment, there is a need for organizational collaboration and system interoperability. Interoperability requires full exchange of data, information (contextualized data) and knowledge (actionable information), which ensures that coalition's members will fully collaborate in synchronizing their logistics plans and processes at all echelons. Existing architecture frameworks, such as NATO's Architecture Framework (NAF) and The Open Group architecture Framework (TOGAF), do not support knowledge management, required to process massive amount of data. In order to perform collaborative logistics planning, logisticians and commanders need to access, in a seamless manner, data and information from several domains from systems within the coalition and from external sources such as social media, government and supplier sites, to name a few. The integrated and structured data must then be transformed into information, or contextualized data, and ultimately into actionable information or knowledge. This paper proposes an innovative approach, the Reference Architecture of an Enterprise Knowledge Infrastructure (RA-EKI) that provides a holistic and integrative approach to manage the complete unstructured data to knowledge lifecycle applicable to military logistics planning</t>
  </si>
  <si>
    <t>An aggrandized praxis of C4I systems in aegis and civil aeon had made it more imperative and enticing. Ergo, we can corroborate that researchers, analysts, doodlers and developers had taken much curiosity in C4I systems. This paper epitomizes a multi-criteria analysis of C4I architecture frameworks such as ADOAF, DNDAF, AGATE, and FEA. These frameworks have been used in doodle and chrysalis process of aegis erudition systems. In this work, we used multi criteria software for metaphorical assay of incommensurable aegis megacorp frameworks. Further, denouements obtained by analysis are discussed. The accomplishment done in this paper may be utilized by the researchers in two incommensurable expedient ways, either by using the denouements directly obtained in this paper or by extracting the denouements by similar approach but on incommensurable architecture frameworks (AFs) in the field of C4I Systems.</t>
  </si>
  <si>
    <t>The literature about enterprise architecture (EA) measurement discusses a number of challenges. This systematic mapping survey explores the EA measurement research area to figure out how the research area is structured, look at gaps in EA measurement research, and recommend future improvements. Some of the key findings of this paper show that current research only address a limit perspective on the meaning of EA. In addition, the EA measurement literature presents indications that its theoretical grounding is lacking with regards to the meaning of EA measurement, the evaluation of EA, the assessment of EA, and the analysis of EA</t>
  </si>
  <si>
    <t>Digital Data is everywhere - from massive amounts of single sourced to huge conglomerations of smaller multi-sourced data. Organizations have long been collecting repositories of data, yet continue to struggle to create valuable information. In this paper, we propose a Data to Decisions Framework (D2D) to outline the course of action needed to procure the information required by organizations. D2D not only relies on data collection and process analysis, but upon human interaction as well. The study addresses the following problem: Data is obtained and stored from the perspective of the design of the application - not from the customer's point of view. The paper considers anomaly detection and cluster analysis to assist in the process of identifying and classifying Information Technology System Outages with the objective of providing the appropriate view for analysis. The paper also reveals how transparency and collaboration with key stakeholders then influence the process rules and properties to drive selection of target measures and definitions. The human touch, combined with rich data sets, is unique to the D2D Framework and is the driver in bringing real and desired results across the organization.</t>
  </si>
  <si>
    <t>Traditionally the flow of authoritative information and control in requirements and software engineering is from requirements to architecture, design, development, implementation and testing. Iterative, spiral and agile methods, among others, have introduced increments and iterations in eliciting and discovering requirements within the project life cycle. Yet the authoritative flow of information across organizational boundaries within the enterprise continues to be from requirements to architecture to design. We argue that two additional implicit sources of information should be included in the requirements engineering process, contextual environment concerns and architectural patterns and heuristics. To account for these two sources of implicit requirements information we introduce the concept of forward and backward inferred macro-architectural requirements. Forward inferred macro-architectural requirements are elicited from contextual environment concerns. Backward inferred macro-architectural requirements are extracted through a reverse requirements elicitation process from architectural heuristics and patterns. We have observed significant improvements in the efficiency of the development processes and the quality of the final software products as a result of making inferred macro-architectural requirements explicit.</t>
  </si>
  <si>
    <t>The goal of enterprise architecture (EA) artifacts is to create an information technology (IT) infrastructure that aligns with the institution's business environment. To facilitate this, enterprise architecture frameworks (EAF) have been used to understand an enterprise's strategy and business architecture to synthesize a supporting IT strategy. This understanding is critical to the success of an EA. This paper contrasts the use of a systematic elicitation approach, VMOST, to recently completed strategy capture artifacts. We assess our approach through interviews with a number of employees across several departments within a University library, then comparing the interview responses to the conventionally compiled Strategic Plan. Placing data gathered by the two efforts side by side will allow coverage comparison of EA-unguided artifacts against a lightweight-guidance method and determine the usefulness of a non-EA strategy effort in completing an EAF. Insights into the utility of the two methods will be provided by completing relevant aspects of the Zachman Framework, which will further the understanding of the use of EA methods and tools within organizations without EA expertise or significant experience.</t>
  </si>
  <si>
    <t>Enterprise architectures (EA) aim to provide a cohesive information technology (IT) infrastructure by tightly aligning with an enterprise's business environment. To facilitate this, enterprise architecture frameworks (EAF) have been used to understand an enterprise's strategy and business architecture to synthesize a supporting IT strategy. This understanding is critical to the success of an EA. This process is not as simple as consulting an enterprise's strategic plan or mission statement in that they may not capture the tacit strategies and missions of an enterprise's stakeholders. Further, existing EAFs do not provide the necessary guidance to elicit this information. This paper proposes the use of a systematic elicitation approach, VMOST, to understand an enterprise's vision, objectives and processes directly from the perspective of its stakeholders. We assess our approach through interviews with a number of employees across several departments within a University library.</t>
  </si>
  <si>
    <t>Enterprise architecture (EA) has demonstrated utility for improving overall Information System (IS)/Information Technology (IT) outcomes for institutions, particularly those with large-scale or integration-related needs. To achieve the core goal of an EA — integration, alignment and governance between enterprise goals and the enterprise IS/IT portfolio — institutional vision, mission and objectives must be elicited, analysed, understood and documented by the enterprise architects. This paper proposes and evaluates a lightweight EA elicitation technique to gather the required information about enterprise mission and objectives as a lightweight entry point to developing an EA. Specifically, we investigate the evaluation results of our proposed technique in EA data elicitation and analysis stemming from a case study that was conducted on an institution with a significant IS/IT asset portfolio. Our proposed EA elicitation technique utilizes the VMOST elicitation question, a structured elicitation vehicle, and Grounded Theory Method as the qualitative analysis technique to analyse elicited responses. Application of this approach in a real case study garnered sufficient understanding the vision, mission and objectives of an enterprise to articulate objectives in a way suitable to use as institutional goal as a part of the Zachman EA framework.</t>
  </si>
  <si>
    <t>The number of publications, along with the organization of new conferences are a couple of the relevant elements that usually indicate the progress of an area of study over the years. This is definitely true in the case of the Enterprise Architecture (EA) discipline, which went from having its first journal article published in 1989 to over two hundred published articles by 2015. But in spite of this evolution, EA is still suffering from a considerable lack of common understanding. It has become very important to investigate the current state of affairs concerning the EA discipline through its relevant publications in order to shed some light on this challenge. 171 journal papers published between 1990 and 2015 were systematically selected and examined in order to accomplish this investigation. The quantitative and qualitative findings of this examination show that EA is a young discipline which raises a growing interest in recent years. This examination also confirms the lack of common understanding in EA, which can be observed in the different descriptions of the term "enterprise architecture," and in the diversity of perspective with regards to the whole discipline. Several issues related to this lack has been reported, such as multidisciplinary issue, language issue, structure of research and mode of observation issues. The major issue concerns the absence of enough research to shed some light on this challenge. In addition to this investigation, helpful directions for future research in this area was proposed.</t>
  </si>
  <si>
    <t>Enormous data have become a trend and increasingly important to data analysis and mining. It is important and urgent to extract useful information from enormous data. The processing shall be accurate. Therefore, the study of enormous data is very promising and the extensive and in-depth study is also worth doing. To ensure stable and efficient operation of the system, data algorithm analysis, database data model design and other knowledge need to be applied. The system needs to possess high performance and safety. The adoption of the C/S and B/S mixed model architecture, the management information system based on Java lightweight enterprise architecture, the hierarchical architecture design models and the mainstream open-source framework technology makes the system stable, efficient, scalable and code reusable. Inversion of Control (IoC), Dependency Injection (DI) and other technical means are used to complete system design architecture and realize data import, data modification, data statistics, formatted export, data query and other main functions.</t>
  </si>
  <si>
    <t>The Naval Surface Warfare Center, Panama City Division (NSWC PCD) designed and implemented a new tool, The Rapid Mine Simulation System Enterprise Architecture (RMSSEA), to support existing naval mine warfare simulations and to provide enhanced future mine warfare capabilities. RMSSEA sup-ports existing physics-based models of Navy assets and threats in order to provide ship susceptibility and sweep effectiveness measures. The tool expands support for modeling of future systems, including maneuverable surface and underwater unmanned systems. Additionally, RMSSEA allows for simulations of distributed sensor and mobile warhead devices. The tool incorporates improved automation and visualization, which reduces simulation setup time and supports increased focus on results analysis.</t>
  </si>
  <si>
    <t>When metamodels evolve, model conformity may be broken. This forces the owners of the models (modelers) to intervene because it is impossible to automatically discover what to change in order to regain conformity. This paper presents ASIMOV, a platform for model and metamodel co-evolution based on two hypothesis: i) a metamodeler knows the rationale behind metamodel changes, and is capable of providing guidelines for model coevolution; ii) the modeler is the only one in grade of making final decisions about his models. ASIMOV provides two languages for metamodelers: ASIMOV Evolution, to specify changes in the metamodels; and ASIMOV Assistance, to propose corresponding changes in the models. Also, ASIMOV Engine solves automatically the changes in models that can be automatically solved and assists modelers in coevolving their models to regain conformity. Moreover, modelers can adapt the proposed changes to suit their particular needs, introducing additional information when it is required. ASIMOV is here illustrated in the context of Enterprise Architecture projects.</t>
  </si>
  <si>
    <t>This paper aims at developing the Big Data Architecture, and its relation with Analytics, Cloud Services as well as Business Intelligence. The chief aim from all mentioned is to enable the Enterprise Architecture and the Vision of an Organizational target to utilize all the data they are ingesting and regressing data for their short-term or long-terms analytical needs, while making sure that they are addressing during the design phase of such data architecture for both directly and indirectly related stakeholder. Since all stakeholders have their relative interests to utilize the transformed data-sets. This paper also identifies most of the Big Data Architecture, threat analysis within a Big Data System and Big Data Analytic Roadmaps, in terms of smaller components by conducting a gap-analysis that has significant importance as Baseline Big Data Architecture, targeting the end resultant Architectures, once the distillation process of main Big Data Architecture is completed by the Data Architects.</t>
  </si>
  <si>
    <t>Requirements Engineering plays a central role on software-based information system specification and evolution, and in the alignment between Business and IS/IT, nevertheless, contributes from other areas of research are important to advance and mature existing solutions. Our recent work in eliciting and managing requirements in ill-defined contexts, from a process-perspective, presents some challenges that need to be tackled from other perspectives. We present some insights from three different areas (business model, strategy and goals, and enterprise architecture) concerning innovative methods and techniques, to apply in our existing V-process solution. At the moment, we have defined the methods and techniques to include and adapt, and will empirically test and evaluate their suitability and results in new contexts.</t>
  </si>
  <si>
    <t>Technical architectures (TAs) represent the computing infrastructure of a company with all its hardware and software components. Over the course of time, the number of TAs grows with the companies' requirements and usually a large variety of TAs has to be maintained. Core challenge is the missing information on relations between the existing variants of TAs, which complicates reuse of solutions across systems. However, identifying these relations is an expensive task as architects have to manually analyze each TA individually. Restructuring the existing TAs poses severe risks as often sufficient information is not available (e.g., due to time constraints). To avoid failures in productive systems and resulting loss of profit, companies continue to create new solutions without restructuring existing ones. This increased variability in TAs represents technical debt. In this paper, we adapt the idea of variability mining from the software product line domain and present an efficient and automatic mining algorithm to identify the common and varying parts of TAs by analyzing a potentially arbitrary number of TAs in parallel. Using the identified variability information, architects are capable of analyzing the relations of TAs, identifying reuse potential, and making well-founded maintenance decisions. We show the feasibility and scalability of our approach by applying it to a real-world industrial case study with large sets of TAs.</t>
  </si>
  <si>
    <t>Partner events [IT sector]</t>
  </si>
  <si>
    <t>Information Professional</t>
  </si>
  <si>
    <t>46-48</t>
  </si>
  <si>
    <t>Not Available</t>
  </si>
  <si>
    <t>Unapproved IEEE Draft Standard for Information Technology-Portable Operating System Interface (POSIX&amp;#174;)</t>
  </si>
  <si>
    <t>IEEE Unapproved Draft Std P1003.1_D3, Jun 07</t>
  </si>
  <si>
    <t>IEEE Draft Standard for Information Technology--Portable Operating System Interface (POSIX&amp;#174;) -- IEEE Draft Technical Standard: Base Specifications, Issue 7</t>
  </si>
  <si>
    <t>IEEE Unapproved Draft Std P1003.1_D4 , Jan 2008</t>
  </si>
  <si>
    <t>POSIX.1-200x defines a standard operating system interface and environment, including a command interpreter (or &amp;quot;shell&amp;quot;), and common utility programs to support applications portability at the source code level. POSIX.1-200x is intended to be used by both application developers and system implementors and comprises four major components (each in an associated volume): General terms, concepts, and interfaces common to all volumes of this standard, including utility conventions and C-language header definitions, are included in the Base Definitions volume. &lt;br&gt;&lt;ul&gt;&lt;li&gt; Definitions for system service functions and subroutines, language-specific system services for the C programming language, function issues, including portability, error handling, and error recovery, are included in the System Interfaces volume. &lt;/li&gt;&lt;li&gt; Definitions for a standard source code-level interface to command interpretation services (a &amp;quot;shell&amp;quot;) and common utility programs for application programs are included in the Shell and Utilities volume. &lt;/li&gt;&lt;li&gt; Extended rationale that did not fit well into the rest of the document structure, which contains historical information concerning the contents of POSIX.1-200x and why features were included or discarded by the standard developers, is included in the Rationale (Informative) volume. The following areas are outside the scope of POSIX.1-200x:&lt;/li&gt;&lt;li&gt; Graphics interfaces&lt;/li&gt;&lt;li&gt; Database management system interfaces&lt;/li&gt;&lt;li&gt; Record I/O considerations&lt;/li&gt;&lt;li&gt; Object or binary code portability&lt;/li&gt;&lt;li&gt; System configuration and resource availability&lt;/li&gt;&lt;/ul&gt;&lt;br&gt;POSIX.1-200x describes the external characteristics and facilities that are of importance to application developers, rather than the internal construction techniques employed to achieve these capabilities. Special emphasis is placed on those functions and facilities that are needed in a wide variety of commercial applicat- ons.</t>
  </si>
  <si>
    <t>IEEE Standard for Information Technology - Portable Operating System Interface (POSIX(R))</t>
  </si>
  <si>
    <t>IEEE Std 1003.1, 2004 Edition The Open Group Technical Standard. Base Specifications, Issue 6. Includes IEEE Std 1003.1-2001, IEEE Std 1003.1-2001/Cor 1-2002 and IEEE Std 1003.1-2001/Cor 2-2004. Shell</t>
  </si>
  <si>
    <t>This standard is simultaneously ISO/IEC 9945, IEEE Std 1003.1, and forms the core of the Single Unix Specification, Version 3. This 2004 edition includes IEEE Std 1003.1-2001/Cor 1-2002 and IEEE Std 1003.1-2001/Cor 2-2004 incorporated into IEEE Std 1003.1-2001 (the base document). The two Corrigenda address problems discovered since the approval of IEEE Std 1003.1-2001. These changes are mainly due to resolving integration issues raised by the merger of the base documents that were incorporated into the IEEE Std 1003.1-2001, which is the single common revision to IEEE Std 1003.1-1996, IEEE Std 1003.2-1992, ISO/IEC 9945-1:1996, ISO/IEC 9945-2:1993, and the Base Specifications of The Open Group Single UNIX Specification, Version 2.</t>
  </si>
  <si>
    <t>International Standard - Information technology Portable Operating System Interface (POSIX)Base Specifications, Issue 7</t>
  </si>
  <si>
    <t>ISO/IEC/IEEE 9945:2009(E)</t>
  </si>
  <si>
    <t>Systems and software engineering -- Architecture description</t>
  </si>
  <si>
    <t>IEEE Unapproved Draft Std P42010/D6, Mar 2009</t>
  </si>
  <si>
    <t>ISO/IEC/IEEE Draft Standard for Systems and Software Engineering -- Architectural Description</t>
  </si>
  <si>
    <t>ISO/IEC/IEEE P42010_D8, June 2010</t>
  </si>
  <si>
    <t>This International Standard addresses the creation, analysis and sustainment of architectures of systems through the use of architecture descriptions. A conceptual model of architecture description is established. The required contents of an architecture description are specified. Architecture viewpoints, architecture frameworks and architecture description languages are introduced for codifying conventions and common practices of architecture description. The required content of architecture viewpoints, architecture frameworks and architecture description languages is specified. Annexes provide the motivation and background for key concepts and terminology and examples of applying this International Standard.</t>
  </si>
  <si>
    <t>ISO/IEC/IEEE International Draft Standard for Systems and Software Engineering --- Architectural Description</t>
  </si>
  <si>
    <t>IEEE Unapproved Draft Std P42010_D7, Jan 2010</t>
  </si>
  <si>
    <t>Appendix A - Extended Definitions for the IT Architectural Catalogs A2 - Betz, Charles T</t>
  </si>
  <si>
    <t>Architecture and Patterns for IT Service Management, Resource Planning, and Governance: Making Shoes for the Cobbler's Children (Second Edition)</t>
  </si>
  <si>
    <t>Boston</t>
  </si>
  <si>
    <t>315-408</t>
  </si>
  <si>
    <t>https://www.sciencedirect.com/science/article/pii/B9780123850171000055</t>
  </si>
  <si>
    <t>IEEE Draft Guide for Smart Grid Interoperability of Energy Technology and Information Technology Operation with the Electric Power System (EPS), and End-Use Applications and Loads</t>
  </si>
  <si>
    <t>This document provides guidelines for smart grid interoperability. This guide provides a knowledge base addressing terminology, characteristics, functional performance and evaluation criteria, and the application of engineering principles for smart grid interoperability of the electric power system with end use applications and loads. The guide discusses alternate approaches to good practices for the smart grid.</t>
  </si>
  <si>
    <t>IEEE P2030/D7.0, July 2011</t>
  </si>
  <si>
    <t>1-121</t>
  </si>
  <si>
    <t>ISO/IEC/IEEE Systems and software engineering -- Architecture description</t>
  </si>
  <si>
    <t>ISO/IEC/IEEE 42010:2011(E) (Revision of ISO/IEC 42010:2007 and IEEE Std 1471-2000)</t>
  </si>
  <si>
    <t>ISO/IEC/IEEE 42010:2011 addresses the creation, analysis and sustainment of architectures of systems through the use of architecture descriptions. A conceptual model of architecture description is established. The required contents of an architecture description are specified. Architecture viewpoints, architecture frameworks and architecture description languages are introduced for codifying conventions and common practices of architecture description. The required content of architecture viewpoints, architecture frameworks and architecture description languages is specified. Annexes provide the motivation and background for key concepts and terminology and examples of applying ISO/IEC/IEEE 42010:2011.</t>
  </si>
  <si>
    <t>1-313</t>
  </si>
  <si>
    <t>Special issue on 'Empirical studies in software engineering'</t>
  </si>
  <si>
    <t>IET Software</t>
  </si>
  <si>
    <t>295-297</t>
  </si>
  <si>
    <t>Empirical Software Engineering is a well-established discipline and a popular practice-oriented research area that focuses on the application of Software Engineering practices in the real context. Empirical Software Engineering research includes the investigation of a wide range of practical software engineering frameworks, methods, tools and techniques. It provides opportunities for both practitioners and researchers to learn through the analysis of industry success and failure cases, and share lessons learnt and practices which worked and which did not work. Empirical Software Engineering researchers contribute to the knowledge body through experience and evidence gathered by observing, directly or indirectly, software engineering organizations, people, practices and projects. The empirical evidence from practice is required to build and test software engineering theories so that Software Engineers may consistently deliver reliable, dependable, and affordable systems.</t>
  </si>
  <si>
    <t>Standard for Information Technology--Portable Operating System Interface (POSIX(R)) Base Specifications, Issue 7</t>
  </si>
  <si>
    <t>IEEE Std 1003.1, 2013 Edition (incorporates IEEE Std 1003.1-2008, and IEEE Std 1003.1-2008/Cor 1-2013)</t>
  </si>
  <si>
    <t>POSIX.1-2008 is simultaneously IEEE Std 1003.1(TM)-2008 and The Open Group Technical Standard BaseSpecifications, Issue 7. This 2013 Edition includes IEEE Std 1003.1-2008/Cor 1-2013 incorporated into IEEE Std 1003.1-2008 (the base document). The Technical Corrigendum addresses problems discovered since the approval of IEEE Std 1003.1-2008. POSIX.1-2008 defines a standard operating system interface and environment, including a command interpreter (or shell ), and common utility programs to support applications portability at the source code level. POSIX.1-2008 is intended to be used by both application developers and system implementors and comprises four major components (each in an associated volume).</t>
  </si>
  <si>
    <t>Appendix 3 - Business Process Standards A2 - Harmon, Paul</t>
  </si>
  <si>
    <t>Business Process Change (Third Edition)</t>
  </si>
  <si>
    <t>473-479</t>
  </si>
  <si>
    <t>https://www.sciencedirect.com/science/article/pii/B9780128003879150030</t>
  </si>
  <si>
    <t>2014-December</t>
  </si>
  <si>
    <t>Author Biographies A2 - Rosing, Mark von</t>
  </si>
  <si>
    <t>The Complete Business Process Handbook</t>
  </si>
  <si>
    <t>xxv-xci</t>
  </si>
  <si>
    <t>https://www.sciencedirect.com/science/article/pii/B9780127999593110018</t>
  </si>
  <si>
    <t>Front matter</t>
  </si>
  <si>
    <t>2015 International Conference on Applied and Theoretical Computing and Communication Technology (iCATccT)</t>
  </si>
  <si>
    <t>i-xxxvi</t>
  </si>
  <si>
    <t>Presents the conference title page.</t>
  </si>
  <si>
    <t>https://www.scopus.com/inward/record.uri?eid=2-s2.0-84959860184&amp;partnerID=40&amp;md5=95da81a0588c2f83a8f698368b2eb72a</t>
  </si>
  <si>
    <t>Subject Index A2 - Rosing, Mark von</t>
  </si>
  <si>
    <t>703-713</t>
  </si>
  <si>
    <t>https://www.sciencedirect.com/science/article/pii/B9780127999593180024</t>
  </si>
  <si>
    <t>IEEE Std 1003.1, 2016 Edition (incorporates IEEE Std 1003.1-2008, IEEE Std 1003.1-2008/Cor 1-2013, and IEEE Std 1003.1-2008/Cor 2-2016)</t>
  </si>
  <si>
    <t>POSIX.1-2008 is simultaneously IEEE Std Specifications, Issue 7. This 2016 Edition includes 1003.1-2008/Cor 2-2016 incorporated into IEEE Corrigenda address problems discovered since the approval of IEEE Std 1003.1-2008. POSIX.1-2008 defines a standard operating system interface and environment, including a command interpreter (or &amp;#x201C;shell&amp;#x201D;), and common utility programs to support applications portability at the source code level. POSIX.1-2008 is intended to be used by both application developers and system implementors and comprises four major components (each in an associated volume): General terms, concepts, and interfaces common to all volumes of this standard, including utility conventions and C-language header definitions, are included in the Base Definitions volume. Definitions for system service functions and subroutines, language-specific system services for the C programming language, function issues, including portability, error handling, and error recovery, are included in the System Interfaces volume. Definitions for a standard source code-level interface to command interpretation services (a &amp;#x201C;shell&amp;#x201D;) and common utility programs for application programs are included in the Shell and Utilities volume. Extended rationale that did not fit well into the rest of the document structure, which contains historical information concerning the contents of POSIX.1-2008 and why features were included or discarded by the standard developers, is included in the Rationale (Informative) volume.</t>
  </si>
  <si>
    <t>Contents</t>
  </si>
  <si>
    <t>iii-x</t>
  </si>
  <si>
    <t>https://www.sciencedirect.com/science/article/pii/S1877050917327552</t>
  </si>
  <si>
    <t>IEEE Approved Draft Standard for Information Technology - Portable Operating System Interface (POSIX(R))</t>
  </si>
  <si>
    <t>IEEE P1003.1/D1, Jul 2017</t>
  </si>
  <si>
    <t>The purpose of this revision is to rollup the two technical corrigenda; IEEE 1003.1-2008(TM)/Cor 1-2013and IEEE 1003.1-2008(TM)/Cor 2-2016 in to the IEEE Std 1003.1(TM)-2008 standard, with no new technicalchange.POSIX.1-201x defines a standard operating system interface and environment, including a commandinterpreter (or shell ), and common utility programs to support applications portability at the source codelevel. POSIX.1-201x is intended to be used by both application developers and system implementors and comprises four major components (each in an associated volume): General terms, concepts, and interfaces common to all volumes of this standard, including utilityconventions and C-language header definitions, are included in the Base Definitions volume. Definitions for system service functions and subroutines, language-specific system services for the C programming language, function issues, including portability, error handling, and error recovery, are included in the System Interfaces volume. Definitions for a standard source code-level interface to command interpretation services (a shell ) and common utility programs for application programs are included in the Shell and Utilities volume. Extended rationale that did not fit well into the rest of the document structure, which containshistorical information concerning the contents of POSIX.1-201x and why features were included ordiscarded by the standard developers, is included in the Rationale (Informative) volume.The following areas are outside the scope of POSIX.1-201x: Graphics interfaces Database management system interfaces Record I/O considerations Object or binary code portability System configuration and resource availability POSIX.1-201x describes the external characteristics and facilities that are of importance to application developers, rather than the internal construction techniques employed to achieve these capabilities. Special emphasis is placed on those functions and facilities- that are needed in a wide variety of commercial applications.</t>
  </si>
  <si>
    <t>Event-driven modeling for context-aware information systems</t>
  </si>
  <si>
    <t>2016 IEEE/ACS 13th International Conference of Computer Systems and Applications (AICCSA)</t>
  </si>
  <si>
    <t>In mobile computing developers will need to develop applications that will interact with the end user. Context-aware applications notify or ask users what they want based on what they have sensed or on a user profile. Event-driven mobile computing detects conditions of interest to users and notifies them accordingly. In this paper we discuss the importance and challenges in designing event-driven applications through a comparison between some event-driven metamodels and propose an event metamodel to instantiate productive and comprehensible models.</t>
  </si>
  <si>
    <t>Towards the creation of a semantic repository of iStar-based context models</t>
  </si>
  <si>
    <t>125-137</t>
  </si>
  <si>
    <t>The System Architecture definition of the majority of organizations requires a deep understanding about its environment and organizational structure; nevertheless, the construction of such models is not an easy task because of the gap of knowledge and communication between the technical and administrative staff. The DHARMA method, which makes intensive use of the i* notation, propose a solution to that problem, supporting the Context Models construction. This paper presents an approach for annotating the i* models with semantic technologies, to support the search and generation of Context Models based on the knowledge defined in ontological models, allowing the creation of a Semantic Repository of Context Models, which will be used to discover relations between different i* models and extract patterns from them. © Springer International Publishing Switzerland 2016.</t>
  </si>
  <si>
    <t>https://www.scopus.com/inward/record.uri?eid=2-s2.0-84983119284&amp;doi=10.1007%2f978-3-319-26285-7_11&amp;partnerID=40&amp;md5=af792af942fb69e79063a5e572018133</t>
  </si>
  <si>
    <t>I∗ in practice: Identifying frequent problems in its application</t>
  </si>
  <si>
    <t>Association for Computing Machinery</t>
  </si>
  <si>
    <t>Part F128005</t>
  </si>
  <si>
    <t>1122-1129</t>
  </si>
  <si>
    <t>Several notations have been proposed in the last decades to support information system architecting, design and implementation. Although some of them have been widely adopted, their practical application remains cumbersome. Reasons are manifold: ambiguous semantics, confusing graphical representation, lack of safe guidelines, etc. In this paper, we explored the use of the i∗ framework in industry for modeling organizational context. We review the models resulting from 36 industrial collaborations conducted in the last five years, where i∗ has been intensively used by novice modellers, without previous exposure to i∗, acting as junior consultants in the organizations. We identify and categorize the main problems that they faced and as a result, we propose a set of guidelines to improve the adoption and practical application of the framework. Copyright 2017 ACM.</t>
  </si>
  <si>
    <t>https://www.scopus.com/inward/record.uri?eid=2-s2.0-85020931875&amp;doi=10.1145%2f3019612.3019754&amp;partnerID=40&amp;md5=0621254af805295cdc9a64c159622068</t>
  </si>
  <si>
    <t>A framework architecture based model for cloud computing adaptive migration</t>
  </si>
  <si>
    <t>2014 Global Information Infrastructure and Networking Symposium (GIIS)</t>
  </si>
  <si>
    <t>TOGAF</t>
  </si>
  <si>
    <t>Cloud computing is increasingly adopted by organizations at a rapid pace thanks to its attractive characteristics. However, this adoption is not yet structured enough to guarantee a successful migration towards these environments. Several questions are raised but not yet entirely answered since this new form of computing offering is still in its formative stage. Main difficulties are confronted specially because cloud computing change radically IT infrastructure and more generally architecture. This paper thus proposes a model for cloud computing adaptive migration to guide the organization throughout the migration process while taking into consideration architectural principles and constraints.</t>
  </si>
  <si>
    <t>The multi-dimensional model for dependability assurance in Cloud Computing</t>
  </si>
  <si>
    <t>2016 International Wireless Communications and Mobile Computing Conference (IWCMC)</t>
  </si>
  <si>
    <t>133-138</t>
  </si>
  <si>
    <t>Cloud service behavior mainly in dependability terms is nowadays a highly requested feature since cloud environments are failure prone. As a matter of fact, cloud consumers are more reluctant for cloud adoption given the dramatic impacts of failures in these environments. In order to convince cloud consumers with the fulfillment of the promised dependability rates, we need to assure dependability differently to the traditional way where the main focus is on the Infrastructure as a Service or IaaS and for the cloud provider side only. Therefore, we present in this paper a model based on The Open Group Architecture Framework or TOGAF, that assures dependability in all cloud services by taking into consideration various cloud actors and through integrating its mechanisms in distinct dimensions.</t>
  </si>
  <si>
    <t>Crossing the Line: Overcoming Knowledge Boundaries in Enterprise Transformation</t>
  </si>
  <si>
    <t>Business and Information Systems Engineering</t>
  </si>
  <si>
    <t>Gabler Verlag</t>
  </si>
  <si>
    <t>Enterprise transformations are fundamental changes in an organization. Such changes typically affect different stakeholder groups (e.g., program managers, business managers) that exhibit a significant diversity regarding their members' knowledge, goals, and underlying assumptions. Yet, creating shared understanding among diverse stakeholder groups in transformations is a main antecedent for success. The paper analyzes which properties of enterprise architecture models contribute to syntactic, semantic, and pragmatic capacities which helps to create shared understanding among stakeholder groups involved in enterprise transformation. The differences among stakeholder groups are assessed through the lens of knowledge boundaries, and enterprise architecture models are assessed through the lens of boundary objects. A research model is developed and empirically tested that describes which boundary object properties are required to overcome three progressively complex knowledge boundaries - syntactic, semantic, and pragmatic. The findings show which boundary object properties contribute to a respective capacity needed to overcome each of the three knowledge boundaries. Specifically, the results show that for (1) a syntactic capacity, concrete and modular enterprise architecture (EA) models are helpful; (2) a semantic capacity, visual EA model properties are relevant, and (3) a pragmatic capacity, broad stakeholder participation is conductive. © 2015 Springer Fachmedien Wiesbaden.</t>
  </si>
  <si>
    <t>https://www.scopus.com/inward/record.uri?eid=2-s2.0-84958544618&amp;doi=10.1007%2fs12599-014-0361-1&amp;partnerID=40&amp;md5=fd98336f33d4b8a4b3ebbe39d498bd08</t>
  </si>
  <si>
    <t>Software architectures for robotic systems: A systematic mapping study</t>
  </si>
  <si>
    <t>Journal of Systems and Software</t>
  </si>
  <si>
    <t>16-39</t>
  </si>
  <si>
    <t>AbstractContext Several research efforts have been targeted to support architecture centric development and evolution of software for robotic systems for the last two decades. Objective We aimed to systematically identify and classify the existing solutions, research progress and directions that influence architecture-driven modeling, development and evolution of robotic software. Research Method We have used Systematic Mapping Study (SMS) method for identifying and analyzing 56 peer-reviewed papers. Our review has (i) taxonomically classified the existing research and (ii) systematically mapped the solutions, frameworks, notations and evaluation methods to highlight the role of software architecture in robotic systems. Results and Conclusions We have identified eight themes that support architectural solutions to enable (i) operations, (ii) evolution and (iii) development specific activities of robotic software. The research in this area has progressed from object-oriented to component-based and now to service-driven robotics representing different architectural models that emerged overtime. An emerging solution is cloud robotics that exploits the foundations of service-driven architectures to support an interconnected web of robots. The results of this SMS facilitate knowledge transfer – benefiting researchers and practitioners – focused on exploiting software architecture to model, develop and evolve robotic systems.</t>
  </si>
  <si>
    <t>https://www.sciencedirect.com/science/article/pii/S0164121216301479</t>
  </si>
  <si>
    <t>An ICT Technical Reference Model for Iran Universities</t>
  </si>
  <si>
    <t>Information Technology, 2007. ITNG '07. Fourth International Conference on</t>
  </si>
  <si>
    <t>537-542</t>
  </si>
  <si>
    <t>One of the main affairs in organizations is making use of ICT tools and capabilities in order to integrate information and information systems across the organizations and increase productivity in all levels. For this, there are different enterprise architecture (EA) models, methodologies, and frameworks such as EAP, FEAF, TOGAF, etc. which contribute organizations in achieving an ICT Master Plan. Whereas these methodologies are general and they're not designed for different industries in an expert manner, therefore they might consume much time and cost and cause disintegration in being implemented. In respect to wideness of ICT development activities in organizations and also variety of industries, there is need for ICT reference models for specific industries so that we can consider all technical aspects of developing ICT in organizations and also integrate ICT developing activities to reach e-government. In this paper, we have selected an appropriate ICT technical reference model (TRM) and customized it according to Iran conditions</t>
  </si>
  <si>
    <t>S. Aier</t>
  </si>
  <si>
    <t>Strategies for establishing service oriented design in organizations</t>
  </si>
  <si>
    <t>1250-1271</t>
  </si>
  <si>
    <t>Service orientation is a broadly discussed design paradigm for information systems engineering. Only recently there have been several contributions to individual dimensions of service orientation like service definition, service modeling, service management or service governance. However, a combination of useful solutions for partial problems might not constitute an effective overall approach to service orientation. We argue that the establishment of service orientation is a wicked [design] problem, i.e. poorly formulated, confusing, and permeated with conflicting values of many decision makers or other stakeholders. Therefore this paper focuses on understanding the design problem of establishing service orientation in organizations in its design dimensions. The paper identifies four strategies for establishing service orientation and derives four propositions on the development paths which may connect these strategies.</t>
  </si>
  <si>
    <t>https://www.scopus.com/inward/record.uri?eid=2-s2.0-84886488070&amp;partnerID=40&amp;md5=5221deab65dd6b3c9fbd4afa167d791b</t>
  </si>
  <si>
    <t>Strategic intelligence management: National security imperatives and information and communications technologies</t>
  </si>
  <si>
    <t>Strategic Intelligence Management: National Security Imperatives and Information and Communications Technologies</t>
  </si>
  <si>
    <t>Butterworth-Heinemann</t>
  </si>
  <si>
    <t>1-316</t>
  </si>
  <si>
    <t>Strategic Intelligence Management introduces both academic researchers and law enforcement professionals to contemporary issues of national security and information management and analysis. This contributed volume draws on state-of-the-art expertise from academics and law enforcement practitioners across the globe. The chapter authors provide background, analysis, and insight on specific topics and case studies. Strategic Intelligent Management explores the technological and social aspects of managing information for contemporary national security imperatives. Academic researchers and graduate students in computer science, information studies, social science, law, terrorism studies, and politics, as well as professionals in the police, law enforcement, security agencies, and government policy organizations will welcome this authoritative and wide-ranging discussion of emerging threats. © 2013 Elsevier Inc. All rights reserved.</t>
  </si>
  <si>
    <t>https://www.scopus.com/inward/record.uri?eid=2-s2.0-84906020966&amp;doi=10.1016%2fC2012-0-06121-2&amp;partnerID=40&amp;md5=b7d25a35277465d9db622767f55d4c06</t>
  </si>
  <si>
    <t>Decision-making in the program organization architecture framework-owner view (POAF-OV)</t>
  </si>
  <si>
    <t>2016 Annual IEEE Systems Conference (SysCon)</t>
  </si>
  <si>
    <t>This paper presents a practical approach for decision makers of a program organization when a wide range of alternatives are available for defining the organization that will be responsible for the execution of the program. We utilize constraint programming techniques to formulate the program architecture description as a decision model. The model in this paper builds upon the results of the Program Organizational Architecture Framework (POAF). This approach provides valuable support for decision makers during the design and development of a complex system.</t>
  </si>
  <si>
    <t>Strategic planning and enterprise achitecture</t>
  </si>
  <si>
    <t>Proceedings of the First International Conference on Enterprise Systems: ES 2013</t>
  </si>
  <si>
    <t>Designing Business and IT in agile alignment has become an increasingly pressing matter for organisations. This is mostly because of the critical importance IT has in an organisation. According to [5], a good Business-IT alignment can help an organisation to keep up with their competition in a turbulent environment and can be achieved by developing enterprise architecture. The solution proposed by this paper deals with this issue by linking strategy models to each other and to implementation. This can ensure that no vital aspects of the strategic planning process are overlooked and that a smoother transition to organisational change is ensured. Also due to the links created between strategy and its implementation through enterprise architecture it becomes easier to determine how certain strategic choices can impact the architecture of an organisation, and also how certain projects would help an organisation achieve its goals.</t>
  </si>
  <si>
    <t>Modelling strategy with ArchiMate</t>
  </si>
  <si>
    <t>Proceedings of the 30th Annual ACM Symposium on Applied Computing</t>
  </si>
  <si>
    <t>Salamanca, Spain</t>
  </si>
  <si>
    <t>1211-1218</t>
  </si>
  <si>
    <t>IT Architecture automatic verification: A network evidence-based approach</t>
  </si>
  <si>
    <t>Information Systems</t>
  </si>
  <si>
    <t>2010 Fourth International Conference on Research Challenges in Information Science (RCIS)</t>
  </si>
  <si>
    <t>Ensuring constant synchronicity between the IT Architecture (ITA) and the actual Information Systems (IS) without the help of automatic tools is an intractable task, especially when taking into account modern IS' rapid evolution and growing complexity and distributed nature. We propose an automatic AS-IS ITA verification methodology and framework based on deep passive network traffic analysis and logical inference rules with the goal of inferring relevant facts about the actual ITA. The resulting knowledge is described according to a conceptual model designed for this purpose. We also propose an organization-independent mapping relationship between that ITA network evidence model and an ISA modeling framework (CEO Framework), at the technology (ITA) level, realized through a set of logical deduction rules. These rules formally define the conditions that must hold between the inferred evidence and a high-level ITA model (both represented in this inference system) in order to declare that model factual and in line with reality. It is the automatic execution of these rules that realizes the verification process that reports, as a result, all the significant detected discrepancies. The proposed concepts and methodology are implemented in a prototype applied to a case study in the leading Portuguese Telecom operator. The proposed solution was shown to be capable of successfully verifying the case study's ITA model as well as discovering new, undocumented, information through logical inference.</t>
  </si>
  <si>
    <t>Supporting systems of systems hazard analysis using multi-agent simulation</t>
  </si>
  <si>
    <t>Safety Science</t>
  </si>
  <si>
    <t>302-318</t>
  </si>
  <si>
    <t>When engineers create a safety-critical system, they need to perform an adequate hazard analysis. For Systems of Systems (SoSs), however, hazard analysis is difficult because of the complexity of SoS and the environments they inhabit. Traditional hazard analysis techniques often rely upon static models of component interaction and have difficulties exploring the effects of multiple coincident failures. They cannot be relied on, therefore, to provide adequate hazard analysis of SoS. This paper presents a hazard analysis technique (SimHAZAN) that uses multi-agent modelling and simulation to explore the effects of deviant node behaviour within a SoS. It defines a systematic process for developing multi-agent models of SoS, starting from existing models in the MODAF architecture framework and proceeding to implemented simulation models. It then describes a process for running these simulations in an exploratory way, bounded by estimated probability. This process generates extensive logs of simulated events; in order to extract the causes of accidents from these logs, this paper presents a tool-supported analysis technique that uses machine learning and agent behaviour tracing. The approach is evaluated by comparison to some explicit requirements for SoS hazard analysis, and by applying it to a case study. Based on the case study, it appears that SimHAZAN has the potential to reveal hazards that are difficult to discover when using traditional techniques.</t>
  </si>
  <si>
    <t>https://www.sciencedirect.com/science/article/pii/S0925753512002032</t>
  </si>
  <si>
    <t>Comparative Analysis of Defense Industry Frameworks for C4I System</t>
  </si>
  <si>
    <t>2010 Second International Conference on Computer Engineering and Applications</t>
  </si>
  <si>
    <t>443-447</t>
  </si>
  <si>
    <t>The increase usage of C4I systems in defense and civil era had made it more imperative and attractive. Therefore, we can witness that the researchers, analysts, designers and developers had taken much interest in C4I systems. This paper describes a comparative analysis of defense industry frameworks such as DODAF, MODAF, NAF and UPDM. These frameworks had used in design and development process of defense information systems for instance, C4I systems. In this work, we used multi criteria software for comparative analysis of different defense industry frameworks. Further, results obtained by experiments are discussed. This effort done in this paper may be utilized by the researchers in two different possible ways, either by using the results directly obtained in this paper or by extracting the results by similar approach but on different architecture frameworks (AFs) in the field of C4I Systems.</t>
  </si>
  <si>
    <t>Notice of Retraction&lt;BR&gt;Multi-criteria analysis of C4I architecture frameworks</t>
  </si>
  <si>
    <t>V1-238-V1-242</t>
  </si>
  <si>
    <t>Notice of Retraction&lt;BR&gt;&lt;BR&gt;After careful and considered review of the content of this paper by a duly constituted expert committee, this paper has been found to be in violation of IEEE's Publication Principles.&lt;BR&gt;&lt;BR&gt;We hereby retract the content of this paper. Reasonable effort should be made to remove all past references to this paper.&lt;BR&gt;&lt;BR&gt;The presenting author of this paper has the option to appeal this decision by contacting TPII@ieee.org.&lt;BR&gt;&lt;BR&gt;An aggrandized praxis of C4I systems in aegis and civil aeon had made it more imperative and enticing. Ergo, we can corroborate that researchers, analysts, doodlers and developers had taken much curiosity in C4I systems. This paper epitomizes a multi-criteria analysis of C4I architecture frameworks such as ADOAF, DNDAF, AGATE, and FEA. These frameworks have been used in doodle and chrysalis process of aegis erudition systems. In this work, we used multi criteria software for metaphorical assay of incommensurable aegis megacorp frameworks. Further, denouements obtained by analysis are discussed. The accomplishment done in this paper may be utilized by the researchers in two incommensurable expedient ways, either by using the denouements directly obtained in this paper or by extracting the denouements by similar approach but on incommensurable architecture frameworks (AFs) in the field of C4I Systems.</t>
  </si>
  <si>
    <t>System modeling and trust evaluation of distributed systems</t>
  </si>
  <si>
    <t>Lecture Notes in Computer Science (including subseries Lecture Notes in Artificial Intelligence and Lecture Notes in Bioinformatics)</t>
  </si>
  <si>
    <t>33-74</t>
  </si>
  <si>
    <t>Nowadays, digital systems are connected through complex architectures. These systems involve persons, physical and digital resources such that we can consider that a system consists of elements from two worlds, the social world and the digital world, and their relations. Users perform activities like chatting, buying, sharing data, etc. Evaluating and choosing appropriate systems involve aspects like functionality, performance, QoS, ease of use, or price. Recently, trust appeared as another key factor for such an evaluation. In this context, we raise two issues, (i) how to formalize the entities that compose a system and their relations for a particular activity? and (ii) how to evaluate trust in a system for this activity? This work proposes answers to both questions. On the one hand, we propose SocioPATH, a metamodel based on first order logic, that allows to model a system considering entities of the social and digital worlds and their relations. On the other hand, we propose two approaches to evaluate trust in systems, namely, SocioTRUST and SuBJECTIVETRUST. The former is based on probability theory to evaluate users' trust in systems for a given activity. The latter is based on subjective logic to take into account uncertainty in trust values. © Springer-Verlag Berlin Heidelberg 2015.</t>
  </si>
  <si>
    <t>https://www.scopus.com/inward/record.uri?eid=2-s2.0-84946736158&amp;doi=10.1007%2f978-3-662-48567-5_2&amp;partnerID=40&amp;md5=a9337302cff8023b105fde13f0d9ee13</t>
  </si>
  <si>
    <t>Short Paper: A model driven approach for telecommunication service creation environments relying on enterprise architecture</t>
  </si>
  <si>
    <t>2015 18th International Conference on Intelligence in Next Generation Networks</t>
  </si>
  <si>
    <t>151-153</t>
  </si>
  <si>
    <t>Telecom systems are complex due to their implicit composition of software and hardware elements. Our aim in this research is to support designing new services by providing facilities and tools to detect design flaws and errors at an early stage. Our proposed framework and tools rely on model driven engineering.</t>
  </si>
  <si>
    <t>An automated tool selection method based on model transformation: OPNET and NS-3 case study</t>
  </si>
  <si>
    <t>2013 International Symposium on Performance Evaluation of Computer and Telecommunication Systems (SPECTS)</t>
  </si>
  <si>
    <t>Errors in telecom service (TS) design may be expensive to correct by telecommunication enterprises, especially if they are discovered late and after the equipments and software are deployed. Verifying complex architectures of TS designs is a daunting task and subject to human errors. Thus, we aim to provide supportive tools that helps during the TS creation activity. Network simulators play an important role in detecting design errors and predicting performance quality violations in the TS domain due to the measurements that they can produce. The metrics associated with performance requirements are numerous, and it is difficult to find a unique tool that can handle the prediction of their values. In this paper, we tackle the tool selection challenge for non domain-expert designers taking into consideration the differences between tools and the large number of metrics that they can measure. Thus, by applying model transformation techniques, we propose a method to select the proper tool(s) to obtain the measurements needed during verification activity. Therefore, we present our contributions on the modeling language level, and the tool selection algorithm with its implementation. Reusability, complexity, and customized measurements are taken into account. We illustrate our approach with a video conference and customized measurement example using OPNET and NS-3 simulators.</t>
  </si>
  <si>
    <t>Transforming viewpoints of distributed designs to support simulation scenarios</t>
  </si>
  <si>
    <t>2014 9th International Conference on Software Engineering and Applications (ICSOFT-EA)</t>
  </si>
  <si>
    <t>321-328</t>
  </si>
  <si>
    <t>In order to reduce the time to market and improve the qualities during the service construction activities, we provide the designers with integrated tools that help them to construct services. They are able to evaluate their designs earlier according to functional, performance non-functional, and QoS requirements. The contribution of this paper is concerned with representing the different viewpoints of a design model in the simulation scenario through code generation. The main benefits of our approach based on separation of concerns are to better manage the complexity of the design and to improve the fine-tuning level of simulation scenarios. We illustrate our approach with a video conference service relying on the IP Multimedia Subsystem platform.</t>
  </si>
  <si>
    <t>A Semantic Foundation for Role-Related Concepts in Enterprise Modelling</t>
  </si>
  <si>
    <t>2008 12th International IEEE Enterprise Distributed Object Computing Conference</t>
  </si>
  <si>
    <t>31-40</t>
  </si>
  <si>
    <t>In this paper, we provide a semantic foundation for role-related concepts in enterprise modelling. We use a conceptual modelling framework to provide a well-founded underpinning for these concepts. We review a number of enterprise modelling approaches in light of the concepts described. This allows us to understand the various approaches, to contrast them and to identify problems in the definition and/or usage of these concepts.</t>
  </si>
  <si>
    <t>An ontological analysis of the notion of community in the RM-ODP enterprise language</t>
  </si>
  <si>
    <t>Computer Standards &amp; Interfaces</t>
  </si>
  <si>
    <t>257-268</t>
  </si>
  <si>
    <t>In our past work, we have shown that a number of theories from conceptual modeling and ontological analysis can be used to clarify the definitions of role-related and goal-related concepts in the RM-ODP [1,2]. This paper builds up on our earlier efforts by providing an ontology-based account for the notion of communities in the reference model's Enterprise Language [38]. We address issues regarding the composition of communities, the filling of roles in communities, the decomposition of a community's objective into sub-objectives (delegated to community members). The use of an ontology that deals with aspects of social reality and intentionality [30] plays an important role in this account, revealing the intentionality of communities and enterprise objects; the social relations between communities and enterprise objects in the community; the social relations between objects in the community; the social relations between communities; the normative character of a community's contract, etc. The analysis allows us to propose well-founded recommendations for clarifications and identify potential amendments to the standard as well as issues for further investigation.</t>
  </si>
  <si>
    <t>https://www.sciencedirect.com/science/article/pii/S0920548912000402</t>
  </si>
  <si>
    <t>A Systems Engineering Approach for Security System Design</t>
  </si>
  <si>
    <t>2010 International Conference on Emerging Security Technologies</t>
  </si>
  <si>
    <t>107-112</t>
  </si>
  <si>
    <t>The number of application areas where security of resources, whether this is people, information or physical property, is ever increasing as our world culture changes and the potential threats to individuals rises. The threats that security systems need to mitigate against are becoming both more complex and also asymmetric. In association with this the number of emerging technologies that can be applied to security systems is also increasing, and together with current &amp;amp; changing threats, is resulting in a more complex system with many interacting and possibly distributed elements. This paper describes how Systems Engineering provides a methodical design approach enabling a design engineer to understand all the contributing factors and analysing the cost/performance trade of alternative solutions. It shows that security elements should no longer be an afterthought once the main system has been designed - but security should be tightly integrated with other system functions as a set of requirements or design constraints. Once these requirements and constraints have been determined the most appropriate security approach for a given situation can be determined. The paper then describes how the methodical approach is used to elaborate the solution based on the constraints, make appropriate design decisions to architect a solution and finally implement a system, using an integrated engineering discipline approach, that is fit for purpose.</t>
  </si>
  <si>
    <t>S. Alter</t>
  </si>
  <si>
    <t>How Should Business Informatics Integrate Service, Process, Work System, and Enterprise Orientations?</t>
  </si>
  <si>
    <t>165-172</t>
  </si>
  <si>
    <t>Current research related to the subject matter of business informatics reflects divergent orientations that are fundamentally about representing, analyzing, and designing services or processes or work systems or enterprises. After summarizing those four orientations and citing typical exemplars, this paper identifies a variety of paths toward greater integration between different orientations within business informatics. It identifies central topics for each orientation along with areas in which each orientation provides ideas that complement other orientations and reveal possible synergies. Both the approach for identifying potential synergies and the proposed synergies themselves could encourage greater integration within business informatics.</t>
  </si>
  <si>
    <t>Empirical insights into the development of a service-oriented enterprise architecture</t>
  </si>
  <si>
    <t>Data &amp; Knowledge Engineering</t>
  </si>
  <si>
    <t>39-52</t>
  </si>
  <si>
    <t>Organisations use Enterprise Architecture (EA) to reduce organisational complexity, improve communication, align business and information technology (IT), and drive organisational change. Due to the dynamic nature of environmental and organisational factors, EA descriptions need to change over time to keep providing value for its stakeholders. Emerging business and IT trends, such as Service-Oriented Architecture (SOA), may impact EA frameworks, methodologies, governance and tools. However, the phenomenon of EA evolution is still poorly understood. Using Archer's morphogenetic theory as a foundation, this research conceptualises three analytical phases of EA evolution in organisations, namely conditioning, interaction and elaboration. Based on a case study with a government agency, this paper provides new empirically and theoretically grounded insights into EA evolution, in particular in relation to the introduction of SOA, and describes relevant generative mechanisms affecting EA evolution. By doing so, it builds a foundation to further examine the impact of other IT trends such as mobile or cloud-based solutions on EA evolution. At a practical level, the research delivers a model that can be used to guide professionals to manage EA and continually evolve it.</t>
  </si>
  <si>
    <t>https://www.sciencedirect.com/science/article/pii/S0169023X15000828</t>
  </si>
  <si>
    <t>Requirement framework of smart grid software architecture</t>
  </si>
  <si>
    <t>2017 International Conference on High Voltage Engineering and Power Systems (ICHVEPS)</t>
  </si>
  <si>
    <t>418-423</t>
  </si>
  <si>
    <t>Smart grid software integrates various software components in Generation, Transmission, Distribution, Smart Metering and Cloud systems. The smart grid architecture is evolving with new features and to accommodate legacy software elements. Smart grid integrated software is an evolving approach in line with modern Information and Communication technology. In this paper, the authors propose a software requirement framework for the smart grid architecture with a focus on Embedded Systems. A state of art idea is considered, to extract software development practices in automotive domain for smart grid systems. Multi layered software architecture to implement the proposed requirements, is also analyzed. Complete analysis of sub-systems, devices and their operations are done to derive the framework. Master-Slave software architecture model is considered amongst the various Electronic Control Units (ECUs) present in the smart grid environment. All the smart grid software modules and their data exchange attributes are also evaluated. Interface requirements within the smart grid sub-systems are dealt in details.</t>
  </si>
  <si>
    <t>Exploring Enterprise Architecture Evaluation Practices: The Case of a Large University</t>
  </si>
  <si>
    <t>2015 48th Hawaii International Conference on System Sciences</t>
  </si>
  <si>
    <t>4089-4098</t>
  </si>
  <si>
    <t>EA evaluation has received very little attention in academic publications on EA. While EA evaluation to some extent has been described in the literature, the different ways of evaluating architecture have mainly used a top-down approach deriving measures from theory rather than a bottom-up approach using empirical and practical studies. This paper presents the findings from a case study exploring how enterprise architecture (EA) evaluation takes place in practice. The aim of the case study is to explore EA evaluation from the practical view of primarily enterprise architects and project managers. The findings show that while few formal approaches for EA evaluation were in place, the organization succeeded in evaluating complex projects using informal ad hoc evaluation and by viewing the project from different perspectives.</t>
  </si>
  <si>
    <t>Principes et architecture pour la personnalisation d'information en interaction homme-machine, application &amp;#224; l'information transport</t>
  </si>
  <si>
    <t>Proceedings of the 17th Conference on l'Interaction Homme-Machine</t>
  </si>
  <si>
    <t>Toulouse, France</t>
  </si>
  <si>
    <t>123-130</t>
  </si>
  <si>
    <t>361-368</t>
  </si>
  <si>
    <t>OWL</t>
  </si>
  <si>
    <t>Using Ontologies for Enterprise Architecture Analysis</t>
  </si>
  <si>
    <t>2013 17th IEEE International Enterprise Distributed Object Computing Conference Workshops</t>
  </si>
  <si>
    <t>A mapping approach for Marine Observatory relying on enterprise architecture</t>
  </si>
  <si>
    <t>UnderWater Sensor Networks (UW-SNs) performs collaborative monitoring tasks over an underwater determined area. These tasks could be underwater or deep sea observatories. Acoustic sensors (Hydrophones) are responsible to acquire the data underwater then transfer it to components/devices. Marine Observatory (MO) is the scenario of data exchanged between the different components/devices of the Underwater Acoustic Sensor Networks (UW-ASNs). Hence, the MO infrastructure could be based on an (UW-ASNs). This observation should take into consideration the environmental constraints since it may require specific tools, materials and devices (marines cables, specific servers and routers, etc.). The logical and physical components that are used in these observatories supply interchange procedures between the various devices of the environment (Smart Sensors, Data Fusion Servers). These components provide new services due to the long period running of the network. In this paper, we present our extended Meta- Model that is used to generate a new design tool (ArchiMO). Thus, we propose a mapping approach between the layers of the enterprise architecture standard. This approach throws instantly domain-specific concepts and constraints in layers on run-time design activity according to a satisfaction of a certain criteria/constraints. We illustrate our proposal with an underwater object localization example from the MO domain. Additionally, we generate the corresponding simulation code for a standard network simulator using our self-developed domain-specific model compiler. Our approach helps to manage the complexity, and to reduce the time of the entire development life cycle of an MO information system. It supplies in the MO context, a way to share the different viewpoints of the designers. © 2015 MTS.</t>
  </si>
  <si>
    <t>https://www.scopus.com/inward/record.uri?eid=2-s2.0-84963940320&amp;partnerID=40&amp;md5=5bba4f79d73fbbebabd87c2e7beb02b2</t>
  </si>
  <si>
    <t>On the support for the assignment of active structure and behavior in enterprise modeling approaches</t>
  </si>
  <si>
    <t>1686-1693</t>
  </si>
  <si>
    <t>This paper aims to analyze and review the support of the different kinds of active structure assignment in enterprise modeling techniques and frameworks, including ArchiMate, DODAF, and ARIS. Since we believe that these frameworks will be used in the description of an Enterprise Architecture in tandem with the detailed description of business processes, we also discuss the support for active structure allocation in processes modeling techniques, including XPDL, UML Activity Diagrams and BPMN in our analysis. We briefly describe each of the approaches and discuss their expressiveness with respect to the relations between the active structure of an organization (described in terms of actors, roles, etc.) and the behavioral aspects of the organization (described in terms of processes, activities, functions, etc.). © 2012 ACM.</t>
  </si>
  <si>
    <t>https://www.scopus.com/inward/record.uri?eid=2-s2.0-84863588873&amp;doi=10.1145%2f2245276.2232048&amp;partnerID=40&amp;md5=fcc8b9f25c979ec5e45ebfe15824ebab</t>
  </si>
  <si>
    <t>Modeling Language Extension in the Enterprise Systems Domain</t>
  </si>
  <si>
    <t>2013 17th IEEE International Enterprise Distributed Object Computing Conference</t>
  </si>
  <si>
    <t>49-58</t>
  </si>
  <si>
    <t>As the number and diversity of technologies involved in building enterprise systems continues to grow so does the importance of modeling tools that are able to present customized views of enterprise systems to different stakeholders according to their needs and skills. Moreover, since the range of required view types is continuously evolving, it must be possible to extend and enhance the languages and services offered by such tools on an ongoing basis. However, this can be difficult with today's modeling tools because the meta-models that define the languages, views and services they support are usually hardwired and thus not amenable to extension. In practice, therefore, various workarounds have to be used to extend a tool's underlying meta-model. Some of these are built into the implemented modeling standards (e.g. the UML profile, BPMN 2.0 and ArchiMate 2.0 extension mechanisms) while others have to be applied by complementary, external tools (e.g. model weaving). These techniques not only increase accidental complexity, they also reduce the ability of the modeling tool to ensure adherence to enterprise rules and constraints. In this paper we discuss the strengths and weaknesses of the various approaches for language extension and propose a modeling framework best able to support the main extension use-cases currently found in practice today.</t>
  </si>
  <si>
    <t>A multi-level approach to modeling language extension in the Enterprise Systems Domain</t>
  </si>
  <si>
    <t>289-307</t>
  </si>
  <si>
    <t>As the number and diversity of technologies involved in building enterprise systems continues to grow so does the importance of modeling tools that are able to present customized views of enterprise systems to different stakeholders according to their needs and skills. Moreover, since the range of required view types is continuously evolving, it must be possible to extend and enhance the languages and services offered by such tools on an ongoing basis. However, this can be difficult with today׳s modeling tools because the meta-models that define the languages, views and services they support are usually hardwired and thus not amenable to extensions. In practice, therefore, various workarounds have to be used to extend a tool׳s underlying meta-model. Some of these are built into the implemented modeling standards (e.g. UML 2, BPMN 2.0 and ArchiMate 2.0) while others have to be applied by complementary, external tools (e.g. annotation models). These techniques not only increase accidental complexity, they also reduce the ability of the modeling tool to ensure adherence to enterprise rules and constraints. In this paper we discuss the strengths and weaknesses of the various approaches for language extension and propose a modeling framework best able to support the main extension scenarios currently found in practice today.</t>
  </si>
  <si>
    <t>https://www.sciencedirect.com/science/article/pii/S0306437915000137</t>
  </si>
  <si>
    <t>A Deep View-Point Language for Projective Modeling</t>
  </si>
  <si>
    <t>133-142</t>
  </si>
  <si>
    <t>Deriving user requirements from business process models for automation: A case study</t>
  </si>
  <si>
    <t>2014 IEEE 1st International Workshop on the Interrelations between Requirements Engineering and Business Process Management (REBPM)</t>
  </si>
  <si>
    <t>19-28</t>
  </si>
  <si>
    <t>The knowledge captured in business process models is essential to identify user requirements of the process aware information system to execute the processes. Frequently, relations between the models and requirements are either not established or only partially available. This results in increased effort, broken traceability, completeness and consistency problems for user requirements. We proposed a unified business process modeling method, UPROM, to analyze and develop models for business processes and user requirements. These models are utilized to automatically generate textual user requirements. We present a multiple case study to evaluate UPROM in two e-government projects initiated for developing workflow management systems. We applied UPROM to identify most of the user requirements and prepare the technical contracts. The multiple case study shows that by applying UPROM, user requirements and business processes can be analyzed in a unified way and textual requirements can be generated automatically. The results proved to be helpful in real life settings.</t>
  </si>
  <si>
    <t>An Ontology-Based Semantics for the Motivation Extension to ArchiMate</t>
  </si>
  <si>
    <t>2011 IEEE 15th International Enterprise Distributed Object Computing Conference</t>
  </si>
  <si>
    <t>25-34</t>
  </si>
  <si>
    <t>Modeling resources and capabilities in enterprise architecture: A well-founded ontology-based proposal for ArchiMate</t>
  </si>
  <si>
    <t>235-262</t>
  </si>
  <si>
    <t>The importance of capabilities and resources for portfolio management and business strategy has been recognized in the management literature. Despite that, little attention has been given to integrate the notions of capabilities and resources in enterprise architecture descriptions. One notable exception is a recent proposal to extend the ArchiMate framework and language to include capability and resources and thus improve ArchiMate׳s coverage of portfolio management. This paper presents an ontological analysis of the concepts introduced in that proposal, focusing in particular on the resource, capability and competence concepts. We provide an account for these concepts in terms of the Unified Foundational Ontology (UFO). The analysis allows us to identify semantic issues in the proposal and suggests well-founded recommendations for improvements. We revise the proposed metamodel in order to address the identified problems, thereby improving the semantic clarity and usefulness of the proposed language extension. Two real-world cases are modeled with the resulting metamodel to show the applicability of the constructs and relations in an industrial setting.</t>
  </si>
  <si>
    <t>https://www.sciencedirect.com/science/article/pii/S0306437915000745</t>
  </si>
  <si>
    <t>Software architecture knowledge management: Theory and practice</t>
  </si>
  <si>
    <t>Software Architecture Knowledge Management: Theory and Practice</t>
  </si>
  <si>
    <t>Springer Berlin Heidelberg</t>
  </si>
  <si>
    <t>1-279</t>
  </si>
  <si>
    <t>https://www.scopus.com/inward/record.uri?eid=2-s2.0-84889956825&amp;doi=10.1007%2f978-3-642-02374-3&amp;partnerID=40&amp;md5=26c2488ead2abe72f9a4ade08bfb07cc</t>
  </si>
  <si>
    <t>Community-Based Identity Validation on Online Social Networks</t>
  </si>
  <si>
    <t>2014 IEEE 34th International Conference on Distributed Computing Systems</t>
  </si>
  <si>
    <t>21-30</t>
  </si>
  <si>
    <t>Identity management in online social networks (OSNs) is a challenging, yet important requirement for effective privacy protection and trust management. Literature offers several proposals addressing issues related to identity breaches and/or identity related attacks on OSNs, but only a few aim at giving means to judge users' reliability in terms of trustworthiness of their claimed identities. In this paper, we propose an identity validation process that relies on OSN community feedback to assign to OSN users identity trustworthiness levels. For this purpose, we define a community based supervised learning process to detect the set of attributes in a user profile for which it is expected to see a correlation among their values (e.g., job and salary). Once these correlated attribute sets are identified, the profile of a target user is judged by a selected group of raters to estimate her identity trustworthiness level. We demonstrate the effectiveness of our proposal through experimentation under two different scenarios and using real data. The experiments' results under the two scenarios demonstrate the effectiveness and meaningfulness of our proposal.</t>
  </si>
  <si>
    <t>A formal approach to system level design: metamodels and unified design environments</t>
  </si>
  <si>
    <t>Proceedings. Second ACM and IEEE International Conference on Formal Methods and Models for Co-Design, 2005. MEMOCODE '05.</t>
  </si>
  <si>
    <t>155-163</t>
  </si>
  <si>
    <t>The debate about efficient methods for hardware-software co-design has taken interesting turns over the years. In this paper, we argue that the essential problems to solve are prior to the decision on how to partition the system in hardware-software. We present a formal platform-based design method we have proposed over the years and a design environment, Metropolis, supporting the methodology, which starts by capturing the design specifications at the highest level of abstraction and then proceed toward an efficient implementation by subsequent refinement steps. We present the modeling strategy used in Metropolis based on formal semantics that is general enough to support the models of computation proposed so far and that facilitates the creation of new ones. Nonfunctional and declarative constraints can also be captured using a logic language.</t>
  </si>
  <si>
    <t>2011 IEEE 13th Conference on Commerce and Enterprise Computing</t>
  </si>
  <si>
    <t>179-184</t>
  </si>
  <si>
    <t>Reference system architecture for trade promotion management: Leveraging business intelligence technologies and decision support systems</t>
  </si>
  <si>
    <t>Working towards gaining competitive advantage and establishing stable relationships with their supply chain intermediaries, fast moving consumer goods companies are currently focusing their attention on intelligent, goal-based funds investment. Traditional trade promotion management systems (TPMS), however, fail to provide the complex, yet flexible analytical functionality required for accurate tracing of promotional effectiveness and optimization of trade promotional spending. Most commonly encountered issues range from unreliable, inaccurate and inconsistent data and low user friendliness of the system to complicated, inflexible and time-consuming reporting. In this paper, we design the first reference system architecture integrating business intelligence technologies with trade promotion management systems, meeting the business needs and rendering high-quality reporting services to the end users. Our proposed architecture incorporates a reference trade promotion management process and is the first architecture model extending the in-built functionality of TPMS with BI tools. We outline the theoretical foundations and the design principles of the architecture and evaluate its validity with 19 interviews and one case study following the TOGAF ADM steps. Despite the time restriction for further validation, the architecture is based on extensive academic and industry literature and the evaluation confirmed its potential of solving common issues of current trade promotion management systems. © 2011 IEEE.</t>
  </si>
  <si>
    <t>https://www.scopus.com/inward/record.uri?eid=2-s2.0-80455132297&amp;doi=10.1109%2fCEC.2011.31&amp;partnerID=40&amp;md5=ac8ee5f1191b62ff45c1bcfb4e11177d</t>
  </si>
  <si>
    <t>P. L. Bannerman</t>
  </si>
  <si>
    <t>Software architecture: Organizational perspectives</t>
  </si>
  <si>
    <t>2009 ICSE Workshop on Leadership and Management in Software Architecture</t>
  </si>
  <si>
    <t>37-42</t>
  </si>
  <si>
    <t>This position paper examines software architecture through the lenses of four organizational perspectives and identifies opportunities for research to improve the positioning and support of the discipline within organizations. It concludes that while software architecture may rest on solid technical foundations, its position in the organization is not as firm.</t>
  </si>
  <si>
    <t>C. Barbieri</t>
  </si>
  <si>
    <t>CAPÍTULO 4 - Governança e qualidade de dados</t>
  </si>
  <si>
    <t>BI2: Business Intelligence</t>
  </si>
  <si>
    <t>Elsevier Editora Ltda.</t>
  </si>
  <si>
    <t>25-93</t>
  </si>
  <si>
    <t>https://www.sciencedirect.com/science/article/pii/B9788535247220500095</t>
  </si>
  <si>
    <t>Next generation enterprise modelling the role of Organizational Theory and multi-agent systems</t>
  </si>
  <si>
    <t>482-487</t>
  </si>
  <si>
    <t>This position paper proposes that the current enterprise modeling approaches are overly reliant on the know how or tacit knowledge of enterprise architects for addressing organizational challenges such as business-IT alignment. Furthermore, current modeling languages only encourage linear thinking. By drawing upon existing research on (computational) organization theory and multi-agent systems, we propose implementation requirements for a next generation enterprise modeling language that supports agent based simulation.</t>
  </si>
  <si>
    <t>Architecture Description Leveraging Model Driven Engineering and Semantic Wikis</t>
  </si>
  <si>
    <t>2014 IEEE/IFIP Conference on Software Architecture</t>
  </si>
  <si>
    <t>251-254</t>
  </si>
  <si>
    <t>A previous study, run by some of the authors in collaboration with practitioners, has emphasized the need to improve architectural languages in order to (i) make them simple and intuitive enough to communicate effectively with project stakeholders, and (ii) enable formality and rigour to allow analysis and other automated tasks. Although a multitude of languages have been created by researchers and practitioners, they rarely address both of these needs. In order to reconcile these divergent needs, this paper presents an approach that (i) combines the rigorous foundations of model-driven engineering with the usability of semantic wikis, and (ii) enables continuous syncronization between them, this allows software architects to simultaneously use wiki pages for communication and models for model-based analysis and manipulation. In this paper we explain how we applied the approach to an industry-inspired case study using the Semantic Media Wiki wiki engine and a model-driven architecture description implemented within the Eclipse Modeling Framework. We also discuss how our approach can be generalized to other wiki-based and model-driven technologies.</t>
  </si>
  <si>
    <t>Accounting Information Systems: Tradition and Future Directions</t>
  </si>
  <si>
    <t>Procedia Technology</t>
  </si>
  <si>
    <t>536-546</t>
  </si>
  <si>
    <t>This article reflects about current and future role of Accounting Information Systems by analysing the main responsibilities of accountants and financial professionals. While several of these responsibilities are already suitably supported by traditional technology answers, others represent challenges that do still not have appropriate responses and therefore deserve to be the focus of future research. This work foresees future technological answers to Accounting domain challenges, like external and compliance reporting. The identified technologies include web services, mobile devices, cloud computing, environmental scanning, business intelligence, enterprise application integration, business process management, computer assisted auditing tools and techniques and big data.</t>
  </si>
  <si>
    <t>https://www.sciencedirect.com/science/article/pii/S2212017313002144</t>
  </si>
  <si>
    <t>Chapter 5 - EA Maturity Models</t>
  </si>
  <si>
    <t>Collaborative Enterprise Architecture</t>
  </si>
  <si>
    <t>123-135</t>
  </si>
  <si>
    <t>This chapter presents an overview on maturity models for EA, that is, frameworks that allow us to assess how well a company is running its EA practice. Key words: Enterprise, enterprise architecture, enterprise architecture management, collaboration, business-IT alignment, framework, maturity model</t>
  </si>
  <si>
    <t>https://www.sciencedirect.com/science/article/pii/B9780124159341000054</t>
  </si>
  <si>
    <t>Chapter 7 - Toward Pragmatism: Lean and Agile EA</t>
  </si>
  <si>
    <t>159-234</t>
  </si>
  <si>
    <t>This chapter discusses how the application of lean and agile principles can render EA more pragmatic. First, the fundamentals of lean and agile software development are introduced and the two methodologies are compared. Then a definition of lean and agile EA is given by transferring the main principles of lean and agile to the EA domain. Last, we make concrete proposals as to where and how elements of lean and agile principles can be incorporated into typical EA activities and processes and how this will increase EA effectiveness, flexibility, and pragmatism. Key words: lean, agile, pragmatism</t>
  </si>
  <si>
    <t>https://www.sciencedirect.com/science/article/pii/B9780124159341000078</t>
  </si>
  <si>
    <t>Chapter 8 - Inviting to Participation: EAM 2.0</t>
  </si>
  <si>
    <t>235-278</t>
  </si>
  <si>
    <t>This chapter provides pragmatic building blocks to enrich the traditional EA methodology with collaborative Enterprise 2.0 mechanisms. An example of such a mechanism is the collaborative assessment of IT assets by users, developers, operators, and other stakeholders. Conventional EA leaves it to the wisdom of a few experts to estimate the health or strategic fitness of a business process. In our concept, a more diverse, widespread judgment is more likely to hit the point—in particular for those working with this process on a daily basis. Web 2.0 rating components can be utilized for that purpose. As a foundation, the concepts behind Web 2.0 and Enterprise 2.0 are introduced briefly here, with special hindsight to the use of these concepts in EA. Key words: Enterprise, enterprise architecture, collaboration, Web 2.0, Enterprise 2.0, participation</t>
  </si>
  <si>
    <t>https://www.sciencedirect.com/science/article/pii/B978012415934100008X</t>
  </si>
  <si>
    <t>A Method for Service Center Architecture Based on Industry Standards</t>
  </si>
  <si>
    <t>2008 IEEE International Conference on Services Computing</t>
  </si>
  <si>
    <t>433-440</t>
  </si>
  <si>
    <t>Component Business Modeling (CBM) designs a framework for defining non-overlapping, independent, reusable, cost-effective business components or service centers that provide business services. CBM is gaining broad acceptance in today's marketplace. On the other hand, compliance with industry standards is becoming an imperative in today's enterprises. We propose a bottom-up method for deriving business components from industry standards, based on the artifact-centric approach. In a climate of constant and unpredictable change, alignment between service centers and industry standards becomes essential to the success of enterprises.</t>
  </si>
  <si>
    <t>Enterprise Architects Should Follow the Money</t>
  </si>
  <si>
    <t>2014 IEEE 16th Conference on Business Informatics</t>
  </si>
  <si>
    <t>135-142</t>
  </si>
  <si>
    <t>Enterprise architecture (EA) offers ways to steer and guide the design and evolution of the enterprise including its information technology (IT). One of the outputs of EA is improved decision-making about IT. Objective: This study aims to provide EA researchers and practitioners with insights into how IT decision-making actually takes place and what that means for them. Method: A systematic literature review was conducted in order to find and analyze primary studies about IT decision-making. Results: We found that IT investment and prioritization is by far the largest decision category. Money seems much more important than content. The IT decision-making process itself is subject to different variables and factors making every IT decision unique. We also found that both rational and bounded rational approaches are used in IT decision-making. EA has not a prominent role in IT decision-making. Conclusions: IT decision-making is a messy and complex process where money plays a prominent role. We argue that, if enterprise architects want to influence IT decision-making, they should follow the money by combining content with investment planning and prioritization. Further research is required into what distinguishes enterprise architects that are successful in IT decision-making, from those that are less successful.</t>
  </si>
  <si>
    <t>Springer New York LLC</t>
  </si>
  <si>
    <t>781-818</t>
  </si>
  <si>
    <t>Enterprise architecture (EA) is a coherent whole of principles, methods, and models that are used in the design and realization of an enterprise’s organizational structure, business processes, information systems, and IT infrastructure. Recent research indicates the need for EA in small and medium-sized enterprises (SMEs), important drivers of the economy, as they struggle with problems related to a lack of structure and overview of their business. However, existing EA frameworks are perceived as too complex and, to date, none of the EA approaches are sufficiently adapted to the SME context. Therefore, this paper presents the CHOOSE metamodel for EA in SMEs that was developed and evaluated through action research in an SME and further refined and validated through case study research in five other SMEs. This metamodel is based on the essential dimensions of EA frameworks and is kept simple so that it may be applied in an SME context. The final CHOOSE metamodel includes only four essential concepts (i.e. goal, actor, operation, object), one for each most frequently used EA focus. As an example, an extract is included from the specific model that was created for the SME used in our action research. Finally, the CHOOSE metamodel is evaluated according to the dimensions essential in EA and the requirements for EA in an SME context. © 2015, Springer Science+Business Media New York.</t>
  </si>
  <si>
    <t>https://www.scopus.com/inward/record.uri?eid=2-s2.0-84929815594&amp;doi=10.1007%2fs10796-015-9559-0&amp;partnerID=40&amp;md5=537def88a1c15a1634652cc20d72892c</t>
  </si>
  <si>
    <t>Enterprise architecture framework oriented to cloud computing services</t>
  </si>
  <si>
    <t>2016 6th International Conference on Computers Communications and Control (ICCCC)</t>
  </si>
  <si>
    <t>64-69</t>
  </si>
  <si>
    <t>Zachman</t>
  </si>
  <si>
    <t>Cloud Computing (CC) is a computing infrastructure paradigm that provides elasticity to software or hardware solutions on organizations, and is more powerful than traditional architectures for storage, processing, and distribution of data. Meanwhile, Enterprise Architecture (EA) describes organization's structure and allows assurance its objectives. Recent studies face to integration of EA with CC convergence analysis between EA and CC is required to facilitate true integration in organization. This paper aims contribute to reduce the EA and CC gap. Analysis of importance and benefits of EA-CC integrated approach is presented, beside a proposed EA-CC framework that can be extended to corporate governance models. Phases, activities, artifacts and deliverables from framework are described.</t>
  </si>
  <si>
    <t>Enterprise engineering and management at the crossroads</t>
  </si>
  <si>
    <t>Computers in Industry</t>
  </si>
  <si>
    <t>87-102</t>
  </si>
  <si>
    <t>The article provides an overview of the challenges and the state of the art of the discipline of Enterprise Architecture (EA), with emphasis on the challenges and future development opportunities of the underlying Information System (IS), and its IT implementation, the Enterprise Information System (EIS). The first challenge is to overcome the narrowness of scope of present practice in IS and EA, and re-gain the coverage of the entire business on all levels of management, and a holistic and systemic coverage of the enterprise as an economic entity in its social and ecological environment. The second challenge is how to face the problems caused by complexity that limit the controllability and manageability of the enterprise as a system. The third challenge is connected with the complexity problem, and describes fundamental issues of sustainability and viability. Following from the third, the fourth challenge is to identify modes of survival for systems, and dynamic system architectures that evolve and are resilient to changes of the environment in which they live. The state of the art section provides pointers to possible radical changes to models, methodologies, theories and tools in EIS design and implementation, with the potential to solve these grand challenges.</t>
  </si>
  <si>
    <t>https://www.sciencedirect.com/science/article/pii/S0166361515300282</t>
  </si>
  <si>
    <t>A metamodel for enterprise architecture</t>
  </si>
  <si>
    <t>56-65</t>
  </si>
  <si>
    <t>The paper presents an evolved metamodel that has its origins in GERAM 1.6.3 but takes into considerations the needs of evolution of EA standards, including ISO 15704:2000 and ISO 42010:2000 – both currently under review. © IFIP International Federation for Information Processing 2010.</t>
  </si>
  <si>
    <t>https://www.scopus.com/inward/record.uri?eid=2-s2.0-85016190508&amp;doi=10.1007%2f978-3-642-15509-3_6&amp;partnerID=40&amp;md5=111fac9fa6041915be87f271e9c1d4e0</t>
  </si>
  <si>
    <t>Enterprise architecture: Twenty years of the GERAM framework</t>
  </si>
  <si>
    <t>Annual Reviews in Control</t>
  </si>
  <si>
    <t>83-93</t>
  </si>
  <si>
    <t>Apart from the 20-year anniversary in 2014 of the first publication of the GERAM (‘Generalised Enterprise Reference Architecture and Methodology’) Enterprise Architecture Framework, the timeliness of this paper lies in the new interest in the use of systems theory in enterprise architecture (EA), and consequently, ‘light-weight’ architecture frameworks (AFs). Thus, this paper is about the use of systems thinking and systems theory in EA and about how it is possible to reconcile and understand, based on a single overarching framework, the interplay of two major enterprise change endeavours: on one hand enterprise engineering (i.e. deliberate change) and on the other hand evolutionary, organic change. The paper also demonstrates how such change processes can be illustrated by employing systems thinking to construct dynamic business models; the evolution of these concepts is exemplified using past applications in networked enterprise building, and more recent proposals in environmental-, disaster- and healthcare management. Finally, the paper attempts to plot the way GERAM, as a framework to think about the creation and evolution of complex socio-technical systems, will continue to contribute to the society in the context of future challenges and emerging opportunities.</t>
  </si>
  <si>
    <t>https://www.sciencedirect.com/science/article/pii/S1367578815000097</t>
  </si>
  <si>
    <t>C. T. Betz</t>
  </si>
  <si>
    <t>Architecture and Patterns for IT Service Management, Resource Planning, and Governance: Making Shoes for the Cobbler's Children</t>
  </si>
  <si>
    <t>Information technology supports efficient operations, enterprise integration, and seamless value delivery, yet itself is too often inefficient, un-integrated, and of unclear value. This completely rewritten version of the best selling Architecture and Patterns for IT Service Management, Resource Planning and Governance retains the original (and still unique) approach: apply the discipline of enterprise architecture to the business of large scale IT management itself. Author Charles Betz applies his deep practitioner experience to a critical reading of ITIL version 3, COBIT version 4, the CMMI suite, the IT portfolio management literature, and the Agile/Lean IT convergence, and derives a value stream analysis, IT semantic model, and enabling systems architecture (covering current topics such as CMDB/CMS, Service Catalog, and IT Portfolio Management). The edition pioneers new ground in applying dynamic modeling (systems dynamics) to large scale IT process interactions, and the fundamental discipline of traceable process, data, and system analysis which made the 1st edition so popular remain. This best seller is a must read for anyone charged with enterprise architecture, IT planning, and IT governance and management. Presents a field-tested, detailed conceptual information model with definitions and usage scenarios, mapped to both the process and system architectures Updated to reflect the new set of concepts, practices, and procedures of ITIL v3.1 Synthesizes Enterprise Architecture, IT Service Management, and IT Governance in a practical way. Covers new applications of IT Service Management, moving from one overall IT value stream to several, described in Lean terms. © 2011 Elsevier Inc. All rights reserved.</t>
  </si>
  <si>
    <t>https://www.scopus.com/inward/record.uri?eid=2-s2.0-85013757305&amp;doi=10.1016%2fC2010-0-65839-1&amp;partnerID=40&amp;md5=aa4766f421712068f10ff7f7f6ee135d</t>
  </si>
  <si>
    <t>Chapter 2 - Architecture Approach</t>
  </si>
  <si>
    <t>33-149</t>
  </si>
  <si>
    <t>A generic enterprise architecture analysis approach is presented at an IT generalist level, based on the concepts of catalogs, matrices, and diagrams. The catalogs are enumerated, mutually exclusive and comprehensive lists of value streams, processes, functions, data entities, and IT management systems. Practical basics of IT transactional value are presented within an overall context, informed by value chain and process management theory. Using entity lifecycle analysis, the IT value chain is decomposed into four major value streams: application service, infrastructure service, asset, and technology product. Also based on the entity analysis, nine cross-cutting processes are proposed: demand, project, release, change, request, transaction, restore, improve, retire. Grounded in principles of functional and data architecture, 40 IT functions and 29 IT conceptual entities are defined. MRP and ERP origins, value, and challenges are discussed with reference to industrial literature, the idea of “ERP for IT” is introduced, and 19 major classes of IT management systems are defined. Finally, each major catalog is matrixed to each other to show interactions. Keywords: IT Services, Enterprise Architecture, IT value chain, IT value stream, IT processes, entity lifecycles, capability maturity, process framework, cross-functional process, data architecture, functional decomposition, systems interactions, MRP, ERP, ERP for IT</t>
  </si>
  <si>
    <t>https://www.sciencedirect.com/science/article/pii/B978012385017100002X</t>
  </si>
  <si>
    <t>Extracting Principles for Information Management Adaptability during Crisis Response: A Dynamic Capability View</t>
  </si>
  <si>
    <t>2010 43rd Hawaii International Conference on System Sciences</t>
  </si>
  <si>
    <t>During crises, relief agency commanders have to make decisions in a complex and uncertain environment, requiring them to continuously adapt to unforeseen environmental changes. In the process of adaptation, the commanders depend on information management systems for information. Yet there are still numerous reports of situations in which commanders had to make decisions based on incomplete, outdated or incorrect information, indicating poor information quality. In many of these situations, poor information quality can be attributed to the information management process incapable of adapting to external (environmental) changes and internal (team) information needs. Using dynamic capability theory and the findings of a case study, this paper presents four principles for information management adaptability: (1) maintain and update team memory, (2) dedicate resources for environmental scanning, (3) maximize the number of alternative information sources and (4) integrate forecasting and back casting methods in the information management process.</t>
  </si>
  <si>
    <t>P. Bhattacharya</t>
  </si>
  <si>
    <t>Modelling Strategic Alignment of Business and IT through Enterprise Architecture: Augmenting Archimate with BMM</t>
  </si>
  <si>
    <t>80-88</t>
  </si>
  <si>
    <t>In the last decade, Enterprise Architecture (EA) has been proposed to have the potential to improve and support strategic alignment between business and IT. This paper presents a new model, using a new modelling technique based on two leading modelling techniques, to depict strategic alignment between business and IT through the lens of an Enterprise Architecture framework, The Open Group Architecture Framework (TOGAF). The contribution of this paper is two-fold. Firstly, it augmented the Archimate modelling notation with the constructs of the Business Motivation Model (BMM) to present a more comprehensive technique of modelling strategic alignment of business and IT. Secondly, the paper also presents a new model that aims to explain the mechanism through which an Enterprise Architecture can enable strategic alignment between business and IT.</t>
  </si>
  <si>
    <t>https://www.sciencedirect.com/science/article/pii/S1877050917322032</t>
  </si>
  <si>
    <t>P. Bikar</t>
  </si>
  <si>
    <t>An Open Architecture Framework for Safety and Security</t>
  </si>
  <si>
    <t>2009 IEEE International Conference on Communications Workshops</t>
  </si>
  <si>
    <t>In order to deal with the increasing frequency and complexity of disasters (natural or man-made), forward-looking emergency agencies are developing service-oriented architectures able to integrate innovative solutions for their evolving operational requirements. This paper articulates the vision, principles and methodology of an architecture framework - based on TOGAF - to guide an architect from the challenges his organization is facing to the selection of the most adequate solutions.</t>
  </si>
  <si>
    <t>Towards knowledge modeling and manipulation technologies: A survey</t>
  </si>
  <si>
    <t>International Journal of Information Management</t>
  </si>
  <si>
    <t>6, Part A</t>
  </si>
  <si>
    <t>857-871</t>
  </si>
  <si>
    <t>A system which represents knowledge is normally referred to as a knowledge based system (KBS). This article focuses on surveying publications related to knowledge base modelling and manipulation technologies, between the years 2000–2015. A total of 185 articles excluding the subject descriptive articles which are mentioned in the introductory parts, were evaluated in this survey. The main aim of this study is to identify different knowledge base modelling and manipulation techniques based on 4 categories; 1) linguistic knowledge base; 2) expert knowledge base; 3) ontology and 4) cognitive knowledge base. This led to the proposition of 8 research questions, which focused on the different categories of knowledge base modelling technologies, their underlying theories, knowledge representation technique, knowledge acquisition technique, challenges, applications, development tools and development languages. A part of the findings from this survey is the high dependence of linguistic knowledge base, expert knowledge base and ontology on volatile expert knowledge. A promising technique for knowledge-based business management and other knowledge related applications is also discussed.</t>
  </si>
  <si>
    <t>https://www.sciencedirect.com/science/article/pii/S026840121630336X</t>
  </si>
  <si>
    <t>Process Migration Framework - Virtualising and Documenting Business Processes</t>
  </si>
  <si>
    <t>2014 IEEE 18th International Enterprise Distributed Object Computing Conference Workshops and Demonstrations</t>
  </si>
  <si>
    <t>398-401</t>
  </si>
  <si>
    <t>The process migration framework (PMF) aims to extract a process from a shared system that hosts multiple processes, and redeploy it in a dedicated virtual machine. Moreover, the PMF supports the documentation of the business process implementation. Main issues when migrating processes are the identification of the process environment (i.e. software packages, files, system settings) and the recreation of this environment. Existing migration tools mainly focus on entire systems or operate on a low level that is difficult to maintain. Main concepts of the PMF are the static and dynamic extraction of process information, monitoring of the process execution, and the usage of a process context model to describe the process environment. The application of the PMF will be demonstrated in the context of a civil engineering business process and an e-Science workflow. Using the PMF it is shown that maintainability, flexibility, shareability, and preservability of business processes is improved by deploying them in dedicated systems, and a comprehensive documentation about the process environment can be provided.</t>
  </si>
  <si>
    <t>A Single Sign on based secure remote user authentication scheme for Multi-Server Environments</t>
  </si>
  <si>
    <t>International Conference on Computing and Communication Technologies</t>
  </si>
  <si>
    <t>XML</t>
  </si>
  <si>
    <t>A Multi-Server Architecture comprises of a server environment having many different servers which provides the user the flexibility of accessing resources from multiple Service Providing Servers using the same credential. The primary objective of a Multi Server Environment (MSE) is to provide services of different Service Providers (SPs) without repeating registration at each SP server, and to get a unique single credential for all the servers in MSE. However, the conventional MSEs, proposed by various researchers, proposes the individual authentication service by each SP on their respective server using the credential issued by the Registration Authority of MSE. The mechanism requires the user to access each SP by keying the same credentials for every SP separately. Single Sign On (SSO) is an authentication mechanism that enables a user to sign-on once and access the services of various SPs in the same session. SAML is generally used as a Single Sign-On protocol. This work analyzes the smart card based authentication scheme for Multi-Server Environment proposed by Li et al.'s and discuss various security attacks on the said scheme. The paper also proposes a Secure Dynamic-ID based scheme using smart cards or crypto cards which do not require a verifier table and implements Single Sign On feature using SAML protocol, thus allowing the user to enjoy all the features of an MSE along with SSO.</t>
  </si>
  <si>
    <t>S. Birudavolu</t>
  </si>
  <si>
    <t>Prototype aided Knowledge Base of Incremental Specification for Evolutionary Complex Systems</t>
  </si>
  <si>
    <t>2009 IEEE International Advance Computing Conference</t>
  </si>
  <si>
    <t>1330-1334</t>
  </si>
  <si>
    <t>Complex software systems, such as telecom OSS/BSS, evolve over the years, based on a stream of incremental specifications. This paper examines the raison d'etre and an approach for building a repository of validating prototypes against key requirements in the incremental specifications, to formalize the specifications in a requirements engineering knowledge base.</t>
  </si>
  <si>
    <t>Use It or Lose It? The Role of Pressure for Use and Utility of Enterprise Architecture Artifacts</t>
  </si>
  <si>
    <t>133-140</t>
  </si>
  <si>
    <t>In this paper we explore the role of pressure for the use of enterprise architecture (EA) artifact. Based on a quantitative dataset on EA artifacts and enterprise architecture management (EAM) benefits, we specifically explore the relationships between the use intensity of EA artifacts, pressure to use these artifacts, and EAM benefit realization. Focusing on the role of pressure to use EA artifacts, we conceptualize four different classes of artifacts based on (1) how intensively they are used in practice and (2) to what degree pressure increases the use intensity. Our results suggest that each class (EA shelf-warmers, EA superstars, EA annoyances, EA pressure beneficiaries) requires different approaches to foster its use intensity. We derive pressure-based and pressure-free approaches for each class aiming at increasing the use intensity of EA artifacts. Additionally we identify the EA artifacts that have the highest impact on EAM utility (e.g., map of company goals, target process map, target application landscape, and the principle ease of use). We discuss management implications accordingly.</t>
  </si>
  <si>
    <t>431-444</t>
  </si>
  <si>
    <t>The importance of architectures for interoperability</t>
  </si>
  <si>
    <t>IOS Press</t>
  </si>
  <si>
    <t>18-56</t>
  </si>
  <si>
    <t>The paradigm changes health systems are faced with result in highly complex and distributed systems requiring flexibility, autonomy, but first of all advanced interoperability. In that context, understanding the architecture of the system to be supported as well as the process to meet the intended business objectives is crucial. Unfortunately, there is a lot of confusion around the term architecture, which doesn't facilitate the integration of systems. Using a reference architecture model and framework, relevant existing architectural approaches are analyzed, compared and critically discussed, but also harmonized using a reference architectural model and framework. © 2015 The authors and IOS Press. All rights reserved.</t>
  </si>
  <si>
    <t>https://www.scopus.com/inward/record.uri?eid=2-s2.0-84939247805&amp;doi=10.3233%2f978-1-61499-516-6-18&amp;partnerID=40&amp;md5=953e92ef3b89728c5087cf0192b5aac7</t>
  </si>
  <si>
    <t>Towards standardized Vehicle Grid Integration: Current status, challenges, and next steps</t>
  </si>
  <si>
    <t>2015 IEEE Transportation Electrification Conference and Expo (ITEC)</t>
  </si>
  <si>
    <t>This paper studies what are needed to enable the standardization of Vehicle Grid Integration (VGI). The requirements of interoperable VGI are examined at multiple interoperability layers defined by reference architecture models, including European Commission's Mandate 490 (EU-M490), National Institute of Standards and Technology (NIST) Smart Grid Architectural Methodology (SGAM), and the Institute of Electrical and Electronic Engineers (IEEE) 2030 Smart Grid Interoperability Reference Model (SGIRM). The current status of standards and technology development is reviewed and VGI demonstrations are discussed. The paper identifies barriers for the implementation of an interoperable VGI and provides recommendations to address these challenges.</t>
  </si>
  <si>
    <t>Change impact analysis of enterprise architectures</t>
  </si>
  <si>
    <t>IRI -2005 IEEE International Conference on Information Reuse and Integration, Conf, 2005.</t>
  </si>
  <si>
    <t>177-181</t>
  </si>
  <si>
    <t>An enterprise architecture is a high-level description intended to capture the vision of an enterprise integrating all its dimensions: organization structure, business processes, and infrastructure. Every single part of an enterprise is subject to change, and each change may have significant consequences within all domains of the enterprise. A lot of effort is therefore devoted to maintaining the integrity of an architectural description. In this paper we address the problem of mastering the ripple effects of a proposed change. This allows architects to assess the consequences of a particular change to the enterprise, in order to identify potential impacts of a change before it actually takes place.</t>
  </si>
  <si>
    <t>Experiences with Semantic Wikis for Architectural Knowledge Management</t>
  </si>
  <si>
    <t>2011 Ninth Working IEEE/IFIP Conference on Software Architecture</t>
  </si>
  <si>
    <t>32-41</t>
  </si>
  <si>
    <t>In this paper, we reflect on our experiences with using semantic wikis for architectural knowledge management in two different contexts: e-government and distributed software development. Whereas our applications of semantic wikis in e-government focus on organizing and structuring architectural knowledge for reuse, the applications in distributed software development focus on searching and querying architectural knowledge. Yet, the emerging research challenges - alignment of knowledge models, knowledge versioning, change acknowledgements - are very similar.</t>
  </si>
  <si>
    <t>Towards Integrating Microservices with Adaptable Enterprise Architecture</t>
  </si>
  <si>
    <t>IT environments that consist of a very large number of rather small structures like microservices, Internet of Things (IoT) components, or mobility systems are emerging to support flexible and agile products and services in the age of digital transformation. Biological metaphors of living and adaptable ecosystems with service-oriented enterprise architectures provide the foundation for self-optimizing, resilient run- time environments and distributed information systems. We are extending Enterprise Architecture (EA) methodologies and models that cover a high degree of heterogeneity and distribution to support the digital transformation and related information systems with micro-granular architectures. Our aim is to support flexibility and agile transformation for both IT and business capabilities within adaptable digital enterprise architectures. The present research paper investigates mechanisms for integrating Microservice Architectures (MSA) by extending original enterprise architecture reference models with elements for more flexible architectural metamodels and EA-mini-descriptions.</t>
  </si>
  <si>
    <t>Total Information Risk Management: Maximizing the Value of Data and Information Assets</t>
  </si>
  <si>
    <t>1-290</t>
  </si>
  <si>
    <t>https://www.scopus.com/inward/record.uri?eid=2-s2.0-84903807146&amp;doi=10.1016%2fC2012-0-00446-2&amp;partnerID=40&amp;md5=2a09e002a968f914c885d8a26e6747d8</t>
  </si>
  <si>
    <t>Chapter 6 - TIRM Process Stage A: Establish the Context</t>
  </si>
  <si>
    <t>Total Information Risk Management</t>
  </si>
  <si>
    <t>73-101</t>
  </si>
  <si>
    <t>Abstract This chapter is a step-by-step guide for implementing Stage A, establishing the context, of the TIRM process.</t>
  </si>
  <si>
    <t>https://www.sciencedirect.com/science/article/pii/B9780124055476000067</t>
  </si>
  <si>
    <t>Case Report of Identifying and Measuring IT Architecture Principles in the Dutch Tax Agency</t>
  </si>
  <si>
    <t>2016 IEEE 18th Conference on Business Informatics (CBI)</t>
  </si>
  <si>
    <t>100-110</t>
  </si>
  <si>
    <t>Process clusters for information system diagnostics: An approach by Organisational Urbanism</t>
  </si>
  <si>
    <t>Production Planning and Control</t>
  </si>
  <si>
    <t>91-106</t>
  </si>
  <si>
    <t>The objective of this research is to use enterprise architecture models in order to develop a decision aid approach to facilitate change management of information systems (ISs). Therefore, we propose to use Organisational Urbanism. One of the principal added-values of this approach is its ability to analyse IS change constraints at the business process level. Organisational Urbanism starts by generating business process cluster maps, which are based on criteria that facilitate changes. These clusters will then constitute pertinent business domains used to structure the deployment of IS changes. Moreover, they can be used to diagnose specific aspects of ISs transformations. Thus, the objective of this study is to help IS managers to better select and implement change scenarios. The clustering method as well as an application for IS diagnostics are explained. The results are illustrated with a case study in partnership with STMicroelectronics. © 2011 Taylor &amp; Francis.</t>
  </si>
  <si>
    <t>https://www.scopus.com/inward/record.uri?eid=2-s2.0-78650601696&amp;doi=10.1080%2f09537287.2010.490023&amp;partnerID=40&amp;md5=2f954c6f153632a7e9101363838d1144</t>
  </si>
  <si>
    <t>RESEARCH TRENDS FOR DECISION AIDS FOR CHANGE MANAGEMENT</t>
  </si>
  <si>
    <t>IFAC Proceedings Volumes</t>
  </si>
  <si>
    <t>207-212</t>
  </si>
  <si>
    <t>This paper presents the analysis of two surveys, one academic and one industrial. The goal was to provide research perspectives in the field of change management for industrial systems. This communication is the result of multi-disciplinary study (ADESI project) launched by the National Centre of Scientific Research, CNRS. The “raison d'etre” of this work, is to answer the strong need to coordinate both academic and industrial communities as well as the necessity of multi-disciplinary approaches for decision-aids applied to change management.</t>
  </si>
  <si>
    <t>https://www.sciencedirect.com/science/article/pii/S1474667015330524</t>
  </si>
  <si>
    <t>Towards hybrid semantics of Enterprise Modeling Languages</t>
  </si>
  <si>
    <t>2016 4th International Conference on Model-Driven Engineering and Software Development (MODELSWARD)</t>
  </si>
  <si>
    <t>412-420</t>
  </si>
  <si>
    <t>Enterprise Modeling Languages (EMLs) are generally perceived as conceptual modeling languages having a formal syntax and informal semantics. The non-formality of semantics is mainly caused by the materiality of the addressed domain (enterprises and its related aspects) and the resulting personal interpretation of syntactical constructs. However, EMLs may also explicitly define invariant interpretations in the sense of possible model executions or the definition of domain-specific restrictions. It is therefore promising to address a possible amalgamation of material semantics and formal semantics in order to provide an integrated and comprehensive semantic specification of EMLs. This position paper introduces and motivates the topic by systematizing and consolidating approaches from both fields and introduces a framework for so-called hybrid semantics on the meta model layer. Further, the general relevance of semantics and semantic specifications in EMLs is emphasized and prospective research challenges are proposed.</t>
  </si>
  <si>
    <t>A. W. Brown</t>
  </si>
  <si>
    <t>MDA Redux: Practical Realization of Model Driven Architecture</t>
  </si>
  <si>
    <t>Seventh International Conference on Composition-Based Software Systems (ICCBSS 2008)</t>
  </si>
  <si>
    <t>174-183</t>
  </si>
  <si>
    <t>UML</t>
  </si>
  <si>
    <t>Models and model-based transformations are a key part of effective automated software development approaches. Unfortunately, early enthusiasm for Model Driven Architecture (MDA) has dissipated to the point that many people are openly skeptical of the value of any model-driven approach. This paper argues that to be successful, an MDA approach must be executed in context of a sound Enterprise Architecture providing an integrated business architecture and governance structure that enables an organization to respond to business requirements quickly and appropriately. The paper examines the practical realities of MDA, and provides examples, best practices, and heuristics for achieving success with MDA based on IBM's extensive experiences with MDA tooling and technologies.</t>
  </si>
  <si>
    <t>A Web-enabled virtual repository for supporting distributed automotive component development</t>
  </si>
  <si>
    <t>Advanced Engineering Informatics</t>
  </si>
  <si>
    <t>173-190</t>
  </si>
  <si>
    <t>This paper describes a web-enabled repository system that has been designed for supporting distributed automotive component development. The repository is based on an integrated product and process life-cycle information model, derived from ISO standards and using EPISTLE generic entity modelling principles. This core model can be used with reference data libraries, such as for activities, components, documents and properties. The scope and characteristics of the model are described, along with its relation to standard product data models and classification schemes. Component design and analysis representational models are referenced as resources through document meta-data, with virtual access via the repository. The modelling approach is compatible with the current development of ontologies and topic maps for the Semantic Web, with an inter-operability route via the Resource Description Framework (RDF). The paper also provides an outline of the system architecture, the associated Web tools and the Business Object library for building client-server applications. An industrial application for fatigue studies is described, illustrating comparison of analysis and test data, repository search and provision of best practice advice. The aim is to produce a flexible system that can be populated and extended directly by engineers, shielding them from the details of the information model.</t>
  </si>
  <si>
    <t>https://www.sciencedirect.com/science/article/pii/S1474034605000042</t>
  </si>
  <si>
    <t>O. Bubak</t>
  </si>
  <si>
    <t>Composing a course book for system and enterprise architecture education</t>
  </si>
  <si>
    <t>2006 IEEE/SMC International Conference on System of Systems Engineering</t>
  </si>
  <si>
    <t>6 pp.</t>
  </si>
  <si>
    <t>The systems designed and build today are very involved, yet engineers seek ways of building systems that are even more complex. The key to success in this effort is mature systems architectures to guide engineers in the process of integrating components and evolving them into larger systems. The academic research and study in this area is expanding, although the amount of educational material and textbooks in the field of system architecting is minimal. The contribution of this paper is in outlining an advanced student text for system and enterprise architecting. In addition to providing an overview of major architecting topics to be included in the text, the work also adds the needed context. The author plans to elaborate upon this effort to create a volume that is to serve not only as a pedagogical aid, but also as a handy reference of any systems architect</t>
  </si>
  <si>
    <t>Agile modelling method engineering: Lessons learned in the ComVantage research project</t>
  </si>
  <si>
    <t>356-373</t>
  </si>
  <si>
    <t>The paper reports on experiences accumulated during a EU research project where challenges pertaining to requirements-driven metamodelling agility have been analysed. Traditionally, modelling languages are perceived as stable artefacts – that is, if they address a sufficiently large community with fixed modelling requirements on a fixed layer of abstraction. However, the enterprise modelling community must also consider the case where evolving requirements emerge in a narrow domain, or even in a single enterprise, therefore reusability across domains will be sacrificed to the benefit of on-demand adaptation, specialization or integration. Under such conditions, an agile metamodelling approach was applied in the ComVantage project and this, in turn, raised specific requirements for conceptual and technological enablers, allowing us to derive conclusions that are generalized here beyond the project scope. The paper’s concluding SWOT analysis highlights the need to stimulate the emergence of an agile metamodelling paradigm based on community-driven enablers. © IFIP International Federation for Information Processing 2015.</t>
  </si>
  <si>
    <t>https://www.scopus.com/inward/record.uri?eid=2-s2.0-84952672210&amp;doi=10.1007%2f978-3-319-25897-3_23&amp;partnerID=40&amp;md5=702e1459df06c5c6f67647c9c99a9122</t>
  </si>
  <si>
    <t>A meta-language for enterprise architecture analysis</t>
  </si>
  <si>
    <t>81 LNBIP</t>
  </si>
  <si>
    <t>511-525</t>
  </si>
  <si>
    <t>Enterprise Architecture (EA) management is a commonly accepted instrument to support strategic decision making. The objective of EA management is to improve business IT alignment by making the impact of planned changes explicit. The increasing interconnectivity of applications with other applications and with business processes however makes it difficult to get a complete view on change impacts and dependency structures. This information is nevertheless required to support decision makers. Current meta-languages proposed for the context of EA management provide only limited support for modelling qualitative and quantitative dependencies. In this paper we propose a meta-language, which builds on the Meta Object Facility (MOF). This meta-language specifically accounts for the requirements of EA analysis. We discuss existing meta-languages from the field of EA management and related areas against these requirements. Building on the standard of the OMG, we present an extension of MOF designed to support EA analysis. The theoretic exposition of the extension is complemented by an example illustrating the applicability of the presented meta-language. © 2011 Springer-Verlag.</t>
  </si>
  <si>
    <t>https://www.scopus.com/inward/record.uri?eid=2-s2.0-79960333148&amp;doi=10.1007%2f978-3-642-21759-3_37&amp;partnerID=40&amp;md5=a9af2550b112432024319f68c715b4b6</t>
  </si>
  <si>
    <t>A viable system perspective on enterprise architecture management</t>
  </si>
  <si>
    <t>2009 IEEE International Conference on Systems, Man and Cybernetics</t>
  </si>
  <si>
    <t>1483-1488</t>
  </si>
  <si>
    <t>A number of approaches towards enterprise architecture (EA) management is proposed in literature, differing in the underlying understanding of the EA as well as in the description of the function for performing EA management. These plurality of methods and models should be interpreted as an indicator of the low maturity of the research area. In contrast, some researchers see it as inevitable consequence of the diversity of the enterprises under consideration. Staying to this interpretation, we approach the topic of EA management from a cybernetic point of view. Thereby, we elicit constituents, which should be considered in every EA management function based on a viable system perspective on the topic. From this perspective, we further revisit selected EA management approaches and show to which extent they allude to the viable system nature of the EA.</t>
  </si>
  <si>
    <t>245-252</t>
  </si>
  <si>
    <t>Conceptual Models for Cross-Cutting Aspects in Enterprise Architecture Modeling</t>
  </si>
  <si>
    <t>2010 14th IEEE International Enterprise Distributed Object Computing Conference Workshops</t>
  </si>
  <si>
    <t>The benefit of enterprise architecture (EA) management is directly coupled to the underlying conceptualization of the enterprise. This conceptualization should reflect the goals pursued by the EA management endeavor and focus on the areas of interest of the involved stakeholders. Whereas this statements often goes as a matter of course, an enterprise willing to develop such a goal-adequate conceptualization, finds itself confronted with a plethora of different approaches typically proposing a one-size-fits-it-all model, which neglects the subject of enterprise-specificity. These models are typically described in an object-oriented manner utilizing concepts like class, property, and relationship. Specific aspects relevant in the area of EA management, such as temporality, property-dependency, and cross-cutting aspects are more often than not neglected in this approaches. In this paper, we addresses the challenge of conceptualizing cross-cutting aspects in EA modeling. Cross-cutting aspects refer to EA-related concepts, like goals or projects, which may exert influence on other concepts of the EA model. Therefore, the state-of-the-art in EA conceptualization is revisited resulting in the identification of four cross-cutting aspects of EA modeling: goals, lifecycles, projects, and standards. Along these aspects we raise questions concerning a suitable alternative modeling language for EA conceptualizations and discuss options of future research.</t>
  </si>
  <si>
    <t>50 LNBIP</t>
  </si>
  <si>
    <t>169-181</t>
  </si>
  <si>
    <t>https://www.scopus.com/inward/record.uri?eid=2-s2.0-84876225369&amp;doi=10.1007%2f978-3-642-13051-9_15&amp;partnerID=40&amp;md5=e5b02e1785102c4af81a900f3d06672e</t>
  </si>
  <si>
    <t>A Design Theory Nexus for Situational Enterprise Architecture Management</t>
  </si>
  <si>
    <t>Today's enterprises are confronted with an ever changing environment demanding continuous adaptation. A commonly accepted instrument to guide such transformations is enterprise architecture (EA) management. Enterprises seeking to introduce and establish such a management function see themselves confronted with a plethora of tools, approaches, and frameworks that claim to provide the definitive design prescriptions' for an EA management function. The applicability of the different prescriptions nevertheless heavily depends on the organizational context in which such a management function has to be embedded and the EA-related goals that the enterprise wants to pursue. This paper presents a design theory nexus (DTN) for situational EA management, that helps enterprises to choose the EA management approach best suited for their specific situation. To build such a DTN, related work from the field of situational method engineering is revisited and prominent approaches to EA management are discussed. Utilizing the DTN an enterprise can specify its organizational context as well as its goals, and is provided with a selection of suitable approaches. The applicability of the approach is exemplified along the EA management pattern catalog of the TU Munich.</t>
  </si>
  <si>
    <t>A situated approach to enterprise architecture management</t>
  </si>
  <si>
    <t>2010 IEEE International Conference on Systems, Man and Cybernetics</t>
  </si>
  <si>
    <t>587-592</t>
  </si>
  <si>
    <t>Today's enterprises are confronted with a challenging environment that demands continuous transformations. Globalized markets, disruptive technological innovations, and new legal regulations call for enterprises, which flexibly adapt to these requirements. A commonly accepted means to guide such enterprise transformations is enterprise architecture (EA) management. Enterprises seeking to introduce and establish such a management function see themselves confronted via a plethora of tools, approaches, and frameworks that claim to provide &amp;#x201C;the definitive design prescriptions&amp;#x201D; for an EA management function. The applicability of the different prescriptions nevertheless heavily depends on the organizational context and the EA-related goals that the enterprise wants to pursue. This paper presents an extensible set of selection guidelines, that helps enterprises to choose the EA management approach best suited for their goals and context. These selection guidelines are linked to different EA management approaches and frameworks, which are related to organizational contexts, in which they can operate, and EA management goals, that the approaches can help to pursue. Utilizing the selection guidelines, an enterprise can specify the applicable context as well as its EA management goals, and is provided with a selection of suitable approaches. Finally an outlook critically reflects the findings of the paper and provides an outlook on future areas of research.</t>
  </si>
  <si>
    <t>Extending the Method of Bedell for Enterprise Architecture Valuation</t>
  </si>
  <si>
    <t>2011 IEEE 15th International Enterprise Distributed Object Computing Conference Workshops</t>
  </si>
  <si>
    <t>370-379</t>
  </si>
  <si>
    <t>If and where IT investments should be made can be determined with the help of IT portfolio valuation instruments. An interesting approach is Bedell's method. However, this method originates from a time where enterprises we restructured according to the classical silo architecture. Nowadays the importance of IT has increased, and IT systems and services are more and more interwoven with the business. Enterprise Architecture is a model-based approach that takes into consideration how companies are structured today and how they apply IT. In order to use Enterprise Architecture models in conjunction with Bedell's method the method needs to be extended. This paper presents an updated version of Bedell's method that exploits Enterprise Architecture models, in particular the information they contain about the alignment of IT support to the business. In addition, the paper illustrates the application of the method using an example.</t>
  </si>
  <si>
    <t>From programming to modeling</t>
  </si>
  <si>
    <t>2008 ACM/IEEE 30th International Conference on Software Engineering</t>
  </si>
  <si>
    <t>749-758</t>
  </si>
  <si>
    <t>Distributed Software Engineering (DSE) concepts in Computer Science (or Engineering) Degrees are commonly introduced using a hands-on approach mainly consisting of teaching a particular distributed and component-based technology platform (such as Java Enterprise Edition or Microsoft .NET) and proposing the students to develop a small distributed software application with it. Though this approach provides the students with some relevant practical knowledge, we believe that it is not the most appropriate way of teaching all the concepts and particularities of DSE. Thus, in this paper we report on our experience of redesigning an initial DSE course following a model-based approach. By raising the level of abstraction we gained modularity, separation of concerns and technology independence, while making the course evolve according to the latest trends in software development methods.</t>
  </si>
  <si>
    <t>Privilege Management Infrastructure for Virtual Organizations in Healthcare Grids</t>
  </si>
  <si>
    <t>IEEE Transactions on Information Technology in Biomedicine</t>
  </si>
  <si>
    <t>316-323</t>
  </si>
  <si>
    <t>This paper is focused on the management of virtual organizations (VO) inside healthcare environments where grid technology is used as middleware for a healthcare services-oriented architecture (HSOA). Some of the main tasks considered for the provision of an efficient VO management are management of users, assignation of roles to users, assignation of privileges to roles, and definition of resources access policies. These tasks are extremely close to privilege management infrastructures (PMI), so we face VO management services as part of the PMI supporting access control to healthcare resources inside the HSOA. In order to achieve a completely open and interoperable PMI, we review and apply standards of security and architectural design. Moreover, semantic technologies are introduced in decision points for access control allowing the management of a high degree of descriptors by means of ontologies and infer the decision making through rules and reasoners.</t>
  </si>
  <si>
    <t>Using information activity and capability effect to bridge gaps between OV, CV and SV/SvcV</t>
  </si>
  <si>
    <t>2017 IEEE International Systems Engineering Symposium (ISSE)</t>
  </si>
  <si>
    <t>To facilitate system architecture development using DoDAF, we propose an architecture development methodology based on DoDAF 2.0 in this paper. First, based on experiences in practice, gaps between Operational Viewpoint (OV), Capability Viewpoint (CV) and System/Service Viewpoint (SV/SvcV) are analyzed. Second, to bridge the gaps, two architecture viewpoints, i.e. Information activity Viewpoint (IaV) and Capability effect Viewpoint (CeV) proposed in our previous work, are introduced. In addition, a meta-model is provided to define key architecture elements and their relationships in these six viewpoints (i.e. OV, CV, IaV, CeV, SV and SvcV). Third, via analysis of element associations in different viewpoints and models, we give a suggested process of developing system architecture using the six viewpoints and their models, including model development steps, inputs and outputs of each step. Finally, a case study is conducted by applying our methodology to describe architecture of a defense system. Results show that our methodology can effectively facilitate system architecture development and help architects (especially for information system architects) to develop architecture from OV, CV to SV and SvcV.</t>
  </si>
  <si>
    <t>10 years of software architecture knowledge management: Practice and future</t>
  </si>
  <si>
    <t>191-205</t>
  </si>
  <si>
    <t>The importance of architectural knowledge (AK) management for software development has been highlighted over the past ten years, where a significant amount of research has been done. Since the first systems using design rationale in the seventies and eighties to the more modern approaches using AK for designing software architectures, a variety of models, approaches, and research tools have leveraged the interests of researchers and practitioners in AK management (AKM). Capturing, sharing, and using AK has many benefits for software designers and maintainers, but the cost to capture this relevant knowledge hampers a widespread use by software companies. However, as the improvements made over the last decade didn't boost a wider adoption of AKM approaches, there is a need to identify the successes and shortcomings of current AK approaches and know what industry needs from AK. Therefore, as researchers and promoters of many of the AK research tools in the early stages where AK became relevant for the software architecture community, and based on our experience and observations, we provide in this research an informal retrospective analysis of what has been done and the challenges and trends for a future research agenda to promote AK use in modern software development practices.</t>
  </si>
  <si>
    <t>https://www.sciencedirect.com/science/article/pii/S0164121215002034</t>
  </si>
  <si>
    <t>A. Čaplinskas</t>
  </si>
  <si>
    <t>Requirements elicitation in the context of enterprise engineering: A vision driven approach</t>
  </si>
  <si>
    <t>Informatica</t>
  </si>
  <si>
    <t>343-368</t>
  </si>
  <si>
    <t>In the context of enterprise engineering, strategic planning, information systems engineering,and software engineering activities should be tightly integrated. Traditional, interviewbased requirements gathering and elicitation techniques are suited for this aim not enough well and often lead to the violation of the strategic alignment. The vision-driven requirements engineering has been proposed to solve this problem. The paper contributes to the further development of vision-driven requirements engineering techniques. It proposes a methodical framework that defines a complete scheme to organize different level requirements and allows to flowdown requirements from business to software level preserving their business-orientation. © 2009 Institute of Mathematics and Informatics, Vilnius.</t>
  </si>
  <si>
    <t>https://www.scopus.com/inward/record.uri?eid=2-s2.0-70349802349&amp;partnerID=40&amp;md5=d70ce41173c543c8fdac807d93f0a09c</t>
  </si>
  <si>
    <t>A methodological framework for enterprise information system requirements derivation</t>
  </si>
  <si>
    <t>655-663</t>
  </si>
  <si>
    <t>Current information systems (IS) are enterprise-wide systems supporting strategic goals of the enterprise and meeting its operational business needs. They are supported by information and communication technologies (ICT) and other software that should be fully integrated. To develop software responding to real business needs, we need requirements engineering (RE) methodology that ensures the alignment of requirements for all levels of enterprise system. The main contribution of this chapter is a requirement-oriented methodological framework allowing to transform business requirements level by level into software ones. The structure of the proposed framework reflects the structure of Zachman's framework. However, it has other intentions and is purposed to support not the design but the RE issues. © 2009 Springer Science+Business Media, LLC.</t>
  </si>
  <si>
    <t>https://www.scopus.com/inward/record.uri?eid=2-s2.0-80052120420&amp;doi=10.1007%2fb137171_68&amp;partnerID=40&amp;md5=f91fc985bfbd3c1232e1f597e08c2ca2</t>
  </si>
  <si>
    <t>E. C. S. Cardoso</t>
  </si>
  <si>
    <t>Challenges in Performance Analysis in Enterprise Architectures</t>
  </si>
  <si>
    <t>327-336</t>
  </si>
  <si>
    <t>This paper reviews the support for modeling KPI-related concepts in several enterprise modelling approaches and enterprise architecture frameworks. The scarcity of KPI modeling in EA approaches led us to open our scope of investigation to proposals in Business Process Management (BPM) area. Inside each approach, we first describe how these efforts propose to align goal-related concepts with KPI-related concepts (if the approach presents some kind of support for goal modeling). Further, the conceptual characterization for modeling KPI-related concepts in the context of EA models is also explored. Finally, we devote some considerations on how the KPI-related concepts are used to measure the properties of the EA elements and evaluate the achievement of goals. We conclude the paper proving challenges for the conceptual representation of a KPI modeling language that aims at measuring goal satisfaction the context of EA models.</t>
  </si>
  <si>
    <t>Haptic Middleware Based Software Architecture for Smart Learning</t>
  </si>
  <si>
    <t>2015 Asia-Pacific Conference on Computer Aided System Engineering</t>
  </si>
  <si>
    <t>257-263</t>
  </si>
  <si>
    <t>The software architecture of smart learning environment can be perceived as an environment that is equipped with various audio-visual objects to capture human motion, utterance and gesture, allowing the teacher to deliver lectures to both local and remote audience through the Internet. The interactive objects in such architectural environment are interfaced with simple navigation, depending on operation characteristics, voice, tactile and visual interaction with the aim to improve Human-Machine Interaction. This facilitates effective data acquisition and statistical analysis, in order to assist in decision making by the participants, as well as, apply them in the process of self-assessment. This paper discusses the design and implementation of integrating hap tic technologies into the architecture of smart learning environment by designing components of service oriented software middleware that defines a common gesture framework, and thus allowing multiple hap tic and gesture peripherals to share a within common protocol, as well as, enabling individual device to work as stand-alone entity.</t>
  </si>
  <si>
    <t>Transforming enterprise cloud services</t>
  </si>
  <si>
    <t>Transforming Enterprise Cloud Services</t>
  </si>
  <si>
    <t>Springer Netherlands</t>
  </si>
  <si>
    <t>1-428</t>
  </si>
  <si>
    <t>Transforming Enterprise Cloud Services addresses the fundamental ideology of Cloud Services and how enterprises in commercial, federal, and defense industries can transform their current information technology and management models to adopt this new method. It goes beyond the mere description of service frameworks in relation to cloud technologies and operations and provides practical path-forward solutions for identified challenges. For instance, as organizations transform their data and service models to compete in a new environment where data and services coexist with others in a public-held eco-system, enterprises have to face the challenge of data synthesis from a massive number of sources. One answer to this issue relies on a cross-organizational policy and technology coordination that can ensure that data will not be reproduced or manipulated by unauthorized entities. Transforming Enterprise Cloud Services explains how organizations can justify their current practices to take advantage of such collaboration synthesis securely, safely, reliably, and cost-effectively. Transforming Enterprise Cloud Services elucidates the service-oriented nature of Cloud Services and identifies issues and challenges from clients' and vendors' perspectives. It also portrays how enterprise operators can successfully deploy their IT environment from both business and technical perspectives to enable massive scalability, high resilience, enforced security, and collaborative dynamics. © Springer Science+Business Media B.V. 2010.</t>
  </si>
  <si>
    <t>https://www.scopus.com/inward/record.uri?eid=2-s2.0-84891422758&amp;doi=10.1007%2f978-90-481-9846-7&amp;partnerID=40&amp;md5=91a1584a085e267e76d6cdb006c40865</t>
  </si>
  <si>
    <t>P. R. Chelliah</t>
  </si>
  <si>
    <t>The Hadoop Ecosystem Technologies and Tools</t>
  </si>
  <si>
    <t>Advances in Computers</t>
  </si>
  <si>
    <t>Elsevier</t>
  </si>
  <si>
    <t>Abstract There are several interesting and inspiring trends and transitions succulently happening in the business as well as IT spaces. One noteworthy factor and fact is that there are fresh data sources emerging and pouring out a lot of usable and reusable data. With the number of different, distributed, and decentralized data sources is consistently on the rise, the resulting data scope, size, structure, schema, and speed are greatly changing and challenging too. The other dominant and prominent aspects include polyglot microservices are solidifying deeply as the new building and deployment/execution block in the software world toward the much-needed accelerated software design, development, deployment, and delivery. The device ecosystem expands frenetically with the arrival of trendy and handy, slim and sleek, disappearing and disposable gadgets, gizmos thereby ubiquitous (anywhere, anytime, and any device) access, and usage of web-scale information, content, and services get fructified. Finally, all sorts of casually found and cheap articles in our everyday environments (homes, hotels, hospitals, etc.) are being systematically digitized and service enabled in order to exhibit a kind of real-world smartness and sagacity in their individual as well as collective actions and reactions. Thus trillions of digitized objects, billions of connected devices, and millions of polyglot software services are bound to interact insightfully with one another over locally as well as with remote ones over any networks purposefully. And hence the amount of transactional, operational, analytical, commercial, social, personal, and professional data created through a growing array of interactions and collaborations is growing very rapidly. Now if the data getting collected, processed, and stocked are not subjected to deeper, deft, and decisive investigations, then the tactically as well as strategically sound knowledge (the beneficial patterns, tips, techniques, associations, alerts, risk factors, fresh opportunities, possibilities, etc.) hidden inside the data heaps goes unused literally. For collecting, stocking, and processing such a large amount of multistructured data, the traditional databases, analytics platforms, the ETL tools, etc., are found insufficient. Hence the Apache Hadoop ecosystem technologies and tools are being touted as the best way forward to squeeze out the right and relevant knowledge. In this chapter, you can find the details about the emerging technologies and platforms for spearheading the big data movement.</t>
  </si>
  <si>
    <t>https://www.sciencedirect.com/science/article/pii/S0065245817300475</t>
  </si>
  <si>
    <t>A ten-year survey of software architecture</t>
  </si>
  <si>
    <t>2010 IEEE International Conference on Software Engineering and Service Sciences</t>
  </si>
  <si>
    <t>729-733</t>
  </si>
  <si>
    <t>A software architecture can be described as the &amp;#x201C;blueprint&amp;#x201D; of a system at the highest level of abstraction, describing components and their important interconnections. In this paper, we retrospectively examine advances and achievements in software architecture during the last ten years, including software architecture description languages, design, analysis and evaluation, evolution and service-oriented architecture. Finally, we discuss the promising research directions on software architecture.</t>
  </si>
  <si>
    <t>Domain Modeling for Enterprise Information Systems - Formalizing and Extending Zachman Framework Using BWW Ontology</t>
  </si>
  <si>
    <t>2009 WRI World Congress on Computer Science and Information Engineering</t>
  </si>
  <si>
    <t>634-643</t>
  </si>
  <si>
    <t>Domain engineering is perhaps the most promising method for requirement reuse. However, most of the methods proposed are too generic and lack practical guidelines to be used in information systems development. An information system distinguishes itself from other software as it is developed to facilitate the operation of an organization, hence it reflects its strategies, plans, organizations, processes, marketing etc. We believe that domain knowledge involved in information system development, which may include industry specific knowledge and generic enterprise management knowledge, can be organized and modeled in enterprise architecture. We propose a conceptual modeling method for the domain modeling of information system based on one of the most widely used enterprise architectures, the Zachman Framework. Our approach maps phases of domain engineering to Zachman Framework and develops a meta-model for Zachman Framework which is adapted and integrated from the Bunge-Wand-Weber ontology. We also extend the Zachman Framework to represent features. This results in a more concrete and comprehensive information system development methodology. Finally we illustrate our methodology using an example of an ERP (enterprise resource planning) system in a manufacturing company.</t>
  </si>
  <si>
    <t>Rediscovering Zachman Framework Using Ontology from a Requirement Engineering Perspective</t>
  </si>
  <si>
    <t>2009 33rd Annual IEEE International Computer Software and Applications Conference</t>
  </si>
  <si>
    <t>An information system distinguishes itself from other software as it is developed to facilitate the operation of an organization, hence it reflects its strategies, plans, organizations, processes, marketing etc. We believe that the requirement in the form of domain knowledge acquired in the early stage of system development can be organized and modeled in Enterprise Architecture. However research in Enterprise Architecture focus on other issues rather than requirement engineering. Hence we propose several new ideas on the extension of Zachman Framework, one of the most widely used Enterprise Architectures. We first partition Zachman Framework from two different perspectives, domain engineering phases and requirement engineering techniques. Then we propose a meta-model for Zachman Framework which is adapted and integrated from the Bunge-Wand- Weber ontology and Enterprise Ontology.</t>
  </si>
  <si>
    <t>Requirement analysis for enterprise information systems - developing an ontological meta-model for zackman framework</t>
  </si>
  <si>
    <t>An enterprise information system distinguishes itself from other types of software as it is developed to facilitate the operation of an organization hence its requirement reflects its strategies, plans, organizations, processes, marketing etc. We believe that the requirements in the form of domain knowledge acquired in the early stage of system development can be organized and modeled in an Enterprise Architecture. Zachman Framework is one of the most widely used Enterprise Architectures. However, in the original version of the Zachman Framework, there is neither a rigorous meta-model nor a well-defined sequence in which to instantiate the cells, which prevents it from being used practically during the requirement engineering phase of an enterprise information system project. To improve such a situation we develop a conceptual meta-model for the Zachman Framework by adapting and integrating the Bunge-Wand-Weber ontology and the Enterprise Ontology. Based on this meta-model, various requirement acquisition processes can be formulated by specifying a sequence to traverse the meta-model graph and instantiate its nodes and edges. In this paper we present such a process, suitable for an enterprise system development project of a particular situation.</t>
  </si>
  <si>
    <t>https://www.scopus.com/inward/record.uri?eid=2-s2.0-84870963585&amp;partnerID=40&amp;md5=cb8f6a27061072eca57772e80850c9a1</t>
  </si>
  <si>
    <t>Enterprise-oriented cybersecurity management</t>
  </si>
  <si>
    <t>2014 Federated Conference on Computer Science and Information Systems</t>
  </si>
  <si>
    <t>863-870</t>
  </si>
  <si>
    <t>Information technology is widely used in processes vital to enterprises. Therefore, IT systems must meet at least the same level of security as required from the business processes supported by these systems. In this paper, we present a view on cybersecurity management as an enterprise-centered process, and we advocate the use of enterprise architecture in security management. Activities such as risk assessment, selection of security controls, as well as their deployment and monitoring should be carried out as a part of enterprise architecture activity. A set of useful frameworks and tools is presented and discussed.</t>
  </si>
  <si>
    <t>Event driven architecture modelling and simulation</t>
  </si>
  <si>
    <t>Proceedings of 2011 IEEE 6th International Symposium on Service Oriented System (SOSE)</t>
  </si>
  <si>
    <t>43-54</t>
  </si>
  <si>
    <t>Enterprise Architecture (EA) Modelling aims to analyze an organization in terms of its components, IT systems and business processes. Current modelling approaches are based on Service Oriented Architecture (SOA) whereby components publish interfaces of operations that are used via message passing. It has been argued that SOA leads to tight coupling between components and does not handle complex component interactions, with resulting maintenance difficulties. Event Driven Architecture (EDA) is an alternative strategy, based on listening for events, that is designed to address SOA shortcomings. However, there are no EA modelling technologies based on EDA. This paper reviews EA, SOA and EDA, identifies EDA characteristic features and proposes modelling and simulation technologies that are introduced through a simple case study.</t>
  </si>
  <si>
    <t>LEAP: A precise lightweight framework for Enterprise Architecture</t>
  </si>
  <si>
    <t>85-94</t>
  </si>
  <si>
    <t>This paper proposes LEAP, a simple framework for Enterprise Architecture (EA) that views an organization as an engine that executes in terms of hierarchically decomposed communicating components. The approach allows all aspects of the architecture to be precisely defined using standard modelling notations. Given that the approach is simple and precisely defined it can form the basis for a wide range of EA analysis techniques including simulation, compliance and consistency checking. The paper defines the LEAP framework and shows that it can be used to represent the key features of ArchiMate whilst containing fewer orthogonal concepts. We also show that the precision of LEAP, achieved through the use of OCL, can be used to verify both the claims made for inter-layer relationships in EA models and for extensions to ArchiMate.</t>
  </si>
  <si>
    <t>https://www.scopus.com/inward/record.uri?eid=2-s2.0-79953858103&amp;doi=10.1145%2f1953355.1953366&amp;partnerID=40&amp;md5=15c12830023ff3c7ac02428b13f72cde</t>
  </si>
  <si>
    <t>Using Business Goals to Inform a Software Architecture</t>
  </si>
  <si>
    <t>2010 18th IEEE International Requirements Engineering Conference</t>
  </si>
  <si>
    <t>69-78</t>
  </si>
  <si>
    <t>Requirements specifications seldom allow software and system architects to understand the business goals for a system. Architects need that information in order to design an appropriate architecture for the problem at hand. In this paper, we present a lightweight method based on goal oriented requirements engineering that begins with a canonical list of business goals and elicits specific business goals from the perspective of various stakeholders. It then interprets those business goals in terms of the quality attribute requirements that are so important to software architectures. Experience with using this method for a Boeing Air Transport System is presented.</t>
  </si>
  <si>
    <t>Evaluating System Architecture Quality and Architecting Team Performance Using Information Quality Theory</t>
  </si>
  <si>
    <t>IEEE Systems Journal</t>
  </si>
  <si>
    <t>PP</t>
  </si>
  <si>
    <t>As engineering projects grow in complexity, estimating the required engineering effort during the development phase of a project has become more art than science. Predictions of required engineering effort are based on empirical models fitted to historical data with additional subjective factors, such as &amp;#x201C;team cohesion,&amp;#x201D; applied based on the judgment of the user of the model. Recent work has shown that information quality theory can be used to estimate the engineering effort necessary to develop system requirements by evaluating the change in requirements uncertainty during the requirements engineering process. This paper builds upon that foundation by generalizing the information quality theory to apply to the variety of system engineering artifacts generated during the development phase of a program. The generalized form of information quality theory is implemented in a model for application to the system architecture definition process. Engineering effort required for system architecture definition on four programs is used to evaluate both the performance of the model and the performance of the system architecture definition teams. The results of the model and program evaluations show clear benefits in reducing the engineering effort required to define a system&amp;#x2019;s architecture when there is reuse from previous programs. The results of the evaluation also show the architecture definition team benefits from &amp;#x201C;momentum&amp;#x201D; and performs more efficiently if the team has completed a system&amp;#x2019;s architecture definition on a recent program.</t>
  </si>
  <si>
    <t>IEEE Consumer Electronics Society Election [Society News]</t>
  </si>
  <si>
    <t>IEEE Consumer Electronics Magazine</t>
  </si>
  <si>
    <t>Presents news of members' accomplishments or honors, appointments, or other announcements that would be of interest to Society memebers as well as the rest of the engineering community.</t>
  </si>
  <si>
    <t>Design and Analysis of IoT Applications: A Model-Driven Approach</t>
  </si>
  <si>
    <t>2016 IEEE 14th Intl Conf on Dependable, Autonomic and Secure Computing, 14th Intl Conf on Pervasive Intelligence and Computing, 2nd Intl Conf on Big Data Intelligence and Computing and Cyber Science and Technology Congress(DASC/PiCom/DataCom/CyberSciTech)</t>
  </si>
  <si>
    <t>392-399</t>
  </si>
  <si>
    <t>IoT</t>
  </si>
  <si>
    <t>The Internet of Things (IoT) is a new paradigm consisting of heterogeneous entities that communicate with each other by sending and receiving messages in heterogeneous formats through heterogeneous protocols to achieve a common goal. When designing IoT applications, there are two main challenges: the complexity to represent such heterogeneous entities, message formats, and protocols in an unambiguous manner, and the lack of methodologies to verify QoS (Quality of Service) properties. This paper introduces a design and analysis process supported by a framework to assist IoT application engineers to precisely model IoT applications and verify their properties. The framework is composed of the SysML4IoT, a SysML profile based on the IoT-A Reference Model, and the SysML2NuSMV, a model-to-text translator that converts the model and QoS properties specified on it to be executed by NuSMV, a mature model checker that allows entering a system model comprising a number of communicating Finite State Machines (FSM) and automatically checks its properties specified as Computational Tree Logic (CTL) or Linear Temporal Logic (LTL) formulas. Our approach is evaluated through a proof of concept implementation that analyzes the QoS property of reliability in a Building Energy Conservation (BEC) IoT application.</t>
  </si>
  <si>
    <t>X. Cui</t>
  </si>
  <si>
    <t>Co-design of the Business and Software Architectures: A Systems Engineering and Model-Driven Method</t>
  </si>
  <si>
    <t>2010 11th ACIS International Conference on Software Engineering, Artificial Intelligence, Networking and Parallel/Distributed Computing</t>
  </si>
  <si>
    <t>209-214</t>
  </si>
  <si>
    <t>Software architecture design plays a crucial role for both the software and business success. Most of the existing methods conduct software architecture design driven by the key software requirements, facing the challenges of creating architectures from scratch and aligning with the high-level business goals. In this paper we propose the BASAD (Business And Software Architecture co-Design) method to facilitate alleviating the difficulty of software architecture design and achieving the high-level business goals. The method addresses the business and software architecture design in an integrated process from a systems engineering perspective, leveraging the SysML and UML modeling languages and the automated model transformation from the business architectures to the software architectures, so that provide pragmatic support for the architecture co-design.</t>
  </si>
  <si>
    <t>Ontology as a tool for the IT management standards support</t>
  </si>
  <si>
    <t>6071 LNAI</t>
  </si>
  <si>
    <t>330-339</t>
  </si>
  <si>
    <t>In this paper the authors discuss the initial idea of using ontologies to model requirements of the standards that support IT management processes. The Open Group Architecture Framework (TOGAF) is set as an example. A need for transition from the generic model do the organization-specific one is indicated. The described example serves as a ground for considering the usefulness of such modeling approach in the wider spectrum of projects in the production engineering/process management fields. © 2010 Springer-Verlag.</t>
  </si>
  <si>
    <t>https://www.scopus.com/inward/record.uri?eid=2-s2.0-77954591231&amp;doi=10.1007%2f978-3-642-13541-5_34&amp;partnerID=40&amp;md5=d2548f751e9e454d12e626a675d8c3a7</t>
  </si>
  <si>
    <t>C. Dänekas</t>
  </si>
  <si>
    <t>Deriving business requirements from technology roadmaps to support ICT-architecture management</t>
  </si>
  <si>
    <t>2012 International Conference on Smart Grid Technology, Economics and Policies (SG-TEP)</t>
  </si>
  <si>
    <t>Information and Communication Technologies (ICT) shall be applied in context of the power system to efficiently manage (renewable) generation, storage and consumption of electrical energy. Discussed under the term Smart Grids, this trend also impacts the ICT-architectures of enterprises concerned with the power system. Especially utilities are expected to adapt their enterprise ICT-architectures regarding various technology fields from grid automation to customer services in order to ensure the systems reliability and realize new business capabilities. This contribution outlines a domain specific planning approach to derive business requirements from technology roadmaps as external reference models for the long-term planning of enterprise ICT-architectures supporting Smart Grid functionalities.</t>
  </si>
  <si>
    <t>Dynamic capabilities for sustainable enterprise IT–A modeling framework</t>
  </si>
  <si>
    <t>358-366</t>
  </si>
  <si>
    <t>A key consideration of researchers and practitioners alike in the field of information systems engineering is the co-development of information systems and business structures and processes that are in alignment, that this alignment reflects the challenges presented by the business ecologies and that the developed systems are sustainable through appropriate responses to pressures for their evolution. These challenges inevitably need to be addressed through development schemes that recognize the intertwining of information systems, business strategy and their ecosystems. The paper presents the conceptual modeling foundations of such a scheme providing a detailed exposition of the issues and solutions for sustainable systems in which Capability plays an integrative role using examples from an industrial-size application. The contribution of the paper is on its proposition of conceptual modeling techniques that are applicable to both business strategies and information systems development. © Springer International Publishing Switzerland 2015.</t>
  </si>
  <si>
    <t>https://www.scopus.com/inward/record.uri?eid=2-s2.0-84951810928&amp;doi=10.1007%2f978-3-319-25264-3_26&amp;partnerID=40&amp;md5=1dfc4c6ebdca9796bcf56893ec6ea185</t>
  </si>
  <si>
    <t>Agile requirements prioritization in large-scale outsourced system projects: An empirical study</t>
  </si>
  <si>
    <t>1333-1353</t>
  </si>
  <si>
    <t>The application of agile practices for requirements prioritization in distributed and outsourced projects is a relatively recent trend. Hence, not all of its facets are well-understood. This exploratory study sets out to uncover the concepts that practitioners in a large software organization use in the prioritization process and the practices that they deem good. We seek to provide a rich analysis and a deep understanding of three cases in an exploratory study that was carried out in a large and mature company, widely recognized for its excellence and its engagement in outsourced software development. We used in-depth interviews for data collection and grounded theory techniques for data analysis. Our exploration efforts yielded the following findings: (i) understanding requirements dependencies is of paramount importance for the successful deployment of agile approaches in large outsourced projects. (ii) Next to business value, the most important prioritization criterion in the setting of outsourced large agile projects is risk. (iii) The software organization has developed a new artefact that seems to be a worthwhile contribution to agile software development in the large: ‘delivery stories’, which complement user stories with technical implications, effort estimation and associated risk. The delivery stories play a pivotal role in requirements prioritization. (iv) The vendor's domain knowledge is a key asset for setting up successful client-developer collaboration. (v) The use of agile prioritization practices depends on the type of project outsourcing arrangement. Our findings contribute to the empirical software engineering literature by bringing a rich analysis of cases in agile and distributed contexts, from a vendor's perspective. We also discuss the possible implications of the results for research and in practice.</t>
  </si>
  <si>
    <t>https://www.sciencedirect.com/science/article/pii/S0164121212003536</t>
  </si>
  <si>
    <t>219-232</t>
  </si>
  <si>
    <t>Due to the rapid expansion and complexity of mechanisms, technologies, systems, processes and communications in organizations, governance and management has become something beyond the control of hardware and software systems and include integration and convergence of all components of an organization. Enterprise architecture (EA) by breaking down the organization's systems to its components and determining the relationship between them in different layers offers an appropriate solution for understanding and investigating relationships and processes of organizations which develop strategies and information technology plans. This paper proposes a conceptual model for enterprise IT architecture. For this purpose, conceptual and reference models of enterprise architecture are investigated and key concepts of them are described. By identifying dimensions of reviewed models, key dimensions of the proposed model are extracted and by using Shannon's entropy, weight and priority of each dimension is determined. In order to determine building blocks of each dimension, a mapping has been established between customer and functional requirements by using axiomatic method and relations between customer and functional requirements has been validated by experts' opinions using Quality Function Development (QFD) method. Proposed model has been described by determining goals, components and relations. Then the model is validated by surveying experts. Finally an Iranian telecommunication enterprise is selected for a case study and the model is tested there and promoting solutions are proposed to improve the status of the organization for implementing the model. © 2011 Elsevier Ltd. All rights reserved.</t>
  </si>
  <si>
    <t>https://www.scopus.com/inward/record.uri?eid=2-s2.0-82055162900&amp;doi=10.1016%2fj.tele.2011.07.001&amp;partnerID=40&amp;md5=4ec0f67531199653e9f1bf7486bf2f37</t>
  </si>
  <si>
    <t>J. Davidsen</t>
  </si>
  <si>
    <t>Communication with models</t>
  </si>
  <si>
    <t>42-49</t>
  </si>
  <si>
    <t>In enterprise modeling focus has been on capturing the right level of information and how the models represent this information. This paper purposes a project, which aims to look at the stakeholder and their participation in the modeling process. The paper proposes a solution for how the stakeholders can be included in the process by drawing inspiration from knowledge of visual conceptual models, knowledge from industry modeling processes and digital interactive collaborative techniques. The result is a collaborative framework or methodology, which can make communication with models more exible and engage a wider audience in the creation and maintenance of conceptual models.</t>
  </si>
  <si>
    <t>https://www.scopus.com/inward/record.uri?eid=2-s2.0-84955450178&amp;partnerID=40&amp;md5=7d92a5f4f1131587ff177927fae2ad29</t>
  </si>
  <si>
    <t>Climbing the Ladder: CMMI Level 3</t>
  </si>
  <si>
    <t>2009 IEEE International Enterprise Distributed Object Computing Conference</t>
  </si>
  <si>
    <t>97-106</t>
  </si>
  <si>
    <t>This report details the attempt to form a complete workflow model for an ICT company in order to achieve a Capability Maturity Model Integration (CMMI) maturity rating of three. During this project, business processes across the company's core and auxiliary sectors were documented and extended using modern enterprise modeling tools and a The Open Group Architectural Framework (TOGAF) methodology. Different challenges were encountered with regard to process customization and tool support for enterprise modeling. In particular, there were problems with the reuse of process models, the integration of different project management methodologies and the integration of the Rational Unified Process (RUP) development process framework that had to be solved. We report on these challenges and point out research directions that could help to improve the situation in the future.</t>
  </si>
  <si>
    <t>Requirements engineering for the design of conceptual modeling languages</t>
  </si>
  <si>
    <t>Conceptual modeling languages are purposeful artifacts, hence their design should also start from the purpose that they serve. Such purposeful design addresses the requirements engineering concern of a language specification being aligned with the goals of its users. Thereby relevance of the language is ensured, instead of developing a language for language's sake. We posit that this addresses some known issues that are due to a misalignment between a language's specification and the goals of its intended users. In this paper, we introduce vGREL, a goal-and value-oriented approach for purposeful language development. vGREL helps language engineers to start the design of conceptual modeling languages with requirements engineering exercises. To this end vGREL provides (1) a purpose driven requirements engineering process for language design; (2) a value profile for the Goal-oriented Requirements Language (GRL) to enable analysis and reasoning during the process and capture its results; and leverages (3) the software tool support of GRL for decision making during language design. To illustrate vGREL, we apply it to a case study on responsibility-based access rights management. Furthermore, we present reflections on vGREL from the language engineer involved in the case study. © 2015-IOS Press and the authors.</t>
  </si>
  <si>
    <t>https://www.scopus.com/inward/record.uri?eid=2-s2.0-84930030306&amp;doi=10.3233%2fAO-150139&amp;partnerID=40&amp;md5=2ed08b52fd38be48bbdd446556139ee1</t>
  </si>
  <si>
    <t>Understanding enterprise architecture through bodies of knowledge: A conceptual model</t>
  </si>
  <si>
    <t>249-259</t>
  </si>
  <si>
    <t>There is extensive interest in modeling enterprises from a holistic perspective, showing not only the IT infrastructure of an organization, but also how this IT infrastructure supports business processes and how it contributes to the realization of products and services. This interest has led to a large number of papers reporting on Enterprise Architecture. In this paper, we propose a new conceptual model to describe enterprises from a holistic perspective. The proposed model is based on relationships between the ArchiMate language and bodies of knowledge (BOKs). The conceptual model allows to understand how the bodies of knowledge relate to the enterprise architecture. For this, we propose criteria that allow to relate the bodies of knowledge to the perspectives that are defined in the ArchiMate language. Based on the proposed model, this work shows how bodies of knowledge can be used cooperatively inside an enterprise architecture to improve the quality of internal processes in order to generate value for the interests that support their strategic planning. Studies indicate the benefits of ArchiMate in enterprise modeling. Existing studies have already shown the benefits of using BOKs to represent and share available knowledge in and across enterprises. In this work, we go one step further and show how the conceptual alignment of BOKs and ArchiMate advance the understanding of enterprise architectures.</t>
  </si>
  <si>
    <t>https://www.scopus.com/inward/record.uri?eid=2-s2.0-84902346511&amp;partnerID=40&amp;md5=307ed9b1189621bcd8be7e88b268941e</t>
  </si>
  <si>
    <t>Controlling software architecture erosion: A survey</t>
  </si>
  <si>
    <t>132-151</t>
  </si>
  <si>
    <t>Software architectures capture the most significant properties and design constraints of software systems. Thus, modifications to a system that violate its architectural principles can degrade system performance and shorten its useful lifetime. As the potential frequency and scale of software adaptations increase to meet rapidly changing requirements and business conditions, controlling such architecture erosion becomes an important concern for software architects and developers. This paper presents a survey of techniques and technologies that have been proposed over the years either to prevent architecture erosion or to detect and restore architectures that have been eroded. These approaches, which include tools, techniques and processes, are primarily classified into three generic categories that attempt to minimise, prevent and repair architecture erosion. Within these broad categories, each approach is further broken down reflecting the high-level strategies adopted to tackle erosion. These are: process-oriented architecture conformance, architecture evolution management, architecture design enforcement, architecture to implementation linkage, self-adaptation and architecture restoration techniques consisting of recovery, discovery and reconciliation. Some of these strategies contain sub-categories under which survey results are presented. We discuss the merits and weaknesses of each strategy and argue that no single strategy can address the problem of erosion. Further, we explore the possibility of combining strategies and present a case for further work in developing a holistic framework for controlling architecture erosion. © 2011 Elsevier Inc.</t>
  </si>
  <si>
    <t>https://www.scopus.com/inward/record.uri?eid=2-s2.0-80755136651&amp;doi=10.1016%2fj.jss.2011.07.036&amp;partnerID=40&amp;md5=a2e50361d326ce03280b6b01f0c59c83</t>
  </si>
  <si>
    <t>Return on investment calculator for RFID ecosystem of high tech company</t>
  </si>
  <si>
    <t>8–9</t>
  </si>
  <si>
    <t>820-829</t>
  </si>
  <si>
    <t>The use of RFID technology affords an opportunity for greater visibility in the supply chain and further supply chain automation, making the processes more streamlined, providing accurate and timely automatic data capture, thereby improving shipment reliability. This paper provides a case study of an RFID-enabled supply chain ecosystem focusing on a large high tech multi-national corporation based in Singapore. Specifically, the paper provides an implementation framework for the Return on Investment (ROI) calculator which trades off labor cost and productivity gains. The Supply Chain Operations Reference (SCOR) methodology is used to assess the operational level benefits of RFID implementation. We show how scalability is critical for RFID adoption.</t>
  </si>
  <si>
    <t>https://www.sciencedirect.com/science/article/pii/S0166361511000996</t>
  </si>
  <si>
    <t>M. de Vries</t>
  </si>
  <si>
    <t>Towards consistent demarcation of enterprise design domains</t>
  </si>
  <si>
    <t>10651 LNCS</t>
  </si>
  <si>
    <t>91-100</t>
  </si>
  <si>
    <t>Big data</t>
  </si>
  <si>
    <t>This article supports the ideology that enterprise engineering (EE) could add more value if EE researchers focus on facilitating effective conversations within design teams to create a common understanding of the enterprise. One way of creating a common understanding is to define and demarcate enterprise design domains in a consistent way. Literature presents different conceptualisations for demarcating design domains, without using a systematic demarcation rationale. As an example, this article introduces Hoogervorst’s approach and associated enterprise design domains to highlight practical difficulties when emerging design principles are applied to four main design domains, as defined by Hoogervorst. Based on the suggestion to apply the basic system design process to demarcate the main enterprise design domains in a consistent way and addressing the need for additional design domains, we present four alternative enterprise design domains, developed via design science research. We also demonstrate the usefulness of the new design domains by presenting several examples of enterprise design cycles that occur during enterprise design. © 2017, Springer International Publishing AG.</t>
  </si>
  <si>
    <t>https://www.scopus.com/inward/record.uri?eid=2-s2.0-85034261989&amp;doi=10.1007%2f978-3-319-70625-2_9&amp;partnerID=40&amp;md5=1b01b6b6b6d5c8bb6daf5e3b8bb2105f</t>
  </si>
  <si>
    <t>Metis® LEARN! - Leveraging Enterprise Architecture Repository iNvestments</t>
  </si>
  <si>
    <t>645-650</t>
  </si>
  <si>
    <t>Metis® LEARN!™ is an operational approach to continuous organizational learning in IT architecture and software design. Employing state-of-the-art model visualization and navigation techniques in conjunction with distributed XML repository technologies, LEARN! lets organizations establish an enterprise-wide knowledge management repository for maintaining, indexing, and reusing enterprise architecture primitives and granular design elements for all its IT projects and solutions, in an integrated EA modelling environment. Reusable EA primitives can easily be searched, selected and exported to any of the interfaced design tools. Similarly, extracts of design artefacts created by individual projects and tools throughout the enterprise can easily be imported and made available for inspection by other architects and designers as granular design elements in the common visual repository environment. Hyperlinks to design artefacts in their native format may also be included. LEARN! is a pragmatic first step towards tomorrow's vision of the fully visually integrated enterprise founded on Active Knowledge Modelling (AKM)™ technologies.</t>
  </si>
  <si>
    <t>https://www.scopus.com/inward/record.uri?eid=2-s2.0-1542644819&amp;partnerID=40&amp;md5=eb9dc01690e666509d32d36b915fa3de</t>
  </si>
  <si>
    <t>J. Delgado</t>
  </si>
  <si>
    <t>Structural services: A new approach to enterprise integration</t>
  </si>
  <si>
    <t>Technology, Innovation, and Enterprise Transformation</t>
  </si>
  <si>
    <t>50-91</t>
  </si>
  <si>
    <t>This chapter compares the Service-Oriented Architecture (SOA) and Representational State Transfer (REST) architectural styles and contends that both have advantages and limitations for enterprise integration. SOA, based on behavior, has a lower modeling semantic gap for complex applications but lacks support for structured resources common in lower-grained applications. REST is based on structure and hypermedia but has a higher semantic gap in complex applications and, as this chapter contends, does not entail a lower resource coupling than SOA. A new architectural style, Structural Services, is proposed to get the best of both worlds, while reducing coupling with structural interoperability based on the concepts of compliance and conformance. Unlike REST, resources are able to offer a variable set of operations, and unlike SOA, services are allowed to have structure and use hypermedia. A distributed service programming language is briefly described to illustrate how this architectural style can be instantiated. © 2015, IGI Global.</t>
  </si>
  <si>
    <t>https://www.scopus.com/inward/record.uri?eid=2-s2.0-84946117152&amp;doi=10.4018%2f978-1-4666-6473-9.ch004&amp;partnerID=40&amp;md5=2be47b64aeb57ee4a90bef62eafbfe33</t>
  </si>
  <si>
    <t>Architecture vision for Indonesian Integrated Agriculture Information Systems using TOGAF framework</t>
  </si>
  <si>
    <t>2016 International Conference on Informatics and Computing (ICIC)</t>
  </si>
  <si>
    <t>66-71</t>
  </si>
  <si>
    <t>Agriculture is an important sector for Indonesia. Indonesia as an agrarian country, most of the society work as a farmer. In modern agriculture / modern farming, communication and information technology plays important role to increase farmer's productivity. Thus, an Integrated Agriculture Information System (IAIS) is urgent to be developed in Indonesia. As a complex system, IAIS needs a blueprint which is going to be a reference to develop system gradually and sustainable. An approach to develop system blueprint is Enterprise Architecture (EA) using The Open Group Architecture Framework (TOGAF). In TOGAF, there are some activities which have to be done gradually. This paper discusses two early activities to develop IAIS blueprint, Preliminary Phase and Architecture Vision Phase.</t>
  </si>
  <si>
    <t>Service-oriented technology and management: Perspectives on research and practice for the coming decade</t>
  </si>
  <si>
    <t>Electronic Commerce Research and Applications</t>
  </si>
  <si>
    <t>356-376</t>
  </si>
  <si>
    <t>Service-oriented technologies and management have gained attention in the past few years, promising a way to create the basis for agility so that companies can deliver new, more flexible business processes that harness the value of the services approach from a customer’s perspective. Service-oriented approaches are used for developing software applications and software-as-a-service that can be sourced as virtual hardware resources, including on-demand and utility computing. The driving forces come from the software engineering community and the e-business community. Service-oriented architecture promotes the loose coupling of software components so that interoperability across programming languages and platforms, and dynamic choreography of business processes can be achieved. Nevertheless, one of today’s most pervasive and perplexing challenges for senior managers deals with how and when to make a commitment to the new practices. The purpose of this article is to shed light on multiple issues associated with service-oriented technologies and management by examining several interrelated questions: why is it appropriate now to study the related business problems from the point of view of services research? What new conceptual frameworks and theoretical perspectives are appropriate for studying service-oriented technologies and management? What value will a service science and business process modeling offer to the firms that adopt them? And, how can these approaches be implemented so as to address the major challenges that organizations face with technology, information and strategy? We contribute new knowledge in this area by tying the economics and information technology strategy perspectives to the semantic and design science perspectives for a broader audience. Usually the more technical perspective is offered on a standalone basis, and confined to the systems space – even when the discussion is about business processes. This article also offers insights on these issues from the multiple perspectives of industry and academic thought leaders.</t>
  </si>
  <si>
    <t>https://www.sciencedirect.com/science/article/pii/S1567422308000288</t>
  </si>
  <si>
    <t>Exploring the Role of Enterprise Architecture Models in the Modularization of an Ontology Network: A Case in the Public Security Domain</t>
  </si>
  <si>
    <t>2017 IEEE 21st International Enterprise Distributed Object Computing Workshop (EDOCW)</t>
  </si>
  <si>
    <t>117-126</t>
  </si>
  <si>
    <t>Ontologies play a key role in semantic interoperability projects, capturing the conceptualization underlying the various systems to be integrated. In the case of large information systems landscapes, a single monolithic ontology often becomes hard to design and maintain. In this setting, it is common to divide the ontological model in consistently interlinked modular ontologies, forming an ontology network. This paper explores the role of Enterprise Architecture (EA) models in defining the ontologies in an ontology network. We report on an exploratory study in the scope of an e-Government interoperability project in the area of public security. In the reported study, an EA model provides guidance in the modularization of the ontology network.</t>
  </si>
  <si>
    <t>Towards a Knowledge-Based Framework for Enterprise Content Management</t>
  </si>
  <si>
    <t>3543-3552</t>
  </si>
  <si>
    <t>Nowadays, critical information that is contained in mostly unstructured documents is increasingly becoming a key business resource. Accordingly, enterprises need a foundation for managing content to understand its value and transform it into information and organizational knowledge. Enterprise Content Management (ECM) is an integrated approach to Information Management. There is a need for enhancing this approach to support the transformation from information into organizational knowledge. However, assessing, organizing, sharing, and using content based on knowledge perspectives are crucial, especially for knowledge-intensive enterprises. Those enterprises provide knowledge-intensive products and services that require a robust foundation for knowledge management and innovation capacity. We present the KBCM (Knowledge-Based Content Management) framework for ECM based on the perspective of knowledge components. This paper seeks to create more business value by transforming content into valuable information assets and then from information into organizational knowledge. To demonstrate the framework, an illustrative example is constructed and evaluated.</t>
  </si>
  <si>
    <t>S. Dr. Christian</t>
  </si>
  <si>
    <t>Management of Convergent Services</t>
  </si>
  <si>
    <t>Convergence:User Expectations, Communications Enablers and Business Opportunities</t>
  </si>
  <si>
    <t>Wiley Telecom</t>
  </si>
  <si>
    <t>http://ieeexplore.ieee.org/xpl/articleDetails.jsp?arnumber=8043998</t>
  </si>
  <si>
    <t>Towards an architecture quality index for the behavior of software systems</t>
  </si>
  <si>
    <t>75-82</t>
  </si>
  <si>
    <t>Software architecture lies at the backbone of any software system and its choice directly influences important nonfunctional characteristics such as maintainability, extensibility, etc. Up-to-date software architecture descriptions should be at any time available to support the analysis and evaluation of the current state of the architecture. However the current state of the art lacks both methodologies and tools for ensuring availability of architecture descriptions and fails to offer objective means for evaluating software architectures. Currently, no generally accepted method for comparing software from an architecture point of view exists. In this paper, we present our current results towards creating a so-called architecture quality index that includes a bidirectional architecture quality model as well as a quality benchmark created for the context of the ARAMIS research project. The proposed architecture quality index aims to support the architects to evaluate and compare the architecture of software systems based on information extracted during the considered systems' run-time. © 2014 IEEE.</t>
  </si>
  <si>
    <t>https://www.scopus.com/inward/record.uri?eid=2-s2.0-84951752478&amp;doi=10.1109%2fAPSEC.2014.97&amp;partnerID=40&amp;md5=b40b7fc592b9c7e82e99fa2e04f36b02</t>
  </si>
  <si>
    <t>From Enterprise Architecture to Business Ecosystem Architecture: Stages and Challenges for Extending Architectures beyond Organizational Boundaries</t>
  </si>
  <si>
    <t>13-22</t>
  </si>
  <si>
    <t>Today, Enterprises act in an increasingly interconnected world and in different kinds of collaborative networks. They are part of business ecosystems in which they interact with their customers, partners and competitors. The processes of analyzing and planning the intertwinement of business and IT architecture within enterprises has been successfully supported by enterprise architecture management (EAM) approaches. In this paper, we analyze four cases from different industries (health care, logistics, retail, and education) and argue that the intra-organizational concepts of enterprise architectures (EA) and EAM need to be extended to grasp the challenges of the enterprises' interconnectedness. Beyond the known concepts of extended enterprise architecture and federated architectures, we define five stages of extended architectures. Additionally, we describe challenges and existing solutions, which are relevant for this extended perspective.</t>
  </si>
  <si>
    <t>Bimodal Enterprise Architecture Management: The Emergence of a New EAM Function for a BizDevOps-Based Fast IT</t>
  </si>
  <si>
    <t>57-64</t>
  </si>
  <si>
    <t>A business architecture capability meta model and tool-set for providing function point estimation for enterprise architecture management</t>
  </si>
  <si>
    <t>Newswood Limited</t>
  </si>
  <si>
    <t>482-494</t>
  </si>
  <si>
    <t>Change impact analysis is error prone and time consuming when business architecture capabilities, enterprise service models, enterprise data models and UML design models are disconnected across multiple repositories. Software architecture rapid evolution is further complicating the management of this analysis especially since software sizing is not based on techniques like function point measurement. Whilst following the Design Science Approach, this study seeks to analyze, design and implement a software prototype which integrates business architecture capabilities and design models to facilitate change impact analysis. This paper specifically reports on the findings obtained from the first stage of this design science research cycles and proposes an approach to model Business Architecture Capabilities when design specifications and models are spread over more than one repository. It also presents the requirements for a prototype to implement the principles to model Business Architecture Capabilities of disconnected design models which are obtained and confirmed from literature and through observations and interviews of solution design specialists. Therefore this paper proposes by literature, interviews and observations: (1) The need to have a tool and meta-model to model from a Business Architecture Capabilities perspective when design specifications and models are spread over more than one repository, (2), a set of requirements outline this need (3), a high level design pattern for implementing a software toolset that integrates UML design models and enterprise architecture models using a unifying meta-model.</t>
  </si>
  <si>
    <t>https://www.scopus.com/inward/record.uri?eid=2-s2.0-84938153775&amp;partnerID=40&amp;md5=f594ea4c33de08b3a8185ae86195acbc</t>
  </si>
  <si>
    <t>Information driven modeling: The integration of enterprise ontology and enterprise architecture for the mature BI</t>
  </si>
  <si>
    <t>52-64</t>
  </si>
  <si>
    <t>There is a huge interest in the area of engineering ontologies for a very wide range of applications. In modern enterprises and their business process management and decision making, modeling and Business Intelligence (BI) play a significant role. Information Technology (IT) contribution to business strategies and decisions has been questioned. The problem is not with IT, but with business complexity in modern times. The challenge of enterprise intelligence is a mission for the whole enterprise, and depends on intensive collaboration among organizational units. Enterprise BI requires new approaches, methods and tools focused on integration. BI must be part of Enterprise Architecture (EA). This paper offers a new insight on Business Intelligence. It proposes an extension of Archimate methodology in order to integrate EA and BI efforts with enterprise ontology to provide mature enterprise decisions.</t>
  </si>
  <si>
    <t>https://www.scopus.com/inward/record.uri?eid=2-s2.0-74549168009&amp;partnerID=40&amp;md5=c426415645455baef9b33a4b1fc7a539</t>
  </si>
  <si>
    <t>Modeling and simulation competency center for mature enterprises</t>
  </si>
  <si>
    <t>Modeling and simulation (M&amp;S) play a significant role in management and decision making in modern enterprises. New methods, techniques and tools have been arising to help organizations to succeed in M&amp;S. We can find many cases of successfully application of M&amp;S in organizations, but normally departmental efforts. Mature enterprises must have M&amp;S managed and optimized efforts in all their departments. Enterprise wide M&amp;S efforts are challenging and few enterprises succeed on it. This challenge is little explored in literature. Enterprise wide M&amp;S is a complex and multidisciplinary effort and need an integrated view. This paper explores M&amp;S enterprise wide efforts. It offers an integrated approach that links technical and behavioral aspects. It also recommends an enterprise competence center in order to organize and drive the modeling and simulation efforts.</t>
  </si>
  <si>
    <t>https://www.scopus.com/inward/record.uri?eid=2-s2.0-84887111065&amp;partnerID=40&amp;md5=d16c39136d4a8567694e3ea42daa5879</t>
  </si>
  <si>
    <t>On the role of architectural models: What can we learn from information system and from construction projects?</t>
  </si>
  <si>
    <t>2015 IEEE 9th International Conference on Research Challenges in Information Science (RCIS)</t>
  </si>
  <si>
    <t>In construction projects, for many centuries, the crucial role played by architectural is acknowledged since they are central documents shared by the architects and the different stakeholders. Today these plans are more and more becoming digital and information systems are used for managing them according to the standardized Building Information Model (BIM). In information system projects, the role played by architectures is more recent. From IT architecture, the role of Enterprise Architecture is now more and more highlighted for the purpose of a better engineering and alignment of business services as well as of their supporting information systems. Despite different approaches, construction projects and IS projects can complement each other. In this extended abstract, we will stress two aspects. On the one hand, complex construction projects need supporting IS based on the BIM, and offering a standardized way of exchanging information during the different phases of a construction project. However we will explain why a better Requirements Engineering can improve the different phases of a project. On the other hand, we will question if the traditional perspective considering the building as a Product cannot be complemented with a more `soft' perspective associated to the integration of services, in particular service systems. We advocate for the emergence of a &amp;#x201C;Building as a service&amp;#x201D; paradigm and the benefit of coupling Building and IS architectures.</t>
  </si>
  <si>
    <t>The ABACUS architectural approach to computer-based system and enterprise evolution</t>
  </si>
  <si>
    <t>12th IEEE International Conference and Workshops on the Engineering of Computer-Based Systems (ECBS'05)</t>
  </si>
  <si>
    <t>62-69</t>
  </si>
  <si>
    <t>The enterprise computer-based systems employed by the organisations of today can be extremely complex. Not only do they consist of countless hardware and software products from many varied sources, but they often span continents, piggybacking on public networks. These systems are essential for undertaking business and general operations in the modern environment, and yet the ability of organisations to control their evolution is questionable. The emerging practice of enterprise architecture seeks to control that complexity through the use of a holistic and top-down perspective. However, the toolsets already in me, are very much bottom-up by nature. To overcome the limitations of current enterprise architecture practices, the authors propose the use of the ABACUS methodology and toolset. The authors conclude that by using ABACUS to analyse software and enterprise systems, architects can guide the design and evolution of architectures based on quantifiable non-functional requirements. Furthermore, hierarchical 3D visualisation provides a meaningful and intuitive means for conceiving and communicating complex architectures.</t>
  </si>
  <si>
    <t>Assessing IT Management&amp;#x0027;s Performance: A Design Theory for Strategic IT Benchmarking</t>
  </si>
  <si>
    <t>IEEE Transactions on Engineering Management</t>
  </si>
  <si>
    <t>113-126</t>
  </si>
  <si>
    <t>Given the continued economic pressure on information technology (IT) organizations, the effective and efficient delivery of IT remains a crucial issue for IT executives in order to optimize their department's performance. Due to company specifics, however, an absolute assessment of IT organizations' performance has often proven difficult in the past. Consequently, many IT executives revert to comparative assessments such as IT benchmarking. IT benchmarking has been increasingly used to support IT management, also on a strategic level. While past research on such strategic IT benchmarking (SITBM) often focused on process models and optimal peer group composition, many practitioners repeatedly report problems with identifying or developing suitable methods for collecting the data needed for SITBM. We introduce a design theory for SITBM methods and illustrate how we derived the theory from an SITBM project over a period of ten years. During that time, the method from which we abstract our design theory was applied in 102 different companies. We contribute to practice and theory by not only reporting a field-tested method for SITBM, but also by providing a design theoretical basis on how to develop such a method as a blueprint for IT managers that want to set up an SITBM.</t>
  </si>
  <si>
    <t>Proposal of TOGAF ADM enterprise continuum for organization-specific solution on e-Government</t>
  </si>
  <si>
    <t>2014 International Conference on Electrical Engineering and Computer Science (ICEECS)</t>
  </si>
  <si>
    <t>283-288</t>
  </si>
  <si>
    <t>This paper presents the proposal of TOGAF ADM Enterprise Continuum for organization-specific solution. TOGAF includes the concept of the Enterprise Continuum, which sets the broader context for an architect and explains how generic solutions can be leveraged and specialized in order to support the requirements of an individual organization. The Enterprise Continuum is a view of the Architecture Repository that provides methods for classifying architecture and solution artifacts as they evolve for generic Foundation Architectures to Organization-Specific Architectures. The Enterprise Continuum comprises two complementary concepts: the Architecture Continuum and the Solutions Continuum. This Proposed TOGAF ADM Enterprise Continuum for Organization-Specific Solution on e-Government is focused on addressing enterprise need. The Solution Continuum covers the Opportunity and Solution, Migration Plan, Implementation Governance, and Change Management Domains phases. The method contains guideline solution for those domains include the artifacts that are suitable for E-Government Master Plan.</t>
  </si>
  <si>
    <t>The general components of enterprise architecture framework in e-Commerce: A systematic literature review</t>
  </si>
  <si>
    <t>2017 International Conference on Applied Computer and Communication Technologies (ComCom)</t>
  </si>
  <si>
    <t>Online transaction has been booming in this era, there are so many customers use this method for buying some product through electronic media. Implementation model of enterprise architecture framework in e-commerce usually work successfully, but in some enterprise since the model of enterprise architecture has been applied, companies seeing the lack of alignment between business and technology designed, so companies need to find solutions for fixing the problems. One of the purposes of this literature review is to analyze the components of enterprise architecture framework to support business processes with technology of e-commerce system. This study uses a systematic literature review method, step of search process reviewing various sources of databases by using keywords related to the topic of research, and the data obtained is classified based on the inclusion and exclusion criteria. There are 117 papers identified with the topic research, then selected into 50 papers to review. The research result finds six components of enterprise architecture framework is the most influential in the development of e-commerce systems, which are business, system, design, technology, service, and people.</t>
  </si>
  <si>
    <t>Consistent enterprise software system architecture for the CIO - a utility-cost based approach $</t>
  </si>
  <si>
    <t>37th Annual Hawaii International Conference on System Sciences, 2004. Proceedings of the</t>
  </si>
  <si>
    <t>10 pp.</t>
  </si>
  <si>
    <t>Previously, business operations of most large companies were supported by a number of isolated software systems performing diverse specific tasks, from real-time process control to administrative functions. In order to better achieve business goals, these systems have in recent years been extended, and more importantly, integrated into a company-wide system in its own right, the enterprise software system. Due to its history, this system is composed of a considerable number of heterogeneous and poorly understood components interacting by means of equally diverse and confusing connectors. To enable informed decision-making, the Chief Information Officer (CIO), responsible for the overall evolution of the company's enterprise software system, requires management tools. This paper proposes enterprise software system architecture (ESSA) as a foundation for an approach for managing the company's software system portfolio. In order to manage the overwhelming information amounts associated with the enterprise software system, this approach is based on two concepts. Firstly, the approach explicitly relates the utility of knowledge to the cost of its acquisition. The utility of knowledge is derived from the increased value of better-informed decision-making. The cost of knowledge acquisition is primarily related to the resources spent on information searching. Secondly, the approach focuses on ensuring the consistency of the architectural model.</t>
  </si>
  <si>
    <t>Enterprise architecture models for cyber security analysis</t>
  </si>
  <si>
    <t>2009 IEEE/PES Power Systems Conference and Exposition</t>
  </si>
  <si>
    <t>Enterprise architecture is a rising discipline that is gaining increasing interest in both industry and academia. It pays attention to the fact that effective management of business and IT needs take a holistic view of the enterprise. Enterprise architecture is based on graphical models as a vehicle for system analysis, design, and communication. Enterprise architecture is also a potential support for control systems management. Unfortunately, when it comes to security analyses, the architectural languages available are not adapted to provide support for this. This presentation focus on research performed as part of the EU seventh framework program VIKING (Vital Infrastructure, Networks, Information and Control Systems Management) and the Swedish Centre of Excellence in Electric Power Engineering, EKC&lt;sup&gt;2&lt;/sup&gt;. The research is focusing on developing and adapting security analyses frameworks to architectural languages on a level where information about control systems' configuration is scarce and thus incomplete and partly unreliable.</t>
  </si>
  <si>
    <t>A semantic framework for compliance management in business process management</t>
  </si>
  <si>
    <t>60-80</t>
  </si>
  <si>
    <t>In process-centric enterprises, business processes (BPs) are at the center of value-creating activities. Governing enterprise BPs requires the ability to control and guide BP behavior. Ensuring compliance of processes to legal regulations and strategy directives becomes a critical requirement. Implementing business process compliance makes means for modeling and enforcing compliance measures necessary. In this work, we motivate the need for automation and semantic consistency in compliance management and defend the use of policies for this purpose. We then propose a policy-based framework for business process compliance management and further detail its architecture as part of the SUPER research project on semantic business process management (SBPM). Finally, we introduce the ontology stack we propose for compliance modeling and conclude by an investigation of the main challenges ahead in order to provide an implementation of the proposed framework. This work seeks to lay down the fundaments of a comprehensive architecture for semantic compliance modeling and enforcement in the context of BPM.</t>
  </si>
  <si>
    <t>https://www.scopus.com/inward/record.uri?eid=2-s2.0-80855149354&amp;partnerID=40&amp;md5=1462af2165090023fa7b2ca2d5c381cf</t>
  </si>
  <si>
    <t>Towards a framework for semantic business process compliance management</t>
  </si>
  <si>
    <t>Processes count to the most important assets of companies. Ensuring the compliance of processes to legal regulations, governance guidelines, and strategic business requirements is a sine qua non condition to controlling business behavior. Implementing business process compliance requires means for modeling and enforcing compliance measures. In this work, we motivate the need for automation in compliance management and introduce the role of policies. We then distinguish eight requirements for a compliance management framework. We also discuss different ways of conducting compliance checking. Finally, we propose a policy-based framework for business process compliance management. We eventually proceed to a discussion of the soundness and practicability of our approach, followed by an investigation of the main challenges ahead of our approach to policy-based semantic business process compliance management.</t>
  </si>
  <si>
    <t>https://www.scopus.com/inward/record.uri?eid=2-s2.0-84885005456&amp;partnerID=40&amp;md5=f15121cc48f8b6de518e2f299f2fa10b</t>
  </si>
  <si>
    <t>An evaluation framework for comparing business-IT alignment models: A tool for supporting collaborative learning in organizations</t>
  </si>
  <si>
    <t>Computers in Human Behavior</t>
  </si>
  <si>
    <t>51, Part B</t>
  </si>
  <si>
    <t>1229-1247</t>
  </si>
  <si>
    <t>Researchers and practitioners have argued on the importance of business-IT alignment (BITA) for organizations to maximize the business value of IT. As a result, a vast number of BITA models have been designed to support organizations in achieving, assessing and maintaining BITA. These models focus on different components (i.e. concepts/aspects of alignment) and emphasize different perspectives of the alignment (i.e. how alignment is perceived by practitioners). This makes it difficult for practitioners to choose an appropriate BITA model for a specific organization. In this paper, an evaluation framework to support practitioners in choosing appropriate BITA models is proposed. The framework was constructed following design science as a research approach. The design science activities were carried out in an iterative manner until reaching a final artefact. The process started with an extensive literature survey that led to designing a tentative model. Following that, different empirical iterations contributed to the framework development. The final framework consists of 25 criteria categorized into four groups. It was tested on six major BITA models, demonstrating its feasibility. Finally, the framework was evaluated by interviewing five business consultants and seven IT managers from large Swedish organizations. The evaluation shows that the framework has a complete set of criteria with a sufficient level of coherence, but its usability and efficiency is argued differently. The framework, additionally, is argued to potentially be used as a collaborative learning tool on requirement of BITA between practitioners from both business and IT domain or serve in the academic world.</t>
  </si>
  <si>
    <t>https://www.sciencedirect.com/science/article/pii/S0747563214007328</t>
  </si>
  <si>
    <t>Extending enterprise architecture modelling with business goals and requirements</t>
  </si>
  <si>
    <t>The methods for enterprise architecture (EA), such as The Open Group Architecture Framework, acknowledge the importance of requirements modelling in the development of EAs. Modelling support is needed to specify, document, communicate and reason about goals and requirements. The current modelling techniques for EA focus on the products, services, processes and applications of an enterprise. In addition, techniques may be provided to describe structured requirements lists and use cases. Little support is available however for modelling the underlying motivation of EAs in terms of stakeholder concerns and the highlevel goals that address these concerns. This article describes a language that supports the modelling of this motivation. The definition of the language is based on existing work on high-level goal and requirements modelling and is aligned with an existing standard for enterprise modelling: the ArchiMate language. Furthermore, the article illustrates how EA can benefit from analysis techniques from the requirements engineering domain. © 2011 Taylor &amp; Francis.</t>
  </si>
  <si>
    <t>https://www.scopus.com/inward/record.uri?eid=2-s2.0-78650298012&amp;doi=10.1080%2f17517575.2010.491871&amp;partnerID=40&amp;md5=0e5ede2fdcfc81e278ce93ac596a1bd9</t>
  </si>
  <si>
    <t>A Rigorous Approach to IT Architecture</t>
  </si>
  <si>
    <t>A precise definition of IT architecture and its relationship to engineering is described. The components used to define architecture are generically defined along with relationships among these components. These concepts are then used, along with a particular architecture viewpoint and system context to document an example of architecture components using structural and behavioural signatures to express form and function. The end result is a well defined approach for the documentation of IT architectures, based upon a concise definition of architecture, the components used to describe the architecture, and the relationships and structures among these components.</t>
  </si>
  <si>
    <t>Chapter 6 - Validating the Architecture</t>
  </si>
  <si>
    <t>Continuous Architecture</t>
  </si>
  <si>
    <t>131-159</t>
  </si>
  <si>
    <t>Abstract This chapter discusses various approaches for validating the architecture of a software application within the Continuous Architecture process. It describes how to validate architectures using our Continuous Architecture “toolbox” and introduces architecture validation concepts by defining what we mean by architecture validation; focusing on when we need to conduct architecture validation, with a case study; discussing the roles required in an architecture validation; and detailing how we can conduct architecture validations by including some industry-recognized techniques such as questionnaire-driven approaches, scenario-based approaches, and decision-based approaches.</t>
  </si>
  <si>
    <t>https://www.sciencedirect.com/science/article/pii/B9780128032848000063</t>
  </si>
  <si>
    <t>Chapter 8 - Role of the Architect</t>
  </si>
  <si>
    <t>187-213</t>
  </si>
  <si>
    <t>Abstract In this chapter, we focus on the role of the architect in the world of Continuous Architecture. We start by looking at how the term architect is interpreted in general terms. We then look at what types of personality traits are normally perceived to belong to architects. For this we look at multiple psychometric evaluation tools used within the industry. We then describe the responsibilities of an architect in Continuous Architecture.</t>
  </si>
  <si>
    <t>https://www.sciencedirect.com/science/article/pii/B9780128032848000087</t>
  </si>
  <si>
    <t>Chapter 9 - Continuous Architecture in the Enterprise</t>
  </si>
  <si>
    <t>215-254</t>
  </si>
  <si>
    <t>Abstract In this chapter, we provide an overview of how Continuous Architecture can help address the challenges faced by architects at an enterprise scale. We start off by providing an overview of the enterprise context and sample antipatterns by referring to some cornerstone literature on this topic. We then focus on collaboration and communication, which is key to being a successful architect. We then discuss the importance of having a common language and introduce an approach to creating a common language. We then look at the topic of decision making in the enterprise and present an approach to governance. Finally, we address the topic of an architecture process at the enterprise scale.</t>
  </si>
  <si>
    <t>https://www.sciencedirect.com/science/article/pii/B9780128032848000099</t>
  </si>
  <si>
    <t>Tool Support for Enterprise Architecture Management - Strengths and Weaknesses</t>
  </si>
  <si>
    <t>2006 10th IEEE International Enterprise Distributed Object Computing Conference (EDOC'06)</t>
  </si>
  <si>
    <t>This paper sketches the approach we have taken in an extensive survey to evaluate existing tools providing support for enterprise architecture (EA) management. From there, we outline important strengths and weaknesses of existing EA management tools discovered in the survey and suggest some approaches for improving the tool support available in this field. The tool evaluation, to which the paper refers, is built on a definition of EA management, which we operationalized via a set of scenarios, which constitute a sufficiently concrete base for making precise statements about the tool support. The paper outlines some scenarios, which are constructed to be representative for EA management, and therefore cover typical tasks. In order to ensure the representativeness of the scenarios, they were validated by ten of our industry partners. Considering the results of the evaluation, which covered nine EA management tools, we show characteristic strengths and weaknesses common to the tools. From this analysis, which e.g. covered the tools' metamodeling capabilities, the methodologies they offer to address EA management, and especially their visualization-specific capabilities, we suggest areas for further improvement regarding the software support for EA management. This is meant as a contribution to the field of EA management, which we view as not adequately addressable in practice without tool support due to the inherent complexity of this field</t>
  </si>
  <si>
    <t>Coordination in Enterprise Architecting: An Interview Study</t>
  </si>
  <si>
    <t>The Role of Group Cognition in Enterprise Architecting</t>
  </si>
  <si>
    <t>2011 44th Hawaii International Conference on System Sciences</t>
  </si>
  <si>
    <t>A Self-Fueling Coordination Model for Enterprise Architecting Effectiveness</t>
  </si>
  <si>
    <t>2012 45th Hawaii International Conference on System Sciences</t>
  </si>
  <si>
    <t>4240-4249</t>
  </si>
  <si>
    <t>Coordination and Governance in Geographically Distributed Enterprise Architecting: An Empirical Research Design</t>
  </si>
  <si>
    <t>2009 42nd Hawaii International Conference on System Sciences</t>
  </si>
  <si>
    <t>Explaining with mechanisms and its impact on organisational diagnosis</t>
  </si>
  <si>
    <t>LNBIP 146</t>
  </si>
  <si>
    <t>58-72</t>
  </si>
  <si>
    <t>Lean Six Sigma (LSS) is the leading approach in organizational diagnosis. This approach is largely based on the analysis of correlations (e.g., Multivariate Analysis (MANOVA)), which constitutes the main source of information to establish the causes of dysfunction and to indicate possible interventions to restore good functioning. In this paper, we argue that causal mechanisms (CMs) should also be integrated into LSS for organizational diagnosis (OD). We borrow the concept of CM from the field of causality in the sciences. CMs have the potential to improve diagnostic practice because they reveal the structure and the functioning of an organization, and thus indicate more clearly how to intervene in order to restore good functioning. While the LSS movement has been enormously successful in advancing our diagnostic practices, further improvement is possible once causal mechanisms are brought into the picture. © Springer-Verlag Berlin Heidelberg 2013.</t>
  </si>
  <si>
    <t>https://www.scopus.com/inward/record.uri?eid=2-s2.0-84907843569&amp;partnerID=40&amp;md5=7288d4526ca297b7ad5d8e25dd055f86</t>
  </si>
  <si>
    <t>Organizational Subcultures and Enterprise Architecture Effectiveness: Findings from a Case Study at a European Airport Company</t>
  </si>
  <si>
    <t>4586-4595</t>
  </si>
  <si>
    <t>This paper studies how organizational subcultures influence the effectiveness of the enterprise architecture (EA) function. It provides findings from a case study in a European airport company. We find specific subcultural differences that can lower EA effectiveness. In addition, we discover that not only subcultural differences but also subcultural similarity can reduce EA effectiveness. For instance, the preference for working isolated of some business departments results in a lack of communication between those departments, which lowers EA effectiveness. Also, our data suggest that the subcultural influence is indirect. We identify, amongst others, communication defects as an important intermediary variable.</t>
  </si>
  <si>
    <t>Semantic Business Process Representation to Enhance the Degree of BPM Mechanization - An Ontology</t>
  </si>
  <si>
    <t>2015 International Conference on Enterprise Systems (ES)</t>
  </si>
  <si>
    <t>21-32</t>
  </si>
  <si>
    <t>BPMN</t>
  </si>
  <si>
    <t>M. Farwick</t>
  </si>
  <si>
    <t>Towards automation of Enterprise Architecture model maintenance</t>
  </si>
  <si>
    <t>Enterprise Architecture Management (EAM) is a common practice in organizations that need to have a model of how their business relates to the supporting IT-landscape in order to make informed decisions to enhance the enterprise architecture (EA). Creating and maintaining such an EA model is an expensive and time consuming but crucial task in today's organizations. This has been recognised by both researchers and practitioners. However, only little research literature and practical approaches can be identified that target the automation of the EA model maintenance and to reduce the manual work. In this thesis we elaborate means to increase the data quality attributes of actuality and consistency of EA models via semi-automated data collection processes from external data sources and events. It is our main goal to better synchronize EA models with what they represent in the real world and thus reduce the manual labor of model maintenance.</t>
  </si>
  <si>
    <t>https://www.scopus.com/inward/record.uri?eid=2-s2.0-84891935660&amp;partnerID=40&amp;md5=cbd17927be19441782d549db97de63a3</t>
  </si>
  <si>
    <t>340-349</t>
  </si>
  <si>
    <t>Automation Processes for Enterprise Architecture Management</t>
  </si>
  <si>
    <t>Creating and maintaining an enterprise architecture model that is both up-to-date and accurate is a difficult task due to the size and complexity of the models and the dispersed nature of EA information in organizations. In current EA maintenance processes, the models are maintained manually with only little automation, which is a time consuming task. Literature from research and practice has identified this challenge, but only few scientific publications actually address the issue of EA model maintenance and its automation. In our research effort on Living Models, we are working towards solutions for a closer connection between EA models and what they represent in the real world. In this article we present (semi-)automated processes for maintaining enterprise architecture models by gathering information from both human input and technical interfaces and discuss implementation issues for realizing the processes in practice. This work is one of the first steps in the direction of minimizing manual work for EAM by automation and increasing EA data quality attributes such as consistency and actuality.</t>
  </si>
  <si>
    <t>Enterprise Architecture Documentation: Empirical Analysis of Information Sources for Automation</t>
  </si>
  <si>
    <t>3868-3877</t>
  </si>
  <si>
    <t>Over the past decade, Enterprise Architecture (EA) management emerged to a mature discipline commonly applied to realize cost saving potentials while increasing effectiveness of IT in organizations. Typically, EA management starts by documenting the current state in an EA model and deriving future planned states heading towards an optimized EA. In practice, organizations struggle with the documentation of their current state due to the complexity of their enterprise architecture and its frequent changes. Current research activities seek to automate the data collection process by integrating existing EA information sources of operative systems. However, a comprehensive analysis of possible information sources and their appropriateness for EA is not yet provided. To build an empirical basis, this paper presents findings of a survey conducted on the key problems in EA documentation as well as the appropriateness of specific EA information sources for automation with respect to provided data types and data quality.</t>
  </si>
  <si>
    <t>A Meta-Model for Automated Enterprise Architecture Model Maintenance</t>
  </si>
  <si>
    <t>2012 IEEE 16th International Enterprise Distributed Object Computing Conference</t>
  </si>
  <si>
    <t>Maintaining a high quality enterprise architecture (EA) model that is up-to-date and consistent is a difficult but crucial task. The reasons for this difficulty are the size and complexity of EA models, frequent changes in the architecture and the challenge of collecting EA data from different stakeholders in large organizations. In our research project Living IT-Landscape Models we are working towards a tighter synchronization between EA models and what they represent in the real world, thus increasing the model actuality and consistency. With our previous work we have established semi-automated processes for EA data collection and quality assurance. To support these processes an implementing EAM tool needs to be able work with contextual information that is not typically stored alongside the EA models. In the paper at hand we describe a meta-model that incorporates the required context information and can form the basis for EAM tools that support i) recurring data collection from data sources, ii) maintaining relations from imported elements to their sources, iii) storing actuality related characteristics for triggering updates, and iv) identifying properties used to avoid duplicate entries. Related work has acknowledged the relevance of the problem, however no comprehensive approaches to for automating EA model maintenance have been presented yet.</t>
  </si>
  <si>
    <t>174-194</t>
  </si>
  <si>
    <t>A key requirement to today's fast changing economic environment is the ability of organizations to adapt dynamically in an effective and efficient manner. Information and Communication Technologies play a crucially important role in addressing such adaptation requirements. The notion of `intelligent software' has emerged as a means by which enterprises can respond to changes in a reactive manner but also to explore, in a pro-active manner, possibilities for new business models. The development of such software systems demands analysis, design and implementation paradigms that recognize the need for `co-development' of these systems with enterprise goals, processes and capabilities. The work presented in this paper is motivated by this need and to this end it proposes a paradigm that recognizes co-development as a knowledge-based activity. The proposed solution is based on a multi-perspective modeling approach that involves (i) modeling key aspects of the enterprise, (ii) reasoning about design choices and (iii) supporting strategic decision-making through simulations. The utility of the approach is demonstrated though a case study in the field of marketing for a start-up company.</t>
  </si>
  <si>
    <t>https://www.sciencedirect.com/science/article/pii/S0957417416301853</t>
  </si>
  <si>
    <t>Alignment of ReMMo with RBAC to manage access rights in the frame of enterprise architecture</t>
  </si>
  <si>
    <t>262-273</t>
  </si>
  <si>
    <t>Aligning the business operations with the appropriate IT infrastructure is a challenging and critical activity. Without efficient business/IT alignment, the companies face the risk not to be able to deliver their business services satisfactorily and that their image is seriously altered and jeopardized. Among the many challenges of business/IT alignment is the access rights management which should be conducted considering the rising governance needs, such as taking into account the business actors' responsibility. Unfortunately, in this domain, we have observed that no solution, model and method, fully considers and integrates the new needs yet. Therefore, the paper proposes firstly to define an expressive Responsibility metamodel, named ReMMo, which allows representing the existing responsibilities at the business layer and, thereby, allows engineering the access rights required to perform these responsibilities, at the application layer. Secondly, the Responsibility metamodel has been integrated with ArchiMate&amp;#x00AE; to enhance its usability and benefits from the enterprise architecture formalism. Finally, a method has been proposed to define the access rights more accurately, considering the alignment of ReMMo and RBAC. The research was realized following a design science and action design based research method and the results have been evaluated through an extended proof of concept at the Hospital Center in Luxembourg.</t>
  </si>
  <si>
    <t>Methodology to Align Business and IT Policies: Use Case from an IT Company</t>
  </si>
  <si>
    <t>2009 International Conference on Availability, Reliability and Security</t>
  </si>
  <si>
    <t>762-767</t>
  </si>
  <si>
    <t>Governance of IT is becoming more and more necessary in the current financial economic situation. One declination of that statement is the definition of corporate and IT policies. To improve that matter, the paper has for objective to propose a methodology for defining policies that are closer to the business processes, and based on the strict definition of a responsibility model that clarify all actorpsilas responsibility. This responsibility model is mainly defined based on the three concepts of capability, the accountability and the commitment. The methodology is illustrated and validated based on a case study conducted in an IT company.</t>
  </si>
  <si>
    <t>On designing automatic reaction strategy for critical infrastructure SCADA system</t>
  </si>
  <si>
    <t>Proceedings of the 6th International Conference on Security of Information and Networks</t>
  </si>
  <si>
    <t>Aksaray, Turkey</t>
  </si>
  <si>
    <t>444-445</t>
  </si>
  <si>
    <t>Towards cyber-security protection of critical infrastructures by generating security policy for SCADA systems</t>
  </si>
  <si>
    <t>2014 1st International Conference on Information and Communication Technologies for Disaster Management (ICT-DM)</t>
  </si>
  <si>
    <t>SCADA (Supervisory Control and Data Acquisition) systems are required to deal with increasingly complex and critical situation. They must constantly evolve towards integrated decision making and policy driven by cyber security requirements. The current research stream in that domain aims, accordingly, to foster the smartness of the field equipment's and processes, which principally exist through the generic concept of SCADA components. Those components are governed by policies which depending on the components roles and the evolution of the crisis, also confer to the latter the latitude to react based on their own perception of the crisis evolution. These components latitude is calculated based on as the component smartness and is strongly determined by, and depending on, the cyber safety of the component environment. Actual work related to crisis management tends to consider that components evolve and are organized in systems but as far as we know, no systemic solution exists which integrates all of the above requirements. Therefore, we do believe that such an integrated solution could bring many advantages including the integration of cyber-security protection by means of security policy generation. Therefore, in the frame of the CockpitCI project, we have decided to frame an innovative version of ArchiMate for the SCADA component modeling purpose to enrich the SCADA component collaborations and, more particularly, the description of their behavior endorsed in the cyber-policy. Our work has been illustrated in the frame of a critical infrastructure in the field of petroleum supply chains which is a highly sensitive research topic.</t>
  </si>
  <si>
    <t>Conceptualization of an abstract language to support value co-creation</t>
  </si>
  <si>
    <t>2017 Federated Conference on Computer Science and Information Systems (FedCSIS)</t>
  </si>
  <si>
    <t>971-980</t>
  </si>
  <si>
    <t>Companies willing to survive the numeric economy are forced to collaborate with each other in order to maximize their co-creation of value. This co-creation exists for many reasons: to sell and acquire information, goods and services, to optimize the quality of procedures, to improve security and privacy, etc. In this paper, we analyze and model value co-creation through three dimensions: the value's nature, the method of value creation, and the business object impacted by the value. By combining these dimensions, we afterwards suggest different types of co-creation schemas, and we propose an abstract language to communicate them. The latter is finally validated by applying the &amp;#x201C;The Physics of Notations&amp;#x201D; guidelines.</t>
  </si>
  <si>
    <t>R. Feodoroff</t>
  </si>
  <si>
    <t>Intentional enterprise architecture</t>
  </si>
  <si>
    <t>This paper documents a number of observations that may provide the basis for how User Requirements Notation (URN), currently the subject of ITU-T Z.150 and Z.151, can act as a modelling approach atop which normative guidance for architecture rationale or decision capture of System Safety and other concerns may be applied to Architecture Descriptions to act as an Assurance Justification. URN is thus offered as a means to fill recognized gaps in ISO/IEC/IEEE 42010 as the means for rationale capture. Moreover, the goal-oriented or goal-refinement aspects of URN may be viewed as an analogue of the Claims-Argument-Evidence style of argument ISO/IEC/IEEE 15026 proposes. URN certainly can compete with Goal Structured Notation (GSN). Stealing then from the tension between safety viewpoints at the University of York (UK) and those at MIT (US), and looking at ideas from outside those cliques (but alluded to by those cliques), the potential for integration of safety argument philosophies into Architecture Descriptions, so as to arrive at Intentional Enterprise Architecture, is investigated. All roads appear to lead to URN.</t>
  </si>
  <si>
    <t>A demonstration case on steps and rules for the transition from process-level to software logical architectures in enterprise models</t>
  </si>
  <si>
    <t>277-291</t>
  </si>
  <si>
    <t>165 LNBIP</t>
  </si>
  <si>
    <t>At the analysis phase of an enterprise information system development, the alignment between the process-level requirements (information systems) with the product-level requirements (software system) may not be properly achieved. Modeling the processes for the enterprise's business is often insufficient for implementation teams, and implementation requirements are often misaligned with business and stakeholder needs. In this paper, we demonstrate, though a real industrial case, how transition steps and rules are used to assure that process- and product-level requirements are aligned, within an approach that supports the creation of the intended requirements. The input for the transition steps is an information system logical architecture, and the output is a product-level (software) use case model. © IFIP International Federation for Information Processing 2013.</t>
  </si>
  <si>
    <t>https://www.scopus.com/inward/record.uri?eid=2-s2.0-84906705749&amp;doi=10.1007%2f978-3-642-41641-5&amp;partnerID=40&amp;md5=131c807a7157352890a63d2476fd1b34</t>
  </si>
  <si>
    <t>Knowledge transfer, translation and transformation in the work of information technology architects</t>
  </si>
  <si>
    <t>Information and Software Technology</t>
  </si>
  <si>
    <t>1233-1252</t>
  </si>
  <si>
    <t>Context Information Technology (IT) architects are the professionals responsible for designing the information systems for an organization. In order to do that, they take into account many aspects and stakeholders, including customers, software developers, the organization's business, and its current IT infrastructure. Therefore, different aspects influence their work. Objective This paper presents results of research into how IT architects perform their work in practice and how different aspects are taken into account when an information system is developed. An understanding of IT architects' activities allows us to better support their work. This paper extends our own previous work (Figueiredo et al., 2012) [30] by discussing aspects of knowledge management and tool support. Method A qualitative study was conducted using semi-structured interviews for data collection and grounded theory methods (Strauss and Corbin, 1998) [5] for data analysis. Twenty-seven interviews were conducted with twenty-two interviewees from nine different companies through four cycles of data collection and analysis. Results Companies divide IT architecture activities among different roles. Although these roles receive different names in different organizations, all organizations follow a similar pattern based on 3 roles: enterprise, solutions and software architects. These architects perform both the technical activities related to the IT architecture and the social activities regarding the communication and coordination with other stakeholders and among themselves. Furthermore, current tools used by IT architects lack adequate support for all these aspects. Conclusion The activities of the different IT architects are highly interconnected and have a huge influence in the way the requirements are handled in every phase of the development of an information system. The activities of IT architects are also important for knowledge transfer, translation and transformation, since they receive from and spread information to different groups of stakeholders. We also conclude that they lack appropriate tool support, especially regarding support for their collaborative work. © 2014 Elsevier B.V. All rights reserved.</t>
  </si>
  <si>
    <t>https://www.scopus.com/inward/record.uri?eid=2-s2.0-84905115980&amp;doi=10.1016%2fj.infsof.2014.04.001&amp;partnerID=40&amp;md5=00a2983b662a8f1245ab08fed20b5a4b</t>
  </si>
  <si>
    <t>With greater reliance on coalitions for military force deployment, there is a need for organizational collaboration and system interoperability. Interoperability requires full exchange of data, information (contextualized data) and knowledge (actionable information), which ensures that coalition's members will fully collaborate in synchronizing their logistics plans and processes at all echelons. Existing architecture frameworks, such as NATO's Architecture Framework (NAF) and The Open Group architecture Framework (TOGAF), do not support knowledge management, required to process massive amount of data. In order to perform collaborative logistics planning, logisticians and commanders need to access, in a seamless manner, data and information from several domains from systems within the coalition and from external sources such as social media, government and supplier sites, to name a few. The integrated and structured data must then be transformed into information, or contextualized data, and ultimately into actionable information or knowledge. This paper proposes an innovative approach, the Reference Architecture of an Enterprise Knowledge Infrastructure (RA-EKI) that provides a holistic and integrative approach to manage the complete unstructured data to knowledge lifecycle applicable to military logistics planning.</t>
  </si>
  <si>
    <t>A web services approach for the design of a Multi-Sensor Data Fusion System</t>
  </si>
  <si>
    <t>2008 11th International Conference on Information Fusion</t>
  </si>
  <si>
    <t>In compliance with the Department of National Defence and Canadian Forces Architecture Framework (DNDAF) and the service oriented architecture (SOA), we develop a new Web services implementation of a multi sensor data fusion (MSDF) system. The migration and the decomposition into Web services of the concept analysis and simulation environment for automatic target tracking and identification (CASE ATTI) test bed, developed at DRDC Valcartier, is realized using a spiral approach. A validation process of the Web services is proposed by comparison with the results generated by the CASE ATTI test bed. We also present some general guidelines that should be satisfied by a MSDF Web services provider.</t>
  </si>
  <si>
    <t>Supporting drafts for enterprise modeling</t>
  </si>
  <si>
    <t>2014 9th Computing Colombian Conference (9CCC)</t>
  </si>
  <si>
    <t>200-206</t>
  </si>
  <si>
    <t>Enterprise models are built for representing one enterprise under study. These models require a lot of information, which frequently is not totally available before starting the construction of the model. Modelers create enterprise models based on information provided by different kinds of sources through observations. However, these sources could be insufficient or the information could be incomplete or incorrect regarding specific aspects of the enterprise. As a result, the construction process of enterprise models requires the creation of drafts of models allowing modelers to create an initial draft and to refine it when new and correct enterprise information is obtained. One draft of one enterprise model is a temporal model, which can include incomplete or imperfect elements. Drafts can include supporting data, which is additional data regarding the sources observed. In this paper we present a proposal for creating and managing drafts of enterprise models using ArchiMate as modeling language.</t>
  </si>
  <si>
    <t>A theory building study of enterprise architecture practices and benefits</t>
  </si>
  <si>
    <t>541-564</t>
  </si>
  <si>
    <t>Academics and practitioners have made various claims regarding the benefits that Enterprise Architecture (EA) delivers for both individual projects and the organization as a whole. At the same time, there is a lack of explanatory theory regarding how EA delivers these benefits. Moreover, EA practices and benefits have not been extensively investigated by empirical research, with especially quantitative studies on the topic being few and far between. This paper therefore presents the statistical findings of a theory-building survey study (n = 293). The resulting PLS model is a synthesis of current implicit and fragmented theory, and shows how EA practices and intermediate benefits jointly work to help the organization reap benefits for both the organization and its projects. The model shows that EA and EA practices do not deliver benefits directly, but operate through intermediate results, most notably compliance with EA and architectural insight. Furthermore, the research identifies the EA practices that have a major impact on these results, the most important being compliance assessments, management propagation of EA, and different types of knowledge exchange. The results also demonstrate that projects play an important role in obtaining benefits from EA, but that they generally benefit less than the organization as a whole. © 2015, UWV (Uitkeringsinstituut Werknemers Verzekeringen).</t>
  </si>
  <si>
    <t>https://www.scopus.com/inward/record.uri?eid=2-s2.0-84921511804&amp;doi=10.1007%2fs10796-014-9542-1&amp;partnerID=40&amp;md5=c1e9406214ca6a95d95586fd9a5a1cb4</t>
  </si>
  <si>
    <t>U. Franke</t>
  </si>
  <si>
    <t>Enterprise Architecture Analysis with Production Functions</t>
  </si>
  <si>
    <t>2014 IEEE 18th International Enterprise Distributed Object Computing Conference</t>
  </si>
  <si>
    <t>52-60</t>
  </si>
  <si>
    <t>Enterprise Architecture (EA) is a discipline designed to cope with the complexity of modern enterprises at the intersection of information technology and business operations. This article demonstrates how EA models can be enriched with the production function concept from microeconomics, enabling new and business relevant kinds of analysis. The approach is demonstrated through examples regarding growth strategies, architectural efficiency with changing relative prices, and strategies for high availability IT services.</t>
  </si>
  <si>
    <t>Experimental Evidence on Decision-Making in Availability Service Level Agreements</t>
  </si>
  <si>
    <t>IEEE Transactions on Network and Service Management</t>
  </si>
  <si>
    <t>58-70</t>
  </si>
  <si>
    <t>As more enterprises buy information technology services, studying their underpinning contracts becomes more important. With cloud computing and outsourcing, these service level agreements (SLAs) are now often the only link between the business and the supporting IT services. This paper presents an experimental economics investigation of decision-making with regard to availability SLAs, among enterprise IT professionals. The method and the ecologically valid subjects make the study unique to date among IT service SLA studies. The experiment consisted of pairwise choices under uncertainty, and subjects (N=46) were incentivized by payments based on one of their choices, randomly selected. The research question investigated in this paper is: Do enterprise IT professionals maximize expected value when procuring availability SLAs, as would be optimal from the business point of view? The main result is that enterprise IT professionals fail to maximize expected value. Whereas some subjects do maximize expected value, others are risk-seeking, risk-averse, or exhibit nonmonotonic preferences. The nonmonotonic behavior in particular is an interesting observation, which has no obvious explanation in the literature. For a subset of the subjects (N=29), a few further hypotheses related to associations between general attitude to risk or professional experience on the one hand, and behavior in SLAs on the other hand, were investigated. No support for these associations was found. The results should be interpreted with caution, due to the limited number of subjects. However, given the prominence of SLAs in modern IT service management, the results are interesting and call for further research, as they indicate that current professional decision-making regarding SLAs can be improved. In particular, if general attitude to risk and professional experience do not impact decision-making with regard to SLAs, more extensive use of decision-support systems might be called for in order to - acilitate proper risk management.</t>
  </si>
  <si>
    <t>EAF2- A Framework for Categorizing Enterprise Architecture Frameworks</t>
  </si>
  <si>
    <t>2009 10th ACIS International Conference on Software Engineering, Artificial Intelligences, Networking and Parallel/Distributed Computing</t>
  </si>
  <si>
    <t>327-332</t>
  </si>
  <si>
    <t>What constitutes an enterprise architecture framework is a contested subject. The contents of present enterprise architecture frameworks thus differ substantially. This paper aims to alleviate the confusion regarding which framework contains what by proposing a meta framework for enterprise architecture frameworks. By using this meta framework, decision makers are able to express their requirements on what their enterprise architecture framework must contain and also to evaluate whether the existing frameworks meets these requirements. An example classification of common EA frameworks illustrates the approach.</t>
  </si>
  <si>
    <t>2009 13th Enterprise Distributed Object Computing Conference Workshops</t>
  </si>
  <si>
    <t>328-335</t>
  </si>
  <si>
    <t>Decision support oriented enterprise architecture metamodel management using classification trees</t>
  </si>
  <si>
    <t>https://www.scopus.com/inward/record.uri?eid=2-s2.0-72849122262&amp;doi=10.1109%2fEDOCW.2009.5331975&amp;partnerID=40&amp;md5=d66e85f42781b79bf3ad2e5d7d71e9bd</t>
  </si>
  <si>
    <t>Weaving in patterns into it infrastructure models: industry case and exemplary approaches</t>
  </si>
  <si>
    <t>Proceedings of the 20th European Conference on Pattern Languages of Programs</t>
  </si>
  <si>
    <t>Kaufbeuren, Germany</t>
  </si>
  <si>
    <t>A Decision-Oriented Approach Supporting Enterprise Architecture Evolution</t>
  </si>
  <si>
    <t>2015 IEEE 24th International Conference on Enabling Technologies: Infrastructure for Collaborative Enterprises</t>
  </si>
  <si>
    <t>116-121</t>
  </si>
  <si>
    <t>Enterprise architecture (EA) is a discipline driving change within organizations. EA provides also a valuable set of system architectures and modelling techniques in Cyber-Physical Systems (CPS). EA aims to model the relationships between the business and technology in such a way that key dependencies are exposed from the underlying complexity and so can be used to support decisions. However, the management of such changes is a challenging task for enterprise architects, due to the complex dependencies amongst EA models which may also evolve from an initial to a posterior state. In this paper, we present an approach supporting EA models evolution. Our goal is to define an approach supporting design decision during EA evolution. In doing so, we model EA artifacts dependencies and identify their corresponding operations during change. This model is, then, processed using a feedback control schema to fully inform the design decisions. Finally, we evaluate our decision-oriented approach using a case study design.</t>
  </si>
  <si>
    <t>Modeling access control transactions in enterprise architecture</t>
  </si>
  <si>
    <t>127-134</t>
  </si>
  <si>
    <t>Enterprise architecture (EA) aims to provide management with appropriate indicators and controls to steer and model service-oriented enterprises. However, the management of EA models change is a challenging task due to complex dependencies when dealing with security constraints such as access control. In this paper, we motivate the use of an access control model in EA. More specifically, we present the role-based access control (RBAC) standard as a mean to model access control transactions in EA. To that end, we present (i) how the concepts of RBAC can be modeled into the Archi Mate enterprise architecture modeling language, and (ii) how RBAC's enforcementis supported with the DEMO enterprise modeling methodology via the business transaction concept. These attempts will help us to identify the conceptual link between RBAC, Archi Mate, and DEMO meta models in order to create a consistent lightweight model for access control in EA. Finally, we illustrate the application of the proposed approach through the handling of an e-Government scenario. © 2014 IEEE.</t>
  </si>
  <si>
    <t>https://www.scopus.com/inward/record.uri?eid=2-s2.0-84910685823&amp;doi=10.1109%2fCBI.2014.26&amp;partnerID=40&amp;md5=8344e038eafb9a9184677de9e4fcea29</t>
  </si>
  <si>
    <t>M. T. Gamble</t>
  </si>
  <si>
    <t>Can Metamodels Link Development to Design Intent?</t>
  </si>
  <si>
    <t>2016 IEEE/ACM 1st International Workshop on Bringing Architectural Design Thinking Into Developers' Daily Activities (BRIDGE)</t>
  </si>
  <si>
    <t>14-17</t>
  </si>
  <si>
    <t>Developers of enterprise software are often admonished to be more aware of where the output of their programming tasks fit within the outcomes of the business which they serve. However, despite recent progress in adopting agile development techniques and promotion of architecture frameworks for greater traceability between IT efforts and business outcomes, such insight is still elusive. Meanwhile the renaissance of design thinking is not well represented in those same &amp;#x201C;modern&amp;#x201D; frameworks. We review components of current metamodels for development and architecture frameworks and point out tools from service design thinking that could be paired with the frameworks. Some extensions are proposed to align metamodels to improve the conceptual orientation of developers and other participants in the development process. The linkage between design intent and development is possible, but not clearly apparent in current metamodels.</t>
  </si>
  <si>
    <t>Towards a view for evaluating investment in the enterprise software systems architecture</t>
  </si>
  <si>
    <t>Engineering Management Conference, 2003. IEMC '03. Managing Technologically Driven Organizations: The Human Side of Innovation and Change</t>
  </si>
  <si>
    <t>101-105</t>
  </si>
  <si>
    <t>A new view for assessing the consequences on the enterprise wide software architecture when evaluating an IT-investment is presented. The view is developed as a part of a new model for software management at the enterprise level, which is presented in overview. It is argued that when evaluating an IT-investment, considerations have to be taken regarding how the investment influences the current enterprise software systems architecture. The focus here is to identify key architectural concerns the people responsible for managing the enterprise software architecture, related to evaluating an IT-investment.</t>
  </si>
  <si>
    <t>A reference model for IT management responsibilities</t>
  </si>
  <si>
    <t>2006 10th IEEE International Enterprise Distributed Object Computing Conference Workshops (EDOCW'06)</t>
  </si>
  <si>
    <t>26-26</t>
  </si>
  <si>
    <t>This reference model for IT management responsibilities covers the most important aspects when modeling, analyzing and evaluating enterprise architecture, EA. The reference model can be employed to support IT management in their quest to make well-informed decisions, e.g. to derive architectural principles in order to obtain a proper scope for EA activities, measure the status of the current EA, follow up changes committed, and evaluate alternative EA scenarios. The model is based on extensive literature studies and has been tested in a series of empirical studies.</t>
  </si>
  <si>
    <t>Strategic information systems planning for bureaucratic reform</t>
  </si>
  <si>
    <t>2017 International Conference on Research and Innovation in Information Systems (ICRIIS)</t>
  </si>
  <si>
    <t>Ministry of Energy and Mineral Resources (MEMR) requires Information System/Information Technology (IS/IT) to accelerate its bureaucratic reform. By shortening business legalization process, performance transparency, and standardization of open-access public data, MEMR is expected to improve public service as government institution. However, current situation indicates low performance of IS/IT at MEMR. MEMR has many IS applications with similar functions, separated infrastructure, and weak IT governance. This research explores Strategic IS Planning (SISP) for MEMR as formal development guideline of IT policies, technical tactics, and IT roles. Formulation of SISP is guided by three business principles: Automation, Continuity, and Standardized. SISP is developed using a methodology which accommodates four layers: IT governance, IS application, IT infrastructure, and IT human resources. The methodology is also supplemented with Enterprise Architecture modeling and some COBIT 5 processes through cascading mechanism. This research produces some agendas for each layer, such as IT steering committee establishment to engage top-management commitment, IT competence improvement, centralized data center and disaster recovery center to simplify IT infrastructure operational, and also integration of similar functions IS applications (from 146 IS applications to 22). Through SISP, MEMR can perform more capable bureaucratic reform using IS/IT.</t>
  </si>
  <si>
    <t>Distance learning techniques for ontology similarity measuring and ontology mapping</t>
  </si>
  <si>
    <t>Cluster Computing</t>
  </si>
  <si>
    <t>959-968</t>
  </si>
  <si>
    <t>Recent years, a large amount of ontology learning algorithms have been applied in different disciplines and engineering. The ontology model is presented as a graph and the key of ontology algorithms is similarity measuring between concepts. In the learning frameworks, the information of each ontology vertex is expressed as a vector, thus the similarity measuring can be determined via the distance of the corresponding vector. In this paper, we study how to get an optimal distance function in the ontology setting. The tricks we presented are divided into two parts: first, the ontology distance learning technology in the setting that the ontology data have no labels; then, the distance learning approaches in the setting that the given ontology data are carrying real numbers as their labels. The result data of the four simulation experiments reveal that our new ontology trick has high efficiency and accuracy in ontology similarity measure and ontology mapping in special engineering applications. © 2017, Springer Science+Business Media New York.</t>
  </si>
  <si>
    <t>https://www.scopus.com/inward/record.uri?eid=2-s2.0-85018981575&amp;doi=10.1007%2fs10586-017-0887-3&amp;partnerID=40&amp;md5=59bcd77384a0fb9b0dc758d1aac5519e</t>
  </si>
  <si>
    <t>A Novel Executable Modeling Approach for System-of-Systems Architecture</t>
  </si>
  <si>
    <t>A novel executable modeling approach is proposed for system-of-systems architecture by taking full advantage of the Department of Defense Architecture Framework (DoDAF) Meta-model (DM2) and defining the common model transformation specification at the metamodel level. This methodology provides more flexibility and adaptability for the automated construction of executable models directly from the architectural data rather than from static models. More specifically, the architectural data metamodel is first established to guide architectural data modeling of core data elements and associations in DM2 as the common and consistent data dictionary for architecture modeling, while the executable formalism metamodel is designed to formally define executable models. Then, the mapping rules between both metamodels are presented as the common transformation specification regardless of which modeling language or methodology is employed in developing architectural descriptions. Finally, eXtensible Markup Language (XML) technology, like XML schema languages and eXtensible Stylesheet Language specifications, is discussed to facilitate the automated transformation of executable models from architectural instance data. The feasibility of the proposed approach is illustrated using a published example where colored Petri net (CPN) is used as the executable formalism.</t>
  </si>
  <si>
    <t>B. Geerdink</t>
  </si>
  <si>
    <t>A reference architecture for big data solutions introducing a model to perform predictive analytics using big data technology</t>
  </si>
  <si>
    <t>8th International Conference for Internet Technology and Secured Transactions (ICITST-2013)</t>
  </si>
  <si>
    <t>71-76</t>
  </si>
  <si>
    <t>With big data technology and predictive analytics techniques, organizations can now register, combine, process and analyze data to answer questions that were unsolvable a few years ago. This paper introduces a solution reference that gives guidance to organizations that want to innovate using big data technology and predictive analytics techniques for improving their performance. The reference architecture is the result of an iteration of Hevner's framework for designing information systems artifacts.</t>
  </si>
  <si>
    <t>141-148</t>
  </si>
  <si>
    <t>Grounded Architectures: Using Grounded Theory for the Design of Software Architectures</t>
  </si>
  <si>
    <t>2017 IEEE International Conference on Software Architecture Workshops (ICSAW)</t>
  </si>
  <si>
    <t>Using social architecture to analyzing online social network use in emergency management</t>
  </si>
  <si>
    <t>Emergency Management Agencies (EMA) are increasingly adopting online social network (OSN) such as Twitter and Facebook for interacting with partner institutions and citizens for sourcing and distributing of vital crisis information. However, EMA need to study and analyze how well they are using and, how they should be using the OSN. This paper adopts a holistic social architecture driven approach and demonstrates how to systematically study and analyze OSN adoption in the Australian EMA case study. The results of this study indicate that OSNs do not replace traditional systems and should be considered a part of the whole crisis information management environment. Further, it indicates that a holistic social architecture driven approach seems useful for studying and analyzing the OSN-enabled EMA crisis information management environment, which is critical for the identification of opportunities for improvement.</t>
  </si>
  <si>
    <t>https://www.scopus.com/inward/record.uri?eid=2-s2.0-84905994432&amp;partnerID=40&amp;md5=e4b5b5dc270cb1d9f1ca0769947bbd40</t>
  </si>
  <si>
    <t>Adaptive Enterprise Resilience Management: Adaptive Action Design Research in Financial Services Case Study</t>
  </si>
  <si>
    <t>113-122</t>
  </si>
  <si>
    <t>Work Level Related Human Factors for Enterprise Architecture as Organisational Strategy</t>
  </si>
  <si>
    <t>Enterprise architecture (EA) is an organisational strategy increasingly used to describe the integration of business and information management in complex enterprises. Organisations can prevent human -- related problems and promote acceptance of new organisational strategies, such as EA, if they know what behaviour to expect from stakeholders and why people act and react in a certain way. People react differently to strategic initiatives, such as the introduction of EA, depending on their work level and how a new initiative such as EA may impact them. Through identification of work level related human factors known to impact on introduction and use of EA as strategy, organisations can ensure that the implementation and execution of EA succeed. The acceptance of technology and the socio-technical issues affecting the acceptance of new strategies in organisations have been researched for many years. Work level related human factors impacting EA acceptance have, however, not explicitly been described in past research. In this paper, research towards identifying the human factors that impact on the acceptance of EA as strategy is described. The contribution of this paper is an extensive list of work level related human factors that organisations can use to identify and address human factors that impact on or hinder the acceptance of EA as organisational strategy.</t>
  </si>
  <si>
    <t>472-483</t>
  </si>
  <si>
    <t>Systematic Web Data Mining with Business Architecture to Enhance Business Assessment Services</t>
  </si>
  <si>
    <t>2011 Annual SRII Global Conference</t>
  </si>
  <si>
    <t>Among the numerous challenges faced by enterprises today, two recent trends have significantly impacted the manner businesses are run and decisions are made. First, many enterprises have adopted Business Architecture concepts to structure, define, plan, measure and optimize their operations. Second, enterprises have leveraged the vast wealth of dynamic and unstructured web information to identify competitive advantages, recognize social media sentiment patterns or anomalies, and assuage potentially damaging client perceptions. These tasks are commonly performed independently of each other, thus missing several synergetic opportunities. By establishing a systematic relationship between these seemingly disjoint trends, enterprises and consulting service companies gain competitive, operational advantages, and recurring benefits. This paper describes a systematic approach whereby results from text mining analysis are integrated with the Business Architecture to empower business users to leverage social media data for increased decision making efficiencies. Applying design science, the proposed approach is explained by providing a conceptual model and a two-phased integration method. It is then buttressed by a sample scenario derived from the banking industry. We discuss the potential operational and competitive gains realized by adopting our approach, and the directions for future work.</t>
  </si>
  <si>
    <t>The work-knowledge cohesion: Integrating knowledge management with deliverable work for knowledge-intensive services</t>
  </si>
  <si>
    <t>Proceedings of 2010 IEEE International Conference on Service Operations and Logistics, and Informatics</t>
  </si>
  <si>
    <t>294-299</t>
  </si>
  <si>
    <t>Knowledge-intensive services are prevalent in B2B environment involving complex problems and custom solutions. As such services consume and generate a large amount of information, knowledge-sharing mechanisms are required to capture, transfer and reuse information across projects. So far, with the advent of the internet, the business community has mainly focused on web-based technologies for knowledge sharing. The most common approach is a web portal through which a practitioner can access the organization's collection of intellectual capital. This approach, however, has notable drawbacks. In particular, they often fail to stimulate active user participation, in terms of both contributing to and using the knowledge base. The problem, as we see it, is largely caused by the separation between the environment of a client engagement and that of knowledge management. In this paper, we propose a knowledge management system that is integrated into the process of delivering a client engagement. The integration is realized at two levels: at the content level, the knowledge is organized by a framework that is central to the client engagement at hand; at the tool level, the knowledge management system is embedded in the software for developing work products for a client engagement The advantages of the proposed integration over existing tools are discussed.</t>
  </si>
  <si>
    <t>Disentangling the Value of Information and Analytics through Componentized Business Architecture</t>
  </si>
  <si>
    <t>4250-4259</t>
  </si>
  <si>
    <t>Data has been a key resource in the operation of enterprises for quite some time. Information technology practices have been created to manage data from a variety of perspectives. The growth of data sources and the need to obtain more value from huge volumes have paved the advent of business analytics. Expectations from business managers and executives have risen accordingly. Today, the need to align the value of information and analytics to the resource-base of an organization has become the 'new normal'. Realizing this potential calls for new practices, i.e., IT-centric data management activities need to be complemented with business-centric practices that help understand raw and analytical information entities and their value to operations and strategy. This paper presents models and techniques to help assess the value of information and analytics at the realm of the asset base of organizations. The approach is based on models of business operations and the way information (raw and analytical) is connected to the organization and its business priorities. This linkage builds upon the notions of componentized business architecture, simplified information metamodel and basic relationship between the two concepts. A real-world case study in the insurance industry with the corresponding business architecture frameworks and information models illustrates the practical value of the approach.</t>
  </si>
  <si>
    <t>Using Enterprise Architecture to Assist Business Continuity Planning in Large Public Organizations</t>
  </si>
  <si>
    <t>2017 IEEE 19th Conference on Business Informatics (CBI)</t>
  </si>
  <si>
    <t>70-78</t>
  </si>
  <si>
    <t>Business continuity planning (BCP) requires a holistic approach that considers several technological and organizational aspects. Currently, there is a lack of scientifically validated solutions to support continuity planning that are based on standards and best practice frameworks, capable of addressing the complexity and specific needs of large public organizations. In this work, we propose to use Enterprise Architecture (EA) artifacts, based on the ArchiMate modelling language, to assist continuity planning. We demonstrated the proposal in a large public organization, using an ex post scenario. We evaluated the proposal using the demonstration, evaluation questionnaires, as well as group sessions, to measure the goal efficacy, the environment consistency and the structural quality. The main scientific contributions of this paper are the validation of EA's usefulness for assisting BCP, as well as a set of EA viewpoints for assisting BCP related initiatives.</t>
  </si>
  <si>
    <t>Ontology-based enterprise architecture model analysis</t>
  </si>
  <si>
    <t>Proceedings of the 29th Annual ACM Symposium on Applied Computing</t>
  </si>
  <si>
    <t>Gyeongju, Republic of Korea</t>
  </si>
  <si>
    <t>1420-1422</t>
  </si>
  <si>
    <t>Mapping ontological transaction into Activity</t>
  </si>
  <si>
    <t>2013 8th Iberian Conference on Information Systems and Technologies (CISTI)</t>
  </si>
  <si>
    <t>Although there are several applications of Activity Theory to analyse the collaborative work from human practices, there isn't one approach that enables to obtain the diagrams from the description of the business processes of an organization. This article presents a proposal of how to get the Activity Diagrams from business processes described by ontological transactions. As a means of validating this proposal was applied in a case study in organization.</t>
  </si>
  <si>
    <t>Multilevel complexity measurement in enterprise architecture models</t>
  </si>
  <si>
    <t>International Journal of Computer Integrated Manufacturing</t>
  </si>
  <si>
    <t>Taylor and Francis Ltd.</t>
  </si>
  <si>
    <t>1280-1300</t>
  </si>
  <si>
    <t>The authors create a model to measure the complexity associated with enterprise architecture (EA) proposals at the design stage. At this stage, existing methods measure the complexity of business capabilities regardless of their leveraging business and technical architectures. Measuring their complexity at the implementation level restricts product changes and generates higher costs. Our proposed model analyses the detailed EA design, thereby improving enterprise modelling and integration. First, we define the EA functionalities and dependencies to measure the complexity of a project roadmap. Next, we extend an existing mathematical formula to measure complexity in terms of these functionalities and dependencies at three additional and increasingly granular levels of detail: gap analysis model, target architecture design and implementation architecture design. We apply our multilevel complexity measurement to EA case studies. The results show that our model provides a more accurate complexity measurement compared with existing methods; the complexity effort estimated at the implementation design level has an accuracy between 63% and 94% with respect to the actual roadmap’s implementation effort. Our method provides an early predictor of EA reliability, which could enable organisations to better control project scope, time and budget, especially in reuse-based implementations such as service-oriented architectures. © 2017 Informa UK Limited, trading as Taylor &amp; Francis Group.</t>
  </si>
  <si>
    <t>https://www.scopus.com/inward/record.uri?eid=2-s2.0-85016104538&amp;doi=10.1080%2f0951192X.2017.1307453&amp;partnerID=40&amp;md5=6d2854f5fbc942fa46c202831443ae45</t>
  </si>
  <si>
    <t>Conceptual Integration of Enterprise Architecture Management and Security Risk Management</t>
  </si>
  <si>
    <t>114-123</t>
  </si>
  <si>
    <t>Enterprise Architecture Management (EAM) is considered to provide the mechanism for, amongst others, governing enterprise transformations required by changes in the environment. In this paper, we focus on changes that result from the analysis of information security risks and of their impacts on the services delivered by an enterprise. We present how the concepts of an information system security risks management domain can be mapped into the ArchiMate enterprise architecture modeling language. We illustrate the application of the proposed approach through the handling of a lab case.</t>
  </si>
  <si>
    <t>Validating value network business models by ontologies</t>
  </si>
  <si>
    <t>142-147</t>
  </si>
  <si>
    <t>Different meta-models allow modeling the business of an organization from different perspectives. The Business Model Canvas focus is close to the strategy of the organization. E3value allows modeling of value networks and ArchiMate allows alignment from business models to IT infrastructure. When models of these three meta-models coexist for a certain value network, they must be consistent. Currently, there is no way to validate such consistency automatically. We propose a solution, using ontologies and ontology mapping techniques (OWL, OWL.DL, SPARQL) that helps to validate instantiated models automatically, based on a set of mapping rules between the three meta-models. In this work, the mappings between Business Model Canvas, e3value and ArchiMate are identified and formalized through ontologies. The formalized mapping is then applied to a case study and exploited, together with reasoning techniques.</t>
  </si>
  <si>
    <t>https://www.scopus.com/inward/record.uri?eid=2-s2.0-84926363588&amp;partnerID=40&amp;md5=d6dd77c834e24c9bbf39d8b03d01b510</t>
  </si>
  <si>
    <t>Making processes from best practice frameworks actionable</t>
  </si>
  <si>
    <t>Best-practice frameworks provide guidance for organizing work in business. They enable reuse of experience within a domain. However, best practice frameworks are general and usually cover broad domains. Their guidance thus is often offered at an abstract level rather than as details of actionable tasks and processes to accomplish work. This paper presents an approach to bridge the gap between the abstractions available in best practice framework and actions that have to be performed by people or systems in a repeatable manner. We identify knowledge from best practices frameworks, categorize it and represent it in the form of reusable, interpretable templates. Template interpretation guides the refinement process from general concepts of best practices frameworks into actionable concepts such as specific tasks to be performed by assigned roles. A prototype implemented to validate the approach is also described.</t>
  </si>
  <si>
    <t>A Practical Approach to the Formulation and Use of Architecture Principles</t>
  </si>
  <si>
    <t>This paper describes an approach and accompanying process for the development and use of architecture principles. In doing so, it builds on earlier work in which we defined the concept of architecture principle itself. The approach presented in this paper is based on a combination of experiences gathered from practice, as well as a synthesis of past work and other sources from both academia and industry, including standards such as TOGAF. The approach is practical in the sense that it provides more detail on how to develop architecture principles than offered by other source. Also, it shows the 'magic' involved in how to translate drivers to architecture principles.</t>
  </si>
  <si>
    <t>Enterprise architectures: Enablers of business strategy and IS/IT alignment in government</t>
  </si>
  <si>
    <t>Information Technology &amp; People</t>
  </si>
  <si>
    <t>96-120</t>
  </si>
  <si>
    <t>Purpose Drawing on established alignment and architectural theory, this paper seeks to present the argument that an organisation's enterprise architecture can enable the alignment of business strategy and information systems and technology (IS/IT). Design/methodology/approach The paper presents a detailed case study of the Australian Bureau of Statistics (ABS), where a high degree of alignment and international recognition of excellence in business and enabling IS/IT performance are documented. Findings The ABS enterprise architecture was developed in 1999-2001 and describes the organisation's physical business and IS/IT elements, and the connective relationships that inform the alignment condition. The ABS architecture is robustly holistic in form, and is characterised by a strong and equal focus on business operations, the deliberate inclusion of an IS/IT governance framework, the structuring and hosting of corporate information for business delivery, and the efficient reuse of IS/IT components. Originality/value The ABS case study also examined empirically the social aspects and formal mechanisms of organisational alignment, and shows how a formal enterprise architecture mechanism can integrate into a successful alignment process. © 2007, Emerald Group Publishing Limited</t>
  </si>
  <si>
    <t>https://www.scopus.com/inward/record.uri?eid=2-s2.0-34249820290&amp;doi=10.1108%2f09593840710758031&amp;partnerID=40&amp;md5=10c5dccceafc7662c1f7aeaa5ce1bd12</t>
  </si>
  <si>
    <t>Playing ArchiMate models</t>
  </si>
  <si>
    <t>182-194</t>
  </si>
  <si>
    <t>This paper concerns the application of a gaming approach to the validation of ArchiMate models, with the aim of enhancing validation, by nonarchitects, beyond mere reading of the model. The game offers a guided process for systematic exploration of ArchiMate models, and for systematically raising questions about them. The development process and the design principles behind the game are discussed, as well as the information transformation involved in creating a model-specific game from an ArchiMate model. The game has been evaluated through application in a small real life case. We discuss the influence of our approach to model understanding by the players, and the conceptual merits and flaws of the game. © 2010 Springer-Verlag Berlin Heidelberg.</t>
  </si>
  <si>
    <t>https://www.scopus.com/inward/record.uri?eid=2-s2.0-84873171459&amp;doi=10.1007%2f978-3-642-13051-9_16&amp;partnerID=40&amp;md5=f30c79fff2fe96a252f402a7ee08e95e</t>
  </si>
  <si>
    <t>Towards automated enterprise architecture documentation: Data quality aspects of SAP PI</t>
  </si>
  <si>
    <t>186 AISC</t>
  </si>
  <si>
    <t>103-113</t>
  </si>
  <si>
    <t>Well executed, Enterprise Architecture (EA) management is commonly perceived as a strategic advantage. EA management sermonizes IT savvy firms to take profound decisions based on mature EA information. As of today, gathering required information, i.e. documenting the EA, is regarded both, time consuming and error-prone. As a reaction, recent approaches seek to automate EA documentation by extracting information out of productive system environments. In our recentwork we showed that a particular Enterprise Service Bus (ESB) namely SAP Process Integration can be used to extract EA relevant information. As a next step towards automated EA documentation, this paper analyzes the quality of the data stored in SAP Process Integration systems in practice. Survey results of 19 industry partners on 4 continents are presented. © 2013 Springer-Verlag.</t>
  </si>
  <si>
    <t>https://www.scopus.com/inward/record.uri?eid=2-s2.0-84868236553&amp;doi=10.1007%2f978-3-642-32741-4_10&amp;partnerID=40&amp;md5=cec730dc5e638d73fcc8ab654c461097</t>
  </si>
  <si>
    <t>Towards Internal Modelling of the Information Systems Application Domain</t>
  </si>
  <si>
    <t>Informatica (Netherlands)</t>
  </si>
  <si>
    <t>Model-driven IS engineering methods invoke the IS application domain modelling methods to acquire essential characteristics of organizational systems (enterprises). Business modelling for value creation is a relatively separate area, meanwhile it correlates with the IS application domain modelling methodologies and gives new insights for enhancement of enterprise modelling, business process modelling and BP management modelling approaches. The IS application domain and the business domain modelling are not isolated and could be investigated using the same paradigm of modelling. Yet there is some uncertainty in model-driven approaches towards the understanding of the enterprise management activities. A problematic consistency of modelling approaches indicate a need for a systemic analysis of IS application domain modelling concepts. The internal modelling paradigm is used for analysis of an enterprise management activity as a self-managed system, and hereby the lack of the conceptual basis for domain modelling in IS engineering is determined. This approach is aimed to reveal hidden information transactions of the business management activities. The understanding of the IS application domain as a self-managed system allowed to redefine such concepts as management transaction, management function and enterprise process. The metastructure of management transaction is defined and illustrated for business management layer and IS development layer. © 2016 Vilnius University.</t>
  </si>
  <si>
    <t>https://www.scopus.com/inward/record.uri?eid=2-s2.0-84966667875&amp;doi=10.15388%2fInformatica.2016.74&amp;partnerID=40&amp;md5=a131a3990a4645bd418df3db724df4fe</t>
  </si>
  <si>
    <t>S. Guerreiro</t>
  </si>
  <si>
    <t>Business Rules Elicitation Combining Markov Decision Process with DEMO Business Transaction Space</t>
  </si>
  <si>
    <t>2013 IEEE 15th Conference on Business Informatics</t>
  </si>
  <si>
    <t>13-20</t>
  </si>
  <si>
    <t>The resource shortage that organizations are actually facing requires innovative solutions to optimize their business transactions and to aid their decision-making processes. Business transaction models prescribe the design freedom restrictions for producing a new service or product, and are useful to share a common understanding between the stakeholders. The contemporary advances such as the DEMO theory and methodology present strong foundations to describe the business transaction model dynamics. Still, the models itself, do not guarantee that the business actors perform them accordingly during operation. The business rules are a coherent and consistent set of actionable directives intended to steer the enterprise operation. In this scope, we explain and simulate a decision-making process, using Markov decision processes, to elicit the business rules that optimize the value function of the business transactions operation. A preliminary experiment of producing and selling goods is used to illustrate the approach.</t>
  </si>
  <si>
    <t>Ontological considerations about the representation of events and endurants in business models</t>
  </si>
  <si>
    <t>9850 LNCS</t>
  </si>
  <si>
    <t>20-36</t>
  </si>
  <si>
    <t>Different disciplines have been established to deal with the representation of entities of different ontological natures: the business process modeling discipline focuses mostly on event-like entities, and, in contrast, the (structural) conceptual modeling discipline focuses mostly on object-like entities (known as endurants in the ontology literature). In this paper, we discuss the impact of the event vs. endurant divide for conceptual models, showing that a rich ontological account is required to bridge this divide. Accounting for the ontological differences in events and endurants as well as their relations can lead to a more comprehensive representation of business reality. © Springer International Publishing Switzerland 2016.</t>
  </si>
  <si>
    <t>https://www.scopus.com/inward/record.uri?eid=2-s2.0-84990062042&amp;doi=10.1007%2f978-3-319-45348-4_2&amp;partnerID=40&amp;md5=e7f350d7fce5916b9caa1b2fb140d111</t>
  </si>
  <si>
    <t>Towards ontological foundations for conceptual modeling: The unified foundational ontology (UFO) story</t>
  </si>
  <si>
    <t>259-271</t>
  </si>
  <si>
    <t>This paper describes a long-term research program on developing ontological foundations for conceptual modeling. This program, organized around the theoretical background of the foundational ontology UFO (Unified Foundational Ontology), aims at developing theories, methodologies and engineering tools with the goal of advancing conceptual modeling as a theoretically sound discipline but also one that has concrete and measurable practical implications. The paper describes the historical context in which UFO was conceived, briefly discusses its stratified organization, and reports on a number of applications of this foundational ontology over more than a decade. In particular, it discusses the most successful application of UFO, namely, the development of the conceptual modeling language OntoUML. The paper also discusses a number of methodological and computational tools, which have been developed over the years to support the OntoUML community. Examples of these methodological tools include ontological patterns and anti-patterns; examples of these computational tools include automated support for pattern-based model construction, formal model verification, formal model validation via visual simulation, model verbalization, code generation and anti-pattern detection and rectification. In addition, the paper reports on a variety of applications in which the language as well as its associated tools have been employed to engineer models in several institutional contexts and domains. Finally, it reflects on some of these lessons learned by observing how OntoUML has been actually used in practice by its community and on how these have influenced both the evolution of the language as well as the advancement of some of the core ontological notions in UFO. © 2015 - IOS Press and the authors. All rights reserved.</t>
  </si>
  <si>
    <t>https://www.scopus.com/inward/record.uri?eid=2-s2.0-84954115557&amp;doi=10.3233%2fAO-150157&amp;partnerID=40&amp;md5=614677050f4e803d4ef09f612af0b6be</t>
  </si>
  <si>
    <t>2012 Sixth International Conference on Research Challenges in Information Science (RCIS)</t>
  </si>
  <si>
    <t>The i* community has raised several main dialects and dozens of variations in the definition of the i* language. Differences may be found related not just to the representation of new concepts but to the very core of the i* language. If on the one hand this is caused by large adoption of the framework in the academic setting, on the other hand, it also poses some threats. For example, novices have trouble learning how to use the language, and besides these inconsistencies prevent i* from being largely adopted in business settings. Based on positive results from previous work related to conceptual modeling languages, we believe that foundational ontologies may present a promising solution for this problem. Foundational ontologies may help clarifying the semantics of core i* constructs and provide practical guidelines for their use. Last, they may serve as the basis to propose a normative definition of the framework. In this paper, we develop this idea, first by justifying the use of foundational ontologies and, in particular, the UFO ontology. Then, we raise some problems found in the i* literature. And then, we show the outcomes of adopting an ontological approach for the specific case of the i* framework. We focus here on one of the most characteristic i* construct, namely the means-end link.</t>
  </si>
  <si>
    <t>Enterprise architecture for cloud-based ERP system development</t>
  </si>
  <si>
    <t>2014 International Conference of Advanced Informatics: Concept, Theory and Application (ICAICTA)</t>
  </si>
  <si>
    <t>57-62</t>
  </si>
  <si>
    <t>Cloud</t>
  </si>
  <si>
    <t>The cloud computing concept is widely accepted as a new, influential method in the field of information technology. It offers ease of access, flexibility, security, etc. In recent years there are suggestions of making a large number of cloud-based applications; one of them is the enterprise resource planning (ERP). In general, making an ERP accessible through cloud computing offers great benefits regardless of what field may use them, but in order to achieve that level of operation some guidance and assessments are needed. There are numbers of companies who face failure in an attempt of using or even customizing ERP for their company. Enterprise architecture can be used to validate all necessary requirements a company needs to asses before implementing an ERP system, especially a cloud-based ERP system.</t>
  </si>
  <si>
    <t>Autonomy in collaborative manufacturing networks</t>
  </si>
  <si>
    <t>10th IEEE International Conference on Collaborative Computing: Networking, Applications and Worksharing</t>
  </si>
  <si>
    <t>253-260</t>
  </si>
  <si>
    <t>A collaborative manufacturing network is an alliance of business entities (mostly manufacturers and suppliers) who collaborate on the production of complex products. An essential element of this type of collaboration is that the participating entities are allowed to retain some measure of autonomy. In this paper we examine different approaches to collaborative manufacturing that support different levels of cooperation and autonomy.We identify three major architectures for collaborative manufacturing networks, and we describe a design for a single platform that supports all three architectures. The platform is based on three major components: an information repository, a service repository and a workflow repository. We also address several challenging issues, such as collaboration failures, management of supply capacities and order quantities, and risk estimation.</t>
  </si>
  <si>
    <t>Analyzing IT impact on organizational structure: A case study</t>
  </si>
  <si>
    <t>PICMET '09 - 2009 Portland International Conference on Management of Engineering &amp; Technology</t>
  </si>
  <si>
    <t>3197-3210</t>
  </si>
  <si>
    <t>Each year companies spend millions of dollars on IT investments hoping they will lead to higher profits. There are many methods for analyzing what these investments actually bring back to the companies, but unfortunately they are not stringent enough to make the analysis repeatable. This means that different investments cannot be compared to each other. The management paradigm of Enterprise Architecture (EA) is commonly used to structure a company from a holistic perspective. In this paper, an EA framework for assessing IT-systems' impact on an organization's business value through changes in its structure is validated. The foundation of the framework is a Bayesian inference engine allowing quantified analysis. For practical usage, this analysis framework is also expressed through modeling the organization with a metamodel. Together they form a structured method for quantitative analysis of the IT impact on organizations. An IT system for maintenance management within a European electric power utility has been used as a case study to validate the method. The organization and IT support have been modeled using the proposed metamodel and thereafter analyzed with the Bayesian network. The study has been conducted using guided interviews and a survey. The results from this study of how the business value has been influenced are compared to the user's perceptions on how the business values have changed are also presented in this paper.</t>
  </si>
  <si>
    <t>R. Gustas</t>
  </si>
  <si>
    <t>Modeling approach for integration and evolution of information system conceptualizations</t>
  </si>
  <si>
    <t>Frameworks for Developing Efficient Information Systems: Models, Theory, and Practice</t>
  </si>
  <si>
    <t>146-175</t>
  </si>
  <si>
    <t>Most information systems development methodologies are based on conceptual modeling of static and dynamic views, which are represented by totally different types of diagrams. Understanding of the interplay among interactive, behavioral and structural aspects of specifications is necessary for identification of semantic integrity problems between business process and business data. Typically, semantic inconsistencies and discontinuities between collections of conceptual representations are not easy to detect and to comprehend for information system designers due to static and dynamic aspects of models being visualized in isolation. The goal of this paper is to present a modeling approach for semantic integration and evolution of static and dynamic aspects of conceptual models. Visualization of interplay among structural, interactive and behavioral aspects of computation-neutral representations helps to understand crosscutting concerns and integrity problems of information system conceptualizations. The main advantage of the presented conceptual modeling approach is stability and flexibility of diagrams in dealing with the evolutionary changes of requirements. Therefore, the developed modeling foundation is targeted to both business managers and information system designers for the purpose of computation-neutral integration and evolution of information systems specifications. © 2013 by IGI Global. All rights reserved.</t>
  </si>
  <si>
    <t>https://www.scopus.com/inward/record.uri?eid=2-s2.0-84944631385&amp;doi=10.4018%2f978-1-4666-4161-7.ch007&amp;partnerID=40&amp;md5=127333a98d0b6f1fa3fd2744c0f6f7eb</t>
  </si>
  <si>
    <t>PWSSec: Process for Web Services Security</t>
  </si>
  <si>
    <t>2006 IEEE International Conference on Web Services (ICWS'06)</t>
  </si>
  <si>
    <t>213-222</t>
  </si>
  <si>
    <t>In the last few years, the field of Web services (WS) security has evolved rapidly producing an impressive number of WS-based security standards. This fact has caused that organizations are still reticent about adopting technologies based on this paradigm due to the learning curve necessary to integrate security into their practical deployments. In this paper, we present PWSSec (process for Web services security) as a process that enables the integration of a set of specific stages into the traditional phases of WS-based systems development providing them with security. PWSSec is composed of three stages, WSSecReq (Web services security requirements), WSSecArch (Web services security architecture) and WSSecTech (Web services security technologies) that allow the specification of WS-specific security requirements, the definition of the WS-based security architecture and the identification of the security standards that the security architecture must deploy, respectively</t>
  </si>
  <si>
    <t>A Case Study of Stakeholder Concerns on EAM</t>
  </si>
  <si>
    <t>50-56</t>
  </si>
  <si>
    <t>As a result of growing complexities in business processes, information systems, and the technical infrastructure, a key challenge for enterprise architecture management (EAM) is to guide stakeholders from different hierarchical levels with heterogeneous concerns. EA deliverables, such as models or frameworks, are often highly comprehensive and standardized. However, these can hardly be applied without greater adaption. Although the literature selectively covers approaches for tailoring EA deliverables closer to the concerns of affected stakeholders, these approaches are often vague or not very differentiated. In the paper at hand, we aim at introducing a stakeholder perspective to EAM research that considers stakeholder concerns on EAM across hierarchical levels. To this end, we conduct a case study: Our results show homogenous concerns among stakeholders on EA deliverables. In turn, we found different concerns on the role of EAM in applying these deliverables, dependent on the hierarchical level of stakeholders. These findings stress the necessity for a more differentiated understanding of stakeholder concerns on EAM. Finally, we discuss the implications of our findings for an exemplary EAM approach.</t>
  </si>
  <si>
    <t>Design and Implementation of a Toolkit for the Aspect-Based Sentiment Analysis of Tweets</t>
  </si>
  <si>
    <t>379-387</t>
  </si>
  <si>
    <t>The microblogging service Twitter is a lively social media channel where people report on almost everything imaginable. Using tweets to analyze consumers' opinions about individual products and services is a valuable source of information used by brands and companies to learn about their public perception. We present an aspect-based sentiment analysis approach for extracting positive, negative, and neutral aspects from tweets by leveraging part-of-speech tagging and dependency parsing from natural language processing. The approach manifests in the design of a software toolkit that facilitates the sentiment analysis, starting from the extraction of tweets, filtering, over the automated analysis, up to the interactive display of the results. By applying dependency patterns between nouns, adjectives, adverbs, and negotiations to the individual sentences, the toolkit identifies aspects and sentiment expressions, for which the polarities are determined subsequently. We demonstrate the developed solution by looking at the case of Airbnb, where people can rent out their homes to others over a Web platform. It is important to note that Airbnb only provides the platform and has little influence on the actual lodging service. Thus, looking at word-of-mouth regarding individual service experiences yields evidence of praise and criticism, which can help to seize improvement potential.</t>
  </si>
  <si>
    <t>Proposal of a service oriented architecture governance model to serve as a practical framework for business-IT Alignment</t>
  </si>
  <si>
    <t>4th International Conference on New Trends in Information Science and Service Science</t>
  </si>
  <si>
    <t>410-417</t>
  </si>
  <si>
    <t>A growing number of business organizations are becoming aware of the potential the service oriented approach offers to both facilitate the integration of applications and help building dynamically strategic information systems. In particular, it contributes to developing information systems that are compatible with the needs of agile organizations. Service oriented architecture (SOA) governance opens an opportunity for business-IT Alignment (BITA). In this paper we will first examine the benefits and contributions of the SOA. We will proceed by showing how it opens interesting possibilities in the framework of business-IT alignment (as one of the major IT challenges) and Enterprise Architecture (as a practical framework for BITA). Based on the literature, we will eventually propose a SOA Governance Model (SOAGM) that should help align IT investments with business objectives.</t>
  </si>
  <si>
    <t>Service Oriented Enterprise Architecture Framework</t>
  </si>
  <si>
    <t>2010 6th World Congress on Services</t>
  </si>
  <si>
    <t>391-398</t>
  </si>
  <si>
    <t>The concept of Service Oriented Architecture (SOA) has had a significant impact not only on software engineering but on the analysis of an organization's business layer as well. In this paper we demonstrate that using the SOA concept into the Enterprise Architecture (EA) framework makes the best of the synergy existing between these two approaches. We will examine the characteristics of this relationship before proposing a roadmap for integrating SOA and EA into the Service Oriented Enterprise Architecture (SOEA). Some managerial aspects leading to a successful implementation of this kind of projects will be discussed.</t>
  </si>
  <si>
    <t>A decision-support model enabling a proactive vision of Cloud Computing adoption</t>
  </si>
  <si>
    <t>2016 2nd International Conference on Cloud Computing Technologies and Applications (CloudTech)</t>
  </si>
  <si>
    <t>192-198</t>
  </si>
  <si>
    <t>Market competitiveness and technological evolution encourage companies to seek IT solutions enabling to save costs, increase productivity, and focus on high value-added activities. Outsourcing and cloud computing activities become increasingly adopted choices. That is why, decision makers need to look for decision support tools helping them for the adoption of new solutions and services such as Cloud Computing. This article presents a maturity assessment model of a functional block information system in order to outsource it to Cloud. Basing on the enterprise architecture point of view, best practices repositories, basic criteria of activities outsourcing, and the cloud computing adoption requirements, this model is built around four modules: the block scope identification, the outsourcing opportunity, the cloud computing architectural requirements, and governance and control. Thus, this model will provide new benefits for opened Enterprise Architectures to cloud computing.</t>
  </si>
  <si>
    <t>2 - Information Levels and Frameworks</t>
  </si>
  <si>
    <t>Information Modeling and Relational Databases (Second Edition)</t>
  </si>
  <si>
    <t>San Francisco</t>
  </si>
  <si>
    <t>27-57</t>
  </si>
  <si>
    <t>https://www.sciencedirect.com/science/article/pii/B9780123735683500060</t>
  </si>
  <si>
    <t>Agile requirements handling in a service-oriented taxonomy of capabilities</t>
  </si>
  <si>
    <t>Requirements Engineering</t>
  </si>
  <si>
    <t>Springer London</t>
  </si>
  <si>
    <t>289-314</t>
  </si>
  <si>
    <t>To get to grips with information systems portfolio development, strategic decisions tend towards service orientation and cloud deployment. Functionality should be presented as services that can be consumed from secure clouds in a range of contexts, and service-oriented architectures should enable one to build and rebuild systems portfolios readily and rapidly. However, there is little practical guidance on how to organize and coordinate the multiple lines of work that developing, or modernizing to, a service-oriented portfolio entails. We outline a method framework that uses the structure of a service-oriented taxonomy of capabilities to organize requirements and development in terms of elaboration and refinement of requirements. The method compiles several best practices and supports independent, but integral, lines of work that can be organized in small-scale projects. We illustrate the framework on three cases that involve computer- and simulation-assisted business processes. We conclude that service-oriented capability taxonomies can be used to structure and discipline requirements handling at all levels, from enterprise strategy to technical systems. We suggest that our framework supports the development of capabilities and services that are persistent in the service-oriented sense relative to each other and to implementation. We suggest further that the framework supports collaborative work by facilitating shared conceptions across lines of work. We emphasize that empirical studies should be conducted to evaluate and refine the framework. © 2016, Springer-Verlag London.</t>
  </si>
  <si>
    <t>https://www.scopus.com/inward/record.uri?eid=2-s2.0-84957013488&amp;doi=10.1007%2fs00766-016-0244-8&amp;partnerID=40&amp;md5=85faef985c7d26769b4dfc6845bf7e92</t>
  </si>
  <si>
    <t>P. T. Harris</t>
  </si>
  <si>
    <t>Enterprise Architecture and Its Role in Solving Business Issues: Case Study of the NSW Department of Lands</t>
  </si>
  <si>
    <t>2008 IEEE 8th International Conference on Computer and Information Technology Workshops</t>
  </si>
  <si>
    <t>607-615</t>
  </si>
  <si>
    <t>Enterprise Architecture (EA) is a holistic and comprehensive business transformation method to define and plan changes to the organisationpsilas processes and operations. The value of an EA initiative is only realised by embracing and using the deliverable outputs. Frameworks, are the building blocks and process steps to assist with an EA project. The paper provides a non technical contextual overview of EA, an environment scan of its applicability across governments and references a detailed case study account with the NSW Department of Lands.</t>
  </si>
  <si>
    <t>A review on monitoring vague quality of service (QoS) compliance for web services</t>
  </si>
  <si>
    <t>2012 International Conference on Computer &amp; Information Science (ICCIS)</t>
  </si>
  <si>
    <t>517-521</t>
  </si>
  <si>
    <t>Service Oriented Architecture (SOA) has become the prominent distributed computing paradigm nowadays. One of the technologies that enable the running of SOA is web services. In its nature of similar to peer-to-peer communication, web services involve customer who requests for the service and provider who provides the service. As a result, web services implementation requires a contract agreement so that both parties will get the value for money they invested. The objective of this paper is to present the literature review on monitoring for violations of this contract. Based on the literature study, this paper proposes a monitoring model to monitor compliance of vague non-functional requirements specified in the contract. The proposed research implies more realistic way of describing web services non-functional requirements and uncomplicated requirements specification as the model is focusing on inexperienced users.</t>
  </si>
  <si>
    <t>Z. A. Hasibuan</t>
  </si>
  <si>
    <t>An overview of integrated approach to digital preservation: Case study of Indonesian e-Cultural heritage and natural history information retrieval system</t>
  </si>
  <si>
    <t>2011 International Conference on Advanced Computer Science and Information Systems</t>
  </si>
  <si>
    <t>31-36</t>
  </si>
  <si>
    <t>Digital preservation is one of the ways to make history of a nation keeps alive. The history of a nation rooted in its cultures and nature. The wealth of these cultures and nature spread in many entities and in many areas. Their existences are in a vulnerable position. One of the efforts to preserve cultural heritage and natural history is by utilizing information and communication technologies (ICT) as enabler. In this paper we overview a series of research progress on integrated approach to digital preservation of eCultural Heritage and Natural History (eCHNH) Framework. The research results show that the availability and accessibility of cultural heritage and natural history are improved. Furthermore, the unification of these assets that are spread in several entities and several geographical areas, are established through seamless integration.</t>
  </si>
  <si>
    <t>An Iterative Process to Connect Business and IT Development: Lessons Learned</t>
  </si>
  <si>
    <t>94-103</t>
  </si>
  <si>
    <t>Combining business and IT viewpoints in large development projects is a big challenge for many organizations in the outsourced environment. The goal of this paper is to describe process and good practices that can support a case-study organization in connecting business and IT development during the requirements definition. The results are based on 17 interviews, an analysis of 15 large projects, process improvement meetings, validation workshops, and a survey. We first identified the lessons learned of the past projects and then defined good practices to be used in future projects. This paper describes a new process to be used by the customer organization and its suppliers in the outsourced IT development environment. The principal idea is to iteratively improve the requirements during the pre-study, procurement, and implementation phases of the project. To strengthen the link between business and IT development, the process also contains activities and good practices related to development-goals setting, innovation and business development, business-case analysis, solution planning and enterprise architecture modeling. The results indicate that the requirements definition should be not only part of the IT system development but also closely integrated with the business development of the customer organization.</t>
  </si>
  <si>
    <t>On the Composition and Reuse of Viewpoints across Architecture Frameworks</t>
  </si>
  <si>
    <t>131-140</t>
  </si>
  <si>
    <t>A central aspect of architecting is architecture description. Architecture descriptions take many forms and serve many purposes throughout the life cycle of development, operation and maintenance activities. The use of multiple views -- diverse representations for distinct audiences and uses -- has been a major tenet of architecture description since the earliest work in software architecture. This tenet has been codified in various ways. Most practising software architects must operate within the confines of a prescribed architecture framework (AF) or architecture description language (ADL) as dictated by their organization or client. Current AFs and ADLs are defined with varying degrees of rigour and offer varying levels of tool support, furthermore, these resources are often closed, making it difficult for the architect to tailor a representational solution to the specific challenges of the project at hand. In this paper we propose an automated infrastructure to support the architecture description-related activities of the architect. This infrastructure facilitates customization, composition and reuse of the architect's representational resources (AFs, ADLs and their constituents) to meet project-, domain- and organization-specific needs. The proposed approach builds upon the conceptual foundations of ISO/IEC/IEEE 42010 for architecture description. The approach has been evaluated in the context of a complex, real-world, public transportation system.</t>
  </si>
  <si>
    <t>A Semantically-Enhanced Modelling Environment for Business Process as a Service</t>
  </si>
  <si>
    <t>143-152</t>
  </si>
  <si>
    <t>In this paper we present a hybrid modeling approach which supports the continuous alignment of business and IT in the cloud. Business Process as a Service provides the end-to-end cloud support for business processes instead of single applications. A graphical modelling environment allows non-technical modelers to design business processes and to specify requirements in human-interpretable way. Via semantic lifting, the graphical models can be annotated with classes and values from an enterprise ontology. The BPaaS Ontology contains the relevant classes for the smart Business and IT-Cloud alignment. It supports the modeler in using a standard terminology and thus ensures consistent modeling. © 2016 IEEE.</t>
  </si>
  <si>
    <t>https://www.scopus.com/inward/record.uri?eid=2-s2.0-85017327186&amp;doi=10.1109%2fES.2016.25&amp;partnerID=40&amp;md5=8c05c1bf531bdc02c7ed6fde31825b5f</t>
  </si>
  <si>
    <t>Connecting enterprise architecture and information objects using an enterprise ontology</t>
  </si>
  <si>
    <t>In this paper we show how semantic metadata - derived from the enterprise architecture description - can improve both the exploitation of information in the operative business and the continuous alignment of information systems with the business. ArchiMEO, a formal representation of the ArchiMate framework, was applied to model selected parts of a large Swiss company, including metadata of concrete information objects stored in various applications. The evaluation of our approach clearly gave evidence that linking an enterprise ontology with operational databases is beneficiary: it provides an integrated view and management of enterprise entities spread over various data stores, represented in different ways and levels of granularity. Furthermore, because of its inference capabilities, when used as metadata encoding scheme an enterprise ontology can provide context-sensitive access to relevant information.</t>
  </si>
  <si>
    <t>S. Hipwell</t>
  </si>
  <si>
    <t>Developing smart campuses &amp;#x2014; A working model</t>
  </si>
  <si>
    <t>2014 International Conference on Intelligent Green Building and Smart Grid (IGBSG)</t>
  </si>
  <si>
    <t>In 2008 Birmingham City University (BCU) embarked on an ambitious new city centre campus development scheme. The scheme is materialising into two new campuses of circa 18000 and 24000 square metres respectively; as the main part of a &amp;#x00A3;180m investment by BCU. The first campus is open and operating, the second is being built and due to open in September 2015. From the initial planning stages of the developments BCU wanted the campuses to be &amp;#x201C;intelligent-buildings&amp;#x201D;. This paper will explain and document how BCU have interwoven &amp;#x201C;intelligence&amp;#x201D; into its new campuses to improve business-processes, reduce energy use and carbon emissions and enhance the occupant experience. The focus of this paper will be upon integrating multi-protocol business and building-systems through an Enterprise Service Bus (ESB) to compliment an existing Service Orientated Architecture (SOA). The result is a university-wide suite of systems that are scalable, extensible, integrated and orchestrated. The resulting cost-savings and service enhancements will also be examined and discussed. In addition a roadmap of further developments will be outlined to compliment the developments already achieved.</t>
  </si>
  <si>
    <t>S. Hofer</t>
  </si>
  <si>
    <t>Modeling the transformation of application landscapes</t>
  </si>
  <si>
    <t>101-103</t>
  </si>
  <si>
    <t>Many of today’s ITprojects transform application landscapes. Transformation is a challenging task that has significant effect on an organization’s business processes and the organization itself. Although models are necessary to accomplish this task, there are no specialized modeling approaches for transformation.We describewhat such a specializedmodeling approach should be capable of. This will allow the adaption of existing approaches and thus support the transformation of application landscapes. © IFIP International Federation for Information Processing 2013.</t>
  </si>
  <si>
    <t>https://www.scopus.com/inward/record.uri?eid=2-s2.0-85006056316&amp;doi=10.1007%2f978-3-642-41641-5_8&amp;partnerID=40&amp;md5=8c30e1027423396ab2ada0d677fad426</t>
  </si>
  <si>
    <t>W. Hofman</t>
  </si>
  <si>
    <t>eGovernment interoperability with open standards</t>
  </si>
  <si>
    <t>2008 IEEE International Technology Management Conference (ICE)</t>
  </si>
  <si>
    <t>Governments have the objective of using Internet as one of the channels for communicating with citizens and companies. They launch quite a number of initiatives to do so, both nationally and in international (EU) projects. Many of these initiatives lack a clear architecture in themselves and coherence with other initiatives. This paper presents a framework for government architecture based on an architectural framework and supported by open standards. It will show how an architectural approach will lead to a consistent and clear specification of required technology. The framework identifies government services as the basis for information disclosure and business transactions, supported by web services. We will show how technology like natural language systems can be the basis for government service and their associated web service discovery. The article refers to solutions and laws that are implemented in the Netherlands.</t>
  </si>
  <si>
    <t>Modelling enterprise architectures</t>
  </si>
  <si>
    <t>Modelling Enterprise Architectures</t>
  </si>
  <si>
    <t>Institution of Engineering and Technology</t>
  </si>
  <si>
    <t>1-310</t>
  </si>
  <si>
    <t>For any organisation to be successful in an increasingly competitive and global working environment, it is essential that there is a clear understanding of all aspects of the business. Given that no two organisations are exactly alike, there is no definitive understanding of exactly what these aspects are as they will depend on the organisation’s nature, size and so on. Some of the aspects of the business that must be considered include: process models, process descriptions, competencies, standards, methodologies, infrastructure, people and business goals. It is important that these different aspects of the business are not only understood, but also that they are consistent and congruent with one another. The creation of an effective Enterprise Architecture (EA) provides a means by which an organisation can obtain such an understanding. This book looks at the practical needs of creating and maintaining an effective EA within a twenty-first-century business through the use of pragmatic modelling. The book introduces the concepts behind enterprise architectures, teaches the modelling notation needed to effectively realise an enterprise architecture and explores the concepts more fully through a real-life enterprise architecture. © 2010 The Institution of Engineering and Technology.</t>
  </si>
  <si>
    <t>https://www.scopus.com/inward/record.uri?eid=2-s2.0-85013074910&amp;doi=10.1049%2fPBPC008E&amp;partnerID=40&amp;md5=547dde09e578789f0f70e5c2fa931b48</t>
  </si>
  <si>
    <t>An enterprise architecture based method enabling quantified analysis of IT support system's impact on maintenance management</t>
  </si>
  <si>
    <t>3176-3189</t>
  </si>
  <si>
    <t>Enterprise Architecture (EA) is a model based tool enabling holistic management of an enterprise's IT-system portfolio and its relation and support to the business. A domain where the relation between IT-systems and business processes is crucial for cost efficient operation is maintenance of asset dense geographically distributed processes, such as distribution of electric power. Electric power utilities invest a lot of monetary resources in maintenance without having a clear perception of how its management and processes should be optimized. A large proportion of these investments are related to development and integration of IT-systems. The degree of efficiency of these investments runs a risk of being low unless there is a clear understanding of how specific IT system solutions impact the maintenance process. The suggested method provides managerial support for rationalizing decisions concerning IT-systems' support of maintenance management by combining EA with the concept of the Balanced Scorecard. Extended Influence Diagrams (EIDs) are introduced to enable quantitative analysis of how cause and effect between IT-systems and the performance of maintenance processes are related to each other.</t>
  </si>
  <si>
    <t>The lonesome architect</t>
  </si>
  <si>
    <t>1424-1435</t>
  </si>
  <si>
    <t>Although the benefits are well-known and undisputed, sharing architectural knowledge is not something architects automatically do. In an attempt to better understand what architects really do and what kind of support they need for sharing knowledge, we have conducted large-scale survey research. The results of our study indicate that architects can be characterized as rather lonesome decision makers who mainly consume, but neglect documenting and actively sharing architectural knowledge. Acknowledging this nature of architects suggests ways to develop more effective support for architectural knowledge sharing.</t>
  </si>
  <si>
    <t>https://www.sciencedirect.com/science/article/pii/S0164121210003171</t>
  </si>
  <si>
    <t>Taking goal models downstream: A systematic roadmap</t>
  </si>
  <si>
    <t>2014 IEEE Eighth International Conference on Research Challenges in Information Science (RCIS)</t>
  </si>
  <si>
    <t>Creating and reasoning with goal models is useful for capturing, understanding, and communicating about requirements in the early stages of information system (re)development. However, the utility of goal models is greatly enhanced when an awareness of system intentions can feed into other stages in the requirements analysis process (e.g. requirements elaboration, validation, planning), and can be used as part of the entire system life cycle (e.g., architecture, process design, coding, testing, monitoring, adaptation, and evolution). In order to understand the progress that has been made in integrating goal models with downstream system development, we ask: what approaches exist which map/integrate/transform goal-oriented languages to other software artifacts or languages? To answer this question, we conduct a systematic survey, producing a roadmap of work summarizing 174 publications. Results include a categorization of the &amp;#x201C;why?&amp;#x201D; and &amp;#x201C;how?&amp;#x201D; for each approach. Findings show that there are a wide variety of proposals with many proposed sources and targets, covering multiple paradigms, motivated by a variety of purposes. We conclude that although much work has been done in this area, the work is fragmented and is often still in a proposal stage.</t>
  </si>
  <si>
    <t>Document-centric collaborative spaces for increased traceability in knowledge-intensive processes</t>
  </si>
  <si>
    <t>2009 International Symposium on Collaborative Technologies and Systems</t>
  </si>
  <si>
    <t>400-407</t>
  </si>
  <si>
    <t>Today's spectrum of workflow to computer supported cooperative work (CSCW) tools provide a continuum of support ranging from process-driven to ad-hoc user-interaction. Depending on the position within this continuum, tools provide process visibility and traceability at the expense of flexibility. Here we present an architecture integrated within Microsoft Office and the Windows Shell, called ldquoMySightrdquo, that supports knowledge-intensive work using structured collaboration spaces. The collaboration spaces form a conceptual layer on heterogeneous systems. These spaces also provide the knowledge workers with flexibility to move in and out of spaces while at the same time maintaining the life-cycle visibility and traceability as a side effect. The architecture uses the Open XML standard supported by Microsoft(c) Office. The benefits of the tool are illustrated using a knowledge-intensive process from industry for managing architecture and technology changes, and impact to the operations of the installed IT systems.</t>
  </si>
  <si>
    <t>Component-Based Information Service Platform for Heating Industry</t>
  </si>
  <si>
    <t>2014 IEEE International Conference on Web Services</t>
  </si>
  <si>
    <t>692-693</t>
  </si>
  <si>
    <t>To solve the problem of low information integration for heating industry, a framework of information service platform is proposed. The framework realizes information sharing and integration control of central heating. Four core components are designed to implement process development, service collaboration, publish/subscribe and event rule. A heating management system has been designed based on these components, which realizes intelligent and security of the production management. And three application subsystems have been developed to realize heating maintenance service, multi-level alarm service and heating charging service. The information service platform effectively achieves information integration and rapid service development.</t>
  </si>
  <si>
    <t>A Model Driven Service Engineering approach to System of Systems</t>
  </si>
  <si>
    <t>2014 IEEE International Systems Conference Proceedings</t>
  </si>
  <si>
    <t>136-145</t>
  </si>
  <si>
    <t>SysML</t>
  </si>
  <si>
    <t>Dynamic requirements and the high complexity of System of Systems (SoS) represent a great challenge to system designers and developers. Focusing the attention of both the academic and the industry work, SoS has become a critical research discipline. However, over the past decade, the lack of generic mature methodology prevented the developers from easily completing large-scale heterogeneous systems (including legacy and acquired systems) integration and keeping them loosely-coupled. Since Service oriented architecture Modeling Language (SoaML) has been successfully used in Model Driven Service Engineering (MDSE) methodology, it has been possible to provide a flexible integration approach by combining complex system analysis methods and service oriented methodologies. In this article we present a Model Driven approach for service oriented SoS architecting, modeling and simulation. It uses SysML to deal with the SoS requirement complexity, SoaML to improve the IT implementation and DEVS (Discrete Event System Specification) simulation to validate the architecture design. This approach provides multi-level models, transformations between them and service implementation artifacts generation to facilitate the alignment between high-level complex business requirement and IT systems. To illustrate this approach and demonstrate its applicability we present an example which covers most of the development phases of System of Systems Engineering (SoSE).</t>
  </si>
  <si>
    <t>A framework for collaborative social, economic and environmental development: Building a digital ecosystem for societal empowerment</t>
  </si>
  <si>
    <t>2013 7th IEEE International Conference on Digital Ecosystems and Technologies (DEST)</t>
  </si>
  <si>
    <t>166-171</t>
  </si>
  <si>
    <t>Traditional approaches to Social, Economic and Environmental Development (SEED) have historically employed a closed, top-down model in which problems are viewed narrowly and the input of local stakeholders is rarely sought. More recent efforts to address development from a holistic, multidisciplinary perspective-while a major step in the right direction-have been hindered by a lack of appropriate tools and well-defined processes to enable disparate resources to work effectively together towards common goals. The proposed SEED Framework leverages and expands the mandate of Digital Agenda set forth by several nations, and the resulting technology development with additional design patterns for the purpose of building a collaborative SEED Digital Ecosystem. The framework aims to effectively support self-organizing, multidisciplinary collaborations and, most importantly, to translate concepts and ideas into actions for holistic and sustained social, economic and environmental development with a deep awareness of the local culture.</t>
  </si>
  <si>
    <t>R. Hughes</t>
  </si>
  <si>
    <t>Chapter 1 - What Is Agile Data Warehousing?</t>
  </si>
  <si>
    <t>Agile Data Warehousing Project Management</t>
  </si>
  <si>
    <t>This chapter provides a quick summary of the agile development method called Scrum and describes how it will be adapted for data warehousing and business intelligence projects. It presents an analysis of why traditional “waterfall” methods have disappointed project stakeholders for decades, based as they are on a fundamental mistake made by the software industry during the 1980s. This chapter describes agile’s revolutionary alternative of iterative and incremental software development and discusses two fundamental challenges unique to data warehousing that any method must solve in order to succeed—the broad categories of work required and the deep challenges involving requirements, definitions, and business rules that can lie hidden in the scope of any warehousing module. The chapter then outlines the modifications needed for Scrum to succeed for data warehousing, distinguishing between solutions for breadth, which is covered in the current book, and those for depth, which are addressed in the next companion volume. Keywords agile, agile data warehousing, business intelligence, waterfall method, Scrum, Extreme Programming, waterfall method, hypernormalization</t>
  </si>
  <si>
    <t>https://www.sciencedirect.com/science/article/pii/B9780123964632000016</t>
  </si>
  <si>
    <t>Chapter 8 - Adapting Agile for Data Warehousing</t>
  </si>
  <si>
    <t>251-302</t>
  </si>
  <si>
    <t>Because it leaves several vital challenges specific to data integration work unaddressed, Scrum needs to be adapted for data warehousing. It needs four new defined roles who will act as resident resources for the team. Teams will need to create subsets of full volume production data to use for development and user demos. They will also need to organize a pipeline of work with stations for analysis and design, development, and system testing. Many agile teams will want to utilize dozens of data sets to fully test their warehouses, which will make automate testing highly beneficial. An automated test engine will need to manage staging, invoking extract, transform, and load, and evaluating results. Finally, agile warehousing teams not working with data warehousing/business intelligence application generators will need a repeatable means for updating the structure of already loaded data tables. A “cookbook” is available for such operations, but it will have to be elaborated on for the data warehousing context. Keywords agile, Scrum, data warehousing, data integration, business intelligence, agile team roles, architecture, automated testing, quality assurance, database refactoring</t>
  </si>
  <si>
    <t>https://www.sciencedirect.com/science/article/pii/B9780123964632000089</t>
  </si>
  <si>
    <t>T. Hyötyläinen</t>
  </si>
  <si>
    <t>Steps to improved firm performance with business process management: Adding business value with business process management and its systems</t>
  </si>
  <si>
    <t>Steps to Improved Firm Performance with Business Process Management: Adding Business Value with Business Process Management and its Systems</t>
  </si>
  <si>
    <t>Springer Science+Business Media</t>
  </si>
  <si>
    <t>1-220</t>
  </si>
  <si>
    <t>Business Process Management (BPM) has become a widely adopted management approach, prompting significant investments by private and public companies since 2000. Since neither the concept of BPM nor the factors leading to successful BPM initiatives are grounded in theory and also lack empirical support, Tahvo Hyötyläinen explores what business value BPM and BPM Systems can cause and how they can bring about improved firm performance. The author’s main implication is to show how to enhance the probability of success with BPM and its Systems. His research also adds to the understanding on how to increase customer-centricity-an empirically supported yet less studied direction of BPM. © Springer Fachmedien Wiesbaden 2015.</t>
  </si>
  <si>
    <t>https://www.scopus.com/inward/record.uri?eid=2-s2.0-84944249292&amp;doi=10.1007%2f978-3-658-07470-8&amp;partnerID=40&amp;md5=ca8eaaacf980f332c170bf3a2f173bd1</t>
  </si>
  <si>
    <t>Capturing Business Strategy and Value in Enterprise Architecture to Support Portfolio Valuation</t>
  </si>
  <si>
    <t>This paper investigates and enhances the suitability of the Archi Mate enterprise architecture modeling language to support the modeling of business strategy concepts and architecture-based approaches to IT portfolio valuation. It gives an overview of existing strategy and valuation concepts and methods in the literature and motivates the need for enterprise architecture and business requirements modeling to capture these aspects as well. This overview results in the identification of strategy and value related concepts, such as value, risks, resources, capabilities, competencies and constraints. The paper provides an analysis of the extent to which Archi Mate may support some of the above-mentioned concepts and extends it with the missing concepts. The proposed language extension is formalized in terms of a met model fragment, which is aligned with the Archi Mate metamodel. The approach is also illustrated by means of an application portfolio consolidation case study in which we demonstrate how a constrained optimization valuation method can be applied to architecture models enhanced with the new concepts.</t>
  </si>
  <si>
    <t>Service Views: a Coherent View Model of the SOA in the Enterprise</t>
  </si>
  <si>
    <t>2006 IEEE International Conference on Services Computing (SCC'06)</t>
  </si>
  <si>
    <t>230-237</t>
  </si>
  <si>
    <t>Architecture views are a popular technique used for documenting and describing software systems architecture through a number of views, each of which cater to a certain group of stakeholders. With the increasing adoption of service oriented architecture and the deployment of Web service based applications both internally and externally, organizations need an improved framework for representing and documenting the service architecture. To this end, we propose a well defined set of views that describe services within the enterprise, including primitive as well as composite service views. In this manner, the proposed model achieves consistency and coherence among different views, thus providing a unified view model for service oriented systems within an organization</t>
  </si>
  <si>
    <t>An IT-driven business model design methodology and its evaluation</t>
  </si>
  <si>
    <t>IT has changed business model and business process, and has become an essential ingredient for the competitive advantage. Under such circumstances, a conventional requirements engineering methodology is not sufficient. We propose an IT-driven business model design methodology in order to take advantage of innovative information technologies. The proposed methodology includes XBMC (eXtended BMC), an extension of BMC (Business Model Canvas) of BMG (Business Model Generation) as a framework to visualize a business architecture with a holistic view, and SMC (System Model Canvas) as a new model to visualize overall system architecture, correspondingly. In addition, we propose BSTM (Business-System Translation Meta-model) to align business architecture and system architecture based on the business meta-model and goal model. We demonstrate the effectiveness of the proposed methodology by applying it to the case of a mobile music delivery business.</t>
  </si>
  <si>
    <t>Modeling framework for hazard management applied to water pollution and radiation dispersion</t>
  </si>
  <si>
    <t>2016 IEEE 12th International Conference on Intelligent Computer Communication and Processing (ICCP)</t>
  </si>
  <si>
    <t>141-146</t>
  </si>
  <si>
    <t>Software and Systems Modeling</t>
  </si>
  <si>
    <t>Management of natural and industrial hazards is performed through cooperation of a multitude of actors, sometimes from different institutions sharing common objectives, which belong to virtual organizations responsible of monitoring risks and responding to emergency situations. The information systems dedicated to this domain are multidisciplinary, highly distributed, and characterized by the co-existence of physical and computational artifacts. The paper introduces a modeling framework for the description and development of hazard management systems, implemented for prediction, decision support and early warning. The framework is not dependent of any modeling language and it is applied here for the characterization and the comparative analysis of two platforms: one for accidental river pollution and the other for the propagation of radioactive clouds in case of nuclear plants incidents.</t>
  </si>
  <si>
    <t>Big Data analytics and Computational Intelligence for Cyber–Physical Systems: Recent trends and state of the art applications</t>
  </si>
  <si>
    <t>Future Generation Computer Systems</t>
  </si>
  <si>
    <t>Big data is fuelling the digital revolution in an increasingly knowledge driven and connected society by offering big data analytics and computational intelligence based solutions to reduce the complexity and cognitive burden on accessing and processing large volumes of data. In this paper, we discuss the importance of big data analytics and computational intelligence techniques applied to data produced from the myriad of pervasively connected machines and personalized devices offering embedded and distributed information processing capabilities. We provide a comprehensive survey of computational intelligence techniques appropriate for the effective processing and analysis of big data. We discuss a number of exemplar application areas that generate big data and can hence benefit from its effective processing. State of the art research and novel applications in health-care, intelligent transportation and social network sentiment analysis, are presented and discussed in the context of Big data, Cyber–Physical Systems (CPS), and Computational Intelligence (CI). We present a data modelling methodology, which introduces a novel biologically inspired universal generative modelling approach called Hierarchical Spatial–Temporal State Machine (HSTSM). The HSTSM modelling approach incorporates a number of soft computing techniques such as: deep belief networks, auto-encoders, agglomerative hierarchical clustering and temporal sequence processing, in order to address the computational challenges arising from analysing and processing large volumes of diverse data to provide an effective big data analytics tool for diverse application areas. A conceptual cyber–physical architecture, which can accommodate and benefit from the proposed methodology, is further presented.</t>
  </si>
  <si>
    <t>https://www.sciencedirect.com/science/article/pii/S0167739X17323282</t>
  </si>
  <si>
    <t>Towards a bottom-up development of reference architectures for smart energy systems</t>
  </si>
  <si>
    <t>2013 2nd International Workshop on Software Engineering Challenges for the Smart Grid (SE4SG)</t>
  </si>
  <si>
    <t>Smart energy systems seem a promising choice for countries worldwide to realign their power systems to the challenges predicted for the next decades. With the will to participate in this class of systems, many solution providers design custom systems, which sometimes consist of similar parts, but are on the contrary hard to compare to each other. However, a reference describing existing commonalities is needed as a basis for many activities such as regulation design, legislation, national discussion or standardization. This paper illustrates the challenges connected with the creation of reference architectures for smart energy systems, delineates their benefits and suggests a model and method for their incremental, bottom-up development and validation through concrete system architectures.</t>
  </si>
  <si>
    <t>Reinterpreting the principles of SOA through the cybernetic concepts of VSM to design the ESB as iPaaS in the cloud</t>
  </si>
  <si>
    <t>2015 Science and Information Conference (SAI)</t>
  </si>
  <si>
    <t>850-858</t>
  </si>
  <si>
    <t>One of the fundamental challenges in the design, governance, implementation, and maintenance of Service Oriented Architecture (SOA) systems is the variety of enabling technologies, such as those realised in the Enterprise Service Bus (ESB), and the absence of a vendor-agnostic approach towards the development of standardised policies, procedures or guidelines to justify the resulting system. This issue is especially actualised in the era of Cloud that integrates together a wide variety of heterogeneous systems. To address this issue, this paper proposes a set of novel design principles, based on the cybernetic concepts of the Viable System Model (VSM), to contribute to the design of the ESB as a Cloud service model, such as the Infrastructure Platform as a Service (iPaaS). These new principles can help those who need to use the Cloud and those who provide Cloud-based services. Essentially, these principles are not limited to the Cloud settings only and can be applied to services at various levels of enterprise. The proposed principles are identified to be useful and toned to undergo testing to further justify their usability in a number of organisations in Australia and in Europe.</t>
  </si>
  <si>
    <t>An architecture for customer experience management based on the Internet of Things</t>
  </si>
  <si>
    <t>IBM Journal of Research and Development</t>
  </si>
  <si>
    <t>15:1-15:11</t>
  </si>
  <si>
    <t>In this paper, we propose a commerce-related architecture, the Smarter Commerce Customer Engagement Architecture (SCCEA). This architecture involves a new definition of the commerce lifecycle and an alternative metric for calculating customer experience and benefit, called customer lifetime benefit (CLB). Traditionally, commerce-related architectures have enabled the direct involvement and interaction between customers and companies from a purchasing, customer support center, or marketing perspective. These systems typically help measure financial success through the customer lifetime value (CLV) metric. SCCEA represents a shift in approaches from these architectures to one focused on the interactions with the products customers own and on how those products are operating. SCCEA analyzes the data gathered directly from the operations of products to make a determination of what actions can be taken to positively influence customer experience. SCCEA is realized through combining three foundational domains: Smarter Commerce&amp;#x2122;, Internet of Things, and Customer Engagement. The paper begins with a definition of the commerce lifecycle, followed by an overview of the three foundational domains. With this foundation established, the authors describe the SCCEA architecture, subsystems, and functional components. Finally, to help clarify the feasibility of the SCCEA approach, a representative scenario from the healthcare industry is presented.</t>
  </si>
  <si>
    <t>A Tool for Enterprise Architecture Analysis</t>
  </si>
  <si>
    <t>11th IEEE International Enterprise Distributed Object Computing Conference (EDOC 2007)</t>
  </si>
  <si>
    <t>142-142</t>
  </si>
  <si>
    <t>The discipline of enterprise architecture advocates the use of models to support decision-making on enterprise-wide information system issues. In order to provide such support, enterprise architecture models should be amenable to analyses of various properties, as e.g. the availability, performance, interoperability, modifiability, and information security of the modeled enterprise information systems. This paper presents a software tool for such analyses. The tool guides the user in the generation of enterprise architecture models and subjects these models to analyses resulting in quantitative measures of the chosen quality attribute. The paper describes and exemplifies both the architecture and the usage of the tool.</t>
  </si>
  <si>
    <t>Modeling and Analyzing Systems-of-Systems in the Multi-Attribute Prediction Language (MAPL)</t>
  </si>
  <si>
    <t>2016 IEEE/ACM 4th International Workshop on Software Engineering for Systems-of-Systems (SESoS)</t>
  </si>
  <si>
    <t>The Multi-Attribute Prediction Language (MAPL), an analysis metamodel for non-functional qualities of systems-of-systems, is introduced. MAPL features analysis in five non-functional areas: service cost, service availability, data accuracy, application coupling, and application size. In addition, MAPL explicitly includes utility modeling to make trade-offs between the qualities. The paper introduces how each of the five non-functional qualities is modeled and quantitatively analyzed based on the ArchiMate standard for enterprise architecture modeling and the previously published Predictive, Probabilistic Architecture Modeling Framework, building on the well-known UML and OCL formalisms. The main contribution of MAPL lies in combining all five non-functional analyses into a single unified framework.</t>
  </si>
  <si>
    <t>Extended Influence Diagrams for Enterprise Architecture Analysis</t>
  </si>
  <si>
    <t>The discipline of enterprise architecture advocates the use of models to support decision-making on enterprise-wide information system issues. In order to provide such support, enterprise architecture models should be amenable to analyses of various properties, as e.g. the level of enterprise information security. This paper proposes the use of a formal language to support such analysis. Such a language needs to be able to represent causal relations between, and definitions of, various concepts as well as uncertainty with respect to both concepts and relations. To support decision-making properly, the language must also allow the representation of goals and decision alternatives. This paper evaluates a number of languages with respect to these requirements, and selects influence diagrams for further consideration. The influence diagrams are then extended to fully satisfy the requirements. The syntax and semantics of the extended influence diagrams are detailed in the paper, and their use is demonstrated in an example</t>
  </si>
  <si>
    <t>ArchiMate(R) for Integrated Modelling Throughout the Architecture Development and Implementation Cycle</t>
  </si>
  <si>
    <t>294-301</t>
  </si>
  <si>
    <t>The ArchiMate standard offers an integrated language for enterprise architecture modelling. It allows for the description and visualization of different architecture domains, as well as their underlying relationships and dependencies. Since its adoption as a standard of The Open Group, the international interest in ArchiMate has been growing rapidly. ArchiMate complements TOGAF, the standard of The Open Group for developing enterprise architectures. To provide modelling support throughout TOGAF's architecture development and implementation cycle as defined by TOGAF, two extensions to the original ArchiMate language have been proposed: a Motivation extension and an Implementation and Migration extension.</t>
  </si>
  <si>
    <t>M. Kaczmarek</t>
  </si>
  <si>
    <t>Categories of Ontologies' Applications in the Realm of Enterprise Modeling</t>
  </si>
  <si>
    <t>98-107</t>
  </si>
  <si>
    <t>The field of enterprise modeling (EM) is facing a number of challenges. Some of them result out of the application of informal or semi-formal modeling languages having usually semantics similar to object-oriented programming languages. The EM community has recognized ontologies as a promising way to address some of the existing problems. There is, however, a striking lack of consensus about understanding of ontology in the Information Systems domain. The multiplicity of different understandings leads to an increased diversity of proposed approaches. To contribute to a better understanding of the role of ontologies in the realm of EM and of requirements they would need to meet, we distinguish and discuss different categories of applications of ontologies in the EM field. Based on their analysis, we identify the main benefits resulting out of the application of ontologies and point to the main challenges hampering their adoption. This allows to assess the maturity of this field and to identify directions of future research.</t>
  </si>
  <si>
    <t>A Method for Constructing a Company Specific Enterprise Architecture Model Framework</t>
  </si>
  <si>
    <t>346-351</t>
  </si>
  <si>
    <t>Good IT decision making is a highly desirable property that can be furthered by the use of enterprise architecture, an approach to IT management using diagrammatic models. In order to support decision making, the models must contain only relevant information since creation of enterprise architecture models often is a demanding task. This paper suggests a method for constructing an enterprise architecture model framework where enterprises in need of architecture and rational decision making are designated. The paper also describes the outcome of the method at a case for a Swedish utility company, Vattenfall AB.</t>
  </si>
  <si>
    <t>Enterprise Architecture Cybernetics and the Edge of Chaos: Sustaining Enterprises as Complex Systems in Complex Business Environments</t>
  </si>
  <si>
    <t>3858-3867</t>
  </si>
  <si>
    <t>The purpose of this paper is primarily theoretical -- to propose and detail a model of system evolution, and show its derivation from the fields of Enterprise Architecture, cybernetics and systems theory. Cybernetic thinking is used to develop a 'Co-evolution Path Model' to explain how enterprises co-evolve with their environments. The model is re-interpreting Stafford Beer's Viable System Model, and also uses Conant and Ashby's theorem of the 'good regulator', exemplifying how various complexity management theories could be synthesised into a cybernetic theory of Enterprise Architecture -- informing management of mechanisms to maintain harmony between the evolution of the enterprise as a system and the evolution of its environment.</t>
  </si>
  <si>
    <t>T. Kangilaski</t>
  </si>
  <si>
    <t>Implementation of Networked Enterprises Reference Model – Lessons Learned</t>
  </si>
  <si>
    <t>1240-1245</t>
  </si>
  <si>
    <t>New business conditions and current economic situation are forcing companies to rethink their way of working. To be more competitive, SMEs are forming Virtual Organizations (VO) where short-term spontaneous collaboration activities are rather common. This requires the structured knowledge of each company's competencies and availabilities. The current article briefly analyses VO' dynamics, explains maturity roles in context of the partner network and VO. An Enterprise Architecture Management project lessons learned for Partner Network in context of VOs are described.</t>
  </si>
  <si>
    <t>https://www.sciencedirect.com/science/article/pii/S1474667016333213</t>
  </si>
  <si>
    <t>Dynamics of Partner Network</t>
  </si>
  <si>
    <t>2014 IEEE 23rd International Symposium on Industrial Electronics (ISIE)</t>
  </si>
  <si>
    <t>105-110</t>
  </si>
  <si>
    <t>Communication is a crucial element in business environment. It ties companies together to work on a common business goal, as well as destroys existing business connection. Thus it is important to understand dynamics of partner networks. The current article analyses Partner Network lifecycle and it maturity aspects.</t>
  </si>
  <si>
    <t>Data-driven enterprise architecture and the TOGAF ADM phases</t>
  </si>
  <si>
    <t>2016 IEEE International Conference on Systems, Man, and Cybernetics (SMC)</t>
  </si>
  <si>
    <t>004603-004608</t>
  </si>
  <si>
    <t>This paper investigates how Data as a disruptive technology could be integrated into TOGAF. Given the recent attention of Big Data and Data Science as disruptors, this paper investigates what the impact on the enterprise could be and how Enterprise Architecture (EA) should accommodate data to enable data-driven EA. There is no model currently available that investigates how Big Data can be incorporated into data-driven EA solutions. This study specifically focuses on how the TOGAF ADM could support a data-driven enterprise. Through document analysis and a systematic literature review, a specific adaption of the TOGAF ADM is proposed that indicates the influence that Data and Big Data has on each phase within the ADM.</t>
  </si>
  <si>
    <t>Categorizing Requirements for Enterprise Architecture Management in Big Data Literature</t>
  </si>
  <si>
    <t>Organizations identified the opportunities of big data analytics to support the business with problem-specific insights through the exploitation of generated data. Socio-technical solutions are developed in big data projects to reach competitive advantage. Although these projects are aligned to specific business needs, common architectural challenges are not addressed in a comprehensive manner. Enterprise architecture management is a holistic approach to tackle complex business and IT architectures. The transformation of an organization's EA is influenced by big data transformation processes and their data-driven approach on all layers. In this paper, we review big data literature to analyze which requirements for the EA management discipline are proposed. Based on a systematic literature identification, conceptual categories of requirements for EA management are elicited utilizing an inductive category formation. These conceptual categories of requirements constitute a category system that facilitates a new perspective on EA management and fosters the innovation-driven evolution of the EA management discipline.</t>
  </si>
  <si>
    <t>M. Kennaley</t>
  </si>
  <si>
    <t>Seventh Working IEEE/IFIP Conference on Software Architecture (WICSA 2008)</t>
  </si>
  <si>
    <t>299-302</t>
  </si>
  <si>
    <t>Service specification upon multiple existing information systems</t>
  </si>
  <si>
    <t>2011 FIFTH INTERNATIONAL CONFERENCE ON RESEARCH CHALLENGES IN INFORMATION SCIENCE</t>
  </si>
  <si>
    <t>This paper presents an approach for the specification of business services upon multiple existing information systems (IS). Indeed, the challenges that a service architect has to face with the IS complexity from one side (due to the intertwinement of the organisational, informational, technological and ontological spaces), the complexity of its evolution from the other, and often multiple existing information systems, require a proper guidance and a methodological framework in order to implement new business services. We thus propose a process model with a referential of analysis (SAM) to support our approach and we discuss it in the context of the e-government services engineering.</t>
  </si>
  <si>
    <t>Critical Infrastructures Governance Exploring SCADA Cybernetics through Architectured Policy Semantic</t>
  </si>
  <si>
    <t>2013 IEEE International Conference on Systems, Man, and Cybernetics</t>
  </si>
  <si>
    <t>4766-4771</t>
  </si>
  <si>
    <t>SCADA-systems are very complex, sophisticated and integrated systems which support people in monitoring and governing the huge volumes of knowledge engendered by critical infrastructures (industry, energy, transport, and healthcare). These systems are elaborated upon a colossal range of precontrived components which need to interact thoroughly with each other although, a priori, they all use heterogeneous technologies and protocols, they behave unevenly through the SCADA architecture, and they are all located in miscellaneous corners of the production system. Furthermore, these components interact, amongst other, by means of policies which formulate the reasoning for component behaviour in terms of expecting actions realization or in terms of accessed information. This paper explores these policies' semantic through a unified component modelling approach with the aim of providing a homogeneous and coherent framework, adapted for the governance of the system by all SCADA and non-SCADA operators.</t>
  </si>
  <si>
    <t>Model Driven Conformance Testing for Standardized Services</t>
  </si>
  <si>
    <t>2014 IEEE International Conference on Services Computing</t>
  </si>
  <si>
    <t>Software applications that are provided through services following the Software as a service (SaaS) paradigm generally need to be compliant to some standards. In order to select the software application that provides the most conformant service interface, we develop a formal framework that tests the compliance and reports quantitative results that help experts to take the right decision. Unlike existing work that focuses on a single dimension when checking the compliance of a software application with the corresponding standard (for example the functional dimension exclusively, or the syntactic dimension exclusively), in this work we consider multiple dimensions at the same time. This provides more comprehensive results. We implemented a prototype and we tested our framework on a case study regarding the selection of software applications for our collaborative platform.</t>
  </si>
  <si>
    <t>Semantic policies for modeling regulatory process compliance</t>
  </si>
  <si>
    <t>IT Policy and Ethics: Concepts, Methodologies, Tools, and Applications</t>
  </si>
  <si>
    <t>218-243</t>
  </si>
  <si>
    <t>Business process management (BPM) as a paradigm for enterprise planning and governance is nowadays a core discipline of information systems management. Growing up from the first process re-engineering initiatives in the 1980's, BPM technologies now seek to span all of the organizational silos of enterprises, and also expand vertically from the strategy layers where visions and goals are defined to the lower data transaction layers. Ensuring the compliance of processes to the guidance and control provided to the business by regulations is an obligation to every enterprise. In this work, we motivate the need for automation in compliance management and propose the use of policies as a modeling concept for regulations. We introduce the CASE model for structuring regulatory compliance requirements as policies. Policies shall allow to model regulations at abstraction levels adequate to implementing platform independent mechanisms for policy verification. We describe the CASE model and explain how it can be used to structure and model policies extracted from regulations. This chapter also defines a policy modeling ontology that we propose as a language for formally modeling CASE policies. The basic CASE model and the corresponding policy modeling ontology support compliance of enterprise processes to regulations by enabling automation to compliance checking (verification). The utilization of the CASE method as well as the policy ontology is showcased using an example of resource access control in business processes. © 2013 by IGI Global. All rights reserved.</t>
  </si>
  <si>
    <t>https://www.scopus.com/inward/record.uri?eid=2-s2.0-84946726461&amp;doi=10.4018%2f978-1-4666-2919-6.ch011&amp;partnerID=40&amp;md5=7c5d3c17539967ca0be155f7184ec66c</t>
  </si>
  <si>
    <t>Towards event-driven enterprise architecture</t>
  </si>
  <si>
    <t>Uncovering Essential Software Artifacts through Business Process Archeology</t>
  </si>
  <si>
    <t>285-311</t>
  </si>
  <si>
    <t>https://www.scopus.com/inward/record.uri?eid=2-s2.0-84956733470&amp;doi=10.4018%2f978-1-4666-4667-4.ch011&amp;partnerID=40&amp;md5=c595d66f1aeea19222cd8756df99a2be</t>
  </si>
  <si>
    <t>N. King</t>
  </si>
  <si>
    <t>Exploring the impact of operating model choice on the governance of inter-organizational workflow: The U.S. e-prescribing network</t>
  </si>
  <si>
    <t>European Journal of Information Systems</t>
  </si>
  <si>
    <t>548-568</t>
  </si>
  <si>
    <t>Inter-organizational networks play an increasing role in delivering computer-mediated public services such as healthcare. Many networks govern through an infomediary (i.e., electronic broker) that brings together disparate member organizations. These networks can resemble an enterprise where standards and incentives for use are imposed on its partners. This study seeks to extend an enterprise IT governance (ITG) concept to the U.S. e-prescribing network as it transitions from a paper-based network to a computer-mediated one. The operating model, proposed by Ross et al (2006), emphasizes choices in standardization and integration to align strategy with operational processes to improve enterprise performance. Missing in their work is evidence that macro-level choices embedded in the operating model directly impact network workflow. A comparative synthesis traces the changes made to the U.S. e-prescribing operating model to their impact upon the roles and relationships among network members. Some workflow mis-alignments were traceable to the operating philosophy imposed by healthcare policy-makers. The study suggests IT alignment in networks may be better achieved through governing operating models rather than the traditional ITG focus on organizational forms. © 2013 Operational Research Society Ltd. All rights reserved.</t>
  </si>
  <si>
    <t>https://www.scopus.com/inward/record.uri?eid=2-s2.0-84883137947&amp;doi=10.1057%2fejis.2012.47&amp;partnerID=40&amp;md5=db82af0eee9d9f31f420f4961cb5968a</t>
  </si>
  <si>
    <t>M. Kirikova</t>
  </si>
  <si>
    <t>Variable Contents of Enterprise Models</t>
  </si>
  <si>
    <t>89-96</t>
  </si>
  <si>
    <t>In information systems development models are used to represent real and target enterprise systems. Ideally the enterprise could have two basic enterprise models – an As-Is model an To-Be model that may integrate all representations of the enterprise relevant to information systems development. Although there are many different suggested approaches how to model the enterprise, no consensus exists of what exactly should be the spectrum of model elements and corresponding to them enterprise artifacts for successful enterprise and information systems development. In this paper we propose an approach of identifying core enterprise model constituents for different systems development settings. The approach is based on the integration of professional knowledge regarding artifacts used in various systems development cases with the variations of a continuous requirements engineering framework that combines traditional requirements identification functions with additional continuous audit, monitoring and analytics activities.</t>
  </si>
  <si>
    <t>https://www.sciencedirect.com/science/article/pii/S1877050917300789</t>
  </si>
  <si>
    <t>The Relationship between Service Oriented Architecture and Enterprise Architecture</t>
  </si>
  <si>
    <t>129-137</t>
  </si>
  <si>
    <t>The adoption of Enterprise Architecture (EA) concepts within organizations is causing an interest in the methodologies and supporting technologies available. Service Oriented Architecture (SOA) supports EA in many facets. However, there is much dissolution with regard to the relationship between EA and SOA within organizations. There are also potential problems that may arise if this relationship between SOA and EA is not agreed to at the outset of implementing an EA. The purpose of this paper is to discuss the growing role and importance of understanding the relationship between SOA and EA, and in doing so to demystify some of the expectations of the role that SOA plays in EA.</t>
  </si>
  <si>
    <t>Design assistant for NoSQL technology selection</t>
  </si>
  <si>
    <t>2015 1st International Workshop on Future of Software Architecture Design Assistants (FoSADA)</t>
  </si>
  <si>
    <t>NoSQL databases create tight coupling between data model, deployment topology, and application architecture, and so this technology selection must be one of the earliest architecture decisions. The NoSQL technology landscape is large and evolving rapidly, so architects need efficient and trusted design assistance to explore the solution space. Our solution was to create a queryable knowledge base, populated with curated information, which is rendered dynamically as content grows and changes. We built the knowledge base using Semantic MediaWiki, implementing a novel knowledge model that enables reasoning from quality attributes to architecture patterns and tactics to features implemented in specific NoSQL products. We also provide tabular and graphical visualizations to support both systematic and ad hoc exploration. Our contributions to the field of architecture design assistants are the knowledge model, its implementation in a semantic platform, and the resulting populated knowledge base for big data system architects.</t>
  </si>
  <si>
    <t>Verification of ArchiMate process specifications based on deductive temporal reasoning</t>
  </si>
  <si>
    <t>2013 Federated Conference on Computer Science and Information Systems</t>
  </si>
  <si>
    <t>1109-1116</t>
  </si>
  <si>
    <t>Formal verification of business models has become recently an intensively researched area. Application of formal methods in this field necessities in overcoming several problems. Firstly, business analyst and designers rarely have enough skills and motivation to manually build abstract and formal specifications, hence, it arises the need to provide tools for an automated translation of business models into a suitable form ready for formal verification. Moreover, notations and languages used to describe enterprises usually have no clear semantics. Finally, the verification itself must be supported by an efficient tool. In this paper we investigate an application of formal and deduction-based techniques to automated verification of behavioral description embedded within ArchiMate models. We describe a set of rules that governs translation of processes specified in ArchiMate language into Linear Temporal Logic (LTL) formulas. The translation step is achieved with the developed software, as a plugin into a popular the Archi modeler. Formal verification of a business process properties is achieved with another tool, the LTL prover based on the semantic tableaux technique. Application of the method is discussed on a small, yet illustrative, example of a taxi service.</t>
  </si>
  <si>
    <t>An Approach for Matching Functional Business Requirements to Standard Application Software Packages via Ontology</t>
  </si>
  <si>
    <t>2008 32nd Annual IEEE International Computer Software and Applications Conference</t>
  </si>
  <si>
    <t>1017-1022</t>
  </si>
  <si>
    <t>In recent years many efforts were dedicated to the elicitation and definition of requirements for software development projects. However, by concentrating requirement discussions on software development there is a tendency to neglect the predominant role of standard application software (SAS) in enterprises. The process of choosing a SAS product is poorly understood, frequently ill-structured, and performed in an inefficient and ineffective way leading to suboptimal results. Focusing functional aspects, this paper suggests an approach for describing business requirements and software characteristics in terms of ontologies. This way a formal representation of both, requirements and software features, becomes available and can be used for semi-automated reasoning about the suitability of a certain product. The paper contributes directly to the requirements engineering research and addresses a widely ignored topic by suggesting a solution proposal for the above sketched problem.</t>
  </si>
  <si>
    <t>Overview of time issues with temporal logics for Business Process Models</t>
  </si>
  <si>
    <t>2016 Federated Conference on Computer Science and Information Systems (FedCSIS)</t>
  </si>
  <si>
    <t>1115-1123</t>
  </si>
  <si>
    <t>Process models can specify various aspects of business processes. In this paper, we present an overview of the existing solutions for describing time aspects of such models. We focus on Business Process Model and Notation and provide examples of representing time patterns in this notation. As temporal issues can be specified using temporal logics, we provide a short overview of selected temporal logics which can be used to specify the time patterns in business process models.</t>
  </si>
  <si>
    <t>Comparison of selected modeling notations for process, decision and system modeling</t>
  </si>
  <si>
    <t>1095-1098</t>
  </si>
  <si>
    <t>System specifications can be modeled using various types of notations and diagrams regarding applications of the particular model. In this paper, we present an overview of the existing solutions, focusing on UML, BPMN and DMN models and the diagrams provided by these notations. We perform a comparison of these approaches and provide examples of representing system requirements in these notations.</t>
  </si>
  <si>
    <t>An Evaluation of O-DA Template</t>
  </si>
  <si>
    <t>2017 6th IIAI International Congress on Advanced Applied Informatics (IIAI-AAI)</t>
  </si>
  <si>
    <t>263-268</t>
  </si>
  <si>
    <t>O-DA (Open Dependability through Assuredness) is standardized by The Open Group as the dependable Enterprise Architecture framework for assuring open systems which evolve continuously after launching. Although an O-DA template was proposed to support O-DA application, it has not been introduced for industry sectors. This paper proposes an application method of O-DA template. It also evaluates the effectiveness of the O-DA template for an actual automotive software design project. The result shows 93.6% of the O-DA template can be reused for the application.</t>
  </si>
  <si>
    <t>Probabilistic availability analysis of control and automation systems for active distribution networks</t>
  </si>
  <si>
    <t>IEEE PES T&amp;D 2010</t>
  </si>
  <si>
    <t>The future smart electricity grids will exhibit tight integration between control and automation systems and primary power system equipment. Optimal and safe operation of the power system will be completely dependent on well functioning information and communication (ICT) systems. Considering this, it is essential that the control and automation systems do not constitute the weak link in ensuring reliable power supply to society. At the same time, studies of reliability when considering complex interdependencies between integrated ICT systems becomes increasingly difficult to perform due to the large amount of integrated entities with varying characteristics involved. To manage this challenge there is a need for structured modeling and analysis methods that accommodate this characteristics and interdependencies. In other fields, the analysis of large interconnected systems is done using models that capture the systems and its context as well as its components and interactions. This paper addresses this issue by combining enterprise architecture methods that utilize these modeling concepts, with fault tree analysis and probabilistic relational models. This novel approach enables a holistic overview thanks to the use of formalized models. It also allows use of rigorous analysis thanks to the adaptation of the models to enable Fault Tree Analysis. The paper is concluded with an example of application of the analysis method on a proposed smart grid function in a distribution network.</t>
  </si>
  <si>
    <t>Enterprise Architecture for Digital Transformation</t>
  </si>
  <si>
    <t>349-358</t>
  </si>
  <si>
    <t>Digital transformation requires an altogether new institutional logic and effective response at a requisite organizational level. Sensing and seizing fleeting market opportunities and reconfiguring the business in line with the shifting value proposition requires increasingly specialized resources, more dynamic capabilities, and in-built resilience in the face of change. While Enterprise Architecture (EA) has been suggested to facilitate enterprise transformation, the focus has traditionally been on process standardization and integration rather than on continuous adaptation to the changing business and technological landscape. For EA to have a desired impact, more adaptive conceptualizations of EA that address the requirements of the new digital environment are called for. In this conceptual paper, we explore the implications of digital transformation on enterprise architecture. In particular, we note that existing approaches to EA address integration and coherence within a single organization but typically fall short in the face of complexities pertaining to digital ecosystems. We suggest a vertical typology of organizational capabilities and postulate that today's digital environment increasingly requires adaptive capabilities that transcend the traditional notion of dynamic capabilities. We then investigate how EA can help build flexibility and resilience in the organization.</t>
  </si>
  <si>
    <t>Overview of Enterprise Information Needs in Information Security Risk Assessment</t>
  </si>
  <si>
    <t>42-51</t>
  </si>
  <si>
    <t>Methods for risk assessment in information security suggest users to collect and consider sets of input information, often notably different, both in type and size. To explore these differences, this study compares twelve established methods on how their input suggestions map to the concepts of ArchiMate, a widely used modeling language for enterprise architecture. Hereby, the study also tests the extent, to which ArchiMate accommodates the information suggested by the methods (e.g., for the use of ArchiMate models as a source of information for risk assessment). Results of this study show how the methods differ in suggesting input information in quantity, as well as in the coverage of the ArchiMate structure. Although the translation between ArchiMate and the methods' input suggestions is not perfect, our results indicate that ArchiMate is capable of modeling fair portions of the information needed for the methods for information security risk assessment, which makes ArchiMate models a promising source of guidance for performing risk assessments.</t>
  </si>
  <si>
    <t>Community Awareness in Academic Social Networks</t>
  </si>
  <si>
    <t>2014 IEEE/ACM 7th International Conference on Utility and Cloud Computing</t>
  </si>
  <si>
    <t>647-651</t>
  </si>
  <si>
    <t>The evolution of Social Networks during the last decades has been characterized with a plethora of research activities, that attempt to introduce pervasive features in order to enhance users' experience. However, there has been minimum effort regarding Academic Social Networks. One of the most studied features, is the recommendation of researchers for possible collaboration. In this paper, in order to enhance researchers' experience on Academic Social Networks, we introduce the use of communities. We also present the proposed systems architecture including Business Processes and Services.</t>
  </si>
  <si>
    <t>A clustering based approach for energy efficient routing</t>
  </si>
  <si>
    <t>2016 IEEE Symposium on Computers and Communication (ISCC)</t>
  </si>
  <si>
    <t>232-237</t>
  </si>
  <si>
    <t>One of the most significant issues the research community has focused on during the last decades, is the reduction of the energy consumed in every aspect of everyday life. A standout amongst the most important factors of energy consumption is transportation. To this end, a lot of work in the field of Intelligent Transport Systems concentrates on enhancing energy efficiency. This trend was reinforced by the appearance of Fully Electric Vehicles (FEVs), where it is more crucial to increase their energy efficiency in any manner. Eco-routing refers to the choice of the most energy efficient route towards a destination and seems very promising for reducing everyday energy consumption. In this paper, we present a novel method for predicting energy consumption levels, based on machine learning techniques. In addition, addressing the problem of ever increasing amounts of tracking data acquired from vehicles, we introduce a clustering based prediction method and apply it on real world measurements in order to evaluate its performance.</t>
  </si>
  <si>
    <t>A Location Recommender System for Location-Based Social Networks</t>
  </si>
  <si>
    <t>2014 International Conference on Mathematics and Computers in Sciences and in Industry</t>
  </si>
  <si>
    <t>277-280</t>
  </si>
  <si>
    <t>Consolidating Enterprise Architecture Management Research</t>
  </si>
  <si>
    <t>4069-4078</t>
  </si>
  <si>
    <t>Enterprise architecture (EA) is a description of an enterprise from an integrated business and IT perspective. Enterprise architecture management (EAM) is a management practice of using EA aiming to achieve business/IT alignment. Popular EA literature states that EA always includes a documentation of current and future states of enterprises and describes EAM as an iterative step-wise process. However, plenty of evidence suggests that the real situation in EA practice and theory is much more diverse but a consolidated understanding of EAM is absent. In this paper we consolidate EAM research and present (1) a reasonable definition of EA taking into account all that we know about EA practice and (2) a consolidated view of EAM describing what we know about it beyond the most popular approaches. We also discuss the relationship between our consolidated view of EAM and the previous research, its implications and directions for future research.</t>
  </si>
  <si>
    <t>A framework for creating pattern languages for enterprise architecture</t>
  </si>
  <si>
    <t>131 LNBIP</t>
  </si>
  <si>
    <t>The use of patterns and pattern languages in enterprise architecture (EA) is a relatively novel concept. Although both the concepts of patterns and EA are over 30 years old, the notion of design patterns is hardly applied to EA. There is a lack of pattern collections specifically devoted to EA: only a small number of patterns and pattern collections specifically aimed at enterprise architecture can be found in the public domain. Furthermore no framework or method exist that would assist enterprise architects in creating patterns and pattern languages for EA. This paper aims to bridge this gap by proposing a pattern framework for enterprise architecture (PF4EA), which can guide the development of well-grounded patterns and pattern languages for the EA domain. The components of the frameworks are described as well as a method for its use. © 2012 Springer-Verlag.</t>
  </si>
  <si>
    <t>https://www.scopus.com/inward/record.uri?eid=2-s2.0-84868308934&amp;doi=10.1007%2f978-3-642-34163-2_1&amp;partnerID=40&amp;md5=901f4fe65f553e63d08b8af8f2009641</t>
  </si>
  <si>
    <t>Modeling Business Applications for Business Architecture</t>
  </si>
  <si>
    <t>2010 IEEE 7th International Conference on E-Business Engineering</t>
  </si>
  <si>
    <t>152-159</t>
  </si>
  <si>
    <t>For several years the mantra has been &amp;#x201C;closing the Business - IT gap&amp;#x201D;, enabling business people to focus on strategic direction, while not being unnecessarily burdened by the complexity of the underlying support systems. The discipline of Business Architecture continues to evolve, attempting to bring rigor to the task of matching imprecise strategic needs to rigid IT systems. Increasingly literature acknowledges the need for precise connections between business needs and IT systems, however little usable guidance has been provided. This paper focuses narrowly but deeply at suggesting a precise way in which business applications and related elements of the business architecture can be modeled. It highlights the needs of business stakeholders and compares several existing models. The paper illustrates the inadequacy of these models in addressing our business questions, and proposes a model that offers some distinct advantages.</t>
  </si>
  <si>
    <t>Service-oriented agility: an initial analysis for the use of agile methods for SOA development</t>
  </si>
  <si>
    <t>2005 IEEE International Conference on Services Computing (SCC'05) Vol-1</t>
  </si>
  <si>
    <t>93-100 vol.2</t>
  </si>
  <si>
    <t>Today, businesses have to respond with flexibility and speed to ever-changing customer demand, market opportunities and external threats. Service oriented architecture (SOA) is a special way to look a IT systems, focusing on their adaptability - the ability to respond to changing and new requirements. It is more than evident that agile approaches to software development seem to be a natural fit for developing such systems. In this article, we try to harden this evidence. We take a look on the fundamentals of agile software development and assess their suitability for SOA-based systems.</t>
  </si>
  <si>
    <t>J. Krogstie</t>
  </si>
  <si>
    <t>Model-based development and evolution of information systems: A quality approach</t>
  </si>
  <si>
    <t>Model-Based Development and Evolution of Information Systems: A Quality Approach</t>
  </si>
  <si>
    <t>Springer-Verlag London Ltd</t>
  </si>
  <si>
    <t>1-439</t>
  </si>
  <si>
    <t>This book introduces and describes in detail the SEQUAL framework for understanding the quality of models and modeling languages, including the numerous specializations of the generic framework, and the various ways in which this can be used for different applications. Topics and features: contains case studies, chapter summaries, review questions, problems and exercises throughout the text, in addition to Appendices on terminology and abbreviations; presents a thorough introduction to the most important concepts in conceptual modeling, including the underlying philosophical outlook on the quality of models; describes the basic tasks and model types in information systems development and evolution, and the main methodologies for mixing different phases of information system development; provides an overview of the general mechanisms and perspectives used in conceptual modeling; predicts future trends in technological development, and discusses how the role of modeling can be envisaged in this landscape. © Springer-Verlag London 2012.</t>
  </si>
  <si>
    <t>https://www.scopus.com/inward/record.uri?eid=2-s2.0-84954594210&amp;doi=10.1007%2f978-1-4471-2936-3&amp;partnerID=40&amp;md5=83cf2572f315fd402df35d4d13d26512</t>
  </si>
  <si>
    <t>From Anarchy to System: A Novel Classification of Visual Knowledge Codification Techniques</t>
  </si>
  <si>
    <t>Knowledge and Process Management</t>
  </si>
  <si>
    <t>John Wiley and Sons Ltd</t>
  </si>
  <si>
    <t>The paper suggests a classification of visual knowledge codification (diagramming) techniques for multi-perspective business systems analysis and design. The classification is based on seven main categories of knowledge: what-knowledge, how-knowledge, who-knowledge, why-knowledge, what for-knowledge, when-knowledge and where-knowledge. The classification defines both knowledge type and the most appropriate kind of diagramming technique. Examples for use of this classification system for marketing function applications are presented. Specific examples of these applications include mind map, concept map, Ishikawa diagram, strategy map, business process models and function trees. It is hoped that the new classification will allow better practical use of diagramming techniques in business and lead to fewer professional misunderstandings and more effective business communication. The aim of this research is thus to improve visual literacy among both business practitioners and educators. Copyright © 2016 John Wiley &amp; Sons, Ltd. Copyright © 2016 John Wiley &amp; Sons, Ltd.</t>
  </si>
  <si>
    <t>https://www.scopus.com/inward/record.uri?eid=2-s2.0-84971260952&amp;doi=10.1002%2fkpm.1509&amp;partnerID=40&amp;md5=4388761699fb4fe60999a308bb6417cc</t>
  </si>
  <si>
    <t>One approach to the classification of business knowledge diagrams: Practical view</t>
  </si>
  <si>
    <t>1259-1265</t>
  </si>
  <si>
    <t>Diagrams are an effective and popular tool for visual knowledge structuring. Managers also often use them to acquire and transfer business knowledge. There are many currently available diagrams or visual modeling languages for managerial needs, unfortunately the choice between them is frequently error-prone and inconsistent. This situation raises the next questions. What diagrams/ visual modeling languages are the most suitable for the specific type of business content? What domain-specific diagrams are the most suitable for the visualization of the particular elements of organizational ontology? In order to provide the answers, the paper suggests light-weight specification of diagrams and knowledge content types, which is based on the competency questions and ontology design patterns. The proposed approach provides the classification of qualitative business diagrams.</t>
  </si>
  <si>
    <t>The Role of Service Granularity in a Successful SOA Realization A Case Study</t>
  </si>
  <si>
    <t>2008 IEEE Congress on Services - Part I</t>
  </si>
  <si>
    <t>423-430</t>
  </si>
  <si>
    <t>This paper presents the case study of a leading US financial Institution International Financial and Brokerage Services (IFBS), which faced SOA realization issues while it followed an inappropriate SOA design strategy. While riding on the SOA hype wave, it implemented thousands of fine grained Web-services without paying much heed to issues like governance, and usage within its business processes. IFBSpsilas service portfolio comprises of a gamut of services which although on paper looked good, but presented a lot of challenges in their usage and maintenance. We address some of these issues in this paper and present our framework for SOA adoption (called INSOAP) which can be effective in a similar end- to-end SOA adoption exercise in an enterprise.</t>
  </si>
  <si>
    <t>Model based enterprise simulation and analysis a pragmatic approach reducing the burden on experts</t>
  </si>
  <si>
    <t>Modern enterprises are complex systems operating in highly dynamic environments. The time to respond to the various change drivers is short and the cost of incorrect decisions is prohibitively high. Modern enterprises tend to exist in silos leading to fragmented knowledge with little support available for composing the fragments. Current practice places a heavy burden on experts by requiring a quick and comprehensive solution. This paper proposes a model based approach to this problem in terms of a language to be used for enterprise simulation and analysis that is capable of integrating the ‘what’, ‘how’ and ‘why’ aspects of an enterprise. Possible implementation is also hinted. © Springer International Publishing Switzerland 2014.</t>
  </si>
  <si>
    <t>https://www.scopus.com/inward/record.uri?eid=2-s2.0-84910624522&amp;partnerID=40&amp;md5=c08c6a60a35c536b7d9b47b6c005aa21</t>
  </si>
  <si>
    <t>Enterprise Interaction Ontology for Change Impact Analysis of Complex Systems</t>
  </si>
  <si>
    <t>2008 IEEE Asia-Pacific Services Computing Conference</t>
  </si>
  <si>
    <t>303-309</t>
  </si>
  <si>
    <t>Reasoning about the impact of change is critical throughout the information technology (IT) architecture lifecycle management processes and this is especially challenging because installed architectures are complex, evolve constantly, and most changes have some global impact. We present an enterprise-interaction ontology for integrated query, analysis, and monitoring that supports features to allow architects and engineers pin-point the impact of change to the installed architecture before implementation. The ontology represents select associations between the enterprisepsilas business processes, services and infrastructure so that significant consequences of a change are propagated to affected areas based on underlying rules. Thus, interdependencies and relationships that are not obvious are identified and the impact is quantified. This allows the architect to know the complete scope of modifications required in order to accomplish a change in a manner consistent with best practices (like ITIL version 3). We illustrate - 1) the rules and taxonomy relationships that give us the ability to propagate changes and determine the impact, and 2) how actual questions and decision-making during the architecture management processes can be better supported using a more precise and factual understanding. Not only does the interaction methodology help analyze the potential impact of adding a new component, a change due to an incident, or the deletion of an existing component from the architecture, it also supports business-IT alignment processes like chargeback, capacity management and disaster recovery.</t>
  </si>
  <si>
    <t>Information Provision as a Success Factor in the Architectural Support of Enterprise Transformations</t>
  </si>
  <si>
    <t>Enterprise transformations (ET) fail in many cases or do not accomplish the expected goals. Enterprise architecture management (EAM) is often considered to be an appropriate means to tackle this problem by providing information that is relevant to ET managers. Therefore, we analyze, which types of information provided during an ET contributes to its success. In addition we discuss if EAM can appropriately support ETs by providing relevant information. The results show that value can be provided to ET management when business-related information on a detailed level is offered. Examples are business requirements, business functions, or qualitative measures. We find information that can be provided by EAM to be an important success factor for ETs.</t>
  </si>
  <si>
    <t>https://www.scopus.com/inward/record.uri?eid=2-s2.0-85006010455&amp;doi=10.1007%2f978-3-642-41641-5_2&amp;partnerID=40&amp;md5=6de5a8ba8aed9a100f9a536bbf45e015</t>
  </si>
  <si>
    <t>A Method for creating enterprise architecture metamodels - applied to systems modifiability analysis</t>
  </si>
  <si>
    <t>International Journal of Computer Science and Applications</t>
  </si>
  <si>
    <t>89-120</t>
  </si>
  <si>
    <t>Enterprise architecture models can be used in order to increase the general understanding of enterprise systems and specifically to perform various kinds of analysis. It is generally understood that such modeling encompasses general scientific issues, but the monetary aspects of the modeling of software systems and their environment are not equally well acknowledged. Even more so, creating a good metamodel for enterprise software systems analysis is an important but challenging task. The present paper describes a method for creating metamodels for such analysis. The enterprise architecture models are formalized using probabilistic relational models, which enables the combination of regular entityrelationship modeling aspects with means to perform enterprise architecture analysis. The proposed method for creating metamodels is general, however this paper presents the method by creating a metamodel for systems modifiability, i.e. the cost of making changes to enterprise-wide systems. The method and the method outcome, i.e. the metamodel, is validated based on survey and workshop data and the applicability of the metamodel is illustrated with an instantiated architectural model based on a software change project at a large Nordic software and hardware vendor. © Technomathematics Research Foundation.</t>
  </si>
  <si>
    <t>https://www.scopus.com/inward/record.uri?eid=2-s2.0-77953128879&amp;partnerID=40&amp;md5=a63a421dc047ba8aab8eee1684a66703</t>
  </si>
  <si>
    <t>Enterprise architecture approach for agility evaluation</t>
  </si>
  <si>
    <t>2015 International Conference on Cloud Technologies and Applications (CloudTech)</t>
  </si>
  <si>
    <t>Enterprise architecture (EA) is a business and IT management tool that has grown in popularity during the last decade. It is based on models of business and IT with systematic frameworks. The scope of the enterprise architecture includes the people, processes, information and technology of the enterprise, and their relationships to one another and to the external environment. Evaluation of enterprise architecture enables, organizations to assess their current situation. Definitely, it allows optimizing the alignment, business strategy, organizational culture, business, people, process and technology. This architecture optimization provides a cost-effective and also helps to ensure the proper execution of objectives and organizational goals. In this regard, this paper provides an approach based on network analysis towards EA analysis, and especially towards the agility of enterprise architecture, we propose a method for assessing agility achievement of different TO-BE scenarios and using different indicators based on the archimate metamodels of the enterprise architecture layers.</t>
  </si>
  <si>
    <t>A Unified Framework for Enterprise Architecture Analysis</t>
  </si>
  <si>
    <t>227-236</t>
  </si>
  <si>
    <t>Enterprise Architecture (EA) analysis is an important tool for leveraging EA models. However, due to the diverse nature of the EA field, analysis techniques must be able to deal with variability caused by different modeling standards as well as their adaption to specific organizational needs. Additionally, the definitions of the relevant measures often vary between different stakeholders and organizations. To address these challenges we propose a (meta) model independent framework for the analysis of architecture models. Based on a generic representation of architectural data, we employ a data-flow based analysis approach to enable a context-sensitive evaluation of organization specific measures. We demonstrate the generic applicability of this framework through a re-implementation of three different analyses from literature.</t>
  </si>
  <si>
    <t>M. M. Lankhorst</t>
  </si>
  <si>
    <t>Towards A Service-Oriented Architecture for Demand-Driven e Government</t>
  </si>
  <si>
    <t>214-214</t>
  </si>
  <si>
    <t>This paper describes the requirements and high-level design of a service-oriented architecture for demand- driven e-government. Central to this architecture is the integration of services from different government agencies and private parties to create truly demand- driven e-services to citizens. Starting from a description of the requirements, we give a functional architecture and identify technologies that may be used to realize this functionality. This architecture is the first to combine service orientation, identity management, business process management, and semantic Web technologies to implement this vision of integrated, demand-driven services.</t>
  </si>
  <si>
    <t>Re-designing process architectures towards a framework of design dimensions</t>
  </si>
  <si>
    <t>205-210</t>
  </si>
  <si>
    <t>Organizations rely on a multiplicity of processes covering everything from their day-to-day functioning to longer term viability. Together, these processes and their interrelationships constitute the business process architecture (BPA) of the organization. While efforts have been dedicated to the analysis and design of business processes, the question of how processes in an organization should best relate to each other (i.e., the design of the BPA) has received relatively little consideration. Supported by technological and business innovations, the torrent of changes faced by today's organizations, forces them to stop looking at their processes individually and focus on designing BPAs, especially concentrating on balancing flexibility/agility and other objectives, such as cost and efficiency. In this paper, we propose a framework for BPA design with several dimensions along which activities or decisions could potentially be repositioned across processes and a goal-driven approach for analyzing possible BPA configurations.</t>
  </si>
  <si>
    <t>Enterprise Architecture Content Model Applied to Complexity Management While Delivering IT Services</t>
  </si>
  <si>
    <t>408-415</t>
  </si>
  <si>
    <t>A study on the priority decision making of IT goals in COBIT 5 goals cascade</t>
  </si>
  <si>
    <t>Proceedings of the 9th International Conference on Information Management and Engineering</t>
  </si>
  <si>
    <t>Barcelona, Spain</t>
  </si>
  <si>
    <t>221-225</t>
  </si>
  <si>
    <t>E. Lefever</t>
  </si>
  <si>
    <t>A hybrid approach to domain-independent taxonomy learning</t>
  </si>
  <si>
    <t>255-278</t>
  </si>
  <si>
    <t>Creating domain ontologies is usually performed by teams of knowledge engineers and domain experts, and is considered to be a time-consuming and difficult task. As a result, scientists have started to develop automatic approaches to ontology learning and population. For the proposed research, we focus on the central subtask of ontology learning, being the hypernym detection task, where the system has to detect hierarchical semantic relationships, i.e.'hypernym-hyponym relationships, between domain-specific terms, resulting in a domain-specific taxonomy. We propose in this paper a hybrid approach to automatic taxonomy learning, which combines a data-driven and a knowledge-based component. The data-driven component is composed of a lexico-syntactic pattern-based module, a morpho-syntactic analyzer and a distributional model, whereas the knowledge-based component extracts structured semantic information from the Linked Open Data cloud (DBpedia) and WordNet. The proposed methodology has been applied to three different knowledge domains: viz.'food, equipment and science. A thorough quantitative and qualitative evaluation has shown promising results for all considered test domains. In addition, the results show a clear contribution of all different modules to the automatic taxonomy learning task. Although there is still room for improvement for all different modules, our approach outperforms state-of-the-art systems that participated in the SemEval Taxonomy Extraction Evaluation task when it comes to comparing the automatically constructed taxonomy against a manually verified gold standard taxonomy. As all modules are run automatically, the system provides a flexible and domain-independent approach to automatic taxonomy learning and could be an important step in solving the knowledge acquisition bottleneck in ontology learning. © 2016 -IOS Press and the authors. All rights reserved.</t>
  </si>
  <si>
    <t>https://www.scopus.com/inward/record.uri?eid=2-s2.0-84991384816&amp;doi=10.3233%2fAO-160170&amp;partnerID=40&amp;md5=050618153c0d47f58e97063bb6237d3f</t>
  </si>
  <si>
    <t>An exploratory survey on SOA knowledge, adoption and trend in the Italian industry</t>
  </si>
  <si>
    <t>2012 14th IEEE International Symposium on Web Systems Evolution (WSE)</t>
  </si>
  <si>
    <t>The main aim of this work is investigating the level of knowledge and diffusion of SOA (Service Oriented Architecture) in the Italian industry. We are also interested to understand what is the trend of SOA (positive or negative?) and what are the methods, technologies and tools really used in the industry. We carried out a personal opinion survey receiving 159 answers by Italian software professionals in two different rounds (2008 and 2011). The data were collected with the help of self-administered Internet questionnaires. The findings suggest that SOA is a relevant phenomenon in the Italian industry, it is well-known (and used enough) and the same is true for its key components (Web services and RESTFul services). On the contrary, orchestration languages and UDDI seem little known and used. Currently, the adoption of SOA is medium with a perceived trend that is more stable than positive (but surely not negative).</t>
  </si>
  <si>
    <t>Agent-based web for information fusion in military intelligence, surveillance, and reconnaissance</t>
  </si>
  <si>
    <t>2008 IEEE International Conference on Systems, Man and Cybernetics</t>
  </si>
  <si>
    <t>3732-3737</t>
  </si>
  <si>
    <t>This paper describes a research prototype of an experimental information management system for the German Federal Armed Forces. The system is realized as an agent-based web for military intelligence, surveillance, and reconnaissance (ISR). Users can access ISR related information, services, and experts through this web. Information management is based on a semantic representation of sensor data and other ISR information. The system supports information fusion and offers personalized functionalities. This contribution reports the current state of the system, its software architecture and support functions.</t>
  </si>
  <si>
    <t>Textual indexation of ancient documents</t>
  </si>
  <si>
    <t>Proceedings of the 2005 ACM symposium on Document engineering</t>
  </si>
  <si>
    <t>Bristol, United Kingdom</t>
  </si>
  <si>
    <t>111-117</t>
  </si>
  <si>
    <t>Active knowledge modeling of enterprises</t>
  </si>
  <si>
    <t>Active Knowledge Modeling of Enterprises</t>
  </si>
  <si>
    <t>1-436</t>
  </si>
  <si>
    <t>Enterprise Modeling has been defined as the art of externalizing enterprise knowledge, i.e., representing the core knowledge of the enterprise. Although useful in product design and systems development, for modeling and model-based approaches to have a more profound effect, a shift in modeling approaches and methodologies is necessary. Modeling should become as natural as drawing, sketching and scribbling, and should provide powerful services for capturing work-centric, work-supporting and generative knowledge, for preserving context and ensuring reuse. A solution is the application of Active Knowledge Modeling (AKM). The AKM technology is about discovering, externalizing, expressing, representing, sharing, exploring, configuring, activating, growing and managing enterprise knowledge. An AKM solution is about exploiting the Web as a knowledge engineering medium, and developing knowledge-model-based families of platforms, model-configured workplaces and services. This book was written by the inventors of AKM arising out of their cooperation with both scientists and industrial practitioners over a long period of time, and the authors give examples, directions, methods and services to enable new ways of working, exploiting the AKM approach to enable effective c-business, enterprise design and development, and lifecycle management. Industry managers and design engineers will become aware of the manifold possibilities of, and added values in, IT-supported distributed design processes, and researchers for collaborative design environments will find lots of stimulation and many examples for future developments. © 2008 Springer-Verlag Berlin Heidelberg.</t>
  </si>
  <si>
    <t>https://www.scopus.com/inward/record.uri?eid=2-s2.0-84892233482&amp;doi=10.1007%2f978-3-540-79416-5&amp;partnerID=40&amp;md5=6eb1fb1557654c483d08d425db7206d2</t>
  </si>
  <si>
    <t>A Comparative Analysis of Enterprise Architecture Frameworks Based on EA Quality Attributes</t>
  </si>
  <si>
    <t>Many Enterprise Architecture Frameworks (EAFs) are in use today to guide or serve as a model for the enterprise architecture development. Researchers offer general comparative information about EAF. However, there has been little work on the quality of Enterprise Architecture (EA). This study provides the characteristics of the five EAFs using comparative analysis based on Enterprise Architecture Quality Attributes (EAQAs). The attribute of EA quality was extracted from the EAFs and the definition of EAQA was defined from EA user viewpoint. The criteria for each quality attribute were developed to compare EAFs using four dimensional concepts. This paper compared several frameworks using the criteria to provide guidance in the selection of an EAF that meets the quality requirement of EA.</t>
  </si>
  <si>
    <t>J. Lin</t>
  </si>
  <si>
    <t>Enhancing enterprise performance with social BPM and TOGAF framework</t>
  </si>
  <si>
    <t>IEOM Society</t>
  </si>
  <si>
    <t>8-10 March 2016</t>
  </si>
  <si>
    <t>115-121</t>
  </si>
  <si>
    <t>Abstract-For the rapid advances of Internet technologies in recent years, EB (Electronic Business) has gained many attentions as a major theme for enterprises to keep their competitiveness. Amongst all possible endeavors, research has shown that an effective management of business processes is a critical source for enterprises to achieve their EB goals. In this paper, we present a layered architecture that employs such well-known constructs as the social BPM (Business Process Management) lifecycle and the TOGAF (The Open Group Architecture Framework) framework to support an effective management of business processes where the use of social tools in the BPM lifecycle under the TOGAF framework is particularly emphasized. To illustrate, the architecture is applied to the social BPM of an enterprise for book publishing. © IEOM Society International. © IEOM Society International.</t>
  </si>
  <si>
    <t>https://www.scopus.com/inward/record.uri?eid=2-s2.0-85018390751&amp;partnerID=40&amp;md5=f97a515f647514d7abbe75c3d385c86d</t>
  </si>
  <si>
    <t>On the Semantic Feature Structure of Modeling Concepts: An Empirical Study</t>
  </si>
  <si>
    <t>158-165</t>
  </si>
  <si>
    <t>Is an actor typically considered a human being? What about an autonomous entity? We investigate the typical feature structure of common modeling concepts in order to create an empirically grounded description of the semantic feature structure that people implicitly use while reasoning about, and with such concepts. Apart from the insights into modeling concept structure that this work presents, consequences for the quality of models and use of modeling languages are discussed. We finally discuss in more detail how the process of modeling, especially when it involves multiple people with different backgrounds, modeling different aspects (i.e., enterprise modeling), stands to benefit from more insights into how the individual modelers see the basic modeling concepts shared between them.</t>
  </si>
  <si>
    <t>A. Lindstrom</t>
  </si>
  <si>
    <t>On the Syntax and Semantics of Architectural Principles</t>
  </si>
  <si>
    <t>Proceedings of the 39th Annual Hawaii International Conference on System Sciences (HICSS'06)</t>
  </si>
  <si>
    <t>178b-178b</t>
  </si>
  <si>
    <t>This paper illustrates why architectural principles are important for IT management and how the principles can be used. By analyzing architectural principles at an enterprise, knowledge is gained on how to formulate principles so that they are an effective steering tool. This knowledge is transformed into a framework for formulating architectural principles. The analysis of the architectural principles has been performed from two different angles; have we got the principles right (syntax) and have we got the right principles (semantics). The industrial case is complemented with examples from literature.</t>
  </si>
  <si>
    <t>Developing an Enterprise Specific Application Portfolio Assessment Method: From Architectural Principles to Measures</t>
  </si>
  <si>
    <t>2006 Technology Management for the Global Future - PICMET 2006 Conference</t>
  </si>
  <si>
    <t>1604-1612</t>
  </si>
  <si>
    <t>This paper presents a method for assessing an application portfolio. The method has two levels, starting with architectural principles, i.e. rules that define and motivate what IT related decisions can be made within an enterprise. In the assessment the principles constitute the foundation for making decisions on which applications to retain, modify or phase out. In the second step the architectural principles are decomposed into high-level measures that are based on more detailed measures. The measures are used to examine the compliance between the architectural principles and the application. The presented assessment method is time-efficient and presents the assessment in an easy-to-grasp tree-structure. The method has been validated by experts and an assessment of one application has been carried out at Scania in order to validate the method. Scania is a large multinational vehicle manufacturer</t>
  </si>
  <si>
    <t>A design of business-technology alignment consulting framework</t>
  </si>
  <si>
    <t>6741 LNCS</t>
  </si>
  <si>
    <t>422-435</t>
  </si>
  <si>
    <t>Current work on applying scientific methods to capture the cultural values as requirements for business-IT alignment has been scarce, even though organisations acknowledge its significant impact. This paper introduces a Business-Technology Alignment Consulting Framework that adopts an Organisational Semiotics approach to capture cultural values from both formal norms and informal hidden social norms that can significantly impact the actual vs perceived alignment. A set of techniques in the framework are described for its use in conducting consulting analysis. Business Service Analysis is the core analysis that provides the holistic structure of the business services. Business Service Valuation calculates the service cultural values to complement the Business Service Analysis. Business Service Norms Analysis captures the business norms that govern the business service. A case study example is used to illustrate the analysis templates to holistically represent the business services. The significance of the consulting framework and future work are also discussed. © 2011 Springer-Verlag.</t>
  </si>
  <si>
    <t>https://www.scopus.com/inward/record.uri?eid=2-s2.0-79960329670&amp;doi=10.1007%2f978-3-642-21640-4_32&amp;partnerID=40&amp;md5=8f8ea42b1e8c69f163b41102e9b53fda</t>
  </si>
  <si>
    <t>Experience reuse to improve agility in knowledge-driven industrial processes</t>
  </si>
  <si>
    <t>2016 IEEE International Conference on Industrial Engineering and Engineering Management (IEEM)</t>
  </si>
  <si>
    <t>651-655</t>
  </si>
  <si>
    <t>Companies need to become more agile to survive to the unstable and highly changing market-place. This can be achieved through the adaptation and control of their business processes. A process sufficiently structured but not over constrained by standards and based on experience feedback principles is necessary. This article describes a proposition of agile process driven by the reuse of experiences and knowledge. For this purpose, based on Case-Based Reasoning (CBR) principles, the complete lifecycle of an agile process is introduced, from requirements definition, retrieval, reuse, adaptation, and storage steps. Finally, an example applied to the domain of industrial problem solving is presented to illustrate the methodology.</t>
  </si>
  <si>
    <t>Capability oriented enterprise knowledge modeling: The CODEK approach</t>
  </si>
  <si>
    <t>Domain-Specific Conceptual Modeling: Concepts, Methods and Tools</t>
  </si>
  <si>
    <t>Springer International Publishing</t>
  </si>
  <si>
    <t>197-215</t>
  </si>
  <si>
    <t>Enterprise modeling has been defined as the 'art of externalizing enterprise knowledge'. Traditional approaches to enterprise modeling rely on 'blueprint thinking' that focuses on the formal structure and organization of the enterprise, with business processes being the fundamental components of the enterprise operation. Such approaches generally assume enterprises as deterministic, top-down managed entities, with a well-defined group of processes that develop and maintain products or services for their customers. However, the prevalence and volatility of digital enterprises shifts enterprise modeling towards a more dynamic enterprise configuration, to embrace the idea of dynamic adaptation according to the internal and external influences that constantly (re-)shape the business environment. To this end, enterprise modeling research has adopted model-driven development methods and service-oriented architectures originating from the software development domain, as a means to achieve flexible service delivery and the notion of dynamic capability from the strategic management domain in order to address adaptation to the dynamic business context. This chapter will outline emergent trends in the field, introduce a conceptual framework for the capability-driven development of enterprise knowledge and discuss how this can be used to enable the design of capabilities and services using examples from an eGovernment case study. © Springer International Publishing Switzerland 2016. All rights reserved.</t>
  </si>
  <si>
    <t>https://www.scopus.com/inward/record.uri?eid=2-s2.0-85013125331&amp;doi=10.1007%2f978-3-319-39417-6_9&amp;partnerID=40&amp;md5=1e669ff83eae2a0d7536c742ef06059d</t>
  </si>
  <si>
    <t>Enterprise Capability Modeling: Concepts, Method, and Application</t>
  </si>
  <si>
    <t>66-77</t>
  </si>
  <si>
    <t>Strategic alignment among digital services and organizational objectives is crucial for IT, if the enterprise is to use it for competitive advantage. The motivation for the work presented in this paper is based on the need for the design of services that meet the challenges of alignment, agility and sustainability in relation to dynamically changing enterprise requirements. To this end, the paper presents an approach to enterprise modeling that historically has its roots in strategic management and more recently has been considered within the broader spectrum of enterprise architecture, business process management and service-oriented development. We refer to this approach as a capability-centric modeling approach. The paper establishes a framework within which capability modeling would be used in collaboration with other modeling viewpoints and focuses on the specific concepts and techniques that relate to enterprise capability. These concepts and techniques are elaborated upon using a scenario from a leading digital services enterprise.</t>
  </si>
  <si>
    <t>92 LNBIP</t>
  </si>
  <si>
    <t>147-161</t>
  </si>
  <si>
    <t>https://www.scopus.com/inward/record.uri?eid=2-s2.0-80655143504&amp;doi=10.1007%2f978-3-642-24849-8_12&amp;partnerID=40&amp;md5=2937acb5ffb62b7dab84a91eb7ee703c</t>
  </si>
  <si>
    <t>Part I - Introduction</t>
  </si>
  <si>
    <t>Abstract This part sets the stage for the reader with some interesting observations during the evolution of automation that help put the rest of the book in context, beginning with one of the last large companies to adopt automation. We then get a glimpse into the challenges that automation created as it solved competitive challenges of handling a greater volume of business with less expense from labor. As with any form of modernization, as some problems are solved with advancements in technology, new problems emerge, and manifest themselves, occasionally overwhelming the organizations that failed to foresee or recognize these problems as they grew unchecked at their source. In fact, even today, many organizations leave the source of their problems unchecked by making attempting to remediate the symptoms with additional manual labor.</t>
  </si>
  <si>
    <t>https://www.sciencedirect.com/science/article/pii/B9780128002056000019</t>
  </si>
  <si>
    <t>Exploring the Role of Enterprise Architecture in IS-enabled Ot: An EA Principles Perspective</t>
  </si>
  <si>
    <t>Although EA principles have received considerable attention in recent years, there is still little known about how EA principles can be used to govern the transformation of the Information Systems enabled organization. In this research-in- progress paper, we communicate our initial step towards answering the sub-question: how do enforcing EA principles contribute to IS-enabled OT? Based on a comprehensive literature review, we initially propose five testable hypotheses and a research model, which is a pre-requisite to developing a data-driven theory for this important area of research. It is anticipated that the ensuing theory will provide a basis for further research studying the impact of EA on IS-enabled OT. The tested research model will also provide guidance to practitioners on how to effectively design and use EA principles in managing transformative changes caused by IS within their organizations and overall industry sectors.</t>
  </si>
  <si>
    <t>An impact analysis method of business processes evolution in enterprise architecture</t>
  </si>
  <si>
    <t>2016 International Conference on Progress in Informatics and Computing (PIC)</t>
  </si>
  <si>
    <t>733-737</t>
  </si>
  <si>
    <t>Nowadays, enterprises are facing lots of challenges, such as changing market and evolving technologies. Enterprises must continuously adapt themselves to the changing business mode. Enterprise Architecture (EA) is an efficient tool to manage enterprise strategies and IT architecture evolution. As a drive for EA evolution, changing business processes promote IT solutions evolution, and make IT architecture to align with business architecture. To maintain the alignment between IT and business during EA evolution, an impact analysis method of business processes evolution is proposed in the paper, which can automatically analyze impacted IT elements based on the dependent chains built by the core concepts in ArchiMate 2.0. Our approach can provide quantitative guidelines for IT architecture evolution and design support for IT architecture transition.</t>
  </si>
  <si>
    <t>392-432</t>
  </si>
  <si>
    <t>Enterprise architecture model for implementation knowledge management system (KMS)</t>
  </si>
  <si>
    <t>ICTC 2011</t>
  </si>
  <si>
    <t>208-212</t>
  </si>
  <si>
    <t>This research focuses on the design of enterprise architecture (EA) model for the knowledge management system (KMS). The research was motivated by the many failures in implementating of KMS as well as the lack of studies on EA associated with the implementation of KMS. This study uses interpretative and socio-technical approach with soft system methodology and TOGAF as a framework. The result shows that the availability of IT infrastructure does not maximize the implementation of KMS, therefore there is a need of a new holistic EA that accommodates all of the technological and socio perspective.</t>
  </si>
  <si>
    <t>How to make data migration processes more efficient by using TOGAF: Best practice data migration approach applied to SAP Financial Services-Policy Management</t>
  </si>
  <si>
    <t>2013 ACS International Conference on Computer Systems and Applications (AICCSA)</t>
  </si>
  <si>
    <t>The failure of complex MIS (Management Information Systems) data migration projects is often a result of using inflexible migration approaches. This paper sets out a best-practice standardized methodology for the management of complex data migration activities embedded in The Open Group Architecture Framework (TOGAF). In this document we first provide a segregation of our approach into migration dimensions taking a deeper look into the organizational aspects involved in the implementation of data migration projects. Secondly we provide a detailed conceptualization of the data migration process in order to provide a general approach for successfully realizing data migration projects. More specifically, we developed a process blueprint to support efficient data migration activities (taking SAP Financial Services-Policy Management as an example). An organization-wide migration process must be established as an ongoing, flexible process to meet the stakeholders' needs.</t>
  </si>
  <si>
    <t>Breaking free from your information prison: A recommender based on semantically enriched context descriptions</t>
  </si>
  <si>
    <t>Information repositories, implemented as Enterprise Portals (EP) on the intranet, are increasingly popular in companies of all sizes. Enterprise Portals allow for structuring information in a way that resembles the organization of paper copies, i.e. simulating folders and registries and furthermore, provide simple routines for publishing and collaborating. Hence, in general, such kind of information management is not much different from paper management: electronic documents must be uploaded into the Enterprise Portal manually, filed into folders (which have to be created manually, too), tagged and related to other information objects if need be. With this approach information structuring remains subject to the individual user leading to the well-known problems of multiple filing, overlooking relevant information and incomprehensible folder structure. The SEEK!sem project aims at improving such kind of information system by automatically identifying and recommending related information resources to be added to a folder. The recommendations are based on rules, exploiting content and context similarity of information resources. Rules can be created upfront, based on explicitly defined relations between information objects. They can also be machine learned, i.e. the recommender exploits the existing linkage between documents, folders and other objects to learn &amp;#x201C;relatedness rules&amp;#x201D;. In either case, potential new connections are inferred by applying the rules in a reasoning step. Recommended new connections are ranked by the sum of the scores of all applied rules - the rule scores, again, can either be provided by experts or machine-learned. The applied rules can serve as an explanation of a recommendation, i.e. they can assist users in understanding why a particular connection is suggested.</t>
  </si>
  <si>
    <t>Chances are the architecture looks fuzzy: Pitch it right!</t>
  </si>
  <si>
    <t>2015 IEEE International Symposium on Systems Engineering (ISSE)</t>
  </si>
  <si>
    <t>278-285</t>
  </si>
  <si>
    <t>Steven Spielberg once said: &amp;#x201C;I like ideas, especially movie ideas, that you can hold in your hand. If a person can tell me the idea in twenty-five words or less, it's going to make a pretty good movie&amp;#x201D; [20]. If you replace `idea' with `architecture' (at a certain point a synonym ... almost), and `movie' with `system', does the updated Spielberg's heuristic still resonate? Current practices and formalized state-of-art in architecting tends to favor an analytical, extensional descriptive approach (through views and point of views organized into frameworks) to `explain' or to define an architecture. However some given purposes (e.g. sharing and aligning an entire team on a common target, defining and checking architecture integrity) or some specific key moments (e.g. a `go/no go' decision gate, contractual agreement between an ordering institution and a prime contractor) invite to grasp its core essence in an instant for an architectural `pitch'. Sometimes also, even if standard architecture frameworks provide a quite heavy set of different views, they lack in exhibiting some striking and salient aspects of the architecture.</t>
  </si>
  <si>
    <t>Network-based social coordination of business processes</t>
  </si>
  <si>
    <t>56-74</t>
  </si>
  <si>
    <t>This paper presents a social coordination approach that addresses the issue of conflicts over resources during business process execution. A business process consists of tasks that persons and/or machines execute. The resources, that business processes require at run-time, are sometimes limited and/or not-renewable. The approach uses a set of social relations that connect tasks/persons/machines together. These relations are the basis of developing specialized networks that capture the interactions during business process execution and are used to recommend corrective actions when conflicts over resources occur. These actions are dependent on the properties of tasks, persons and machines properties which referred to as transactional, activity, and operational, respectively. A system that demonstrates the approach is also discussed. © 2016 Elsevier Ltd. All rights reserved.</t>
  </si>
  <si>
    <t>https://www.scopus.com/inward/record.uri?eid=2-s2.0-84960145348&amp;doi=10.1016%2fj.is.2016.02.005&amp;partnerID=40&amp;md5=1de664b035413d1ebb43ae97554e6964</t>
  </si>
  <si>
    <t>A systematic and practical method for selecting systems engineering tools</t>
  </si>
  <si>
    <t>2017 Annual IEEE International Systems Conference (SysCon)</t>
  </si>
  <si>
    <t>The complexity of many types of systems has grown considerably over the last decades. Using appropriate systems engineering tools therefore becomes increasingly important. Starting the tool selection process can be intimidating because organizations often only have a vague idea about what they need. The tremendous number of available tools makes it difficult to get an overview and identify the best choice. Selecting wrong tools due to inappropriate analysis can have severe impact on the success of the company. This paper presents a systematic method for selecting systems engineering tools based on thorough analyses of the actual needs and the available tools. Grouping needs into categories, allow us to obtain a comprehensive set of requirements for the tools. The entire model-based systems engineering discipline was categorized for a modeling tool case to enable development of a tool specification. Correlating requirements and tool capabilities, enables us to identify the best tool for single-tool scenarios or the best set of tools for multi-tool scenarios. In both scenarios, we use gap analysis to prevent selection of infeasible tools. We used the method to select a traceability tool that has been in successful operation since 2013 at GN Hearing. We further utilized the method to select a set of tools that we used on pilot cases at GN Hearing for modeling, simulating and formally verifying embedded systems.</t>
  </si>
  <si>
    <t>Energy management systems</t>
  </si>
  <si>
    <t>IEEE Power and Energy Magazine</t>
  </si>
  <si>
    <t>49-57</t>
  </si>
  <si>
    <t>This article examines some of the factors, trends, and requirements that will have the biggest impact on development of energy management systems in the next decade that are more reliable, secure and flexible, and capable of meeting the anticipated new requirements of pending legislation, deregulation, and open access. As the central nervous system of the power network, the control center - along with its energy management system (EMS) - is a critical component of the power system operational reliability picture. There is some ground to be gained by simply getting the EMS technology that is currently in use within the utility industry fully functional again to release the true potential value of the investment. EMSs should converge accurately and reliably under extreme voltage conditions, run fast enough to be useful in the time available, and be able to recommend remedial actions. Another key factor that is critical to the success of the EMS technology of tomorrow is the incorporation of advanced network analysis algorithms and applications. This presents not only a challenge, but also an opportunity to invest in new technology that will enable us to more effectively manage both the supply and demand side of the energy equation and is an equally important component to any long-term energy policy.</t>
  </si>
  <si>
    <t>Looking for efective ways of achieving and sustaining Business-IT alignment</t>
  </si>
  <si>
    <t>5th Iberian Conference on Information Systems and Technologies</t>
  </si>
  <si>
    <t>Aligning Business and Information Technologies strategies has been a subject studied for a long time. Despite all the efforts, achieving and sustaining Business-IT alignment remains a challenge requiring even more agility nowadays to keep up with the competition in a turbulent organizational environment. Past contributions are uncovered in this paper calling particular attention to the development of Enterprise Architecture as a way of addressing this challenge. However, this should be a process to be carried out in the most effective ways looking especially at time and costs. Having proposed frameworks as a point of departure to reflect on the ways they may or may not work in practice, a dialogical action research is proposed for this work involving a close interaction with consultant companies. The resulting improved expertise both from the researcher and practitioners involved should allow for the identification of the most effective ways of achieving and sustaining Business-IT alignment.</t>
  </si>
  <si>
    <t>T. Malviya</t>
  </si>
  <si>
    <t>A multi-dimensional business strategy model for effective decision making: A holonic representation of enterprises</t>
  </si>
  <si>
    <t>In today's fast changing socio economic environment, companies have to rapidly adapt to changing conditions and adopt newer technologies and ways of working. Use of Augmented Reality (AR) and Virtual Reality (VR) is well recognized and effectively applied in different product based industries e.g., Aviation, Retail, Oil and Gas etc. However, services industries such as Banking, Finance and Insurance are still trying to tap the potential of these technologies in many different ways. One such way is to use AR and VR in executive level business decision-making process to gain operational efficiencies and lower services costs. Enterprise Architecture can play a key role in developing methods and ways in which these technologies can be applied. This is because typically Enterprise Architecture owns, develops and maintains different business and IT designs, models and strategic roadmaps. However, real challenge comes in while conceptualizing and developing different strategic models in a multi-dimensional environment. This is primarily because such conceptualization and model design requires representing abstract concepts of business capabilities, goals, mission, vision, strategic initiatives etc. in a physical real world model that depicts the interrelationships between such abstract concepts in simple and elegant ways. To address such issues, the philosophy of Holons and Informons can be applied to develop a real world model that depicts such abstract concepts. This paper tries to evaluate applicability of Holons for such a real world business scenario and presents a model that can be harnessed to effectively apply AR and VR to facilitate strategic business decision-making.</t>
  </si>
  <si>
    <t>Model-Driven Software Engineering in Practice:Second Edition</t>
  </si>
  <si>
    <t>Morgan &amp; Claypool</t>
  </si>
  <si>
    <t>&amp;lt;p&amp;gt;This book discusses how model-based approaches can improve the daily practice of software professionals. This is known as Model-Driven Software Engineering (MDSE) or, simply, Model-Driven Engineering (MDE).&amp;lt;/p&amp;gt; &amp;lt;p&amp;gt;MDSE practices have proved to increase efficiency and effectiveness in software development, as demonstrated by various quantitative and qualitative studies. MDSE adoption in the software industry is foreseen to grow exponentially in the near future, e.g., due to the convergence of software development and business analysis.&amp;lt;/p&amp;gt; &amp;lt;p&amp;gt;The aim of this book is to provide you with an agile and flexible tool to introduce you to the MDSE world, thus allowing you to quickly understand its basic principles and techniques and to choose the right set of MDSE instruments for your needs so that you can start to benefit from MDSE right away.&amp;lt;/p&amp;gt; &amp;lt;p&amp;gt;The book is organized into two main parts.&amp;lt;/p&amp;gt; &amp;lt;ul&amp;gt; &amp;lt;li&amp;gt;The irst part discusses the foundations of MDSE in terms of basic concepts (i.e., models and transformations), driving principles, application scenarios, and current standards, like the well-known MDA initiative proposed by OMG (Object Management Group) as well as the practices on how to integrate MDSE in existing development processes.&amp;lt;/li&amp;gt; &amp;lt;li&amp;gt;The second part deals with the technical aspects of MDSE, spanning from the basics on when and how to build a domain-specific modeling language, to the description of Model-to-Text and Model-to-Model transformations, and the tools that support the management of MDSE projects.&amp;lt;/li&amp;gt; &amp;lt;/ul&amp;gt; &amp;lt;p&amp;gt;The second edition of the book features:&amp;lt;/p&amp;gt; &amp;lt;ul&amp;gt; &amp;lt;li&amp;gt;a set of completely new topics, including: full example of the creation of a new modeling language (IFML), discussion of modeling issues and approaches in specific domains, like business process modeling, user interaction modeling, and enterprise architecture&amp;lt;/li&amp;gt; &amp;lt;li&amp;gt;complete revision of examples, figures, and text, for improving readability, understandability, and coherence&amp;lt;/li&amp;gt; &amp;lt;li&amp;gt;better formulation of definitions, dependencies between concepts and ideas&amp;lt;/li&amp;gt; &amp;lt;li&amp;gt;addition of a complete index of book content&amp;lt;/li&amp;gt; &amp;lt;/ul&amp;gt; &amp;lt;p&amp;gt;In addition to the contents of the book, more resources are provided on the book's website http://www.mdse-book.com, including the examples presented in the book.&amp;lt;/p&amp;gt;</t>
  </si>
  <si>
    <t>http://ieeexplore.ieee.org/xpl/articleDetails.jsp?arnumber=7899157</t>
  </si>
  <si>
    <t>Measuring and managing the design restriction of enterprise architecture (EA) principles on EA models</t>
  </si>
  <si>
    <t>2015 IEEE Eighth International Workshop on Requirements Engineering and Law (RELAW)</t>
  </si>
  <si>
    <t>37-46</t>
  </si>
  <si>
    <t>Implementation and formalisation, alongside with creation, adoption and usage of Enterprise Architecture (EA) principles are hot topics of the current years of EA research. However, the EA community, both academic and professional, misses a consensus on the definitions and use of principles. Furthermore, not much research is done in the direction of measuring the impact (e.g. design restriction) of EA principles. We aim to create a formal framework for measuring and managing this impact manifested by the EA principles on the EA models. Studying the current literature, we noticed there are similarities and differences between EA principles and regulations. The two concepts resemble each other given first, the purpose (both providing a normative guidance on the evolution of the enterprise) and second, the natural language representation and the structural definition (even if most of the time the principles are company specific, they all seem to have common fields in their definition). Principles behave mostly like soft-laws and being non-compliant with them results in fewer penalties and consequences compared to non-compliance with regulations. To that end, we investigate and adapt methods similar to the ones that can be found in requirements engineering for checking and managing regulatory compliance.</t>
  </si>
  <si>
    <t>Machine-learning methodology for energy efficient routing</t>
  </si>
  <si>
    <t>IET Intelligent Transport Systems</t>
  </si>
  <si>
    <t>255-265</t>
  </si>
  <si>
    <t>Eco-driving assistance systems encourage economical driving behaviour and support the driver in optimising his/her driving style to achieve fuel economy and consequently, emission reductions. Energy efficiency is also one of the most pertinent issues related to the autonomy of fully electric vehicles. This study introduces a novel methodology for energy efficient routing, based on the realisation of dependable energy consumption predictions for the various road segments constituting an actual or potential vehicle route, performed mainly by means of machine-learning functionality. This proposed innovative methodology, the functional architecture implementing it, as well as demonstrative experimental results are presented in this study.</t>
  </si>
  <si>
    <t>R. W. Maule</t>
  </si>
  <si>
    <t>SoaML and UPIA Model Integration for Secure Distributed SOA Clouds</t>
  </si>
  <si>
    <t>2012 IEEE Eighth World Congress on Services</t>
  </si>
  <si>
    <t>108-115</t>
  </si>
  <si>
    <t>DoDAF</t>
  </si>
  <si>
    <t>SoaML</t>
  </si>
  <si>
    <t>services</t>
  </si>
  <si>
    <t>The U.S. Department of Defense (DoD) specifies the Department of Defense Architecture Framework (DoDAF) for military architecture models. Industry typically uses different modeling tools, including the Unified Modeling Language. There are many modeling techniques for Service Oriented Architecture (SOA). DoDAF supports SOA through DoDAF version 2.0. Industry supports SOA through several toolsets including UML Profile-based Integrated Architecture (UPIA) and the SOA modeling language (SoaML). This paper presents background information on SOA modeling techniques and some methods to transition between DoD and commercial tools. Variables and metrics for analysis in SOA models are presented. UPIA is advanced as a means to transition between DoDAF 2.0 and SoaML. SoaML is rendered within UPIA models to help address potential future DoD initiatives for implementation of SOA within cloud architectures. This paper advances methods for industry-to-DoDAF model integration for secure distributed SOA clouds and provides background on defense and industry modeling techniques for enterprise-class SOA.</t>
  </si>
  <si>
    <t>Evaluation of the risk and security overlay of archimate to model information system security risks</t>
  </si>
  <si>
    <t>106-116</t>
  </si>
  <si>
    <t>Using ontologies to capture the semantics of a (business) process for digital preservation</t>
  </si>
  <si>
    <t>International Journal on Digital Libraries</t>
  </si>
  <si>
    <t>129-152</t>
  </si>
  <si>
    <t>IT-supported business processes and computationally intensive science (called e-science) have become increasingly ubiquitous in the last decades. Along with this trend comes the need to make at least the most important of these processes available for the long term, to allow later analysis of their execution, or even a re-execution. As such, the preservation of scientific experiments and their results enables others to reproduce and verify the results as well as build on the result of earlier work. All but the simplest processes require to be described by a multitude of information objects, as well as their interconnections and relations, to be successfully preserved. To enable a semantic description of these objects in a structured manner, we developed a formal meta-model that can be utilised in the digital preservation of a process. The meta-model describes classes of elements and their relations, in the form of ontologies, with a core ontology describing the generic concepts, and extension mechanisms to map supplementary ontologies describing more specific aspects. In this paper, we present the overall architecture and individual ontologies, and motivate their usefulness via the application to use cases from different domains. © 2015, Springer-Verlag Berlin Heidelberg.</t>
  </si>
  <si>
    <t>https://www.scopus.com/inward/record.uri?eid=2-s2.0-84938369910&amp;doi=10.1007%2fs00799-015-0141-7&amp;partnerID=40&amp;md5=ae9a2f25fe3b5f00720ed950333dd293</t>
  </si>
  <si>
    <t>Ontologies for Describing the Context of Scientific Experiment Processes</t>
  </si>
  <si>
    <t>2014 IEEE 10th International Conference on e-Science</t>
  </si>
  <si>
    <t>153-160</t>
  </si>
  <si>
    <t>The re-usability and repeatability of e-Science experiments is widely understood as a requirement of validating and reusing previous work in data-intensive domains. Experiments are, however, often complex chains of processing, involving a number of data sources, computing infrastructure, software tools, or external and third-party services, rendering repeatability a challenging task. Another important aspect of many experiments is in the social and organisational dimension - very often, knowledge on how experiments are performed is tacit and remains with the researcher, and the collaborative and distributed aspects especially of larger collaborative experiments adds to this challenge. Therefore, a number of approaches have tackled this issue from various angles -- initiatives for data sharing, code versioning and publishing as open source, the use of workflow engines to formalise the steps taken in an experiment, to ways to describe the complex environment an experiment is executed in, e.g. via Research Objects. In this paper, we present a model that has a specific focus on the technical infrastructure that is the basis of the research experiment. We demonstrate how this model can be applied to describe e-Science experiments, and align and compare it to Research Objects.</t>
  </si>
  <si>
    <t>Towards a linked information architecture for integrated law enforcement</t>
  </si>
  <si>
    <t>15-27</t>
  </si>
  <si>
    <t>Law enforcement agencies are facing an ever-increasing flood of data to be acquired, stored, assessed and used. Automation and advanced data analy-sis capabilities are required to supersede traditional manual work processes and legacy information silos by automatically acquiring information from a range of sources, analyzing it in the context of on-going investigations, and linking it to other pieces of knowledge pertaining to the investigation. This paper outlines a modular architecture for management of linked data in the law enforcement domain and discusses legal and policy issues related to workflows and infor-mation sharing in this context.</t>
  </si>
  <si>
    <t>https://www.scopus.com/inward/record.uri?eid=2-s2.0-85029229751&amp;partnerID=40&amp;md5=fd74afb61a18508e07f4a32ae396863f</t>
  </si>
  <si>
    <t>The Impact of managerial Enterprise Architecture decisions on software development employees</t>
  </si>
  <si>
    <t>Enterprise Architecture (EA) proponents claim that the implementation of EA in an organisation resolves the complexity of increasingly distributed and multi-faceted enterprises. In support of this goal, several EA frameworks exist and the main purpose of most of these frameworks is to assist with the challenges that are the result of the increased complexity of distributed organisations, for instance aligning business vision with information technology (IT) strategy and reducing IT costs. In order to achieve these intended outcomes, the adoption of EA by an organisation needs to be embraced throughout the organisation by its employees. Very little has been published about the impact of EA adoption on the employees within an organisation. This paper reports on the research findings of a study that investigated the impact of managerial EA decisions on software developers in a software development company. The study used an ethnographic case study, literature analysis and surveys, and as contributions, identified the impacts, as well as possible solutions to problems experienced by the company's software developers as result of EA adoption by management. The findings may be of assistance to managers who consider the adoption of EA into their organisations, especially within software development companies.</t>
  </si>
  <si>
    <t>A Model-Driven Methodology for the Design of Autonomic and Cognitive IoT-Based Systems: Application to Healthcare</t>
  </si>
  <si>
    <t>IEEE Transactions on Emerging Topics in Computational Intelligence</t>
  </si>
  <si>
    <t>224-234</t>
  </si>
  <si>
    <t>Due to its abilities to capture real-time data concerning the physical world, the Internet of Things (IoT) phenomenon is fast gaining momentum in different applicative domains. Its benefits are not limited to connecting things, but lean on how the collected data are transformed into insights and interact with domain experts for better decisions. Nonetheless, a set of challenges including the complexity of IoT-based systems and the management of the ensuing big and heterogeneous data and as well as the system scalability need to be addressed for the development of flexible smart IoT-based systems that drive the business decision-making. Consequently, inspired from the human nervous system and cognitive abilities, we have proposed a set of autonomic cognitive design patterns that alleviate the design complexity of smart IoT-based systems, while taking into consideration big data and scalability management. The ultimate goal of these patterns is providing generic and reusable solutions for elaborating flexible smart IoT-based systems able to perceive the collected data and provide decisions. These patterns are articulated within a model-driven methodology that we have proposed to incrementally refine the system functional and nonfunctional requirements. Following the proposed methodology, we have combined and instantiated a set of patterns for developing a flexible cognitive monitoring system to manage patients' health based on heterogeneous wearable devices. We have highlighted the gained flexibility and demonstrated the ability of our system to integrate and process heterogeneous large-scale data streams. Finally, we have evaluated the system performance in terms of response time and scalability management.</t>
  </si>
  <si>
    <t>D. M. Mezzanotte</t>
  </si>
  <si>
    <t>Planning Enterprise Architecture: Creating organizational knowledge using the Theory of Structuration to build Information Technology</t>
  </si>
  <si>
    <t>2016 IEEE 14th International Conference on Software Engineering Research, Management and Applications (SERA)</t>
  </si>
  <si>
    <t>107-115</t>
  </si>
  <si>
    <t>Enterprise Architecture (EA) defines the guidelines for the design and implementation of Information Technology (IT). Acting as the force that ensures alignment of organizational business plan(s) with IT, current EA frameworks are techno-centric in that business goals, strategies and governance are considered only from the informational aspects of automation. This means the current EA frameworks do not address the human behavior of stakeholders during EA excluding factors such as the effect of organizational change caused by EA and the new roles, duties, and responsibilities they are assigned. This paper extends previous work incorporating ideas from the Theory of Structuration to address human and organizational behavior as significant inputs to EA. This paper describes human and organizational behavior utilizing an approach to EA that includes preparing the organization, planning, educating and training staff and aspects of organizational and behavioral theory that focuses on communication and collaboration as a part of EA development.</t>
  </si>
  <si>
    <t>Real Options in Enterprise Architecture: A Holistic Mapping of Mechanisms and Types for Uncertainty Management</t>
  </si>
  <si>
    <t>457-470</t>
  </si>
  <si>
    <t>Uncertainty management is crucial for achieving high performance in enterprises that develop or operate complex engineering systems. This study focuses on flexibility as a means of managing uncertainties and builds upon real options analysis (ROA) that provides a foundation for quantifying the value of flexibility. ROA has found widespread applications ranging from strategic investments to product design. However, these applications are often isolated to specific domains. Furthermore, ROA is focused on valuation, rather than the identification of real options. In this paper, we introduce a framework for holistic consideration of real options in an enterprise context. First, to enable a holistic approach, we use a generalized enterprise architecture framework that considers eight views: strategy, policy, organization, process, product, service, knowledge, and information technology (IT). This expands upon the classical IT-centric view of enterprise architecture. Second, we characterize a real option as a mechanism and type. This characterization disambiguates among mechanisms that enable flexibility and types of flexibility to manage uncertainties. Third, we propose mapping of mechanisms and types to the enterprise architecture views. We leverage this mapping in an integrated real options framework and demonstrate its benefit over the traditional localized approach to ROA.</t>
  </si>
  <si>
    <t>Using Axiomatic Design in the Process of Enterprise Architecting</t>
  </si>
  <si>
    <t>2008 Third International Conference on Convergence and Hybrid Information Technology</t>
  </si>
  <si>
    <t>279-284</t>
  </si>
  <si>
    <t>Thus far have been developed different enterprise architecture (EA) methodologies. Much of them attempt to the identification of essential steps for enterprise architecting. They also do not impose any particular set of tools or methods for enterprise architecting, but define the criteria to be satisfied by any set of selected tools and methods. In this paper the axiomatic design is considered as an appropriate technique which can be used in the EA methodologies. Specially, this technique is used in the generalized enterprise reference architecture and methodology (GERAM), which is on of the most familiar EA methodologies. The different steps of the axiomatic design technique are mapped on the GERA life-cycle phases of the GERAM. This mapping allows the architectures to identify the enterprise entities and shape the EA framework in a structured, methodological, and practical manner. This method isused in the Iran telecommunication research Center (ITRC). Through this method, the ITRC have developed reference architecture for information and communication technology institutes.</t>
  </si>
  <si>
    <t>An evaluation of enterprise architecture frameworks for e-government</t>
  </si>
  <si>
    <t>2012 Seventh International Conference on Computer Engineering &amp; Systems (ICCES)</t>
  </si>
  <si>
    <t>255-260</t>
  </si>
  <si>
    <t>The development of E-government systems faces many challenges and problems including interoperability, integration, complexity and lack of standards. Enterprise Architecture is considered to be an efficient tool to overcome these challenges; however one of the important steps that must to be taken is to choose an appropriate Enterprise Architecture Framework (EAF) which can be considered as a conceptual structure of what the enterprise architecture should contain and how to create it. There are many frameworks proposed but they differ in content and target audience. In this paper we present an evaluation of four widespread enterprise architecture frameworks. We introduced criteria to evaluate the frameworks from two perspectives, One based on non-functional requirements critical for the success of e-government systems and how those requirements addressed by EAFs, the second perspective based on development issues. Finally we have concluded and suggested a future work.</t>
  </si>
  <si>
    <t>Information strategy design and practices</t>
  </si>
  <si>
    <t>Information Strategy Design and Practices</t>
  </si>
  <si>
    <t>Springer US</t>
  </si>
  <si>
    <t>1-342</t>
  </si>
  <si>
    <t>Information Strategy Design and Practices develops a framework for designing information technology strategy for an organization. Beyond this, it establishes an approach to not only implement it, but sustain it. The framework explains how IT strategy should have an alignment to business to reap the benefits of business. The book contains five case studies in different domains: retail, real estate development, IT product development, development sector, and education sector. These case studies have been applied to different countries, providing a global prospective to this emerging trend. © Springer Science+Business Media, LLC 2012. All rights reserved.</t>
  </si>
  <si>
    <t>https://www.scopus.com/inward/record.uri?eid=2-s2.0-84949176226&amp;doi=10.1007%2f978-1-4614-2428-4&amp;partnerID=40&amp;md5=76b09b6b07551c2dc788c3ab644331e8</t>
  </si>
  <si>
    <t>Classification framework for context data from business processes</t>
  </si>
  <si>
    <t>440-445</t>
  </si>
  <si>
    <t>New business concepts such as Enterprise 2.0 foster the use of social software in enterprises. Especially social production significantly increases the amount of data in the context of business processes. Unfortunately, these data are still an unearthed treasure in many enterprises. Due to advances in data processing such as Big Data, the exploitation of context data becomes feasible. To provide a foundation for the methodical exploitation of context data, this paper introduces a classification, based on two classes, intrinsic and extrinsic data. © Springer International Publishing Switzerland 2015.</t>
  </si>
  <si>
    <t>https://www.scopus.com/inward/record.uri?eid=2-s2.0-84929855990&amp;doi=10.1007%2f978-3-319-15895-2_37&amp;partnerID=40&amp;md5=b89c2c76ea2af2f577273791bc905ec4</t>
  </si>
  <si>
    <t>Comparative study of architecture for twitter analysis and a proposal for an improved approach</t>
  </si>
  <si>
    <t>A survey of software and technology architecture about systems dedicated for analysis of Online Social Networks (OSN) will be presented. Based on the comparison and own experiments a novel approach proposed. The steps of experiments are described. The proposed solution is applied for Twitter and Facebook. © 2013 IEEE.</t>
  </si>
  <si>
    <t>https://www.scopus.com/inward/record.uri?eid=2-s2.0-84894172515&amp;doi=10.1109%2fCogInfoCom.2013.6719225&amp;partnerID=40&amp;md5=c3387f22fda53504f5467b4a67b554cf</t>
  </si>
  <si>
    <t>Business schools and RIS3 &amp;#x2014; Enterprise architecture perspective</t>
  </si>
  <si>
    <t>2017 15th International Conference on Emerging eLearning Technologies and Applications (ICETA)</t>
  </si>
  <si>
    <t>Industry - Research - Education, these are three phenomena impacting each other. It is important these factors are in balance and cooperate in a synergy.</t>
  </si>
  <si>
    <t>Research paradigms and topics in Enterprise Engineering analysis of recent conferences and workshops</t>
  </si>
  <si>
    <t>Enterprise Engineering (EE) is about purposeful design of enterprises and their transformative activities. It is an interdisciplinary domain, which draws largely on information systems and organizational science. Not unlike these fields, EE would benefit from a variety of research approaches to study the engineering of socio-technical systems. To analyze the prevalence of different research paradigms and the composition of research topics in the EE field, we examined 115 research papers in the field as presented in four pertinent conferences in 2009-2013: the Practice-Driven Research on Enterprise Transformation (PRET), Enterprise Engineering Working Conference (EEWC) as well as relevant tracks in the Mediterranean Conference on Information Systems (MCIS) and in the European Conference on Information Systems (ECIS). As per this analysis, the social aspect seems to be under-investigated and the interpretive paradigm under-represented in the EE research, while there seems to be a bias towards technical focus and the functionalist paradigm. The analysis ascertained the need for further evolvement of the EE discipline through more attention to social aspects and a more balanced variety of research approaches. We view that this will balance the course of advancing EE theories with the integration of gathered insights. With this paper, we want to instill a debate on the need for alternative research paradigms and for research on social aspects in the field of EE.</t>
  </si>
  <si>
    <t>IT process improvement: Developing an agile model using the DSR approach</t>
  </si>
  <si>
    <t>2016 International Conference on Software Process Improvement (CIMPS)</t>
  </si>
  <si>
    <t>A wide range of models supports process improvement in organizations, nevertheless, the absence of a universal model becomes necessary to combine complementary models. The aim of this work is to design and to evaluate SFramework, a useful model for process improvement, because facilitates the reference models combination. The methodology used is Design Science Research (DSR), which prescribes the design and evaluation phases of the new artifact and use of a set of guidelines for this purpose. The design phase develops an agile structured model with generic phases; so, it can be generalizable. In evaluation phase, a case study based on IT standards and best practices is used; the structure and the content of the required documentation for business continuity process are defined. This study evidences that SFramework is operational and technically feasible and the effort expended in its application is relatively low; therefore, it is applicable for process improvement in environments SME type. Also shows a successful case using DSR and complementary methods.</t>
  </si>
  <si>
    <t>Agile modeling of an evolving ballistic missile defense system with Object-Process Methodology</t>
  </si>
  <si>
    <t>2015 Annual IEEE Systems Conference (SysCon) Proceedings</t>
  </si>
  <si>
    <t>839-846</t>
  </si>
  <si>
    <t>Evolution of requirements and systems has led to the proliferation of agile development as a matter of course in the current technological landscape. The rate of change poses a significant dilemma to stakeholders regarding the amount of effort and resources they should invest in methodological practices, including modeling, design, analysis, and specification. The attempt to move quickly from concept to operation often leads to preference of expedience for gaining early time-to-market over quality and robustness. Rather than referring to the modeling vs. agility challenge as a dilemma, we perceive it as an opportunity for synergy. Building on Object-Process Methodology (OPM)-the new ISO-19450 standard, we propose an agile model-based systems engineering (MBSE) framework that facilitates, and fosters development agility and system evolution. This agile MBSE framework extends the traditional scope of system modeling to cover aspects of functional and structural evolution, phase transition, deployment feedback, and configuration interdependence. We demonstrate the applicability of agile MBSE on a hypothetical ballistic missile defense system, based on publicly available information on Iron Dome - an Israeli ballistic missile defense system with proven operational capability.</t>
  </si>
  <si>
    <t>Model-Based Interoperability Engineering in Systems-of-Systems and Civil Aviation</t>
  </si>
  <si>
    <t>IEEE Transactions on Systems, Man, and Cybernetics: Systems</t>
  </si>
  <si>
    <t>Interoperability is the capability of multiple parties and systems to collaborate and exchange information and matter to obtain their objectives. Interoperability challenges call for a model-based systems engineering approach. This paper describes a conceptual modeling framework for model-based interoperability engineering (MoBIE) for systems of systems, which integrates multilayered interoperability specification, modeling, architecting, design, and testing. Treating interoperability infrastructure as a system in its own right, MoBIE facilitates interoperability among agents, processes, systems, services, and interfaces. MoBIE is founded on ISO 19450 standard-object-process methodology, a holistic paradigm for modeling and architecting complex, dynamic, and multidisciplinary systems--and allows for synergistic integration of the interoperability model with system-centric models. We also discuss the implementation of MoBIE with the unified modeling language. We discuss the importance of interoperability in the civil aviation domain, and apply MoBIE to analyze the passenger departure process in an airport terminal as a case-in-point. The resulting model enables architectural and operational decision making and analysis at the system-of-systems level and adds significant value at the interoperability engineering program level.</t>
  </si>
  <si>
    <t>An approach: A service-oriented functional business and IT alignment</t>
  </si>
  <si>
    <t>319 CCIS</t>
  </si>
  <si>
    <t>162-175</t>
  </si>
  <si>
    <t>There are multiple frameworks proposed conceptually defining the business and IT alignment. There are also multiple empirical methods for modeling the business and IT alignment. However, the transition between conceptual definitions and modeling languages still lacks a clear approach and tools for verifying if business and IT are aligned in a particular enterprise model. The paper presents an approach for functional business and IT alignment focusing on its implementation with nowadays enterprise modeling techniques and tools. The suggested approach is based on the SOA, GRAAL, and enterprise modeling techniques such as TOGAF, DoDAF, and UPDM. A real world example is presented to validate the suitability of the approach. © 2012 Springer-Verlag.</t>
  </si>
  <si>
    <t>https://www.scopus.com/inward/record.uri?eid=2-s2.0-84866721634&amp;doi=10.1007%2f978-3-642-33308-8_14&amp;partnerID=40&amp;md5=13e2f3d0f6b5a6db43ddb79f6bd5ca76</t>
  </si>
  <si>
    <t>SBISAF: A service-oriented business and information systems alignment method</t>
  </si>
  <si>
    <t>231-251</t>
  </si>
  <si>
    <t>This paper presents a new approach for the business and information systems (IS) alignment consisting of a framework, metamodel, process, and tools for implementing it in practice. The purpose of the approach is to fill in the gap between the existing conceptual business and IS alignment frameworks and the empirical business and IS alignment methods. The suggested approach is based on the SOA, GRAAL, and enterprise modeling techniques such as TOGAF, DoDAF, and UPDM. The proposed approach is applied on four real world projects. Both the application results and the small example are provided to validate the suitability of the approach. © 2013 Vilnius University.</t>
  </si>
  <si>
    <t>https://www.scopus.com/inward/record.uri?eid=2-s2.0-84880539730&amp;partnerID=40&amp;md5=93f007c2f11fecb46d1ce93fe3b8cfe9</t>
  </si>
  <si>
    <t>Knowledge management (KM) has emerged as a tool that allows the creation, use, distribution and transfer of knowledge in organizations. There are different frameworks that propose KM in the scientific literature. The majority of these frameworks are structured based on a strong theoretical background. This study describes a guide for the implementation of KM in a higher education institution (HEI) based on a framework with a clear description on the practical implementation. This framework is based on a technological infrastructure that includes enterprise architecture, business intelligence and educational data mining. Furthermore, a case study which describes the experience of the implementation in a HEI is presented. As a conclusion, the pros and cons on the use of the framework are analyzed. © 2017 AISTI.</t>
  </si>
  <si>
    <t>https://www.scopus.com/inward/record.uri?eid=2-s2.0-85027225310&amp;doi=10.23919%2fCISTI.2017.7975823&amp;partnerID=40&amp;md5=e04f4c655b60fcc7856b86381c411e0c</t>
  </si>
  <si>
    <t>Knowledge management framework using enterprise architecture and business intelligence</t>
  </si>
  <si>
    <t>244-249</t>
  </si>
  <si>
    <t>Knowledge Management (KM) has emerged as a tool which enables the efficient creation, use, distribution and transfer of knowledge in organizations. In the core of KM there are three dimensions of analysis: people, processes and technology. KM Frameworks presented in the past have had a strong theoretical background, but they have not been well explained in terms of how to implement them in practice to cover all KM dimensions. In this paper, a novel KM framework is presented. This framework was designed as a practical guide to implement KM endeavours in organizations. To accomplish our research objective, two management practices are incorporated in the framework: Enterprise Architecture and Business Intelligence. Enterprise Architecture allows companies to visualize organizational objects in different areas (business, applications and technology) through the use of models. Moreover, Business Intelligence technologies as data warehouses, data mining and visualization can enable the capture, transfer and the creation of new and purposeful knowledge. This work is intended to be a good resource for companies or individuals that want to implement a KM initiative. Copyright © 2016 by SCITEPRESS - Science and Technology Publications, Lda. All rights reserved.</t>
  </si>
  <si>
    <t>https://www.scopus.com/inward/record.uri?eid=2-s2.0-84979529303&amp;partnerID=40&amp;md5=96d65ab24ba9b8659566eb2a1b4b8d7a</t>
  </si>
  <si>
    <t>10650 LNCS</t>
  </si>
  <si>
    <t>21-35</t>
  </si>
  <si>
    <t>https://www.scopus.com/inward/record.uri?eid=2-s2.0-85033484594&amp;doi=10.1007%2f978-3-319-69904-2_2&amp;partnerID=40&amp;md5=86adcb8a8106fce3b3bd33d9e45ba1c2</t>
  </si>
  <si>
    <t>Guest editorial: Enterprise computing</t>
  </si>
  <si>
    <t>189-190</t>
  </si>
  <si>
    <t>https://www.sciencedirect.com/science/article/pii/S0306437915001180</t>
  </si>
  <si>
    <t>Design of Performance Aware Service Systems: A Conceptual Framework and a Case Study</t>
  </si>
  <si>
    <t>2011 International Joint Conference on Service Sciences</t>
  </si>
  <si>
    <t>44-48</t>
  </si>
  <si>
    <t>We identify key elements of an ideal paradigm for service systems (SS): execution architecture, functional layers, execution dynamic and design approach. The critical service elements are (a) a control layer that enables the customer to compose, monitor and modify service and (b) compensation actions. To exemplify the distinctive characteristics of SS we consider the case of a travel control layer, that shows how the SS paradigm could be implemented even on the top of traditional architectures.</t>
  </si>
  <si>
    <t>179-186</t>
  </si>
  <si>
    <t>https://www.scopus.com/inward/record.uri?eid=2-s2.0-84901651080&amp;doi=10.1007%2f978-3-7908-2632-6_21&amp;partnerID=40&amp;md5=c41fb3acf268cc662ebcc64b4a7be610</t>
  </si>
  <si>
    <t>Why Data Needs more Attention in Architecture Design - Experiences from Prototyping a Large-Scale Mobile App Ecosystem</t>
  </si>
  <si>
    <t>2015 12th Working IEEE/IFIP Conference on Software Architecture</t>
  </si>
  <si>
    <t>75-84</t>
  </si>
  <si>
    <t>data</t>
  </si>
  <si>
    <t>Data is of great importance in computer science and in particular in information systems and how data is treated has major impact on a system's quality attributes. Nevertheless, software architecture research, literature, and practice often neglect data and focus instead on other architectural topics like components and connectors or the management of architecture decisions in general. This paper contributes experiences from the prototyping of a large-scale mobile app ecosystem for the agricultural domain. Architectural drivers like multi-tenancy, different technical platforms and offline capability led to deep reasoning about data. In this paper, we describe the architectural decisions made around data in the app ecosystem and we present our lessons learned on technical aspects regarding data, but also on data modeling and general methodical aspects how to treat data in architecting. We want to share these experiences with the research community to stimulate more research on data in software architecture and we want to give practitioners usable hints for their daily work around data in constructing large information systems and ecosystems.</t>
  </si>
  <si>
    <t>A service based framework for integration of ITIL V3 and enterprise architecture</t>
  </si>
  <si>
    <t>2010 International Symposium on Information Technology</t>
  </si>
  <si>
    <t>ITIL</t>
  </si>
  <si>
    <t>ITIL V3 could be introduced as a governance framework for IT service management (ITSM) and attempts to align IT investments with business objectives. Enterprise Architecture (EA) is also referred as a general framework for designing business and IT/IS architectures of organizations and it also attempts to align these architectures with business strategies. Our research tends to provide a service based framework for EA in order to meet IT Service Architecture requirements of ITIL V3. Regard to this issue our Integrated Service Architecture Framework (ISAF) is outlined here to be developed through main research. One of our goals is to provide a solution for practitioners in utilization of EA architectures in ITIL V3. Authors also hope this study would contribute in academic domain through bridging computer science and information system disciplines due to service-oriented technology and management aspects of the research.</t>
  </si>
  <si>
    <t>KASRA Framework: A Service Oriented Enterprise Architecture Framework (SOEAF)</t>
  </si>
  <si>
    <t>172-173</t>
  </si>
  <si>
    <t>Enterprise architecture (EA) is a new approach that organizations should practice to align their business strategic objectives with information and communication technology (ICT). Enterprise Architecture encompasses a collection of different views and aspects of the enterprise which constitute a comprehensive overview when put together. Such an overview cannot be well-organized regardless of incorporating a logical structure called Enterprise Architecture Framework (EAF). EAF presents a transparent and comprehensive map of an organization that shows how all organization elements (business and IT) work together to achieve defined business objectives. Several distinctive EAF have been proposed, but many organizations are struggling with using these frameworks. This article try to eliminate the challenges of common and famous EAF by using Service Oriented (SO) paradigm. This service oriented EAF (SOEAF) named KASRA EAF. KASRA EAF involves a SO Roadmap that is compatible with ITIL and a Classification Schema comprises four rows and six columns.</t>
  </si>
  <si>
    <t>An integrated approach for RUP, EA, SOA and BPM implementation</t>
  </si>
  <si>
    <t>Proceedings of the 12th International Conference on Computer Systems and Technologies</t>
  </si>
  <si>
    <t>Vienna, Austria</t>
  </si>
  <si>
    <t>63-68</t>
  </si>
  <si>
    <t>Towards a unified and modular approach for visual analysis of enterprise models</t>
  </si>
  <si>
    <t>77-86</t>
  </si>
  <si>
    <t>From the point of view of an enterprise architect, the visual analysis of the structure of an Enterprise Model can provide powerful insights and facilitate various analysis tasks. However, analysis methods and visualizations that offer the most valuable results usually depend on the concepts found on the Enterprise Metamodel, and are subjected to a concrete EA modeling tool. In this paper we argue that many structural and domain-specific analysis methods can be automated, composed, and their results visualized in a modular manner. To achieve this, we describe the foundations of a flexible and configurable approach for EA Analysis that is based on components that encapsulate metamodel-specific analysis and visualization techniques, supported by a metamodel-independent platform. The approach is explained with ArchiMate by using a module, currently in development, which we call PRIMate. Benefits from this approach include the integration with existing modeling environments, the reuse of analysis and visualization capabilities in any metamodel, as well as an explicit, composite, and traceable visual analysis process. © 2014 IEEE.</t>
  </si>
  <si>
    <t>https://www.scopus.com/inward/record.uri?eid=2-s2.0-84919771477&amp;doi=10.1109%2fEDOCW.2014.20&amp;partnerID=40&amp;md5=16bb43dab3b114fc3eac5ac669955053</t>
  </si>
  <si>
    <t>PRIMROSe: A tool for enterprise architecture analysis and diagnosis</t>
  </si>
  <si>
    <t>201-213</t>
  </si>
  <si>
    <t>Enterprise Models are the central asset that supports Enterprise Architecture, as they embody enterprise and IT knowledge and decisions. Static analysis over this kind of models is made by inspecting certain properties and patterns, with the goal of gaining understanding and support decision making through evidence. However, this is not a straightforward process, as the model in its raw form is rarely suitable for analysis due to its complexity and size. As a consequence, current approaches focus on partial views and queries over this model, leading to partial assessments of the architecture. In this paper, we propose a different approach to EA analysis, which consists on the incremental assessment of the architecture based on the interaction of the user with visualizations of the whole model. We implemented our approach in a visual analysis tool, PRIMROSe, where analysts can rapidly prototype custom functions that operate on topological properties of the model, combine partial insights for sounder assessments, associate these findings to visual attributes, and interact with the model under several visualization techniques.</t>
  </si>
  <si>
    <t>https://www.scopus.com/inward/record.uri?eid=2-s2.0-84902306321&amp;partnerID=40&amp;md5=736e013a6d5535878624dedb06ac715f</t>
  </si>
  <si>
    <t>Evaluating the capabilities of enterprise architecture modeling tools for visual analysis</t>
  </si>
  <si>
    <t>Journal of Object Technology</t>
  </si>
  <si>
    <t>Association Internationale pour les Technologies Objets</t>
  </si>
  <si>
    <t>In model analysis activities, it is critical to make early statements and diagnosis from a high level of abstraction. Currently, these tasks are difficult to perform, and they require both the involvement of experts and the elaboration of specialized artifacts. Furthermore, the complexity of the tasks increases as models become bigger and more detailed. In other contexts, it has been noticed that total / holistic / unfiltered visualizations may give insight about the models, providing analysts a starting point for exploration and general pattern discovery. In this paper, we evaluate the support that six different Enterprise Architecture (EA) modeling tools offer to EA analysis activities, and assess the strengths and weaknesses of six visualization frameworks, in order to extend the analysis of enterprise models by Visual Analysis. The evaluation is based on a set of 14 requirements which are either visualization-related or specific to EA analysis, and its results were harvested from a) observed characteristics of the diagrams of these tools, and b) visualizations from an enterprise model, generated with the aforementioned visualization frameworks. These results point to several actionable subjects and research opportunities for the field of EA Modeling and Analysis.</t>
  </si>
  <si>
    <t>https://www.scopus.com/inward/record.uri?eid=2-s2.0-84928658843&amp;doi=10.5381%2fjot.2015.14.1.a3&amp;partnerID=40&amp;md5=fb84668ef33aaff852d928733f244387</t>
  </si>
  <si>
    <t>Visualizing the Bias of Enterprise Metamodels towards Nuanced Concepts</t>
  </si>
  <si>
    <t>30-39</t>
  </si>
  <si>
    <t>In Enterprise Modeling, we use several languages for designing, analyzing, and communicating the different domains of an enterprise. Two important criteria for choosing a domainspecific language are its appropriateness to the requirements of the enterprise, as well as the accuracy of the language in describing the domain at hand. However, in some business domains, core concepts --such as Capability, Service, and Value-- represent constructs that have different (and often conflicting) definitions and interpretations among the literature. In this context, the bias of a language is the preference for a theory, i.e. a particular interpretation of a concept. Currently, there is no explicit way of assessing and communicating this bias, and thus it remains difficult to assess the appropriateness and accuracy of a language for a particular purpose. In this paper, we provide a method for visual comparison of this bias with regard to the Capability concept, comparing three theories and three modeling languages where this concept is pivotal.</t>
  </si>
  <si>
    <t>PRIMROSe: A graph-based approach for enterprise architecture analysis</t>
  </si>
  <si>
    <t>434-452</t>
  </si>
  <si>
    <t>Enterprise Models are the central asset that supports Enterprise Architecture, as they embody enterprise and IT knowledge and decisions. Static analysis over this kind of models is made by inspecting certain properties and patterns, with the goal of gaining understanding and support decision making through evidence. However, this is not a straightforward process, as the model in its raw form is rarely suitable for analysis due to its complexity and size. As a consequence, current approaches focus on partial views and queries over this model, leading to partial assessments of the architecture. In this paper, we propose a different approach to EA analysis, which consists on the incremental assessment of the architecture based on the interaction of the user with visualizations of the whole model. We implemented our approach in a visual analysis tool, PRIMROSe, where analysts can rapidly prototype custom functions that operate on topological or semantic properties of the model, combine partial insights for sounder assessments, associate these findings to visual attributes, and interact with the model using multiple visualization techniques. © Springer International Publishing Switzerland 2015.</t>
  </si>
  <si>
    <t>https://www.scopus.com/inward/record.uri?eid=2-s2.0-84947254799&amp;doi=10.1007%2f978-3-319-22348-3_24&amp;partnerID=40&amp;md5=244385b87f0344a7906a0b2481010681</t>
  </si>
  <si>
    <t>Towards a Commitment-Based Reference Ontology for Services</t>
  </si>
  <si>
    <t>175-184</t>
  </si>
  <si>
    <t>Case study: Merging technology management methods</t>
  </si>
  <si>
    <t>2011 Proceedings of PICMET '11: Technology Management in the Energy Smart World (PICMET)</t>
  </si>
  <si>
    <t>Nowadays IT functions are integrated part of organizations' business. One way to manage this integration is to make sure that both parties use similar words with the same meaning to everybody. A way to achieve this common vocabulary is to share methods and measurements to govern the activities. Unfortunately, many of these methods and frameworks are customized for a specific niche, especially the ones that are related to technology management. The decision of which framework to use is more often a result of culture or standard within the business category than of an analysis of which framework that would be the most beneficial for the company as a whole. This paper describes the process of the Swedish public agency working on the implementation of a common process for business improvement from the three perspectives of project management, quality improvement and enterprise architecture. Using action research within an implementation project at the organization, difficulties during the merging process were identified. The studied project deals with methods for technology management and consequently this is the base for the article.</t>
  </si>
  <si>
    <t>Enterprise Architecture: A Framework Supporting System Quality Analysis</t>
  </si>
  <si>
    <t>130-130</t>
  </si>
  <si>
    <t>Enterprise Architecture is a model-based approach to business-oriented IT management. To promote good IT decision making, an enterprise architecture framework needs to explicate what kind of analyses it supports. Since creating enterprise architecture models is expensive and without intrinsic value, it is desirable to only create enterprise architecture models based on metamodels that support well-defined analyses. This paper suggests a metamodel derived specifically with a set of theory-based system quality analyses in mind. The ISO 9126-based theory behind the system quality analysis is introduced in the shape of an extended influence diagram. Finally, an example illustrates that our theory-based metamodel does support system quality analysis.</t>
  </si>
  <si>
    <t>Aligning Service Level Agreements with Service-Oriented Enterprise Architecture</t>
  </si>
  <si>
    <t>High-level enterprise services are considered as wrappers of business processes and ICT capabilities in enterprise architecture. Enterprise services have distinctive features that are not typically observed in Web services, e.g. signicant portions of the functionality of these services might be executed in a human-mediated fashion. As such, a service level agreement should be described as a mixture of human-mediated functionality (e.g., service penalty) and computer-interpretable factors (e.g., reliability, payment). This paper reports our preliminary work in defining a taxonomy for co-relating SLAs with elements of enterprise architecture. It gives insight into the alignment between what the enterprise in questions contractually agrees with its partners (or customers) and what it possesses to be able to fulfill the agreement. We define the service level agreement formally. We adopt the ArchiMate - a widely used language for modeling and analyzing enterprise architectures. We then propose the corelation between items in the agreement with elements in the enterprise architecture. We showcase our work using a real-life case-study in the retailing market of domestic airfare.</t>
  </si>
  <si>
    <t>Managing Information Security Risk Using Integrated Governance Risk and Compliance</t>
  </si>
  <si>
    <t>2017 International Conference on Computer and Applications (ICCA)</t>
  </si>
  <si>
    <t>56-66</t>
  </si>
  <si>
    <t>This paper aims to demonstrate the building blocks of an IT Governance Risk and Compliance (IT GRC) model as well the phased stages of the optimal integration of IT GRC frameworks, standards and model through a longitudinal study. A qualitative longitudinal single case study methodology through multiple open-ended interviews were conducted over a period of four years (July 2012 to November 2015) in a retail financial institution. Our empirical study contributes to both academic research and practice in IT GRC. First, we identified the various building blocks of IT GRC domain from vertical as well as horizontal perspectives. Second, we methodologically demonstrated the gradual metamorphosis of the evolution of an IT GRC from a single ITG framework to multiple IT GRC building blocks. The journey thus throws light on the gradual staged process of attaining maturity in IT GRC by an organization. The resultant IT GRC model thus, guides managerial actions towards a better understanding of the positioning of IT GRC building blocks in an organization through the understanding of the interaction of vertical and horizontal domains. The results of the paper thus enable practitioners and academics to better understand and evaluate IT GRC implementation for effective governance, reduce risk and ensure compliance in organizations.</t>
  </si>
  <si>
    <t>Adapting the DeLone and McLean Model for the Enterprise Architecture Benefit Realization Process</t>
  </si>
  <si>
    <t>Enterprise architecture (EA) approach has been widely used for managing the complexities and changes in organizations and their business environments. However, research on potential benefits of the approach is rare and lacks strong empirical evidence. In this paper, we adapt the DeLone and McLean model of information systems success for describing the EA benefit realization process. Accordingly, we scrutinize seven constructs contributing to EA benefit realization. Each constructs is approached from four viewpoints namely process, product, outcome and impact. Perceptions on describing the constructs in the EA context are presented with an example of how our adapted model can be used in organizations. The results form a basis for further research and discussion, and are also a step toward cumulative tradition in EA research.</t>
  </si>
  <si>
    <t>Communication Breakdowns in Architecture Driven Transformations: The Result of Cultural Diversity? A Theoretical Grounding of Findings from Qualitative Interviews</t>
  </si>
  <si>
    <t>298-305</t>
  </si>
  <si>
    <t>We aim at understanding how cultural differences within an organisation contribute to the struggling/failure of EA guided enterprise transformations. Our earlier work, which builds on interviews with enterprise architects, suggests that communication breakdowns act as an intermediary variable between cultural diversity and transformation struggles. This paper discusses to what extent earlier work can be grounded in existing literature. On the one hand, we find support for most of the factors found in earlier work. However, on the other hand, some of our results cannot be grounded in the existing body of knowledge. For instance, our finding that over-communication leads to transformation struggle is not underlined by literature. Finally, we discuss the implications of this paper for our own research and for future research in general.</t>
  </si>
  <si>
    <t>O. Noran</t>
  </si>
  <si>
    <t>Discovering and modelling enterprise engineering project processes</t>
  </si>
  <si>
    <t>Handbook of Enterprise Systems Architecture in Practice</t>
  </si>
  <si>
    <t>39-61</t>
  </si>
  <si>
    <t>https://www.scopus.com/inward/record.uri?eid=2-s2.0-84898239022&amp;doi=10.4018%2f978-1-59904-189-6.ch003&amp;partnerID=40&amp;md5=339236bedee4576b6e0c217f16c9b739</t>
  </si>
  <si>
    <t>A decision support framework for collaborative networks</t>
  </si>
  <si>
    <t>International Journal of Production Research</t>
  </si>
  <si>
    <t>4813-4832</t>
  </si>
  <si>
    <t>Collaborative networks (CNs) enhance the preparedness of their participants to promptly form virtual organisations (VOs) that are able to successfully tender for large scale and distributed projects. However, the CN efficiency essentially depends on the ability of its managers to match and customise available reference models and often, also to create new project activities. Thus, given a particular VO creation project, the CN managers must promptly infer 'what needs to be done' (discover the project processes) and how to best communicate their 'justified beliefs' to the CN members involved. This paper proposes a framework for a decision support system that can help managers and enterprise architects discover/update the main activities and aspects that need to be modelled for various enterprise task types, with special emphasis on the creation of VOs. The framework content is also briefly explained 'by example', in the context of a real-world scenario.</t>
  </si>
  <si>
    <t>https://www.scopus.com/inward/record.uri?eid=2-s2.0-73349116525&amp;doi=10.1080%2f00207540902847355&amp;partnerID=40&amp;md5=e5953d951692254c2d8dc51f0b82e296</t>
  </si>
  <si>
    <t>An enterprise architecture approach towards environmental management</t>
  </si>
  <si>
    <t>44-55</t>
  </si>
  <si>
    <t>Environmental responsibility is fast becoming an important aspect of strategic management as the reality of climate change settles in and relevant regulations are expected to tighten significantly in the near future. Many businesses react to this challenge by implementing environmental reporting and management systems. However, the environmental initiative is often not properly integrated in the overall business strategy and as a result the management does not have timely access to appropriate environmental information. This paper argues for the benefit of integrating the environmental management (EM) project into the continuous enterprise architecture (EA) initiative present in all successful companies. This is done by demonstrating how a reference architecture framework and a meta-methodology using EA artefacts can be used to co-design the EM system and the organisation in order to achieve an appropriate synergy. © IFIP International Federation for Information Processing 2010.</t>
  </si>
  <si>
    <t>https://www.scopus.com/inward/record.uri?eid=2-s2.0-85018334441&amp;doi=10.1007%2f978-3-642-15509-3_5&amp;partnerID=40&amp;md5=28b2f04ab910254527211e19ddc9a135</t>
  </si>
  <si>
    <t>Towards a support framework for enterprise integration</t>
  </si>
  <si>
    <t>6428 LNCS</t>
  </si>
  <si>
    <t>202-210</t>
  </si>
  <si>
    <t>Knowing 'what to do next' and what artefacts to use so as to achieve the desired future state of an enterprise is a recurring management conundrum. This paper describes a framework (and a possible application) aimed to support the efforts to achieve and maintain enterprises (or networks thereof) in a state where the flows of material and information are seamlessly integrated so as to achieve the internal and external synergy and agility required to survive but also to thrive in today's fast-evolving business environment. The framework is based on the integration of a structured repository containing architecture framework elements and a set of steps guiding the creation of specific enterprise engineering tasks. An outline of the theoretical foundation is followed by a high-level description of the requirements and architectural design descriptions of the proposed support framework and its potential application as a decision support system. © 2010 Springer-Verlag Berlin Heidelberg.</t>
  </si>
  <si>
    <t>https://www.scopus.com/inward/record.uri?eid=2-s2.0-78649509746&amp;doi=10.1007%2f978-3-642-16961-8_37&amp;partnerID=40&amp;md5=e480d82bb8588e4d5ecf0facea10309d</t>
  </si>
  <si>
    <t>Building a support framework for enterprise integration</t>
  </si>
  <si>
    <t>29-40</t>
  </si>
  <si>
    <t>Knowing 'what to do next' and what artefacts to use so as to achieve the desired future state of an enterprise is a recurring management conundrum. This paper describes a framework (and a possible application) aimed to support the efforts to achieve and maintain enterprises (or networks thereof) in a state where the flows of material and information are seamlessly integrated so as to not only achieve the internal and external synergy and agility required to survive but also to thrive in today's fast-evolving business environment. The framework is based on the integration of a structured repository containing architecture framework elements and a set of steps guiding the creation of specific enterprise engineering tasks. An outline of the theoretical foundation is followed by a high-level description of the requirements, architectural and detailed design descriptions of the proposed support framework and its potential application as a decision support system. © 2012 Elsevier B.V.</t>
  </si>
  <si>
    <t>https://www.scopus.com/inward/record.uri?eid=2-s2.0-84870302844&amp;doi=10.1016%2fj.compind.2012.09.006&amp;partnerID=40&amp;md5=8c5cc5b5d254eeb6f1764fb2db8e3cb2</t>
  </si>
  <si>
    <t>Collaborative networks in the tertiary education industry sector: A case study</t>
  </si>
  <si>
    <t>Collaborative networks (CNs) are an effective way to tackle the geographical and social aspects of globalisation. They enable their participants to establish in advance trust, common policies, infrastructure and thus improved interoperation – endeavours that typically require time and cannot be rushed. As a result, the CN members can react promptly and decisively when the actual need for cooperation arises – e.g. in order to form a virtual organisation (VO) bidding for a project requiring competencies over and above those of any individual CN partner. This paper presents a case study describing a CN and its formation of a VO in the tertiary education industry sector. The application area provides for some interesting variations on the typical CN and VO models, where the VO persists for a long time and the participating CN members cease to operate independently for the life of the VO. As will be seen, CN and VO principles can still be successfully applied to set up and operate the required VO. The paper will describe the CN setting and history, the principles, frameworks and methodologies applied to create and operate the VO and the short and long term effects of the choices made in regards to design and implementation. © 20013 Taylor &amp; Francis.</t>
  </si>
  <si>
    <t>https://www.scopus.com/inward/record.uri?eid=2-s2.0-84872375633&amp;doi=10.1080%2f0951192X.2012.681908&amp;partnerID=40&amp;md5=b2f84148fe9a0f9945ed9d414792a9d5</t>
  </si>
  <si>
    <t>M. Nosrati</t>
  </si>
  <si>
    <t>Exact requirements engineering for developing business process models</t>
  </si>
  <si>
    <t>2017 3th International Conference on Web Research (ICWR)</t>
  </si>
  <si>
    <t>140-147</t>
  </si>
  <si>
    <t>Process modeling is a suitable tool for improving the business processes. Successful process modeling strongly depends on correct requirements engineering. In this paper, we proposed a combination approach for requirements elicitation for developing business models. To do this, BORE (Business-Oriented Requirements Engineering) method is utilized as the base of our work and it is enriched by the important features of the BDD (Business-driven development) method, in order to make the proposed approach appropriate for modeling the more complex processes. As the main result, our method eventuates in exact requirements elicitation that adapts the customers' needs. Also, it let us avoid any rework in the modeling of process. In this paper, we conduct a case study for the paper submission and publication system of a journal. The results of this study not only give a good experience of real world application of proposed approach on a web-based system, also it approves the proficiency of this approach for modeling the complex systems with many sub-processes and complicated relationships.</t>
  </si>
  <si>
    <t>ARISTOTELE: A Semantic-Driven Platform for Enterprise Management</t>
  </si>
  <si>
    <t>2013 27th International Conference on Advanced Information Networking and Applications Workshops</t>
  </si>
  <si>
    <t>44-49</t>
  </si>
  <si>
    <t>We present the architecture of the ARISTOTELE platform, a semantic-based collaborative system for managing enterprises and organizations, specifically designed to include a variety of features. These range from top-level functionalities like managing enterprise processes and building innovation, to finer-grained tasks like customized support for the daily activities of workers, including the creation and execution of personalized learning activities via an adaptive/non-adaptive strategy and the acquisition and usage of collaborative knowledge by the members of the organization. Here, we motivate ARISTOTELE's compliance with a known Enterprise Architecture framework and describe the design methodology behind the platform and its building blocks, beginning with its data layer and then proceeding to detailing its core services and the higher-level tools built on top of them.</t>
  </si>
  <si>
    <t>Conceptual dependencies between two connected IT domains: Business/IS alignment and IT governance</t>
  </si>
  <si>
    <t>2008 Second International Conference on Research Challenges in Information Science</t>
  </si>
  <si>
    <t>87-98</t>
  </si>
  <si>
    <t>Mastering the complexity of IS engineering processes which are more and more constrained with the rapid market change became an essential requirement. IS engineers are challenged to develop systems that can meet the requirements of modern organisations in a continuously evolving environment. As far as IS engineering is concerned, IT governance has also the responsibility to master the change process and the evolution of the IS. We argue that Business/IS alignment and decision making mechanisms serve each other: strategic alignment is well performed when leaders make adequate decisions in time and strategic alignment facilitates the decision making process related to the information system (IS) and business processes (BP). We argue that it is essential to understand the dependencies and implications between ITG and alignment in order to improve both as a whole and to enhance the sustainability of ISs we engineer. This work provides a first stage in the understanding of Business/IS alignment and IT governance requirements and of their dependencies. It also offers a comparison framework for IS development approaches with respect to their ability to support Business/IS alignment and IT governance requirements.</t>
  </si>
  <si>
    <t>Service Oriented Enterprise-Architecture for enterprise engineering introduction</t>
  </si>
  <si>
    <t>247-253</t>
  </si>
  <si>
    <t>The goal of the workshop is to clarify the relationship between business process management and service provisioning. This relatively recent area of interest requires the development of concepts and methods to assist the engineering and the management of service-oriented enterprise architectures and their support systems. Five peer-reviewed papers have been presented during the workshop. They allowed to characterize the strong relationship existing between business process management and service oriented enterprise architecture.</t>
  </si>
  <si>
    <t>Investigating the Role of Architects in Scaling Agile Frameworks</t>
  </si>
  <si>
    <t>123-132</t>
  </si>
  <si>
    <t>This study describes the roles of architects in scaling agile frameworks with the help of a structured literature review. We aim to provide a primary analysis of 20 identified scaling agile frameworks. Subsequently, we thoroughly describe three popular scaling agile frameworks: Scaled Agile Framework, Large Scale Scrum, and Disciplined Agile 2.0. After specifying the main concepts of scaling agile frameworks, we characterize roles of enterprise, software, solution, and information architects, as identified in four scaling agile frameworks. Finally, we provide a discussion of generalizable findings on the role of architects in scaling agile frameworks.</t>
  </si>
  <si>
    <t>Strategies and Challenges on the Accessibility and Interoperability of e-Government Web Portals: A Case Study on Brazilian Federal Universities</t>
  </si>
  <si>
    <t>2017 IEEE 41st Annual Computer Software and Applications Conference (COMPSAC)</t>
  </si>
  <si>
    <t>737-742</t>
  </si>
  <si>
    <t>The low adoption of standards defined by the federal government may be preventing Brazilian e-government to reach more mature levels. In this context, the aim of this paper is to present an investigation we conducted in the Brazilian education sector to check whether federal universities comply with e-government standards when developing their web portals and which are their main strategies and challenges in this environment. Results show that most federal universities' main web portals do not follow important standards because the IT teams cannot cope with the combination of staff shortage, high demand, tight deadlines, and the lack of specific development methods. Such findings point to many possible improvements on the Brazilian Digital Government scenario that may also be useful to governments of developing countries.</t>
  </si>
  <si>
    <t>Approach to capability-based system-of-systems framework in support of naval ship design</t>
  </si>
  <si>
    <t>388-395</t>
  </si>
  <si>
    <t>This paper represents the latest instantiation of a series of evolving work attempting to improve the methods and techniques used for designing and supporting the acquisition of complex military systems, with an immediate application to naval surface combatants. Ship design provides an ideal proof-of-concept as traditional methods may have been restrictively anchored by designing ships within intrinsic ship systems capabilities as opposed to designing ships as an element of a SoS. The postulation is that modern naval ship design should consider the systems of interest as components subsumed by a holistic environment encompassing assets and capabilities inorganic to a naval platform. This position paper propose a starting point approach intended to provide a more defined means of establishing and improving the ship design process as part of a multi-layered maritime domain warfare enterprise. The paper will first explore the applications of SoS theories in the naval context and offer foundational definitions to better explain what is meant by capability-based framework. The proposed methodology provides a structured and cohesive approach for identifying and assessing ship capability portfolio with traceable and better known impacts on mission effectiveness, affordability and risk, in the early stages of ship design within the scope of a naval system-of-systems.</t>
  </si>
  <si>
    <t>Enterprise Architecture and Web Services</t>
  </si>
  <si>
    <t>2009 Fourth International Conference on Internet and Web Applications and Services</t>
  </si>
  <si>
    <t>24-29</t>
  </si>
  <si>
    <t>The enterprise architecture frameworks allow organizations to specify business processes, software systems, communications and information technologies and their relationships therein. What is further evident is a trend towards developing integrated software systems. The enterprise architecture integration framework (EAIF) is integration oriented, and it is composed by integration levels of the processes, the software architecture and related communications and information technologies (CITs). There are several approaches to integrate applications, such as the new architectural style service oriented architecture (SOA), an emerging issue during these last years. The main objective of this research is to propose an extension of the EAIF which incorporates new elements corresponding to the SOA, thus enhancing its usefulness. As a case study, a Help Desk tool is chosen under the SOA approach and Web services, with the purpose of validating the incorporated elements. After instantiating the EAIF with the present case study, we identify all the necessary elements to specify the processes, applications of the software and the CITs which correspond to the Web Services.</t>
  </si>
  <si>
    <t>Validating enterprise architecture using ontology-based approach: A case study of student internship programme</t>
  </si>
  <si>
    <t>2013 3rd International Symposium ISKO-Maghreb</t>
  </si>
  <si>
    <t>As the practice of Enterprise Architecture (EA) diversifies, the schematic management of its objects, semantics and relationship continues to be complex. Given that EA provides support for the IT environment by simulating alignment between dynamic business architectures, heterogeneous application systems and incongruent technologies, the need to ensure validation of conceptualized EA models has become also critical. As a relatively new discipline, its disparate and widespread methodologies makes it even more challenging to adopt a generic approach in which models can be verified sequel to the unavailability of unified EA modelling languages able to describe a wide range of Information Technology domains. This paper seeks to present an approach for addressing this challenge through the use of ontologies and queries based on constraints specified in the model's motivation taxonomy. The paper is experimental research-based and grounds its hypothesis on initial model created using the ArchiMate modelling language. By transforming its conceptual metamodel into a model instance, a process which can be achieved irrespective of the modeling language used in the design of the EA, it represents extracted triples as resource description framework schema (RDFS) by mapping the model artefacts directly into classes and slots using a more conventional web ontology language. The generated RDF is then queried using Protocol and RDF Query Language (SPARQL) adopting the Behavior Driven Development (BDD) concept. A case study of the Student Internship Program (SIP) is deployed to translate information from business needs to IT solutions encapsulating a view of abstraction of the EA. The paper also proposes an implementation of the approach using an open source platform that allows construction of domain models and knowledge-based applications with ontologies and is a contribution towards effective validation of EA through taxonomy decomposition, systematic generation of testable EA a- tifacts, creation of structural triples of model elements and alignment of motivational goals to business behavior specifications.</t>
  </si>
  <si>
    <t>A Holistic Work System Framework (HWSF) development using systems thinking</t>
  </si>
  <si>
    <t>Proceedings of PICMET '14 Conference: Portland International Center for Management of Engineering and Technology; Infrastructure and Service Integration</t>
  </si>
  <si>
    <t>2056-2069</t>
  </si>
  <si>
    <t>Technology and Engineering Management Activities induced the awareness of Work Systems (WS) in Business Conduction. During WS activities and decisions settings, typically technical perspectives are espoused heavily. Although, remedies of this kind require holistic approaches, such approaches are not very common. One of the main reasons for this inadequacy is the lack of conforming guidance. In this work, the aim is to create a framework as guidance for WS activities. The Holistic Work System Framework (HWSF) is based on Alter's Work System Framework (WSF) and enhanced with Systems Thinking in accordance with today's Business Contexts. In this manner, it is expected that the HWSF would redress the deficiencies of current guides.</t>
  </si>
  <si>
    <t>Are We There Yet? Analyzing Architecture Description Languages for Formal Analysis, Usability, and Realizability</t>
  </si>
  <si>
    <t>2013 39th Euromicro Conference on Software Engineering and Advanced Applications</t>
  </si>
  <si>
    <t>177-184</t>
  </si>
  <si>
    <t>Research on Software Architectures has been active since the early nineties, leading to a number of different architecture description languages (ADL). Given their importance in facilitating the communication of crucial system properties to different stakeholders and their analysis early on in the development of a system this is understandable. After all these years one would have hoped that we could point to a handful of ADLs as the clear winners as the languages of choice of practitioners for specifying software system architectures. However it seems that ADLs have still not entered the mainstream. We believe this is so because practitioners find the current offering either too difficult to use or not supporting automated analysis commensurate to the level of effort they require for specifying a system, especially so for complex systems. In this paper we present a comparative analysis of a number of ADLs, both of first generation and more recent ones, against a small set of language properties that we believe are crucial for an ADL that would be easy for practitioners to adopt in their design and development practices. These properties are: formal semantics, usability, and realizability.</t>
  </si>
  <si>
    <t>272-282</t>
  </si>
  <si>
    <t>M. Pankowska</t>
  </si>
  <si>
    <t>Evidence-based approach for information system complexity management</t>
  </si>
  <si>
    <t>https://www.scopus.com/inward/record.uri?eid=2-s2.0-84990852167&amp;partnerID=40&amp;md5=02a4abc44315a20378cfaeb908684a69</t>
  </si>
  <si>
    <t>S. Paradies</t>
  </si>
  <si>
    <t>An approach to support strategic planning by ontological structures</t>
  </si>
  <si>
    <t>673-680</t>
  </si>
  <si>
    <t>Our research project investigating the feasibility of ontology based information systems for supporting formal strategic planning processes is presented. The project should design an information system prototype that uses ontologies and related technologies and paradigms developed in the context of the semantic web to capture, store, and manage information generated during a strategic planning cycle. Ontologies and related technologies possess certain properties that are deemed beneficial for this task.</t>
  </si>
  <si>
    <t>A modeling framework for business process reengineering using big data analytics and a goal-orientation</t>
  </si>
  <si>
    <t>2017 11th International Conference on Research Challenges in Information Science (RCIS)</t>
  </si>
  <si>
    <t>A business process is a collection of activities to create more business values and its continuous improvement aligned with business goals is essential to survive in fast changing business environment. However, it is quite challenging to find out whether a change of business processes positively affects business goals or not, if there are problems in the changing, what the reasons of the problems are, what solutions exist for the problems and which solutions should be selected. Big data analytics along with a goal-orientation which helps find out insights from a large volume of data in a goal concept opens up a new way for an effective business process reengineering. In this paper, we suggest a novel modeling framework which consists of a conceptual modeling language, a process and a tool for effective business processes reengineering using big data analytics and a goal-oriented approach. The modeling language defines important concepts for business process reengineering with metamodels and shows the concepts with complementary views: Business Goal-Process-Big Analytics Alignment View, Transformational Insight View and Big Analytics Query View. Analyzers hypothesize problems and solutions of business processes by using the modeling language, and the problems and solutions will be validated by the results of Big Analytics Queries which supports not only standard SQL operation, but also analytics operation such as prediction. The queries are run in an execution engine of our tool on top of Spark which is one of big data processing frameworks. In a goal-oriented spirit, all concepts not only business goals and business processes, but also big analytics queries are considered as goals, and alternatives are explored and selections are made among the alternatives using trade-off analysis. To illustrate and validate our approach, we use an automobile logistics example, then compare previous work.</t>
  </si>
  <si>
    <t>Towards a goal-driven method for web service choreography validation</t>
  </si>
  <si>
    <t>2016 Second International Conference on Web Research (ICWR)</t>
  </si>
  <si>
    <t>Nowadays web services composition that presents capabilities in response to customers' complex requirements has a special importance in real businesses. However, service choreography as a form of service composition, still faces many challenges. One of the most important challenges of the choreography domain is how to validate the model based on the corresponding requirements. To this end, in this paper processes choreographies are modeled using the interaction view of BPMN 2.0 standard. Then, goal modeling is suggested to extract the requirements. For each requirement all possible valid scenarios are considered and finally using Savara tool, the requirements' scenarios are modeled and the choreography models are validated according to the corresponding requirements.</t>
  </si>
  <si>
    <t>Architecturing large integrated complex information systems: An application to healthcare</t>
  </si>
  <si>
    <t>Knowledge and Information Systems</t>
  </si>
  <si>
    <t>115-140</t>
  </si>
  <si>
    <t>The global enterprise-wide approaches help organizations to model and understand the enterprise key components and their relationships and manage the organizations' transformations and change. However, many of these approaches lack of insights into how to manage complexities related to the multitude of applications developed in silos such as the various systems in health organizations that were designed independently from each other. This paper contributes to the solutions addressing this issue by proposing a methodology and tools to create foundations based on key components to help develop the information architecture at the heart of the enterprise architecture that can guarantee the evolution of the organization. These core components are a set of reusable Field Actions representing the non-contextual persistent information, a common canonical Corporate Conceptual Data Model capturing all the vital data in the organization, and Views or sub-schema of this global data model that represent information for different stakeholders in the organization. To show the effectiveness of the proposed approach and to gain more insights into its practical value, the architecturing approach is applied in the healthcare domain to create the information architecture and the enterprise architecture for the Quebec healthcare network. © 2010 Springer-Verlag London Limited.</t>
  </si>
  <si>
    <t>https://www.scopus.com/inward/record.uri?eid=2-s2.0-85027926777&amp;doi=10.1007%2fs10115-010-0292-1&amp;partnerID=40&amp;md5=64638329764ca651f92d90926ef9aff6</t>
  </si>
  <si>
    <t>Process modeling for industry 4.0 applications: Towards an industry 4.0 process modeling language and method</t>
  </si>
  <si>
    <t>2016 13th International Joint Conference on Computer Science and Software Engineering (JCSSE)</t>
  </si>
  <si>
    <t>The term Industry 4.0 derives from the new (fourth) industrial revolution enabling suppliers and manufacturers to leverage new technological concepts like Internet of Things, Big Data, and Cloud Computing: New or enhanced products and services can be created, cost be reduced and productivity be increased. Similar terms are Smart Factory or Smart Manufacturing. The ideas, concepts and technologies are not hype anymore - they are at least partly reality, but many software specification and development aspects are still not sufficiently covered, e.g. standardization, specification and modeling languages. This paper presents an Industry 4.0 process modeling language (I4PML) that is an extension (UML profile with stereotypes) of OMG's BPMN (Business Process Model and Notation) standard. We also describe a method for the specification of Industry 4.0 applications using UML and I4PML.</t>
  </si>
  <si>
    <t>Integrating Business Models and Enterprise Architecture</t>
  </si>
  <si>
    <t>47-56</t>
  </si>
  <si>
    <t>Companies today interact in an increasingly competitive environment and seek to leverage the potentials of IT for generating new business models and for changing existing ones. For these business models, companies have to align the respective business and IT architectures. This task can be supported by using enterprise architecture management. In this paper, we first analyze the potentials for integrating enterprise architecture (management) and business model (management). Second, the components of different approaches for describing business models are compared to each other. Third, we present a concept for integrating business models into enterprise architectures. Fourth, we outline an integration of business model management and enterprise architecture management processes.</t>
  </si>
  <si>
    <t>Evaluation of application architecture change cases: Building blocks reusability assessment method</t>
  </si>
  <si>
    <t>150-162</t>
  </si>
  <si>
    <t>The reuse of IT solutions plays an important role, as it enables organizations to develop services more quickly and at reduced cost, and promotes greater interoperability, standardization and cooperation. Organizations increasingly include the reuse principle in their Enterprise architecture (EA) development vision. However, they often lack methods for comprehensive evaluation of changes in Application Architecture (AA) including assessment of reuse of AA components. In this paper, we outline a method for AA change evaluation. The objective of the proposed method is to provide support for establishing a controlled environment for AA change implementation planning to meet defined EA principles. In this paper, we focus on the reuse principle, however the approach can be also adapted for change assessment with regards to other principles such as centralization and standardization. © Springer International Publishing AG 2017.</t>
  </si>
  <si>
    <t>https://www.scopus.com/inward/record.uri?eid=2-s2.0-85032696374&amp;doi=10.1007%2f978-3-319-69023-0_14&amp;partnerID=40&amp;md5=0d2146fdc689aa8b18936072096cb86d</t>
  </si>
  <si>
    <t>EA anamnesis: towards an approach for enterprise architecture rationalization</t>
  </si>
  <si>
    <t>Proceedings of the 2012 workshop on Domain-specific modeling</t>
  </si>
  <si>
    <t>Tucson, Arizona, USA</t>
  </si>
  <si>
    <t>27-32</t>
  </si>
  <si>
    <t>Process querying: Enabling business intelligence through query-based process analytics</t>
  </si>
  <si>
    <t>Decision Support Systems</t>
  </si>
  <si>
    <t>41-56</t>
  </si>
  <si>
    <t>The volume of process-related data is growing rapidly: more and more business operations are being supported and monitored by information systems. Industry 4.0 and the corresponding industrial Internet of Things are about to generate new waves of process-related data, next to the abundance of event data already present in enterprise systems. However, organizations often fail to convert such data into strategic and tactical intelligence. This is due to the lack of dedicated technologies that are tailored to effectively manage the information on processes encoded in process models and process execution records. Process-related information is a core organizational asset which requires dedicated analytics to unlock its full potential. This paper proposes a framework for devising process querying methods, i.e., techniques for the (automated) management of repositories of designed and executed processes, as well as models that describe relationships between processes. The framework is composed of generic components that can be configured to create a range of process querying methods. The motivation for the framework stems from use cases in the field of Business Process Management. The design of the framework is informed by and validated via a systematic literature review. The framework structures the state of the art and points to gaps in existing research. Process querying methods need to address these gaps to better support strategic decision-making and provide the next generation of Business Intelligence platforms.</t>
  </si>
  <si>
    <t>https://www.sciencedirect.com/science/article/pii/S0167923617300787</t>
  </si>
  <si>
    <t>Business Service Definition in Enterprise Engineering - A Value-oriented Approach</t>
  </si>
  <si>
    <t>70-79</t>
  </si>
  <si>
    <t>Enterprise Engineering is a means of applying engineering method to Enterprise Architecture, developing and evolving the mapping enterprise strategy to its resources. The potential benefits of service orientation have long been considered a driver for Enterprise Engineering. However, the service development discipline as a whole is still in it early stages. Do-main-specific frameworks and methodologies exist but none effectively deals with the teleological aspects of services, generally dismissed as subjective matter. In this paper, we analyze relevant state of the art in the areas of General Systems Theory, Service Science, Enterprise Engineering, Value Modeling, Enterprise Architecture and Business Modeling. The main shortcomings identified essentially reside in the lack of capability to model the purpose of a given service system in a structured way to guide current and future development efforts, which also implies having flexibly dealing with relativity of enterprise frontier definition. To address these issues, our research is focused on modeling different perspectives of enterprises as service systems, along three perspectives, namely construction, function and contribution. The approach presented in this paper involves 1) distinguishing the three mentioned perspectives and 2) articulating the concepts of each perspective so that an end-to-end, integrated, model is provided. The most distinguishing feature is using the concept of value proposal of a system to express the motivation that drives its development. We propose to follow an engineering approach that is grounded on social actor communication theory, taking into account the social meaning of service provisioning and consumption. Moreover, the mapping of this model to the elements that compose a system should be supported by design. To this end, both e3Value, from Value Modeling, and DEMO, from Enterprise Engineering, are considered and their integration is described.</t>
  </si>
  <si>
    <t>A Matching Ontology for e3Value and DEMO -- A Sound Bridging of Business Modelling and Enterprise Engineering</t>
  </si>
  <si>
    <t>17-24</t>
  </si>
  <si>
    <t>In this paper, we present a match between two ontologies, DEMO and e3Value, with the aim of bridging the gap between Business Modelling and Enterprise Engineering. The goal is to provide an objective set of concepts for integrating the teleological and ontological perspectives of a system. DEMO contributes to the constructability of a business model, by providing a theory and method for designing and engineering enterprises. E3Value contributes to the justifiability of a given system construction, providing the notion of purpose through value semantics, network context and economic concepts, such as reciprocity. The ontology matching effort was guided to address three essential alignment areas: Value Object, Actor and Transaction. Then, additional elements were added to enrich and further ground the integrated models on theory from both sides. The resulting ontology includes a formal definition of shared core concepts and introduces positive constraints which, we argue, improve system model quality by combining two relevant and complementary approaches.</t>
  </si>
  <si>
    <t>Value-Oriented specification of service systems: Modeling the contribution perspective of enterprise networks</t>
  </si>
  <si>
    <t>International Journal of Information Systems in the Service Sector</t>
  </si>
  <si>
    <t>60-81</t>
  </si>
  <si>
    <t>In this paper, we analyze relevant state of the art in the areas of Service Science, Business Modeling and Enterprise Engineering in specifying service systems. The main shortcoming identified essentially resides in the lack of capability to model the purpose and value of a given service system in a structured way to guide current and future development efforts. In order to address these issues, our research focuses on modeling enterprises as service systems along three perspectives, namely: construction, function and contribution to differentiate and integrate their teleological and ontological models. With the proposed approach, we are able to clearly specify how each component of an enterprise system provides a service - Thus value - To other components of the same system or of the environment along different, possibly intertwining and overlapped value chains. Copyright © 2015, IGI Global.</t>
  </si>
  <si>
    <t>https://www.scopus.com/inward/record.uri?eid=2-s2.0-84923206932&amp;doi=10.4018%2fijisss.2015010104&amp;partnerID=40&amp;md5=b3b98b6f6595ede4c490cadc4cef3f3b</t>
  </si>
  <si>
    <t>RCDA: Architecting as a risk- and cost management discipline</t>
  </si>
  <si>
    <t>1995-2013</t>
  </si>
  <si>
    <t>We propose to view architecting as a risk- and cost management discipline. This point of view helps architects identify the key concerns to address in their decision making, by providing a simple, relatively objective way to assess architectural significance. It also helps business stakeholders to align the architect's activities and results with their own goals. We examine the consequences of this point of view on the architecture process. The point of view is the basis of RCDA, the Risk- and Cost Driven Architecture approach. So far, more than 150 architects have received RCDA training. For a majority of the trainees, RCDA has a significant positive impact on their architecting work.</t>
  </si>
  <si>
    <t>https://www.sciencedirect.com/science/article/pii/S0164121212000994</t>
  </si>
  <si>
    <t>Architecting as a Risk- and Cost Management Discipline</t>
  </si>
  <si>
    <t>We propose to view architecting as a risk- and cost management discipline. This point of view helps architects identify the key concerns to address in their decision making, by providing a simple, relatively objective way to assess architectural significance. It also helps business stakeholders to align the architect's activities and results with their own goals. We examine the consequences of this point of view on the architecture process, and give some guidance on its implementation, using examples from practicing architects trained in this approach.</t>
  </si>
  <si>
    <t>Views on Service Oriented Architectures in the Context of Smart Grids</t>
  </si>
  <si>
    <t>2010 First IEEE International Conference on Smart Grid Communications</t>
  </si>
  <si>
    <t>25-30</t>
  </si>
  <si>
    <t>The transfer from the current power grid to the power grid of the future implicates major changes for all stakeholders participating in the smart grid. Hence, utilities have to face several novel problems in terms of service provision. In this contribution, we examine two complementary views in the overall context of smart grids. We argue for a combination of those two views, based on ontology mappings. We explain a generic top-down and EA-related view, focused on intra-enterprise communication as well as a very domain-specific, technical bottom-up view, focused on inter-enterprise communication. The top-down view supports architects in reorganizing and developing enterprise SOA, whereas the bottom-up view takes into account the CIM (IEC 61970/61968), OPC UA (IEC 62541) and semantic web services to cope with technical interoperability in an utility domain-specific SOA. The combination of those two views results in the capability for smart grid stakeholders to realize seamless information exchange among field and IT.</t>
  </si>
  <si>
    <t>An EA-approach to Develop SOA Viewpoints</t>
  </si>
  <si>
    <t>2010 14th IEEE International Enterprise Distributed Object Computing Conference</t>
  </si>
  <si>
    <t>The paradigm of service orientation is heavily used to design complex IT systems able to satisfy the need for an agile business support. Many enterprises have established service-oriented architectures (SOAs) of different size and complexity. However, such SOAs need efficient management and the discipline of enterprise architecture management has only just begun to reflect the shift from application orientation to service orientation. This contribution discusses how enterprise architecture management can react on service orientation by providing a viewpoint-driven approach. We present a methodology able to develop SOA viewpoints by systematically addressing stakeholder concerns, designing an adequate metamodel, identifying data sources and providing visualizations for stakeholders' analyses. To evaluate the approach, 45 SOA-related concerns were collected, a comprehensive metamodel was designed, and a prototype was implemented able to support typical SOA analyses in an enterprise context.</t>
  </si>
  <si>
    <t>H. A. Proper</t>
  </si>
  <si>
    <t>Business Informatics for Enterprise Transformations</t>
  </si>
  <si>
    <t>2013 IEEE 6th International Conference on Service-Oriented Computing and Applications</t>
  </si>
  <si>
    <t>251-251</t>
  </si>
  <si>
    <t>In this presentation we will argue for a business informatics (BI) research agenda concerning the application of BI for enterprise1 transformation (ET). Due to the IT reliance of most enterprises, the BI and ET research domains already overlap. For example, IT can act as a driver/enabler of new business opportunities, be used to increase the efficiency of business processes, etc. In this presentation, however, we will not focus on the role of IT to support the day-to-day operational processes, but rather on the way IT can support/enable the processes involved in the transformation of enterprises.</t>
  </si>
  <si>
    <t>Enterprise architecture: Informed steering of enterprises in motion</t>
  </si>
  <si>
    <t>16-34</t>
  </si>
  <si>
    <t>Enterprises are constantly in motion. Novel technologies, new markets opportunities, cost reduction, process improvement, service innovation, globalisation, mergers, acquisitions, etc., continuously trigger enterprises to change. This variety of change drivers also fuels the need for enterprises to seek the right balance between the many, quite often contradicting, drivers for change. In this position paper, we aim to investigate the potential role of enterprise architecture as a means to support senior management in steering/influencing the direction in which an enterprise “moves” in response to, or in anticipation of, the many change drivers. In doing so, we aim to develop a fundamental understanding of the systemic playing field in which enterprise architecture is to play a role. To this end, we will start by exploring how enterprises can be seen as being continuously “in motion”. We then turn to the control paradigm to reflect on the need to steer this motion. We will also argue that the resulting steering system is a second order information system. Using this understanding we then identify the ingredients needed for enterprise architecture. © Springer International Publishing Switzerland 2014.</t>
  </si>
  <si>
    <t>https://www.scopus.com/inward/record.uri?eid=2-s2.0-84927743638&amp;doi=10.1007%2f978-3-319-09492-2_2&amp;partnerID=40&amp;md5=6d5d68089ac92f359dec235a57edd01b</t>
  </si>
  <si>
    <t>M. Pulkkinen</t>
  </si>
  <si>
    <t>Systemic Management of Architectural Decisions in Enterprise Architecture Planning. Four Dimensions and Three Abstraction Levels</t>
  </si>
  <si>
    <t>179a-179a</t>
  </si>
  <si>
    <t>EA Planning, Development and Management Process for Agile Enterprise Development</t>
  </si>
  <si>
    <t>Proceedings of the 38th Annual Hawaii International Conference on System Sciences</t>
  </si>
  <si>
    <t>223c-223c</t>
  </si>
  <si>
    <t>In this study, we suggest an enterprise architecture (EA) development process model suitable for EA projects limited in scope and time. Several EA process models have been put forward, which have in common the idea of comprehensive EA management and development that is generic, cyclic and ongoing in a user organization. The suggested models are of varying level of abstraction. It is not simple to select the right issues from them for a restricted development effort. An ICT services provider needs a process model to follow in EA consulting and development projects. This approach is also needed for incremental EA development by user organizations. Starting with the suggested EA process models and with findings in IS literature, we create a generic process model for EA management. Based on this model, and supported with a case study, we then develop a process model for discrete EA development efforts undertaken as incremental steps.</t>
  </si>
  <si>
    <t>64-71</t>
  </si>
  <si>
    <t>Onto Collab: Strategic review oriented collaborative knowledge modeling using ontologies</t>
  </si>
  <si>
    <t>2015 Seventh International Conference on Advanced Computing (ICoAC)</t>
  </si>
  <si>
    <t>Modeling efficient knowledge bases for improving the semantic property of the World Wide Web is mandatory for promoting innovations and developments in World Wide Web. There is a need for efficient and organized modeling of the knowledge bases. In this paper, a strategy Onto Collab is proposed for construction of knowledge bases using ontology modeling. Ontologies are visualized as the basic building blocks of the knowledge in the web. The cognitive bridge between the human conceptual understanding of real world data and the processable data by computing systems is represented by Ontologies. A domain is visualized as a collection of similar ontologies. A review based strategy is proposed over a secure messaging system to author ontologies and a platform for retracing the domain ontologies as individuals and as a team is proposed. Evaluations for ontologies constructed pertaining to a domain for non-wiki knowledge bases is carried out.</t>
  </si>
  <si>
    <t>A goal-oriented requirements modelling language for enterprise architecture</t>
  </si>
  <si>
    <t>Methods for enterprise architecture, such as TOGAF, acknowledge the importance of requirements engineering in the development of enterprise architectures. Modelling support is needed to specify, document, communicate and reason about goals and requirements. Current modelling techniques for enterprise architecture focus on the products, services, processes and applications of an enterprise. In addition, techniques may be provided to describe structured requirements lists and use cases. Little support is available however for modelling the underlying motivation of enterprise architectures in terms of stakeholder concerns and the high-level goals that address these concerns. This paper describes a language that supports the modelling of this motivation. The definition of the language is based on existing work on high-level goal and requirements modelling and is aligned with an existing standard for enterprise modelling: the ArchiMate language. Furthermore, the paper illustrates how enterprise architecture can benefit from analysis techniques in the requirements domain. © 2009 IEEE.</t>
  </si>
  <si>
    <t>https://www.scopus.com/inward/record.uri?eid=2-s2.0-71249156870&amp;doi=10.1109%2fEDOC.2009.22&amp;partnerID=40&amp;md5=349a2ecfd51c1d3e98424d67bd61ef00</t>
  </si>
  <si>
    <t>Model-Driven Development of a Mediation Service</t>
  </si>
  <si>
    <t>Although service-oriented architectures offer real benefits when pursuing application integration and business flexibility, there are still no satisfactory solutions for dealing with existing systems that need to cooperate while their services have no perfect match. In the case of incompatible services, a 'mediator' may be introduced which resolves (semantic) interoperability problems by intervening in the cooperation between systems. Building mediators is currently often a manual process, resulting in dedicated IT-driven solutions. This paper presents a framework to guide the development of mediators, with the following objectives: (i) uncover and capture the actual interoperability problem that needs to be solved; (ii) allow the involvement of non-IT (i.e., business) experts in the development of the solution; (iii) support evolution of the solution and re-use of results in case of changing interoperability requirements; (iv) facilitate automation of parts of the process. The framework is based on service-oriented, model-driven and semantic Web techniques. Available tool support for the different steps in the framework is indicated.</t>
  </si>
  <si>
    <t>IT Portfolio Valuation - Using Enterprise Architecture and Business Requirements Modeling</t>
  </si>
  <si>
    <t>This paper describes our architecture-based approach to IT valuation. It sketches how different valuation methods can be combined and linked to models of business requirements and enterprise architecture, and how a first part of this approach is realized using Archi Mate and BiZZ design Architect. In this manner, the value and cost of different elements in the architecture can be computed and attributed to the various goals of the organization.</t>
  </si>
  <si>
    <t>Towards the Next Generation Service Oriented Enterprise Architecture</t>
  </si>
  <si>
    <t>2015 IEEE 19th International Enterprise Distributed Object Computing Workshop</t>
  </si>
  <si>
    <t>Emerging business models such as digital ecosystems involving collaborative innovation, participatory decision-making and flexible organizational structures are set to significantly affect inter- and intra-enterprise structure and functionality. This has seen the appearance of increasingly complex Service-oriented Architecture (SOA) scenarios featuring various partnership levels, increased resilience and adaptation to tougher compliance regulations, more seamless integration with process layers, etc. This complexity has brought about the need to broaden the SOA paradigm, so as to include business, infrastructure and multi-layering, resulting in an evolved concept known as Service-Oriented Enterprise Architecture (SOEA). This paper aims to describe the way new business and technology paradigms continue to affect the new SOEA approach and how the inherently holistic Enterprise Architecture (EA) frameworks and related practices can support the emerging complex dynamic, multi-layered and value-chained service-based scenario.</t>
  </si>
  <si>
    <t>Defining the responsibility space for the information systems evolution steering</t>
  </si>
  <si>
    <t>179-193</t>
  </si>
  <si>
    <t>Information System (IS) evolution is today a continuous preoccupation of every modern organization that aims to have a perfect support for its constantly changing business ecosystem. However, the task of IS evolution is not anodyne, it presents several risks towards IS sustainability as well as towards enterprise activity. Taking a decision related to any IS change can be a troublesome responsibility because of the amount of information that has to be processed and the uncertainty of the impact of the change on the enterprise and its IS. To reduce this uncertainty, we have developed a conceptual framework for IS evolution steering. This framework allows to capture the information on how enterprise IS supports its activities and regulations, and then to extract the information relevant for realizing IS evolution activities, simulating their impact, and taking appropriate decisions. This second part of the framework is called the responsibility space of IS evolution steering and is the main subject of this paper. © IFIP International Federation for Information Processing 2016.</t>
  </si>
  <si>
    <t>https://www.scopus.com/inward/record.uri?eid=2-s2.0-84994881454&amp;doi=10.1007%2f978-3-319-48393-1_13&amp;partnerID=40&amp;md5=780e6573755a835be9ed2c230940448e</t>
  </si>
  <si>
    <t>Achieving broadband-based smart city services in connected communities</t>
  </si>
  <si>
    <t>New opportunities exist to leverage investments in 'broadband to achieve community-centered socio-economic impact both in the context of regional strategies and national priorities of e.g., advanced manufacturing, transportation, healthcare. However, success of realizing smart services depends on numerous socio-economic-technical interactions between the Community, City and Contextual (CCC) factors. Studies of these interactions have not previously been pursued as a systematic field of study. This paper presents a novel CCC service design theory to guide a prescriptive framework to achieve delivery of broadband-based smart city services. Our framework entitled Enterprise Services Delivery Architecture (ESDA) is applied to case studies in Dublin and Columbus (cities in Ohio, USA) that are Intelligent Community Forum award winners. ESDA aligns community service needs to organization and information services delivery to identify gaps around which innovation can coevolve with diverse stakeholders. Through the lens of the ESDA, the cases demonstrate: 1) strategies by which a designed service value chain can be resourced innovatively to deliver the benefits of broadband; 2) ways to enable cities to become platforms within which physical or virtual communities can be empowered despite complexities confronted; and 3) a standard way in which good practices can be curated globally, ranging from a city-scale, and beyond to rural and regional scales. © 2016 IEEE.</t>
  </si>
  <si>
    <t>https://www.scopus.com/inward/record.uri?eid=2-s2.0-84994172596&amp;doi=10.1109%2fISC2.2016.7580814&amp;partnerID=40&amp;md5=13f2b7a70f7fc51ba6511a7c85bf3f16</t>
  </si>
  <si>
    <t>Co-Engineering applications and adaptive business technologies in practice: Enterprise service ontologies, models, and frameworks</t>
  </si>
  <si>
    <t>Co-Engineering Applications and Adaptive Business Technologies in Practice: Enterprise Service Ontologies, Models, and Frameworks</t>
  </si>
  <si>
    <t>1-397</t>
  </si>
  <si>
    <t>Service organizations and enterprises have the dual challenge of embracing externally-driven variation while simultaneously evolving the enabling of information technology operations and systems. The co-engineering method provides a powerful tool for interdisciplinary decision-making necessary for managing complex interactions between layers of external and enabling services. Co-Engineering Applications and Adaptive Business Technologies in Practice: Enterprise Service Ontologies, Models, and Frameworks provides knowledge that forms the basis for successful co-engineering of the adaptive complex enterprise for services delivery. Intended for practicing professionals, advanced students, and academicians, this book enables understanding of the deeper issues and challenges in applying IT to solve business problems. © 2009 by IGI Global. All rights reserved.</t>
  </si>
  <si>
    <t>https://www.scopus.com/inward/record.uri?eid=2-s2.0-84898581226&amp;doi=10.4018%2f978-1-60566-276-3&amp;partnerID=40&amp;md5=fbe65045756dda5b3f919fd8d954a7e8</t>
  </si>
  <si>
    <t>Innovation-directed experiential learning using service blueprints</t>
  </si>
  <si>
    <t>2013 IEEE Frontiers in Education Conference (FIE)</t>
  </si>
  <si>
    <t>1406-1412</t>
  </si>
  <si>
    <t>An analysis of hiring patterns showed emerging trends: the complexity of information technology (IT) is shifting from development to post-deployment and integration needed for services. Given the complexity of deployed service systems, generated big data, and the national dialogue on educating engineers, we asked ourselves related questions. Do our graduate students have evaluation skills needed to work at the most advanced level of Bloom's taxonomy? Can they learn to frame and solve the problems within complex industry environments while applying the current research? How do we structure a graduate curriculum and an environment that provides experiences in innovation within the constraints of the academic calendar? Here we present an interdisciplinary curriculum comprised of three components: a service interaction blueprint for framing the industry problem, agile principles focusing on aspects of the solution, and Christensen's theory-building to frame the next iteration of research. The environment for industry problems was created through an National Science Funded Industry &amp;amp; University Cooperative Research Center. The feedback from a pilot graduate-level class is positive and provides insights for further research. We show through feedback discussions that it is possible to have translational activity at the industry-university enterprise boundary resourced in by advanced experiential learning.</t>
  </si>
  <si>
    <t>P. Ramaswamy</t>
  </si>
  <si>
    <t>IoT smart parking system for reducing green house gas emission</t>
  </si>
  <si>
    <t>2016 International Conference on Recent Trends in Information Technology (ICRTIT)</t>
  </si>
  <si>
    <t>Rapid climate change results natural calamity and severe economic impact and threats to the life. Burning fossil fuels by the medium of transportation contributes 1/3 of portion in increasing greenhouse emission and leading to raise surface temperate. Commuters in and around the developed cities faces difficulties in finding parking lot due to lack of notification process and autonomous parking systems. This causes commuters to take multiple rounds trips to get the parking slot which causes burning additional fuel and ultimately producing excessive CO&lt;sub&gt;2&lt;/sub&gt; emission. This paper describes solution to smart parking system using Internet of Things (IoT) to override parking hazards and explains how does it helps to minimize emitting greenhouse gases. IoT enables smart parking system using the system of interconnected Raspberry Pi, Distance Sensor, Pi Camera devices together. This hardware reacts to one another collects data and transmits to cloud storage.</t>
  </si>
  <si>
    <t>D. Ramljak</t>
  </si>
  <si>
    <t>Improving the composition and assembly of APIs in service dominant ecosystem environments</t>
  </si>
  <si>
    <t>673-676</t>
  </si>
  <si>
    <t>2016 39th International Convention on Information and Communication Technology, Electronics and Microelectronics (MIPRO)</t>
  </si>
  <si>
    <t>Current research initiatives on API ecosystems mainly concentrate on the technical aspects of the API composition and assembly. API ecosystems usually have challenges such as publication and provisioning of APIs by providers and selection and consumption of relevant APIs by consumers. Difficulties and problems in API value oriented analysis and design are often overlooked. This paper introduces the new method and models for proper alignment of API value creation and value capture with business architecture, business processes and services.</t>
  </si>
  <si>
    <t>Business models and value oriented service design elements in ecosystem architecture</t>
  </si>
  <si>
    <t>2017 25th International Conference on Software, Telecommunications and Computer Networks (SoftCOM)</t>
  </si>
  <si>
    <t>Enterprises are increasingly being exposed to a number of changes stemming from the overall business environment and their collaborative network of users and partners. Current techniques and models created by using standard frameworks such as Enterprise Architecture are not able to cover relevant design aspects required for service interactions, thus new design elements and aspects stemming from new concepts such as Ecosystem Architectures are being introduced. This paper focuses on introduction of innovative method and models for service design and selection in complex ecosystem environments by focusing on business model definition and value oriented aspects used in service composition.</t>
  </si>
  <si>
    <t>Model-Based Systems Engineering: An Emerging Approach for Modern Systems</t>
  </si>
  <si>
    <t>IEEE Transactions on Systems, Man, and Cybernetics, Part C (Applications and Reviews)</t>
  </si>
  <si>
    <t>101-111</t>
  </si>
  <si>
    <t>To engineer the modern large, complex, interdisciplinary systems-of-systems (SoS), the collaborative world teams must &amp;#x201C;speak&amp;#x201D; the same language and must work on the same &amp;#x201C;matter.&amp;#x201D; The &amp;#x201C;matter&amp;#x201D; is the system model and the communication mechanisms must be supported by standard, flexible, and friendly modeling languages. The evolving model-based systems engineering (MBSE) approach is leading the way and is expected to become a standard practice in the field of systems engineering (SE) in the next decade. As an emerging paradigm for the systems of the 21st century, it seems useful to overview its current state of the art concerning the developing standards, the embryonic formalisms, the available modeling languages, the methodologies, and the major applications.</t>
  </si>
  <si>
    <t>R. Ratcliff</t>
  </si>
  <si>
    <t>Applying epistemology to system engineering: An illustration</t>
  </si>
  <si>
    <t>393-402</t>
  </si>
  <si>
    <t>https://www.scopus.com/inward/record.uri?eid=2-s2.0-84898741824&amp;doi=10.1016%2fj.procs.2013.01.041&amp;partnerID=40&amp;md5=77dfaad69a724a4fcc4774e78a136d54</t>
  </si>
  <si>
    <t>Internet of things-from hype to reality: The road to digitization</t>
  </si>
  <si>
    <t>Internet of Things From Hype to Reality: The Road to Digitization</t>
  </si>
  <si>
    <t>1-328</t>
  </si>
  <si>
    <t>https://www.scopus.com/inward/record.uri?eid=2-s2.0-85008967582&amp;doi=10.1007%2f978-3-319-44860-2&amp;partnerID=40&amp;md5=8f988bdd18b056e8cb64123224658d02</t>
  </si>
  <si>
    <t>A Holistic View of Industry Standards Across SOA Solution Stack</t>
  </si>
  <si>
    <t>2009 IEEE International Conference on Services Computing</t>
  </si>
  <si>
    <t>144-151</t>
  </si>
  <si>
    <t>Businesses recently began shifting from proprietary models towards industry standards. Today, when businesses are faced with medium and large SOA projects, they strive to standardize their business process models, information models, and message models by complying with known industry standards. As service orientation and composition become more important, these standards also become critical for efficient SOA integration. However, in doing so, the businesses face a new challenge - the challenge to effectively utilize the industry standards models. Using industry standards models effectively is difficult since they are typically large and complex, thus resulting in the creation of vast amounts of inter-relationships. To meet this challenge, we describe a new approach that provides a holistic view of these heterogeneous SOA models and corresponding industry standards. Such a unified view must provide access to heterogeneous data sources and models, allow search and query of them as a single model source all across the SOA solution stack, and provide advanced services such as traceability, scoping, and impact analysis. To validate the proposed holistic approach, we describe a model catalog and repository system and present its use on a field-based example.</t>
  </si>
  <si>
    <t>I. S. Razo-Zapata</t>
  </si>
  <si>
    <t>A Method to Assess the Economic Feasibility of New Commercial Services in the Smart Grid</t>
  </si>
  <si>
    <t>2017 IEEE 10th Conference on Service-Oriented Computing and Applications (SOCA)</t>
  </si>
  <si>
    <t>90-97</t>
  </si>
  <si>
    <t>As more commercial services are offered and provided on-line, tools to analyse their socio-economic impact are also needed. For instance, new services such as Spotify, Uber and AirBnB have been able to disrupt different sectors because they rely on combining new business models together with information and communication technology (ICT). For (traditional) enterprises, however, launching that kind of services is not always easy since they should consider, among other things, the economic impact of those services. Although tools and techniques based on Enterprise Architecture (EA) help during the design of new services by supporting a holistic process to model business and ICT perspectives, they often lack support to perform economic assessments. This paper presents a method to assess the economic feasibility of new services in the smart grid (SG) that combine business models and ICT. Using multilayer networks and the Smart Grid Architecture Model (SGAM), the method allows to calculate investment decision techniques such as net present value (NPV) and internal rate of return (IRR). Finally, we evaluate our method on two innovative services to locally trade renewable energy.</t>
  </si>
  <si>
    <t>Exploring the Application of Multilayer Networks in Enterprise Architecture: A Case Study in the Smart Grid</t>
  </si>
  <si>
    <t>300-307</t>
  </si>
  <si>
    <t>We present an exploratory investigation on the use of multilayer network concepts and metrics to quantitatively analyse enterprise architectures. Multilayer networks can be used to visualise the overall architectural design and perform analyses across layers within elaborate architectures. Preliminary results are presented and discussed based on a case study in the Smart Grid, which is modelled using the Smart Grid Architecture Model (SGAM). The SGAM representation is later on mapped onto a multilayer network notation that allows visualising the overall structure of the architecture as well as computing quantitative metrics. We conclude with a summary of insights and open issues to be addressed.</t>
  </si>
  <si>
    <t>Service Value Modeling: A Systematic Method to Unveil the Business Value of Industry Solutions</t>
  </si>
  <si>
    <t>2014 Annual SRII Global Conference</t>
  </si>
  <si>
    <t>82-89</t>
  </si>
  <si>
    <t>There is a growing demand in the business-to-business environment for solutions that cater for specific industry needs as opposed to those for generic purposes. In response, technology vendors have gradually shifted their focus to industry solutions. More often than not, however, industry solutions are highly technical and complex, making it difficult for vendors to articulate the business impact and, as such, for customers to justify the investment. Although existing work provides a set of relevant building blocks for value modeling, they are yet to form an integrated approach. In recognizing the gap, this paper proposes Service Value Modeling (SVM), a systematic, step-wise method to connect industry solutions with business outcomes through the use of customer-specific business architecture. The SVM method is illustrated by two practical examples to show how exactly an industry solution affects the customer's operations and makes a positive impact on its performance. It was found that, with SVM, technology vendors are more likely to gain competitive advantage in both sales and delivery stages.</t>
  </si>
  <si>
    <t>Automated Process Mapping for Cyber Intelligent Enterprise</t>
  </si>
  <si>
    <t>2015 20th International Conference on Control Systems and Computer Science</t>
  </si>
  <si>
    <t>679-686</t>
  </si>
  <si>
    <t>The need to capitalize from business opportunities, generated by the ever dynamic global business environment determine enterprises to increase agility influencing strategy, decision, process and resource allocation. In this paper we propose a Generic Framework to assist the development of Automated Process Mapping Applications for flexible and complex processes, which involve activities in which the human factor plays an important role. Another component of the framework analyses ad-hoc industrial processes that are not covered by traditional and established BPM techniques.</t>
  </si>
  <si>
    <t>1217-1225</t>
  </si>
  <si>
    <t>CAPSICUM A Conceptual Model for Service Oriented Architecture</t>
  </si>
  <si>
    <t>415-422</t>
  </si>
  <si>
    <t>As technology evolves, so too must the models and frameworks for representing information systems. For IT practitioners to fully embrace and deploy a service oriented architectural model, existing frameworks for planning, designing and implementing systems need to be updated to support the SOA concepts of loosely coupled services and real-time process orchestration. The siloed architectural reality that has prevailed over the last two decades is outdated, obsolete and a hindrance to delivering the agility and flexibility demanded by modern enterprises. Organisations have demonstrated a desire to demolish application silos and to begin to take an enterprise view to the organisation of IT resources. It is therefore appropriate that to support the evolving SOA architectural paradigm, the conceptual frameworks used to guide strategy and manage the deployment of SOA designs need to be reviewed.Existing research has primarily focused on the technologies that support SOA deployments and the technical delivery of service based platforms. Very little research is available on the contribution of SOA in aligning IT resources in support of business needs. This paper reviews the business challenges created by siloed, application-centric Enterprise Architectures, examines the potential that SOA principles offer in addressing these issues and proposes a conceptual model for SOA driven business transformation through an enterprise alignment of computing resources.</t>
  </si>
  <si>
    <t>B. Robertson-Dunn</t>
  </si>
  <si>
    <t>Beyond the Zachman framework: Problem-oriented system architecture</t>
  </si>
  <si>
    <t>10:1-10:9</t>
  </si>
  <si>
    <t>The year 2012 marks the twenty-fifth anniversary of &amp;#x201C;A framework for information systems architecture,&amp;#x201D; written by John Zachman and published in the IBM Systems Journal. The first part of this paper reviews the Zachman and similar frameworks and concludes that there are a number of limitations in the framework approach when applied to today's technology environment and business problems. These include the inability of the problem owner to properly describe a solution, the partitioning approach, and the decision-making processes in the context of uncertainty and change. The second part of this paper analyzes today's problems and allocates them to one of three classifications: tame, complex, and wicked, depending on the degree of certainty and stability of knowledge and decisions in both the problem and the solution domains. The final part outlines an approach to problem-solving and architecture development using techniques borrowed from cybernetics and control theory. It proposes that partitioning should be determined by the nature of the problem and potential solutions; that feedback loops should be implemented in order to control the process; that the architect should work across the business problem and solution spaces; and that decisions should be related to business value.</t>
  </si>
  <si>
    <t>IoTsec: UML Extension for Internet of Things Systems Security Modelling</t>
  </si>
  <si>
    <t>2017 International Conference on Mechatronics, Electronics and Automotive Engineering (ICMEAE)</t>
  </si>
  <si>
    <t>151-156</t>
  </si>
  <si>
    <t>The Internet of things (IoT) is the natural evolution of the current Internet. As such, IoT systems do not just handle critical information as passwords, identities, personal information, routines, etc., but they also are able to control a whole variety of systems, for instance a robotic network in the automotive industry, autonomous cars networks, human health care and many systems in other domains. Hence, the existence of IoT systems that do not involve security mechanisms should be unthinkable; nevertheless there are not new standards which take into account the security of these systems. This proposal introduces a new UML extension which involves security issues encapsulated within a nomenclature, UML stereotypes to model common actors and UML notation extensions. All this with the aim of providing IoT developers with an useful notation to model security in IoT system from their designing stage, even if they are not completely familiar with cybersecurity concepts.</t>
  </si>
  <si>
    <t>Requirements for Smart Grid ICT-architectures</t>
  </si>
  <si>
    <t>2012 3rd IEEE PES Innovative Smart Grid Technologies Europe (ISGT Europe)</t>
  </si>
  <si>
    <t>The development of Smart Grids requires supplementary ICT-architectures in order to exploit the systems full potential. However, a green field approach is not applicable for developing these architectures. The existing power distribution and transmission infrastructure stipulates numerous requirements. Thus, the field of requirements engineering as a significant part of software engineering is of high importance for the development process. In this contribution requirements engineering is investigated in the context of Smart Grids. Different approaches are introduced and applied to software and architecture development in Smart Grids. Finally, a set of requirements and according use cases for developing a Smart Grid ICT-architecture is presented. They are derived using established methodologies and specifications that discussed in this contribution.</t>
  </si>
  <si>
    <t>Enterprise information systems state of the art: Past, present and future trends</t>
  </si>
  <si>
    <t>This state-of-the-art paper is intended to set the scene for a special issue of the Computers in Industry Journal on “Future Perspectives on Next Generation Enterprise Information Systems”. It gives a brief history of Enterprise Information Systems (EISs) and discusses various aspects of EISs, including EIS design and engineering, the impact of enterprise modelling, enterprise architecture, enterprise integration and interoperability and enterprise networking on EISs before concluding.</t>
  </si>
  <si>
    <t>https://www.sciencedirect.com/science/article/pii/S0166361516300483</t>
  </si>
  <si>
    <t>J. R. Romero</t>
  </si>
  <si>
    <t>Requirements for ODP Enterprise Architecture Tools</t>
  </si>
  <si>
    <t>2007 Eleventh International IEEE EDOC Conference Workshop</t>
  </si>
  <si>
    <t>224-230</t>
  </si>
  <si>
    <t>An important issue to the adoption of any enterprise architectural approach is the availability of tools to support the development, storage, presentation, analysis, improvement and evolution of enterprise architecture representations. As with enterprise architecture methodologies, enterprise architecture tools to support the architectural development process are still emerging. Most important software vendors (e.g., Rational, BEA, IBM, etc.) are investing in the development of large EA tools, mainly focused on their own frameworks or on well-known architectural proposals, such as TOGAF or FEAF. In this paper we identify an initial list of requirements that any tool for EA using RM-ODP should fulfill, as a first step towards the development of the appropriate ODP-Enterprise Architecture tools.</t>
  </si>
  <si>
    <t>Realizing Correspondences in Multi-viewpoint Specifications</t>
  </si>
  <si>
    <t>163-172</t>
  </si>
  <si>
    <t>Viewpoint modeling is an effective technique for specifying complex software systems in terms of a set of independent viewpoints and correspondences between them. Each viewpoint focuses on a particular aspect of the system, abstracting away from the rest of the concerns. Correspondences specify the relationships between the elements in different views, together with the constraints that guarantee the consistency among these elements. However, most Architectural Frameworks, which follow a multi-viewpoint approach, either do not consider the explicit specification of correspondences, or do it in a very simplistic way. This paper proposes a generic model-driven approach to the specification and realization of correspondences between viewpoints. In particular, we show how correspondences can be modeled both extensionally and intensionally, and propose the use of model transformations to connect these two approaches. As a proof-of-concept, we show how our proposal can be implemented in the context of the RM-ODP and UML4ODP, and present a tool to support the realization of correspondences between ODP views. This proposal can be extended to any other Architectural Framework that uses models to represent their views.</t>
  </si>
  <si>
    <t>153-157</t>
  </si>
  <si>
    <t>474-478</t>
  </si>
  <si>
    <t>Application of a lightweight enterprise architecture elicitation technique using case study approach</t>
  </si>
  <si>
    <t>16-25</t>
  </si>
  <si>
    <t>Enterprise architecture (EA) has demonstrated utility for improving overall Information System (IS)/Information Technology (IT) outcomes for institutions, particularly those with large-scale or integration-related needs. To achieve the core goal of an EA - integration, alignment and governance between enterprise goals and the enterprise IS/IT portfolio - institutional vision, mission and objectives must be elicited, analysed, understood and documented by the enterprise architects. This paper proposes and evaluates a lightweight EA elicitation technique to gather the required information about enterprise mission and objectives as a lightweight entry point to developing an EA. Specifically, we investigate the evaluation results of our proposed technique in EA data elicitation and analysis stemming from a case study that was conducted on an institution with a significant IS/IT asset portfolio. Our proposed EA elicitation technique utilizes the VMOST elicitation question, a structured elicitation vehicle, and Grounded Theory Method as the qualitative analysis technique to analyse elicited responses. Application of this approach in a real case study garnered sufficient understanding the vision, mission and objectives of an enterprise to articulate objectives in a way suitable to use as institutional goal as a part of the Zachman EA framework. Grant Acknowledgements: This work was partially supported by Towson University. The authors would like to thank the staff and administration of Towson University's Cook Library for their help and ongoing support and the reviewers for their comments and insights. This research was conducted under Towson University's Institutional Review Board for the Protection of Human Subjects exemption number 11-0X14.</t>
  </si>
  <si>
    <t>https://www.scopus.com/inward/record.uri?eid=2-s2.0-84902328655&amp;partnerID=40&amp;md5=0589b6d77fc86ef51b57d0f6dd7694e6</t>
  </si>
  <si>
    <t>33-45</t>
  </si>
  <si>
    <t>https://www.scopus.com/inward/record.uri?eid=2-s2.0-84951990313&amp;doi=10.1007%2f978-3-319-27218-4_3&amp;partnerID=40&amp;md5=9d60254d7b30e7a253d99e1ee107b51a</t>
  </si>
  <si>
    <t>Evolving the network operator's business model in an OTT environment using Fuzzy Cognitive Maps</t>
  </si>
  <si>
    <t>2013 Proceedings of PICMET '13: Technology Management in the IT-Driven Services (PICMET)</t>
  </si>
  <si>
    <t>1460-1468</t>
  </si>
  <si>
    <t>The growth in mobile broadband technologies coupled with increasing smartphone penetration, that has placed intelligence at the network's edge, has enabled over-the-top (OTT) players to compete with traditional network operators in the ICT industry. This research analysed a selection of proposed strategies in literature that could be employed by a network operator in order to remain competitive in the OTT environment. These strategies were then imported into a Fuzzy Cognitive Map (FCM) together with the elements of the V&lt;sup&gt;4&lt;/sup&gt; business model for network operators proposed by Al-Debei &amp;amp; Avison, 2009. Fuzzy Cognitive Maps (FCM) are a fast emerging tool that can be used to model relationships between concepts and determine the strength of impact of these relationships. The FCM weights were generated by gathering data from sources in the industry by means of an electronic survey. This data was imported into the FCMapper tool and simulated to predict the impacts of the external factors on the operators business model and to determine the indegree outdegree of each item in the environment. The research serves as a proof of concept for the application of FCM's to a complex and dynamic industry environment. Applications of FCMs in this way can be used as a tool for analysts and strategists in the industry to support business and strategic decision making.</t>
  </si>
  <si>
    <t>A Comparison Enterprise Architecture Implementation Methodologies</t>
  </si>
  <si>
    <t>2013 International Conference on Informatics and Creative Multimedia</t>
  </si>
  <si>
    <t>A number of methodologies for implementing Enterprise Architecture (EA) have been proposed in the literature. Understanding methodologies' strengths and weaknesses play significant role in selecting appropriate methodology for each EA project. This paper reviews five EA implementation methodologies including: EAP, TOGAF, DODAF, Gartner, and FEA and compare them based on designed framework. Comparison framework is designed based on concepts, modeling, and processes criteria. This comparison provides vast information about selected methodologies based on defined criteria.</t>
  </si>
  <si>
    <t>Design semantics on accessibility in unstructured data environments</t>
  </si>
  <si>
    <t>79-101</t>
  </si>
  <si>
    <t>https://www.scopus.com/inward/record.uri?eid=2-s2.0-85026719080&amp;doi=10.1007%2f978-3-319-39417-6_4&amp;partnerID=40&amp;md5=22ccbd17d06241dc14c50cb894b8f7b4</t>
  </si>
  <si>
    <t>Modelamiento del proceso de la asignatura trabajo de grado del programa de ingenier¿¿a de sistemas</t>
  </si>
  <si>
    <t>2016 8th Euro American Conference on Telematics and Information Systems (EATIS)</t>
  </si>
  <si>
    <t>This research paper defines challenges in the process of managing activities involved in the thesis subject, which is part of the bachelor curriculum of the Systems engineering program at the Catholic University of Colombia. Enterprise architecture (EA) is applied through TOGAF framework to propose a new process model to improve the current process model. The business domain defined in TOGAF is considered to analyze and define the current and new business process. Modelling and simulation are performed throughout Bonita Open Solution tool, which was assessed and selected from a qualitative benchmark for Business Process Management Systems (BPMNs). Besides quality tests as cyclomatic complexity, branches and functional tests were performed on the proposed process to guarantee the correct execution of it.</t>
  </si>
  <si>
    <t>Analysis of IT/Business Alignment Situations as a Precondition for the Design and Engineering of Situated IT/Business Alignment Solutions</t>
  </si>
  <si>
    <t>IT/business alignment has constantly been among the top priorities for IT executives. From a prescriptive, design research perspective, our analysis of related work shows that neither is IT/business alignment sufficiently specified to allow systematic artifact construction, nor are existing approaches situational to reflect the diversity of IT/business alignment problems in the real world. We use goal decomposition to characterize IT/business alignment by qualities from (i) the IT systems, (ii) the business, and (iii) the IT governance perspective. A survey-based exploratory study among 174 professionals from various European countries is conducted that helps to identify four distinct IT/business alignment situations. This knowledge can now be used to construct methods and models that do not only operationalize alignment, but also can be adapted to the different situational needs.</t>
  </si>
  <si>
    <t>Towards the Development of the Future Internet Based Enterprise in the Context of Cyber-Physical Systems</t>
  </si>
  <si>
    <t>2013 19th International Conference on Control Systems and Computer Science</t>
  </si>
  <si>
    <t>405-412</t>
  </si>
  <si>
    <t>The constantly increasing dynamics of the world economy and the shift of business values in accordance with the new values of the current society has lead to the development of new Internet oriented Enterprise Systems. This paper is concerned with the transformation of such systems in regard to the new paradigms of Future Internet and Cyber - Physical Systems. A Distributed Semantic Middleware is proposed as an Enabler for the development of Cyber Enterprise Systems.</t>
  </si>
  <si>
    <t>An OMG-based Meta-Framework for Alignment of IS/IT Architecture with Business Models</t>
  </si>
  <si>
    <t>2014 9th International Conference on the Quality of Information and Communications Technology</t>
  </si>
  <si>
    <t>288-293</t>
  </si>
  <si>
    <t>The topic of alignment between Business and Information Systems has been for some time, and remains actually, a top concern of research in diverse areas. It presents many open roads for research, even if leading to much dispersion and fuzziness due to the different views and subjects involved. On the path to build a conceptual, structured framework that incorporates the related topics of requirements engineering, enterprise architecture and strategy alignment, our literature search uncovered three main themes: the business model artifact, strategy and goal modelling, and enterprise modelling. Following, the research problem and its related research questions, which answers will give origin to artifacts, through design science (working on existing knowledge) and action research (working in live projects), were laid out. Initial steps in our incremental research approach, with a perspective on the requirements engineering and business model topics, and the development of a new method around an existing solution for the generation of logical architectures, have been well received by the research community. Current and future work in our plan will deepen and extend our research, further grounding the business model artifact and the strategy and goal modelling issues, while approaching the enterprise modelling, framework structuring and tools support.</t>
  </si>
  <si>
    <t>Exploring a Three-Dimensional, Requirements-Based, Balanced Scorecard Business Model: On the Elicitation and Generation of a Business Model Canvas</t>
  </si>
  <si>
    <t>88-95</t>
  </si>
  <si>
    <t>Business models play a pivotal role in organizations, building bridges and enabling dialogue between business and technological worlds. Also, goals and rules associate with processes to compose its base structure, driving and supporting the organization's strategy. Additionally, as balanced scorecards are the reference in strategy management, a combination of these three dimensions can lead to a stronger, more strategy-oriented, business model, aggregating functional, nonfunctional and strategy dimensions. Following our proposal for the specification of a three-dimensional business model, covering the elicitation of business goals and rules from process level use cases, and their connection to balanced scorecard, we now aim to explore it with a practical application scenario. Taking advantage of a cube structure and a method definition within a SPEM approach, which is adaptable to model variations, our proposal allows for the use of different viewpoints to perform diverse business model transformations. In this paper we apply our proposal twice by revisiting a project of a two-step elicitation and generation of a business model canvas.</t>
  </si>
  <si>
    <t>A three-dimensional, requirements-based, balanced scorecard business model</t>
  </si>
  <si>
    <t>2015 6th International Conference on Information and Communication Systems (ICICS)</t>
  </si>
  <si>
    <t>268-273</t>
  </si>
  <si>
    <t>Business models play a pivotal role in organizations, building bridges and enabling dialogue between business and technological worlds, where goals and rules associate with processes to compose its base structure, driving and supporting the organization's strategy. In addition, as balanced scorecard is the reference in strategy management, a combination of these three dimensions could lead to a stronger, more strategy-oriented, business model. In this sense, we propose the specification of a three-dimensional business model, covering the elicitation of business goals and rules from process-level use cases, and their connection to balanced scorecard, aggregating functional, nonfunctional and strategy dimensions. Along-side it, the definition of a method (within a SPEM approach), adaptable to this model variations, allows for different approaches and viewpoints from diverse stakeholders.</t>
  </si>
  <si>
    <t>Extraction and reconstruction of enterprise models</t>
  </si>
  <si>
    <t>Enterprise Models for analysis, and especially for automated analysis, should have five characteristics: they have to be accurate representations of the reality; they have to be well structured; they have to be complete with respect to their intended usage; they have to be kept up-to-date; and the cost of their construction and maintenance has to be as low as possible. In this paper we present an approach for the semiautomatic construction of enterprise models which gathers and weaves information from multiple sources such as information systems, databases, files (system’s logs, source code, configuration), and previously existing models. This approach is based on modeling and metamodeling techniques, and has been implemented in a tool called EM-AutoBuilder. © Springer International Publishing Switzerland 2014.</t>
  </si>
  <si>
    <t>https://www.scopus.com/inward/record.uri?eid=2-s2.0-84961359007&amp;doi=10.1007%2f978-3-662-44860-1_1&amp;partnerID=40&amp;md5=1162691ef694a6829292e80f5fdeb324</t>
  </si>
  <si>
    <t>Towards an Unified Information Systems Reference Model for Higher Education Institutions</t>
  </si>
  <si>
    <t>542-553</t>
  </si>
  <si>
    <t>Higher education institutions are currently facing many challenges that are making them to start compete strategically, like other not-for-profit firm. To adequately support such new approach, their information systems and business strategies should be totally aligned. However, the current existing landscape of heterogeneous information systems and applications deployed in many institutions can compromise such aim. Recently, reference architectures and models have emerged as instruments suitable to help company’s decision-makers to cope with such tensions. However, whilst many of such architectural models already exist for several industries, little has been done so far in higher education. In this paper, we briefly review major existing developments in such way before to inductively derive a unified information systems reference model tailored for higher education institutions.</t>
  </si>
  <si>
    <t>https://www.sciencedirect.com/science/article/pii/S1877050917322718</t>
  </si>
  <si>
    <t>Towards Integration Methods of Product-IT into Enterprise Architectures</t>
  </si>
  <si>
    <t>23-28</t>
  </si>
  <si>
    <t>Digital innovation (DI), Internet of Things (IoT) and Cyber-Physical Systems (CPS) offer new opportunities for enterprises but also cause new challenges for Enterprise Architecture Management. Based on an industrial case from power garden products illustrating potentials and challenges of DI and IoT, this paper investigates the integration of product-IT into enterprise architectures. Product-IT includes the embedded IT-systems in physical products and services, components for operations, maintenance or evaluation purposes. The paper investigates the suitability of traditional enterprise architecture layers for structuring product-IT, identifies problems in product-IT and enterprise-IT integration and challenges for the field of EAM. The main contributions of the paper are (1) to position the area of product-IT in the field of EAM, (2) to identify challenges from real-world cases regarding integration of product-IT into EA and (3) outline potential ways to approach the challenges.</t>
  </si>
  <si>
    <t>135-147</t>
  </si>
  <si>
    <t>F. M. Sanhueza</t>
  </si>
  <si>
    <t>An Approach Based on Language Ontology and Serious Play Methodologies to Improve the Participation and Validation of Enterprise Architecture Structural Models</t>
  </si>
  <si>
    <t>2013 32nd International Conference of the Chilean Computer Science Society (SCCC)</t>
  </si>
  <si>
    <t>In the definition of Enterprise Architecture (EA) business and technology specialists participate, being the former the ones who know models of their endeavor and to whom the EA models are not natural and include complex issues that only the specialists understand. The detection of any inconsistency or gap can take place, in the worst case, during the implementation of technological solutions or, in more fortunate cases, at earlier stages. Counting with tools that facilitate mutual understanding using alternative models that bring closer team competences and the convergence of ideas and interests of both groups, is a challenge. This proposal presents how language ontology combined with strategy construction models of Lego Serious play in real time are a contribution in the definition and implementation of Enterprise Architecture. The validation is ratified with two projects, each one having made progress on its own: one with the Municipality de Cuenca, Ecuador, and the other with the General Coordination of Transantiago.</t>
  </si>
  <si>
    <t>Combining Network Measures and Expert Knowledge to Analyze Enterprise Architecture at the Component Level</t>
  </si>
  <si>
    <t>2016 IEEE 20th International Enterprise Distributed Object Computing Conference (EDOC)</t>
  </si>
  <si>
    <t>Enterprise architecture (EA) network analysis has been attracting researchers' attention lately. The main source of information is the structural components, including the relations among them and how they might be structurally arranged. These relations are studied to generate valuable information for EA professionals. However, to the best of our knowledge, ours is the first attempt to combine structural information with a second source of information: expert's tacit knowledge. We believe combining these sources employing two new methods - what we call cognitive-structural diagnosis analysis and attribute check analysis - can refine the expert's knowledge about the architecture. To demonstrate these methods' feasibility, we apply them with two application architecture datasets collected in two different organizations. We also offer a classification schema for enterprise architecture network analysis at the component level, our focus. Our conclusions indicate that the cognitive- structural diagnosis analysis method minimizes analysis subjectivity while validating important components and also suggesting important structural ones to be further analyzed by experts. The attribute check analysis offers further contributions by helping in the investigation of particular attributes of applications in important architectural positions.</t>
  </si>
  <si>
    <t>Network Science Applied to Enterprise Architecture Analysis: Towards the Foundational Concepts</t>
  </si>
  <si>
    <t>Earlier research has identified network analysis techniques, methods, and models used to analyze structural aspects of an enterprise architecture (EA) modeled as a network or graph. However, there is still no common set of conceptual elements for such research that could allow one to identify the information requirements needed to perform this type of analysis. In the present research, we organize foundational conceptual elements in a meta-model as a step towards fostering the development of this research field and creating alignment among researchers. As a second contribution, we classify the existing knowledge about network analysis in an EA context through a systematic literature review, according to the proposed meta-model; this results in a library of 74 network analysis initiatives (e.g., metrics or methods) for EA, which we evaluate reasoning about their efficacy and utility and also surveying experts. Our work thus identifies and systematizes the state of art of network science as a toolset to be applied in the EA context.</t>
  </si>
  <si>
    <t>Addressing Crosscutting Concerns in Enterprise Architecture</t>
  </si>
  <si>
    <t>254-263</t>
  </si>
  <si>
    <t>A number of frameworks suggest artifacts and practices to develop the components of Enterprise Architecture (EA). However, when analyzing the representations proposed, several concerns are scattered and tangled within the essential elements. It harms reuse, making it difficult both to understand and maintain the EA representations. In order to address this issue, we present a method to identify and represent the crosscutting concerns at an Enterprise Architecture level. The solution is based on Enterprise Ontology and Aspect-Oriented approaches. A case study was performed in an organization to evaluate the proposal.</t>
  </si>
  <si>
    <t>An ontology-based semantic foundation for organizational structure modeling in the ARIS method</t>
  </si>
  <si>
    <t>This paper focuses on the issue of ontological interpretation for the ARIS organization modeling language with the following contributions: (i) providing real-world semantics to the primitives of the language by using the UFO foundational ontology as a semantic domain; (ii) the identification of inappropriate elements of the language, using a systematic ontology-based analysis approach; and (iii) recommendations for improvements of the language to resolve the issues identified. © 2010 IEEE.</t>
  </si>
  <si>
    <t>https://www.scopus.com/inward/record.uri?eid=2-s2.0-79951871557&amp;doi=10.1109%2fEDOCW.2010.58&amp;partnerID=40&amp;md5=ff7c2e54ba39bb72a8aeaf347057d634</t>
  </si>
  <si>
    <t>An ontology-based analysis and semantics for organizational structure modeling in the ARIS method</t>
  </si>
  <si>
    <t>690-708</t>
  </si>
  <si>
    <t>This paper focuses on the issue of ontological analysis for organizational structure modeling in the ARIS method with the following contributions: (i) an interpretation of the language in terms of real-world entities in the UFO foundational ontology; (ii) the identification of inappropriate elements of the language, using a systematic ontology-based analysis approach; and (iii) recommendations for improvements of the language to resolve the issues identified.</t>
  </si>
  <si>
    <t>https://www.scopus.com/inward/record.uri?eid=2-s2.0-84892989000&amp;doi=10.1016%2fj.is.2012.09.004&amp;partnerID=40&amp;md5=a53413c2a20b06ca0adb9b6e3e1c71ea</t>
  </si>
  <si>
    <t>130-143</t>
  </si>
  <si>
    <t>499-513</t>
  </si>
  <si>
    <t>https://www.scopus.com/inward/record.uri?eid=2-s2.0-84951813624&amp;doi=10.1007%2f978-3-319-25264-3_37&amp;partnerID=40&amp;md5=410e043f9337c565c9babeb237456ccd</t>
  </si>
  <si>
    <t>VIMSEN &amp;#x2014; Smart tool for energy aggregators</t>
  </si>
  <si>
    <t>2015 IEEE International Telecommunications Energy Conference (INTELEC)</t>
  </si>
  <si>
    <t>The subsidy feed in tariff policy, which has been adopted in the past few years, for accelerating renewable energy investments, cannot be retained as a sustainable business model for the future smart energy grid. This is mainly due to the fact that this policy increases the energy cost, especially when the amount of the energy generated by renewable sources is not negligible compared to the traditional ones, as is expected for the near future. Additionally, the current centralized electricity market prevents small or very small energy producers, who usually generate energy by renewable means - photovoltaic units or wind turbines - to participate. There is a role for energy aggregators to act on behalf of these small prosumers so that they could sell their excess energy collectively in order to get a better price. To help the tasks of the aggregator a trading tool is required that will facilitate the clustering of prosumers who are able to offer energy at a certain time during the day based on contractual agreements. The VIMSEN project is set-up to produce such a system that will allow the aggregator to select prosumers and form virtual micro-grids by virtue of smart communication systems. VIMSEN is part of the European R&amp;D 7th Framework Programme with the aims to develop, implement and demonstrate a new energy management and business model system using the concept of virtual microgrids, to enable an increase in the market participation of prosumers at neighbourhood and community levels.</t>
  </si>
  <si>
    <t>Architecting Cyber Defense: A Survey of the Leading Cyber Reference Architectures and Frameworks</t>
  </si>
  <si>
    <t>2017 IEEE 4th International Conference on Cyber Security and Cloud Computing (CSCloud)</t>
  </si>
  <si>
    <t>127-138</t>
  </si>
  <si>
    <t>The rapid development of cyber threats and intelligence challenges the traditional design of static cyber defense platforms. This paper discusses the need for an agile structure to inform the development of cybersecurity solutions that are not only widely adaptable to unknown threats, specific business practices, and technical requirements, but are also efficiently translatable to products. It employs a systems engineering approach in the evaluation of several Reference Architectures for cyber defense that were gathered from the both the public and private sector. The Northrop Grumman Cyber Defense Reference Architecture is introduced in this paper to go beyond basic cyber hygiene by focusing on cognitive tasks through functional implementations of advanced analytics and automation. The limitations of frameworks, design patterns, and security control checklists in comparison to reference architectures are also discussed.</t>
  </si>
  <si>
    <t>A goal-oriented approach to the urbanization of the academic information system of UMA</t>
  </si>
  <si>
    <t>The urbanization of information systems (IS) is a key concern of IT professionals. This is largely due to changes in business, organizations and institutions, the need for coexistence between old and new systems, the necessary restructuring of architectures and business process reengineering needs. The main objective of this work is to provide an urbanization approach based on the objectives of the organization and in our case it is an approach that will be applied to the information system of the University of Manouba. In fact a process that must take into account the objectives and contexts must have a guiding model can guide the process of urbanization. The model advocated guide must be scalable, situational, adaptive, interactive, directed by the objectives and context. These characteristics point us to the goal-oriented models and especially to the model of the card as a model guide to adopt given the consideration of the context and the evolving strategic needs and it offers is one of these specificities. This article is organized into three parts. The first part will present a brief state of the art of the main approaches used to urbanization, the second part will present the specific context of the University of Manouba, and the third part will present the approach advocated and adopted model guide.</t>
  </si>
  <si>
    <t>Analysis of enterprise architecture frameworks in the context of e-participation</t>
  </si>
  <si>
    <t>Proceedings of the 12th Annual International Digital Government Research Conference: Digital Government Innovation in Challenging Times</t>
  </si>
  <si>
    <t>College Park, Maryland, USA</t>
  </si>
  <si>
    <t>Information Modeling and Process Modeling</t>
  </si>
  <si>
    <t>515-554</t>
  </si>
  <si>
    <t>Abstract Business process modeling, is the activity of recording and representing the processes of an enterprise. In this chapter we define information models which together with other information models at the strategic, tactical, and operational tier, can ultimately form a single integrated enterprise information model. Information modeling is often incorrectly understood to be only concerned with data modelling however; we show how information modeling is composed of not only data modeling but also other aspects such as process modeling as well as value- or service-oriented modeling. The models which we present have several purposes, one of which is to provide a record of the information assets of the enterprise, which promotes the idea of creating a shared understanding of the business, and thus are important in problem solving and executing change. The information models, together with other information models at the strategic, tactical, and operational tier, can ultimately form a single integrated enterprise information model. We also show the importance of the integration of these models into all phases of the business process and information technology systems life cycle and how the record of their content fulfill the purpose of mapping not only the dynamic aspects of the business processes and data flows within an organization, but also the static characteristics of the information space on which the dynamic (time-dependent) aspects build.</t>
  </si>
  <si>
    <t>https://www.sciencedirect.com/science/article/pii/B9780127999593000252</t>
  </si>
  <si>
    <t>Enterprise architecture analytics and decision support</t>
  </si>
  <si>
    <t>Intelligent Systems Reference Library</t>
  </si>
  <si>
    <t>Springer Science and Business Media Deutschland GmbH</t>
  </si>
  <si>
    <t>201-218</t>
  </si>
  <si>
    <t>The discipline of Enterprise Architecture Management started using a model-driven approach. In contrary to the model-driven approaches, our approach follows strives to tap also the information contained in the operational systems that support IT-Service-Management. Therefore, this paper aims at indicating the increased capabilities of Enterprise Architecture Analytics and Decision Support through the use of a data-driven approach. It will give fundamental insights in the current research work of enterprise architecture management analytics as well as decision support based on this quantitative data. © Springer International Publishing Switzerland 2016.</t>
  </si>
  <si>
    <t>https://www.scopus.com/inward/record.uri?eid=2-s2.0-84988841223&amp;doi=10.1007%2f978-3-319-40564-3_11&amp;partnerID=40&amp;md5=423ced86d57985d569722ad000b0b875</t>
  </si>
  <si>
    <t>Towards a Framework for Enterprise Architecture Analytics</t>
  </si>
  <si>
    <t>266-275</t>
  </si>
  <si>
    <t>Current approaches for enterprise architecture lack analytical instruments for cyclic evaluations of business and system architectures in real business enterprise system environments. This impedes the broad use of enterprise architecture methodologies. Furthermore, the permanent evolution of systems desynchronizes quickly model representation and reality. Therefore we are introducing an approach for complementing the existing top-down approach for the creation of enterprise architecture with a bottom approach. Enterprise Architecture Analytics uses the architectural information contained in many infrastructures to provide architectural information. By applying Big Data technologies it is possible to exploit this information and to create architectural information. That means, Enterprise Architectures may be discovered, analyzed and optimized using analytics. The increased availability of architectural data also improves the possibilities to verify the compliance of Enterprise Architectures. Architectural decisions are linked to clustered architecture artifacts and categories according to a holistic EAM Reference Architecture with specific architecture metamodels. A special suited EAM Maturity Framework provides the base for systematic and analytics supported assessments of architecture capabilities.</t>
  </si>
  <si>
    <t>Social-software-based support for enterprise architecture management processes</t>
  </si>
  <si>
    <t>452-462</t>
  </si>
  <si>
    <t>Modern enterprises reshape and transform continuously by a multitude of management processes with different perspectives. They range from business process management to IT service management and the management of the information systems. Enterprise Architecture (EA) Management seeks to provide such a perspective and to align the diverse management perspectives. Therefore, EA Management cannot rely on hierarchic - in a tayloristic manner designed - management processes to achieve and promote this alignment. It, conversely, has to apply bottom-up, information-centered coordination mechanisms to ensure that different management processes are aligned with each other and enterprise strategy. Social software provides such a bottom-up mechanism for providing support within EAM-processes. Consequently, challenges of EA management processes are investigated, and contributions of social software presented. A cockpit provides interactive functions and visualization methods to cope with this complexity and enable the practical use of social software in enterprise architecture management processes. © Springer International Publishing Switzerland 2015.</t>
  </si>
  <si>
    <t>https://www.scopus.com/inward/record.uri?eid=2-s2.0-84929854709&amp;doi=10.1007%2f978-3-319-15895-2_39&amp;partnerID=40&amp;md5=5880aeb04f05b1706087860910d6336d</t>
  </si>
  <si>
    <t>An analysis of the adoption and Usage of Enterprise Architecture</t>
  </si>
  <si>
    <t>A changing market demand and technological evolution has required that enterprise systems constantly be updated and reengineered. Enterprise Architectures (EAs) emerged as `tools' to assist organisations with managing enterprise systems. The potential benefits obtained by the adoption of an EA programme has resulted in a steady increase in the interest in EAs and in a study of EA activity worldwide, South Africa was ranked 10th. However, EA is a challenging concept and a number of heterogeneous architecture definitions, interpretations and classifications have been developed. It is imperative that an EA programme is considered not only as an issue for the Information Technology (IT) function, but also as a strategic and organisational challenge. Organisations embarking on an EA programme are faced with many complex decisions regarding which EA framework to select, which models and modelling notations to use, as well which technology strategies to adopt. Some organisations are embracing these programmes and are obtaining many benefits, others are faced with an abundance of challenges. This study investigates three popular EA frameworks and proposes an EA component classification map. Several medium to large South African organisations are investigated to validate and update elements of the classification map.</t>
  </si>
  <si>
    <t>A model based safety architecture framework for Dutch high speed train lines</t>
  </si>
  <si>
    <t>2015 10th System of Systems Engineering Conference (SoSE)</t>
  </si>
  <si>
    <t>This paper presents a model-based safety architecture framework (MBSAF) for capturing and sharing architectural knowledge of safety cases of safety-critical systems of systems (SoS). Whilst architecture frameworks in the systems engineering domain consider safety often as dependent attribute, this study focusses specifically on sharing architectural knowledge of safety cases between stakeholders and managing safety in systems development. For this purpose, we adapt the A3 architecture overview (A3AO) tool. The application is shown though the case study of Dutch high speed train lines and shows how to derive requirements from various stakeholders by carrying out iterative validations of the A3AOs. The implemented technique consists of systems modeling language-based (SysML) diagrams. Outcomes of the assessment lead to guidelines for two A3AOs. This results in increasing and effective interaction between stakeholders, more overview for managing safety complexity, more insight into finding required safety information, and therefore; an increasing efficiency in safety engineering.</t>
  </si>
  <si>
    <t>Why They Just Don't Get It: Communicating about Architecture with Business Stakeholders</t>
  </si>
  <si>
    <t>IEEE Software</t>
  </si>
  <si>
    <t>13-19</t>
  </si>
  <si>
    <t>Following certain best practices for visual communication can help bridge the gap between IT architects and business stakeholders. These practices stem from disciplines such as psychology, graphic design, communication science, and cartooning. They're intended to aid all architecture stakeholders in understanding, analysis, and discussion.</t>
  </si>
  <si>
    <t>352-376</t>
  </si>
  <si>
    <t>Process-mining enabled feedback: “Tell me what I did wrong” vs. “tell me how to do it right”</t>
  </si>
  <si>
    <t>Fast advancement of technology has led to an increased interest for using information technology to provide feedback based on learning behavior observations. This work outlines a novel approach for analyzing behavioral learner data through the application of process mining techniques specifically targeting a complex problem solving process. We realize this in the context of one particular learning case, namely, domain modeling. This work extends our previous research on process-mining analysis of domain modeling behavior of novices by elaborating with new insights from a replication study enhanced with an extra observation on how novices verify/validate models. The findings include a set of typical modeling and validation patterns that can be used to improve teaching guidance for domain modeling courses. From a scientific viewpoint, the results contribute to improving our knowledge on the cognitive aspects of problem-solving behavior of novices in the area of domain modeling, specifically regarding process-oriented feedback as opposed to traditional outcome feedback (is a solution correct? Why (not)?) usually applied in this type of courses. Ultimately, the outcomes of the work can be inspirational outside of the area of domain modeling as learning event data is becoming readily available through virtual learning environments and other information systems.</t>
  </si>
  <si>
    <t>https://www.sciencedirect.com/science/article/pii/S0747563215303113</t>
  </si>
  <si>
    <t>Assessing the effectiveness of feedback enabled simulation in teaching conceptual modeling</t>
  </si>
  <si>
    <t>Computers &amp; Education</t>
  </si>
  <si>
    <t>367-382</t>
  </si>
  <si>
    <t>It is commonly accepted that simulation contributes to a better learning quality while also promoting successful transfer of the skills to real-world environments. However, the practical use of simulation is hampered by the difficulty of interpreting simulation results. This paper demonstrates the learning benefits in conceptual modeling of business requirements when using feedback-enabled simulation. The effects of feedback-enabled simulation on learning outcomes of novice learners were observed by means of experimental empirical studies. Three studies were conducted in the context of two master-level courses from two different study programs spanning two academic years. The findings show a significant improvement in students' conceptual model understanding and validation capabilities when using feedback-enabled simulation.</t>
  </si>
  <si>
    <t>https://www.sciencedirect.com/science/article/pii/S036013151400147X</t>
  </si>
  <si>
    <t>Solution Architecting Mechanism</t>
  </si>
  <si>
    <t>23-34</t>
  </si>
  <si>
    <t>This paper defines a methodical approach, named solution architecting mechanism (SAM), to coping with the architecture complexity of enterprise information systems in IT solution designs. This comprehensive mechanism consists of eight interconnected modules: solution architecting framework for eServices, prescriptive artineering method, solution open architecture planning, architecture stack and perspectives, model-centric architecting process, architecture lifecycle and readiness maturity, common application platform, and P20 Tao model collectively, these modules form a holistic discipline guiding the process of development of architected solutions in an enterprise computing environment. Several unconventional concepts and thinking styles are proposed in this document. Part of this overarching mechanism has been extensively utilized in one form or another to develop various IT solutions across a broad range of industrial sectors. Reference solutions are presented to illustrate the exemplary implementations of some key elements in SAM. Best practices as well as lessons learned are discussed in the context</t>
  </si>
  <si>
    <t>Solution Architecture for N-Tier Applications</t>
  </si>
  <si>
    <t>349-356</t>
  </si>
  <si>
    <t>This paper defines a service-oriented solution architecture for n-tier applications (SANTA), primarily for Web-based distributed systems. Most conventional Internet applications have been built on three tiers - Web, application, and database tiers as described in the predominant 3-tier architectural style on both Java EE and .Net platforms. However, a number of leading-edge technologies have matured, which need to be incorporated into the logical solution architecture, such as portal, process choreography, business rule engine, enterprise service bus, Web services, service composition, etc. A new service-oriented model is proposed in this paper, to extend the traditional 3-tier architectural style and position the emerging technologies/products in the right places in the architecture structure. This new architecture model comprises a stack of six interrelated layers, coupled with six vertical pillars. The six layers are access &amp;amp; integration, business process, composite services, services &amp;amp; components, integration &amp;amp; communications, and enterprise resources layer. The runtime infrastructure pillars are composed of the operational management, security, and hosting environment pillar, whereas the development process pillars consist of the application &amp;amp; service frameworks, crosscutting aspects &amp;amp; patterns, and modeling &amp;amp; development tools pillar. This holistic application architecture framework is a systematic taxonomy of major technical constituents of a distributed application in a service-oriented paradigm. Part of this comprehensive model has been extensively utilized in one form or another to design various SOA solutions in different industry sectors</t>
  </si>
  <si>
    <t>Service-Oriented Framework for Internet Applications</t>
  </si>
  <si>
    <t>IEEE International Conference on Service-Oriented Computing and Applications (SOCA '07)</t>
  </si>
  <si>
    <t>295-302</t>
  </si>
  <si>
    <t>This paper presents a broad-spectrum service- oriented framework for Internet applications (SOFIA), to efficiently manage the architecture design complexity and govern the solution development lifecycle of information systems in a service-oriented paradigm. This overarching model comprises multiple dimensions of design activities: system architecture, development lifecycle, technology solutions, and system management &amp;amp; governance. Further, these four dimensions consist of a string of elements: conceptual view, logical view, physical view, topology view, methodology/process, design/develop, testing, build/deploy, application framework, utility components, integration mechanism, security solutions, quality of services, system management, governance, and tools modules. The characteristics and features of the constituent elements in the SOFIA model are articulated in great detail. Applications and future trends are also discussed in the context. This holistic framework provides a comprehensive taxonomy of the design and process artifacts from both design-time and run-time perspectives. It helps build high-quality service-oriented solutions focused on different domains, and in the meantime keeps the agility, flexibility and adaptivity of the overall model.</t>
  </si>
  <si>
    <t>Comprehensive architecture rationalization and engineering</t>
  </si>
  <si>
    <t>Information Technology Governance and Service Management: Frameworks and Adaptations</t>
  </si>
  <si>
    <t>125-144</t>
  </si>
  <si>
    <t>This chapter defines a methodical approach, named Comprehensive Architecture Rationalization and Engineering (CARE), to effectively manage the complexity in architecture design and rationalize the architectural assets of IT application portfolios in a service-oriented paradigm. This comprehensive model comprises a prescriptive method to perform a systematic assessment of information systems applications in an application/project portfolio. The process is broken down to 5 interrelated steps: Data Collection, Reverse Engineering, Technology Assessment, Technical Recommendations, and Action Plan for Rationalization. The details and key artifacts are specified for each step in the overarching process. The outcome of the comprehensive analysis consists of a range of technical recommendations and a course of action, which are characterized along three dimensions: refactoring, reengineering, and rearchitecting. The holistic framework provides a multidisciplinary approach of portfolio analysis and service-oriented architecture planning. Practice guidelines and future trends are also articulated in the context. A case study in the finance industry is presented, to illustrate the use of this framework in real-world scenarios. © 2009, IGI Global.</t>
  </si>
  <si>
    <t>https://www.scopus.com/inward/record.uri?eid=2-s2.0-84898239804&amp;doi=10.4018%2f978-1-60566-008-0.ch006&amp;partnerID=40&amp;md5=c6b680ca07cf9febe0eb043342055831</t>
  </si>
  <si>
    <t>Defining performance indicators for industrial and logistic cross-enterprise processes: Theoretical and empirical considerations</t>
  </si>
  <si>
    <t>Some theoretical landmarks are discussed allowing to situate the performance indicators in relation to the business scope and objectives, the information systems, and the information technologies, and to guarantee completeness, effectiveness, and efficiency of defining and implementing these indicators. An enterprise architecture framework is proposed, and a declination of the approach as a roadmap is experienced with a business case, starting from an inceptive point, the concern, which ontological specification is developed and enriched. Some optimisation and governance solutions, both in the business scope and in the IS &amp; IT scope, are briefly discussed, with reference to an enterprise generic model. Finally, the paper proposes some definitions for the major concepts related to the performance management.</t>
  </si>
  <si>
    <t>An IT Infrastructure Patterns Approach to Improve IT Service Management Quality</t>
  </si>
  <si>
    <t>2010 Seventh International Conference on the Quality of Information and Communications Technology</t>
  </si>
  <si>
    <t>171-176</t>
  </si>
  <si>
    <t>IT services are built on top and are delivered by (and therefore depend upon) IT infrastructures. The design of the latter is critical, since it will influence the overall quality of IT services. However, designing IT infrastructures for large organizations is a challenge task since it requires knowledge of existing organization processes, the views of different players, and the conjunction of technical expertise in different domains, that rarely reside in a single individual. To improve the design of IT infrastructures, namely by allowing to reuse proven solutions to recurrent problems we propose the use of IT infrastructure patterns. The use of patterns in the design of IT infrastructure will provide several benefits such as facilitate the communication among IT design stakeholders, simplify the whole design process and potentially decrease size and complexity, which all contribute to increase the quality of IT service management processes. This paper present the preliminary effort to build supplier-independent IT infrastructure patterns and we introduce two of them, covering aspects from its rationale to instantiation that will hopefully leverage the IT infrastructure design process and create a positive impact in the quality of IT service management processes trough proven and better designed IT Infrastructures.</t>
  </si>
  <si>
    <t>From the Desktop to the Multi-clouds: The Case of ModelioSaaS</t>
  </si>
  <si>
    <t>2013 15th International Symposium on Symbolic and Numeric Algorithms for Scientific Computing</t>
  </si>
  <si>
    <t>462-469</t>
  </si>
  <si>
    <t>The advent of cloud computing is an opportunity to companies offering client-server services to migrate to a Software as a Service (SaaS) kind of business model. This kind of business model is based on having companies offering services on the cloud accessible by means of web interfaces and protocols. This comes in opposition to the traditional (client-server) model in which software packages need to be downloaded, installed and maintained directly by clients. Therefore, the SaaS could allow the definition of high level services, removing the burden of configuring and managing servers from clients. In the point of view of the service providers, this transition is not easy. Concerns such as vendor neutral design, scalability, (self-)adaptation and monitoring of running applications need to be dealt with. The MODAClouds FP7 EU project proposes to deal with all these challenges and it is going to use ModelioSaaS as a use case. ModelioSaaS is a software as a service product to be offered by SOFTEAM by means of the migration of its existing client-server based products. The main contributions of this paper are therefore providing an account, from the industrial point of view, of the context surrounding this migration and the constraints it needs to comply to. These constraints will be presented in the form of functional and non-functional requirements along with their rationale. This paper presents our current view of the architecture of ModelioSaaS that will enable this move and the gaps that we intend to fill be means of the MODAClouds platform.</t>
  </si>
  <si>
    <t>Using ArchiMate to model a process assessment framework</t>
  </si>
  <si>
    <t>1189-1194</t>
  </si>
  <si>
    <t>An exploration of enterprise architecture research</t>
  </si>
  <si>
    <t>Communications of the Association for Information Systems</t>
  </si>
  <si>
    <t>Management of the enterprise architecture has become increasingly recognized as a crucial part of both business and IT management. Still, a common understanding and methodological consistency seems far from being developed. Acknowledging the significant role of research in moving the development process along, this article employs different bibliometric methods, complemented by an extensive qualitative interpretation of the research field, to provide a unique overview of the enterprise architecture literature. After answering our research questions about the collaboration via co-authorships, the intellectual structure of the research field and its most influential works, and the principal themes of research, we propose an agenda for future research based on the findings from the above analyses and their comparison to empirical insights from the literature. In particular, our study finds a considerable degree of co-authorship clustering and a positive impact of the extent of co-authorship on the diffusion of works on enterprise architecture. In addition, this article identifies three major research streams and shows that research to date has revolved around specific themes, while some of high practical relevance receive minor attention. Hence, the contribution of our study is manifold and offers support for researchers and practitioners alike. © 2013 by the Association for Information Systems.</t>
  </si>
  <si>
    <t>https://www.scopus.com/inward/record.uri?eid=2-s2.0-84877089831&amp;partnerID=40&amp;md5=cf2efac6ed7cfe74f38700ad820c2d24</t>
  </si>
  <si>
    <t>Reusing business components and objects for modeling business systems: The influence of decomposition characteristics and analyst experience</t>
  </si>
  <si>
    <t>550-569</t>
  </si>
  <si>
    <t>Component-based development (CBD) relies on the use of pre-fabricated business components to develop new application systems, rather than developing them from scratch. It provides an attractive alternative to more established development methods such as object-oriented analysis and design (OOAD). Given the growing demands for using agile methods for software development, we examine if systems analysts are more effective at modeling business systems by reusing business components than by reusing objects. We also examine whether the influence of component or object reuse on modeling performance is moderated by prior experience in systems analysis and design. We evaluate the representational constructs of the two based on a set of decomposition characteristics, and postulate hypotheses comparing the two based on theories in cognitive psychology and human factors. We find that models generated by reusing business components are of higher accuracy than those developed by reusing objects. An interesting finding of our study is that IT professionals who are less experienced in systems analysis and design perform on par with experienced professionals, when modeling business systems by reusing components. We argue that the decomposition characteristics of components—with respect to granularity, quality, and focus—enable less experienced analysts to perform on par with more experienced analysts.</t>
  </si>
  <si>
    <t>https://www.sciencedirect.com/science/article/pii/S0164121216301303</t>
  </si>
  <si>
    <t>Transforming an enterprise model into a use case model in business process systems</t>
  </si>
  <si>
    <t>152-171</t>
  </si>
  <si>
    <t>One of the responsibilities of requirements engineering is to transform stakeholder requirements into system and software requirements. For enterprise systems, this transformation must consider the enterprise context where the system will be deployed. Although there are some approaches for detailing stakeholder requirements, some of them even considering the enterprise context, this task is executed manually. Based on model-driven engineering concepts, this study proposes a semi-automatic transformation from an enterprise model to a use case model. The enterprise model is used as a source of information about the stakeholder requirements and domain knowledge, while the use case model is used as software requirements model. This study presents the source and target metamodels, a set of transformation rules, and a tool to support the transformation. An experiment analyzes the use of the proposed transformation to investigate its benefits and if it can be used in practice, from the point of view of students in the context of a requirements refinement. The results indicate that the approach can be used in practice, as it did not influence the quality of the generated use cases. However, the empirical analysis does not indicate benefits of using the transformation, even if the qualitative results were positive. © 2014 Elsevier Inc.</t>
  </si>
  <si>
    <t>https://www.scopus.com/inward/record.uri?eid=2-s2.0-84906948931&amp;doi=10.1016%2fj.jss.2014.06.007&amp;partnerID=40&amp;md5=a8d48e9c47ae5df28c17437d0a687c94</t>
  </si>
  <si>
    <t>Transforming an enterprise model into a use case model using existing heuristics</t>
  </si>
  <si>
    <t>2011 Model-Driven Requirements Engineering Workshop</t>
  </si>
  <si>
    <t>One of the key responsibilities of Requirements Engineering is to refine requirements into specifications. Although there are some approaches for requirements refinement, this task is usually executed manually. Based on Model-Driven Engineering concepts, this study proposes a semi-automatic transformation using an enterprise model as source and a use case model as target. The underlying hypothesis is that using an enterprise model as a source it is possible to represent both the requirements and the domain knowledge that are necessary to obtain specifications. Considering this hypothesis, this study discusses the proposed transformation and a set of heuristics - found in the analysis of existing studies - using an example, executed with support of a tool.</t>
  </si>
  <si>
    <t>Systems engineering for information fusion: Towards enterprise multi-level fusion integration</t>
  </si>
  <si>
    <t>Proceedings of the 16th International Conference on Information Fusion</t>
  </si>
  <si>
    <t>121-128</t>
  </si>
  <si>
    <t>Advances in both low-level and high-level fusion continue to be made at an increasingly accelerated pace. With the value of Information Fusion now being recognized as applicable to several domain problems, comes the need to develop a systematic and cohesive approach to address the Enterprise Multi-Level Fusion Lifecycle. It is no longer sufficient to advance fragmented capabilities without formal processes with which to deploy them in an integrated fashion. While the importance of Systems Engineering has been previously addressed by the Fusion Community of Interest, advances in technology and in the way that systems are deployed, e.g., Service Oriented Architecture, Distributed Systems, Information Assurance, and Real-Time/Mobile applications, and especially the complexity of Systems-of-Systems which characterize Multi-Level Fusion, warrant a fresh look at developing a lock-step approach. This paper draws from real-world projects and explores how Systems Engineering can be leveraged to deploy Enterprise Multi-Level Fusion applications and bridge the integration gap between Lower-Level and Higher-Level capabilities that continues to challenge the Fusion community.</t>
  </si>
  <si>
    <t>Toward an Organizational Alignment Modeling Language: The Human Resource Competency Perspective</t>
  </si>
  <si>
    <t>277-286</t>
  </si>
  <si>
    <t>An organization environment is composed by different perspectives that, in concert, aim to fulfill the business strategy. One of these perspectives is Human Resources (HR), responsible for filling the gap between the HR Structure and the business strategy demands. The strategic role of HR faces the challenge of the instability from the internal and external environment, which requires continuous adaptation. Aiming to reduce these intrinsic difficulties, many organizational modeling techniques try to help alignment analysis by facilitating the understanding of business dynamics. These efforts rely on, for example, mappings, explaining interactions and tracing cause and effect situations among business elements. In this paper, we contribute to the HR strategic alignment analysis by adding the competency concept to an organizational modeling language (GPI). Our goal on this integration is twofold: add HR concerns to organizational layers (operational, tactic and strategic), and explicitly model the impacts of misalignments over business strategic goals. In our study, we rely on knowledge from the HR and Competency Management literature. We demonstrate the contributions of our proposal by using it in a real case from a health organization.</t>
  </si>
  <si>
    <t>J. L. R. Sousa</t>
  </si>
  <si>
    <t>Information systems architecture modeling based on loosely coupled structures: An e-learning use case</t>
  </si>
  <si>
    <t>2011 9th International Conference on Emerging eLearning Technologies and Applications (ICETA)</t>
  </si>
  <si>
    <t>195-198</t>
  </si>
  <si>
    <t>Traditional approaches to information system architecture development have a little concerns with information technology interdependency. They are sustained in a positivist vision of the world, where the information systems, can be constructed from a set of requirements, done by a detached observer, who captures or elicits it. Organizations are each more concerned about information flow and knowledge availability as the central element for innovation and empowerment. This flow and knowledge have always a relation of interdependency. There is clear construction of a technosocial system whose relevance and differentiation come from user interrelation with information technology. It's the structure of this technosocial system that is the key element for the information system architecture dynamic development. This paper presents information technology as a commodity, resulting from a positivist development, and blueprints a definition of three loosely IT coupled structures namely, software as service, computation as a service and infrastructure as a service, structured under an information system modeling architecture. This modeling approach addresses an interpretive vision, and aims to give directions to achieve and promote differentiation, for enterprise development. An exploratory use case, regarding a two-year e-learning project, is presented as a result of the adoption of the presented modulation vision.</t>
  </si>
  <si>
    <t>Sociomaterial Enactment Drive of Business/IT Alignment: From Small Data to Big Impact</t>
  </si>
  <si>
    <t>569-582</t>
  </si>
  <si>
    <t>Business/IT alignment is an information systems research field with a long existence and a high number of researchers and represents a central direction on the thinking about the relation between business and the information systems. It aims to achieve a paradigm, one in which there is a high degree of visibility and availability of information, about the information systems sociomateriality. Complex-networks constitute an approach to the study of emergent properties of complex systems that strongly focuses and relies on models and measures, through which build the system interdependence. Several contributions of complex-networks are: topology always affects the function; separated from the domain; quantification of element's relationships; visibility and capture of emergent properties. This work expects to contribute for the appropriate use of complex-networks models and measure in the drive of the information systems alignment. This work considers an exploratory case research strategy. It uses an exploratory case developed in the field of information systems that directed its deployment to sustain the business development and evolution. This paper illustrates a profiling framework that introduces a global and elementary use of the sociomaterial enactment. From the analysis of the exploratory case, the paper infers drivers of the information systems Business/IT alignment.</t>
  </si>
  <si>
    <t>https://www.sciencedirect.com/science/article/pii/S2212017314002321</t>
  </si>
  <si>
    <t>365-370</t>
  </si>
  <si>
    <t>https://www.scopus.com/inward/record.uri?eid=2-s2.0-84878838488&amp;doi=10.1109%2fQUATIC.2012.40&amp;partnerID=40&amp;md5=75559e4edc8a4de299ac43c0cce25900</t>
  </si>
  <si>
    <t>On the Changing Role of Enterprise Architecture in Decentralized Environments: State of the Art</t>
  </si>
  <si>
    <t>310-318</t>
  </si>
  <si>
    <t>The decentralization of organizations and subsequent change to their management and operation style requires major changes in organization processes and heavily involves the IT. This paper demonstrates, however, that EA is primarily aimed at centralized organizational structures and as such has shortcomings when applied to decentralized organizations. Overcoming these deficiencies requires new principles to be introduced and incorporated into EA knowledge. A potential source for these principles are peer-to-peer architectures, which tackles the problem of decentralization in its own way. This paper presents prevalent decentralization principles from peer-to-peer, and how they have the potential to be applied to EA.</t>
  </si>
  <si>
    <t>Cinders: The continuous integration and delivery architecture framework</t>
  </si>
  <si>
    <t>76-93</t>
  </si>
  <si>
    <t>Context: The popular agile practices of continuous integration and delivery have become an essential part of the software development process in many companies, yet effective methods and tools to support design, description and communication of continuous integration and delivery systems are lacking. Objective: The work reported on in this paper addresses that lack by presenting Cinders — an architecture framework designed specifically to meet the needs of such systems, influenced both by prominent enterprise and software architecture frameworks as well as experiences from continuous integration and delivery modeling in industry. Method: The state of the art for systematic design and description of continuous integration and delivery systems is established through review of literature, whereupon a proposal for an architecture framework addressing requirements derived from continuous integration and delivery modeling experiences is proposed. This framework is subsequently evaluated through interviews and workshops with engineers in varying roles in three independent companies. Results: Cinders, an architecture framework designed specifically for the purpose of describing continuous integration and delivery systems is proposed and confirmed to constitute an improvement over previous methods. This work presents software professionals with a demonstrably effective method for describing their continuous integration and delivery systems from multiple points of view and supporting multiple use-cases, including system design, communication and documentation. Conclusion: It is concluded that an architecture framework for the continuous integration and delivery domain has value; at the same time potential for further improvement is identified, particularly in the area of tool support for data collection as well as for manual modeling.</t>
  </si>
  <si>
    <t>https://www.sciencedirect.com/science/article/pii/S095058491630369X</t>
  </si>
  <si>
    <t>Using XML transformations for enterprise architectures</t>
  </si>
  <si>
    <t>4313 LNCS</t>
  </si>
  <si>
    <t>42-56</t>
  </si>
  <si>
    <t>In this paper we report on the use of XML transformations in the context of Enterprise Architectures. We show that XML transformation techniques can be applied to visualize and analyze enterprise architectures in a formal way. We propose transformational techniques to extract views from an XML document containing architectural information and indicate how to perform a specific form of impact analysis on this information. The transformations are formally expressed with the language RML, a compact yet powerful transformation language developed at CWI, which obtains its power from regular expressions defined on XML documents. We discuss a tool that has been built on top of it to visualize the results of the transformations and illustrate the advantages of our approach: the genericity of XML, the application of a single technique (namely XML transformations) for various tasks, and the benefits of having a model viewer which is in complete ignorance of the architectural language used. © Springer-Verlag Berlin Heidelberg 2006.</t>
  </si>
  <si>
    <t>https://www.scopus.com/inward/record.uri?eid=2-s2.0-33845926611&amp;partnerID=40&amp;md5=1ab8b7f81b79629379ad5d5ace873776</t>
  </si>
  <si>
    <t>Supporting viewpoint-oriented enterprise architecture</t>
  </si>
  <si>
    <t>Proceedings. Eighth IEEE International Enterprise Distributed Object Computing Conference, 2004. EDOC 2004.</t>
  </si>
  <si>
    <t>201-211</t>
  </si>
  <si>
    <t>Increasingly, organisations establish what is called an enterprise architecture. The enterprise architecture combines and relates all architectures describing some aspect of the organization, such as the business process architecture, the information architecture, and the application architecture. It is a blueprint of the organisation, which serves as a starting point for analysis, design and decision making. Viewpoints define abstractions on the set of models representing the enterprise architecture, each aimed at a particular type of stakeholder and addressing a particular set of concerns. The use of viewpoints is widely advocated for managing the inherent complexity in enterprise architecture. Viewpoints can both be used to view certain aspects in isolation, and for relating two or more aspects. However, in order to make such a viewpoint-oriented approach practically feasible, architects require a tool environment, which supports the definition, generation, editing and management of architectural views. Moreover, such an environment should work in concert with existing domain-specific modelling tools. We present the design of such a tool environment for viewpoint-oriented enterprise architecture.</t>
  </si>
  <si>
    <t>Model-Driven Evaluation of Software Architecture Quality Using Model Clone Detection</t>
  </si>
  <si>
    <t>2016 IEEE International Conference on Software Quality, Reliability and Security (QRS)</t>
  </si>
  <si>
    <t>92-99</t>
  </si>
  <si>
    <t>As software architecture methods and tools become increasingly model-driven, evaluating architecture artifacts must adjust correspondingly. Model-driven evaluation of architecture quality has advantages over traditional evaluation techniques, especially when applied in a model-driven context. One approach we found successful in performing model-driven analysis involves using model clone detection, whereby we detect subsystems that are similar to example systems that are positive and negative quality indicators. In this paper we present our ideas on applying model clone detection to realize model-driven evaluation of software architectures, which contain many high-level systems and interactions. We propose having model-based representations of architectural patterns and styles, and employing model clone detection to identify positive and negative architectural aspects for evaluation, including reliability and security. We provide our insights on how this research can be applied to popular architectural paradigms, relation to previous work, and present discussion points on how it will impact software architecture quality evaluation.</t>
  </si>
  <si>
    <t>G. Subrahmanyam</t>
  </si>
  <si>
    <t>A Dynamic Framework for Software Engineering Education Curriculum to Reduce the Gap between the Software Organizations and Software Educational Institutions</t>
  </si>
  <si>
    <t>2009 22nd Conference on Software Engineering Education and Training</t>
  </si>
  <si>
    <t>248-254</t>
  </si>
  <si>
    <t>Rapid advancements in the software industry along with increasing software business demands are creating a gap between the software educational institutes and software industry. Time to time curriculums is being changed to reduce the gap and increase the focus as per need of time and demands. Software industry knows the requirements of the business (customers for IT) and software institutes can instigate the discipline to the need of software industry by collaboration. This will make sure that industry gets the suitable talent and software engineering students get the suitable opportunities to work with industries. As part of collaboration, we have presented here the 7 intelligence modules to enhance the current curriculum mechanism in order to bring the levels of software education closure to software industry, which is a win-win situation.</t>
  </si>
  <si>
    <t>Data driven implementation to filter fraudulent medicaid applications</t>
  </si>
  <si>
    <t>IEEE SOUTHEASTCON 2014</t>
  </si>
  <si>
    <t>There has been much work to improve current IT Healthcare system to manage and maintain health records. The U.S government is trying to integrate different type of healthcare data to provide a centralized system for healthcare service providers and patients. However, less attention is paid to implement a system to detect fraudulent application, specifically in Medicaid. In this paper, we propose a data driven implementation using a layered architecture to filter fraudulent applications for Medicaid. In this system, we utilize a set of public and private databases which contain asset records of an individual. These asset records are used to determine the Medicaid eligibility of an applicant.</t>
  </si>
  <si>
    <t>Building a Common Enterprise Technical Architecture for an Universal Bank</t>
  </si>
  <si>
    <t>2010 International Conference on Management and Service Science</t>
  </si>
  <si>
    <t>Researches on enterprise architecture mainly focus on business process organizing, software development, enterprise application integration and etc., but not much emphasis is focused on the enterprise technical architecture and its components. The paper proposed a domain based integrated enterprise technical architecture for a universal bank, helping to build common patterns to manage bank's technical IT applications and infrastructure in a unified IT environment. The authors also propose to define the enterprise technical architecture in different levels based on the bank's real business need referring to the enterprise business architecture and industry's best practices like TOGAF 9 and Zachman Framework. It is concluded that the proposed enterprise technical architecture with its holistic view of all the technical component patterns will enhance the effectiveness of the bank IT lifecycle management and also increase the adaptability with a controlled manner.</t>
  </si>
  <si>
    <t>Informal Process Essentials</t>
  </si>
  <si>
    <t>200-209</t>
  </si>
  <si>
    <t>Human-centric processes are part of most organizations and their execution steps are typically not known initially. Consequently, standard business process modeling approaches are not suitable for modeling informal processes because they typically concentrate on the explicit modeling of the execution steps. In this work, we analyze properties of informal processes and requirements for supporting their correct enactment. We review existing approaches and evaluate their suitability in terms of modeling informal processes. Based on these results, we present a resource-centric approach by employing the concept of Informal Process Essentials which is used to create executable informal process models with dynamically changing interrelated resources.</t>
  </si>
  <si>
    <t>Incorporating Directives into Enterprise TO-BE Architecture</t>
  </si>
  <si>
    <t>57-66</t>
  </si>
  <si>
    <t>To stay competitive, enterprises must respond to changes as effectively and efficiently as possible and ensure the employed courses of action, whether in response to change or even to optimize business as usual, fall within the purview of internal and external directives. Often, the traceability from change drivers that led to specific directives being applied to actual business rules implementing the directives is never captured in machine processable and analyzable manner, making compliance to directives hard to track and demonstrate. We present a model-based solution that enables a) modeling directives at various levels of detail on top of extended enterprise architecture-based models of enterprise, b) analyzing the models for compliance, and c) ensuring operationalization of directives. Initial explorations with a real world case study suggest that it might be possible to establish both top-down and bottom-up traceability for directives toward compliance checking.</t>
  </si>
  <si>
    <t>Visual Modeling Editor and Ontology API-Based Analysis for Decision Making in Enterprises - Experience and Way Ahead</t>
  </si>
  <si>
    <t>182-190</t>
  </si>
  <si>
    <t>To stay competitive in dynamic environment, enterprises need to be able to efficiently and effectively respond to changes. Both visual modeling and programmable analysis support is needed for modeling a) motivations behind and goals in response to change, b) the AS-IS state of enterprise, c) possible TO-BE states, and d) operationalization model that captures paths from AS-IS to desired TO-BE states, in a scalable way. We recount our earlier, ongoing, and proposed approaches for tooling in this regards using situation, task, action, results, and reflections structure. Initial research suggests that reflections from past and ongoing experience may help us in extrapolating ways in which our proprietary metamodeling framework may be put to best use for scalable modeling and analysis of enterprise's decision making models.</t>
  </si>
  <si>
    <t>Practical goal modeling for enterprise change context: A problem statement</t>
  </si>
  <si>
    <t>139-144</t>
  </si>
  <si>
    <t>Modern enterprise need to rapidly respond to changes. Goal modeling techniques are intuitive mechanisms that help in modeling and analyzing rationale behind enterprise’s response to change. In spite of their intuitiveness, there are several challenges that need to be addressed for their practical adoption and application. We present a problem statement based on real world case study and possible ways in which these challenges can be addressed. © Springer International Publishing Switzerland 2014.</t>
  </si>
  <si>
    <t>https://www.scopus.com/inward/record.uri?eid=2-s2.0-84910633413&amp;partnerID=40&amp;md5=d1677bc827b68975fc0bcb89ec457244</t>
  </si>
  <si>
    <t>Requirements engineering for cloud computing adaptive model</t>
  </si>
  <si>
    <t>Journal of Information and Communication Technology</t>
  </si>
  <si>
    <t>Universiti Utara Malaysia Press</t>
  </si>
  <si>
    <t>The easy access and flexibility provided by cloud computing have made various types of organizations use this technology as an alternative solution. However, the decision to use the cloud technology sometimes ignores the basic aspects related to the understanding of its compliance with the characteristics of the organization. Thus, many advantages of the adoption of the technology do not align with the needs. This paper discusses the requirements engineering of the alignment of the organizational characteristics and the cloud computing technology in order to create the adaptive ability to guide strategic-business driven organizations. The model proposed in this article is formulated based on three views: architectural, alignment, and adaptive, by employing the Goal-Oriented Requirements Engineering. As a case study, the model is applied to cloud computing for university. The architectural view can translate the environmental characteristics of organizations through goal decomposition into detailed needs. Meanwhile, the alignment view can meet the implementation, so the dynamic adaptive ability can be realized through the adaptivity view.The mechanism of our proposed model can cover the adaptation needs before the migration (premigration), during the migration, and after the migration (postmigration).</t>
  </si>
  <si>
    <t>https://www.scopus.com/inward/record.uri?eid=2-s2.0-85010220010&amp;partnerID=40&amp;md5=ab4e51f33c129a916ed20b6961411a11</t>
  </si>
  <si>
    <t>Enterprise architecture as a contributor to sustainability objectives</t>
  </si>
  <si>
    <t>Sustainability goals as reflected in an organization's stated mission, should be supported by the Information Technology strategies and functions of the organization. Enterprise Architecture (EA) processes are intended to identify and create alignment between the organisational mission and information technology enabled activities. This exploratory research investigates the use of Enterprise Architecture at two large natural resource extraction organisations through a sustainability lens to reveal the IT contribution to the sustainability aspects of the organisational mission.</t>
  </si>
  <si>
    <t>https://www.scopus.com/inward/record.uri?eid=2-s2.0-84905842823&amp;partnerID=40&amp;md5=f91928312cae0b14767b95e8bef52dc4</t>
  </si>
  <si>
    <t>A model-based approach for capturing consumer preferences from crowdsources: The case of Twitter</t>
  </si>
  <si>
    <t>2016 IEEE Tenth International Conference on Research Challenges in Information Science (RCIS)</t>
  </si>
  <si>
    <t>Consumer choices are enormously influential in the success of the companies and organizations behind the highly competitive global service and product offerings of today. Consumer choice relates to preference, i.e. a set of assumptions a person creates around a service or a product such as convenience, utility or aesthetics. Furthermore, consumer preferences allow ranking of different assumptions about products or services based on the expected or to-be-experienced satisfaction of consuming them. In our previous work, we proposed a conceptualization of consumer preferences - the Consumer Preference Meta-Model (CPMM) - to enable a classification and ranking of the preferences that would be the basis for deciding which of would be considered to be developed into supporting information systems/services. In this study we collect consumer preferences through crowdsourcing, and in particular Twitter, because of its increasing popularity as a source of up-to-date comments and information about current services and products. The tweets of four major American airlines were processed using different techniques from natural language processing (NLP) that enabled the classification of their objectives, content, and importance within CPMM. By next mapping the highest-ranked results from CPMM to goal models enabled a model-based linkage from a corpus of preferences contained within short texts to high-level requirements for system/services.</t>
  </si>
  <si>
    <t>Efficiency of formal verification of ArchiMate business processes with NuSMV model checker</t>
  </si>
  <si>
    <t>2015 Federated Conference on Computer Science and Information Systems (FedCSIS)</t>
  </si>
  <si>
    <t>1427-1436</t>
  </si>
  <si>
    <t>We investigate an application of model checking techniques to automated verification of business processes expressed in ArchiMate language. As a verification tool the state of the art symbolic model checker NuSMV is used. The proposed approach consists in fully automated translation of behavioral elements embedded in ArchiMate models into a corresponding representation in NuSMV language and then verifying its properties specified in CTL. Since our goal is to build an interactive verification tool, we focus on time efficiency of the verification process. We report results of tests performed on artificial process models of various complexity, as well as on a real business process example. The results show, that the described approach can be applied successfully, however, verification of complex business process specifications may face the problem of state space explosion. In such a case, to make the verification feasible, various reductions and simplifications can be applied.</t>
  </si>
  <si>
    <t>A proposal of unified reference model for smart manufacturing</t>
  </si>
  <si>
    <t>2017 13th IEEE Conference on Automation Science and Engineering (CASE)</t>
  </si>
  <si>
    <t>964-969</t>
  </si>
  <si>
    <t>This paper examines &amp;#x201C;Unified Reference Model-Map &amp; Methodology (URM-MM)&amp;#x201D; as a development guideline for open-ecosystem, which support users to integrate individual components developed by diversified vendors in order to address complicated challenges, which is not easy to solve by a single vendor. The first contribution of this paper is finding insufficiency of not only functionality but also a process for building open-ecosystems through a survey on existing reference models/architecture. The second contribution is to shape URM-MM as a unified model, a development guideline for boosting discussions towards the realization of smart manufacturing.</t>
  </si>
  <si>
    <t>A reference requirements set for public service provision enterprise architectures</t>
  </si>
  <si>
    <t>991-1013</t>
  </si>
  <si>
    <t>Electronic Government (eGov) is a political priority worldwide. One of the core objectives of eGov is the online public services provision (PSP). However, many of eGov PSP systems fail in realizing their objectives. Enterprise Architectures (EA) could contribute to overcome some of the relevant obstacles. The objective of this paper is to derive a reference requirements set for eGov PSP that can be used in EA development. Aiming at capitalizing on existing knowledge, we conduct a systematic literature review on eGov PSP systems requirements. This results in identifying a unified requirements set, i.e. 186 requirements, and stakeholders set, i.e. 19 stakeholders, for eGov PSP systems. Based on these findings, we determine 16 overview use cases demonstrating the basic functionality of such systems. Our findings are modeled using ArchiMate 2.0 notation. The identified requirements set can be used by virtually any public organization providing public services for developing its own EA. As a result, it can lead to the reduction of eGov PSP project failures, the decrease of software development costs and the improvement of its effectiveness and quality. Furthermore, it can be used as a basis to develop a complete reference EA for the eGov PSP domain. © 2012 Springer-Verlag Berlin Heidelberg.</t>
  </si>
  <si>
    <t>https://www.scopus.com/inward/record.uri?eid=2-s2.0-84903473229&amp;doi=10.1007%2fs10270-012-0303-7&amp;partnerID=40&amp;md5=5c8d9d2fe34f14d803d06265ee2c7542</t>
  </si>
  <si>
    <t>A Service-Oriented Virtual Enterprise Architecture and its Applications in Chinese Tobacco Industrial Sector</t>
  </si>
  <si>
    <t>2006 IEEE International Conference on e-Business Engineering (ICEBE'06)</t>
  </si>
  <si>
    <t>95-101</t>
  </si>
  <si>
    <t>This paper introduces the relative concepts of virtual enterprise, and proposes a practical virtual enterprise architecture framework using business, application, and technology layers to realize an adaptive virtual enterprise. It also discusses enterprise business classification, application classification, and the supporting technologies and standards. Based on the proposed framework, after analyzing the requirements of Chinese tobacco industrial contemporary integration manufacturing system (CTI-CIMS) and the key issues occurred in the current practical of tobacco industrial information system construction, an enterprise application integration pattern which is useful for inter-enterprise application integration has been proposed for the development of adaptive enterprise information system in tobacco industry. In a case study, this paper presents a contemporary tobacco distribution system to proof the proposed virtual enterprise architecture framework. At last, some experiences of enterprise information system integration in Chinese tobacco industrial sector are introduced</t>
  </si>
  <si>
    <t>A comparative analysis of architecture frameworks</t>
  </si>
  <si>
    <t>11th Asia-Pacific Software Engineering Conference</t>
  </si>
  <si>
    <t>640-647</t>
  </si>
  <si>
    <t>Architecture frameworks are methods used in architecture modeling. They provide a structured and systematic approach to designing systems. To date there has been little analysis on their roles in system and software engineering and if they are satisfactory. This study provides a model of understanding through analyzing the goals, inputs and outcomes of six architecture frameworks. It characterizes two classes of architecture frameworks and identifies some of their deficiencies. To overcome these deficiencies, we propose to use costs, benefits and risks for architecture analysis. We also propose a method to delineate architecture activities from detailed design activities.</t>
  </si>
  <si>
    <t>A rationale-based architecture model for design traceability and reasoning</t>
  </si>
  <si>
    <t>918-934</t>
  </si>
  <si>
    <t>Large systems often have a long life-span and comprise many intricately related elements. The verification and maintenance of these systems require a good understanding of their architecture design. Design rationale can support such understanding but it is often undocumented or unstructured. The absence of design rationale makes it much more difficult to detect inconsistencies, omissions and conflicts in an architecture design. We address these issues by introducing a rationale-based architecture model that incorporates design rationale, design objects and their relationships. This model provides reasoning support to explain why design objects exist and what assumptions and constraints they depend on. Based on this model, we apply traceability techniques for change impact analysis and root-cause analysis, thereby allowing software architects to better understand and reason about an architecture design. In order to align closely with industry practices, we choose to represent the rationale-based architecture model in UML. We have implemented a tool-set to support the capture and the automated tracing of the model. As a case study, we apply this approach to an real-world electronic payment system.</t>
  </si>
  <si>
    <t>https://www.sciencedirect.com/science/article/pii/S0164121206002287</t>
  </si>
  <si>
    <t>Software architecture review by association</t>
  </si>
  <si>
    <t>87-101</t>
  </si>
  <si>
    <t>During the process of software design, software architects have their reasons to choose certain software components to address particular software requirements and constraints. However, existing software architecture review techniques often rely on the design reviewers’ knowledge and experience, and perhaps using some checklists, to identify design gaps and issues, without questioning the reasoning behind the decisions made by the architects. In this paper, we approach design reviews from a design reasoning perspective. We propose to use an association-based review procedure to identify design issues by first associating all the relevant design concerns, problems and solutions systematically; and then verifying if the causal relationships between these design elements are valid. Using this procedure, we discovered new design issues in all three industrial cases, despite their internal architecture reviews and one of the three systems being operational. With the newly found design issues, we derive eight general design reasoning failure scenarios.</t>
  </si>
  <si>
    <t>https://www.sciencedirect.com/science/article/pii/S0164121213002409</t>
  </si>
  <si>
    <t>An ontology based parallel network traffic classification method</t>
  </si>
  <si>
    <t>Dianzi Keji Daxue Xuebao/Journal of the University of Electronic Science and Technology of China</t>
  </si>
  <si>
    <t>Univ. of Electronic Science and Technology of China</t>
  </si>
  <si>
    <t>417-422</t>
  </si>
  <si>
    <t>The contradiction between the processing of mass network traffic data and the computing bottleneck of a single node leads to low efficiency of data classification. To address this challenge, we propose an ontology based parallel network traffic classification method by integrating the advantage of ontology and MapReduce in dealing with the description and processing of mass heterogeneous data. Our approach makes use of MapReduce, a framework of parallel computing. Firstly, it uses the ontology to describe and manage network traffic data, and constructs the layered and parallel network traffic ontology. Then it builds the classification model by employing the decision tree algorithm, by which the inference rule set is generated. Network traffic classification based on traffic statistical features is completed by utilizing parallel knowledge reasoning. Implementation results show that data classification efficiency of the proposed approach in group environment is higher than in stand-alone scenario. The speedup ratio increases linearly when increasing the quantity of compute nodes. In addition, the new method is able to improve the classification efficiency of large-scale network traffic significantly. © 2016, Editorial Board of Journal of the University of Electronic Science and Technology of China. All right reserved.</t>
  </si>
  <si>
    <t>https://www.scopus.com/inward/record.uri?eid=2-s2.0-84970005908&amp;doi=10.3969%2fj.issn.1001-0548.2016.02.018&amp;partnerID=40&amp;md5=5df4967d44b1ce9f99b5f235f21f0a52</t>
  </si>
  <si>
    <t>Alignment Verification in the Early Stage of Service Design</t>
  </si>
  <si>
    <t>18-25</t>
  </si>
  <si>
    <t>Verification is a costly task, sometimes burdensome and tedious, requiring strong formal background. To reduce the effort and cost invested in verification, we developed a modeldriven approach for automatic verification of service properties, done in the early service design phase. Our approach is based on SEAM, a service modeling method, and it incorporates a verification system called Leon. With our approach service designers do not need substantial understanding of specific formal and verification languages, since the SEAM visual service model is both the input for and output of the alignment verification.</t>
  </si>
  <si>
    <t>Patterns for Value-Added Services Illustrated with SEAM</t>
  </si>
  <si>
    <t>340-346</t>
  </si>
  <si>
    <t>The basic idea behind the provision of a service is to hide the service implementation details from the client in such a way that more value is provided to the client. Very often support services allow too much of their implementation details to be visible to customers resulting in poor value proposition. In this paper we describe a project that aimed towards the requisite abstraction of the support service implementation for the research funding at the Swiss Federal Institute of Technology (EPFL). We show the current service, the problem it creates for its customers, and propose four patterns for improving the value that customers receive from a requisite service abstraction. The four patterns are: provide a simple service interface, incorporate needed external actors into the service view of the organization, recognize new customers and use data and process linking technology. These patterns are applied in a to-be model.</t>
  </si>
  <si>
    <t>Towards a business-IT aligned maturity model for collaborative networked organizations</t>
  </si>
  <si>
    <t>2008 12th Enterprise Distributed Object Computing Conference Workshops</t>
  </si>
  <si>
    <t>276-287</t>
  </si>
  <si>
    <t>Aligning business and IT in networked organizations is a complex endeavor because in such settings, business-IT alignment is driven by economic processes instead of by centralized decision-making processes. In order to facilitate managing business-IT alignment in networked organizations, we need a maturity model that allows collaborating organizations to assess the current state of alignment and take appropriate action to improve it where needed. In this paper we propose the first version of such a model, which we derive from various alignment models and theories.</t>
  </si>
  <si>
    <t>Digital factory system for dynamic manufacturing network supporting networked collaborative product development</t>
  </si>
  <si>
    <t>130-154</t>
  </si>
  <si>
    <t>During the last years, important research investments have been made by Airbus Group Innovations for the establishment of sustainable Product and Process data interoperability based on open standards. Driven successively by concurrent engineering, collaborative product design in the virtual enterprise or digital behavorial aircraft, it was capitalize through the establishment of a federative interoperability framework. Driven by factory of the future-related research, the dynamic manufacturing network (DMN) concept enriched the framework, which aims at providing agile infrastructure for networked collaborative product development. For such networks, protocols based on open eBusiness product lifecycle management (PLM) standards for exchange and sharing of product and process data between the implied organizations, their processes and the technical enteprise applications supporting these processes are needed This paper presents a new way of combining model-based enterprise platform engineering, model-driven architecture, and system engineering in order to adress the establishment of a sustainable interoperability within DMN. Based on relevant litterature interoperability issues, this paper describes the new approach, which relies on the association of effective existing technologies coupled with research results on the fields of model-driven engineering (MDE), enterprise interoperability, system engineering and PLM. The new approach relies on the concept of digital factory system (DFS) coupled with DMN in order to produce sustainable and agile collaborative infrastructure for manufacturing digital ebusiness ecosystem. The approach is then illustrated through use case coming from the IMAGINE project and an outline is provided on how it will be used and developed further for the assessment of PLM standards and their implementation in the Standard Interoperability PLM project at IRT-Systemx.</t>
  </si>
  <si>
    <t>https://www.sciencedirect.com/science/article/pii/S0169023X16300040</t>
  </si>
  <si>
    <t>Change impact analysis of indirect goal relations: Comparison of NFR and TROPOS approaches based on industrial case study</t>
  </si>
  <si>
    <t>2012 Second IEEE International Workshop on Model-Driven Requirements Engineering (MoDRE)</t>
  </si>
  <si>
    <t>58-67</t>
  </si>
  <si>
    <t>Along with recent trends in using goal-oriented approaches for requirements engineering and system development activities, various techniques for managing adaptable stakeholder goals and requirements are proposed and used by the software engineering industry. Enterprise Architecture (EA) models which tie business goals, business processes and supporting IT systems are also expected to support reasoning on impact of changes on goals and requirements. Unfortunately common Enterprise Architecture (EA) frameworks like The Open Group Architecture Framework (TOGAF) and EA modeling languages like Archimate lacks support for analyzing goal and requirement change impacts in EA goal models. This paper reports an effort to fill this gap by extending a metamodel of already existing requirements and goal modeling language. The extension adds semantically reach definitions for goal influence relations that support reasoning on these relations. To leverage existing change impact analysis techniques, a literature review was conducted on existing goal change management techniques. Two candidate approaches (TROPOS and NFR framework) were chosen from the review results based on comparative analysis study. However, there is no evidence suggesting which of these two approaches suits more for EA goal model analysis. To find empirical evidence on the applicability of these approaches, we develop an adapted algorithm as well as a tool support for both techniques and apply both approaches on an industrial case study. Two main lessons were learned from the result of the case study. First both approaches have some limitations when applied to EA goal analysis and second, the NFR/Fuzzy logic based approaches provide more concrete results than the TROPOS based approaches.</t>
  </si>
  <si>
    <t>Big Data Framework</t>
  </si>
  <si>
    <t>1494-1499</t>
  </si>
  <si>
    <t>We are constantly being told that we live in the Information Era - the Age of BIG data. It is clearly apparent that organizations need to employ data-driven decision making to gain competitive advantage. Processing, integrating and interacting with more data should make it better data, providing both more panoramic and more granular views to aid strategic decision making. This is made possible via Big Data exploiting affordable and usable Computational and Storage Resources. Many offerings are based on the Map-Reduce and Hadoop paradigms and most focus solely on the analytical side. Nonetheless, in many respects it remains unclear what Big Data actually is, current offerings appear as isolated silos that are difficult to integrate and/or make it difficult to better utilize existing data and systems. Paper addresses this lacunae by characterising the facets of Big Data and proposing a framework in which Big Data applications can be developed. The framework consists of three Stages and seven Layers to divide Big Data application into modular blocks. The aim is to enable organizations to better manage and architect a very large Big Data application to gain competitive advantage by allowing management to have a better handle on data processing.</t>
  </si>
  <si>
    <t>67-72</t>
  </si>
  <si>
    <t>Next Generation OSS Architecture</t>
  </si>
  <si>
    <t>Next Generation Telecommunications Networks, Services, and Management</t>
  </si>
  <si>
    <t>Wiley-IEEE Press</t>
  </si>
  <si>
    <t>http://ieeexplore.ieee.org/xpl/articleDetails.jsp?arnumber=5487901</t>
  </si>
  <si>
    <t>Negotiation Approaches in B2B E-Commerce Applied to Supply Chain Management</t>
  </si>
  <si>
    <t>81-86</t>
  </si>
  <si>
    <t>A Negotiation Support System can be defined as an information system that helps a user to take decisions during a bargaining process with other agents. The relevance of such systems to manufacturing is increasing with the opportunities granted by Business-To-Business (B2B) electronic commerce over the Internet. In this context, it is necessary to provide an overview of the current state of the art across different disciplinary fields, with the specific aim of setting a research agenda for the future. The paper provides a classification of existing approaches and unsolved problems. For the sake of pragmatism, it has been chosen to organize such classification around a specific architecture for a Negotiation Support System which is being developed within a wider research project. The aim of the paper is to show how a system for supporting negotiation between different firms should be effective and which are the problematics and the research fields involved during the development.</t>
  </si>
  <si>
    <t>https://www.sciencedirect.com/science/article/pii/S1474667017332603</t>
  </si>
  <si>
    <t>Network security monitoring and defense system framework design using mobile agents based on DoDAF</t>
  </si>
  <si>
    <t>366-370</t>
  </si>
  <si>
    <t>Network security and defense plays important roles in network management system. The traditional network security monitoring systems usually employ lots of agents to collected data and then perform abnormal detection based on measurement of those data. This kind of framework needs lots of agents and usually occupies many bandwidths. Focus on this problem, we introduce the mobile agents into the network security and monitoring system. As the mobile agents are intelligent and can move to other hosts according to the monitoring task, adoption of the mobile agents will increase the flexibility of the monitoring system while reduce the number of agents. Furthermore, we employ DoDAF to make the designed framework more easily used and deployed. Firstly, we analyzed the development standards of the mobile agent, including MASIF and FIPA, then mapped them to DM2 in DoDAF. We also analyzed the elements included in the traditional network security monitoring system and mapped them to DM2. Based on those mapping works, we can obtain DM2 which should be included in different views in DoDAF. Secondly, we divided the designed architecture into four parts based on the TOGAF, including the business architecture, application architecture, data architecture and technology architecture. And extract which view which should be included in the designed framework. Finally, according to the constraint relationship between different views, we obtain the developing sequence of those views and design and develop the network security monitoring and defense system framework using the mobile agent. Based on EA, we verified the designed framework and the results show that the proposed framework is correct. © 2015 IEEE.</t>
  </si>
  <si>
    <t>https://www.scopus.com/inward/record.uri?eid=2-s2.0-85013758703&amp;doi=10.1109%2fCSA.2015.73&amp;partnerID=40&amp;md5=279a58999472bb445a12863d937685df</t>
  </si>
  <si>
    <t>Network Security Monitoring and Defense System Framework Design Using Mobile Agents Based on DoDAF</t>
  </si>
  <si>
    <t>2015 International Conference on Computer Science and Applications (CSA)</t>
  </si>
  <si>
    <t>Network security and defense plays important roles in network management system. The traditional network security monitoring systems usually employ lots of agents to collected data and then perform abnormal detection based on measurement of those data. This kind of framework needs lots of agents and usually occupies many bandwidths. Focus on this problem, we introduce the mobile agents into the network security and monitoring system. As the mobile agents are intelligent and can move to other hosts according to the monitoring task, adoption of the mobile agents will increase the flexibility of the monitoring system while reduce the number of agents. Furthermore, we employ DoDAF to make the designed framework more easily used and deployed. Firstly, we analyzed the development standards of the mobile agent, including MASIF and FIPA, then mapped them to DM2 in DoDAF. We also analyzed the elements included in the traditional network security monitoring system and mapped them to DM2. Based on those mapping works, we can obtain DM2 which should be included in different views in DoDAF. Secondly, we divided the designed architecture into four parts based on the TOGAF, including the business architecture, application architecture, data architecture and technology architecture. And extract which view which should be included in the designed framework. Finally, according to the constraint relationship between different views, we obtain the developing sequence of those views and design and develop the network security monitoring and defense system framework using the mobile agent. Based on EA, we verified the designed framework and the results show that the proposed framework is correct.</t>
  </si>
  <si>
    <t>A Neural Networks portable and Agnostic Implementation Environment for Business Transformation Projects the basic structure</t>
  </si>
  <si>
    <t>2017 IEEE International Conference on Computational Intelligence and Virtual Environments for Measurement Systems and Applications (CIVEMSA)</t>
  </si>
  <si>
    <t>153-158</t>
  </si>
  <si>
    <t>The authors based their Research and Development Project (RDP) on a mixed research method that is mainly based on intelligent neural networks and action research reasoning approach; where both methods are very similar and resemble to the human brain structure and its way of functioning. The applied research method is founded on a real life case for detecting and processing heuristic algorithms for business transformation patterns using a high level neural network implementation environment. The proposed RDP offers a set of solutions in the form of technical and managerial recommendations, to be used by company's business analysts and engineers to implement intelligent solutions for services-based Business Transformation Projects (BTP). Action Research (AR) is applied mainly in education research that corresponds to the Architecture Transformation Projects (ATP) or BTP's capability to achieve business intelligence objectives, because it inspects and learns from configurable intelligent micro artefacts that are found in the proposed neural networks concept that can be applied to BTPs' implementation phase [4]. The RDP is not influenced by any specific business domain and is considered to be generic and holistic; where a brain-like neural networks business infrastructure is based on: 1) Neural Networks and Enterprise Architecture's (NNEA); and 2) Agnostic Implementation Environment (AIE). This NNEA is based on a reasoning concept that is basically a qualitative research method that manages and qualifies Critical Success Factors (CSF) sets, actions and final solutions for the BTPs support [5]. The RDP's underlined system supports the BTPs in integrating micro artefact scenarios that are in fact a set of interactive atomic service actions. AIE manages atomic services that makes them more advanced and more flexible than the rigid and monolithic micro services proposal.</t>
  </si>
  <si>
    <t>An approach to smart grid related enterprise architecture development</t>
  </si>
  <si>
    <t>The development of a Smart Grid involves several factors from domains like electrical engineering, information technology and business economics. Additionally, several legal, regulatory and economic aspects introduce additional complexity and must be considered. Hence, changes to such a critical infrastructure should be identified and carried out in a well-structured manner. Enterprises are in the end the entity to implement the Smart Grid vision. Thus, this contribution introduces enterprise architecture in the context of Smart Grids and provides the SGEAD-method to approach challenges arising in the development of enterprise architectures.</t>
  </si>
  <si>
    <t>Adaptive architecture development for Smart Grids based on integrated building blocks</t>
  </si>
  <si>
    <t>The development of ICT-Architectures for Smart Grids needs to regard requirements from multiple sources. These sources outline architectural viewpoints regarding domains, functionalities, and cross cutting issues like interoperability or security. A reference architecture is developed in context of the European Smart Grid Mandate M/490 which proposes a structure of interoperability layers, domains and zones, called the Smart Grid Architectural Model (SGAM). Such high-level reference architectures are not directly applicable within enterprises due to the differences in focus. Yet, the SGAM-structure may be used to transfer the concepts of the architecture into the enterprise context. For this purpose the methodological framework proposed in this contribution integrates the authors' research approaches. These provide integrated building blocks for enterprise-specific Smart Grid ICT-Architecture development, using the SGAM as the underlying structure.</t>
  </si>
  <si>
    <t>Organizational self-awareness: A matter of value</t>
  </si>
  <si>
    <t>Organization Design and Engineering: Coexistence, Cooperation or Integration</t>
  </si>
  <si>
    <t>Palgrave Macmillan</t>
  </si>
  <si>
    <t>153-183</t>
  </si>
  <si>
    <t>https://www.scopus.com/inward/record.uri?eid=2-s2.0-85006427776&amp;doi=10.1057%2f9781137351579&amp;partnerID=40&amp;md5=350a2c3718a8ac3640a93a509145e49a</t>
  </si>
  <si>
    <t>Accounting Information Systems: The Challenge of the Real-time Reporting</t>
  </si>
  <si>
    <t>118-127</t>
  </si>
  <si>
    <t>Real-time reporting in accounting or simply real-time accounting offers many benefits when compared to conventional periodic reporting. Traditionally, enterprises require financial or non-financial reporting based on quarterly and annual periods. Yet, the rapid change that occurs on market and society causes this periodic reporting to become quickly outdated. Higher competition among enterprises demands for more updated information to enable management to rapidly adapt to opportunities and answer problems. Real-time accounting addresses these needs, but needs new technological answers. In this article we present some technologies which can help the implementation of real-time accounting, namely, business process management, mobile devices, cloud computing, business intelligence, enterprise architecture and enterprise application integration.</t>
  </si>
  <si>
    <t>https://www.sciencedirect.com/science/article/pii/S2212017314003028</t>
  </si>
  <si>
    <t>Enabling distributed SME</t>
  </si>
  <si>
    <t>In some industries, recruiting qualified resources can be a problem for SMEs, one option is to start a transformation process, and move from a traditional team to a distributed team, gaining access to a much larger base of possible human resources and business opportunities. Digital transformation can be used to help SMEs in taking the steps needed to become distributed companies. This paper shows how applying a lightweight TOGAF-based methodology to an ongoing digital transformation process, specifically targeting a SME information system, can create opportunities for the company.</t>
  </si>
  <si>
    <t>Investigating the application of multi-objective optimisation and multi-criteria decision making to future concepts of intelligent mobility and telecommunications</t>
  </si>
  <si>
    <t>2016 7th International Conference on Information, Intelligence, Systems &amp; Applications (IISA)</t>
  </si>
  <si>
    <t>Designing an urban environment involves a multitude of diverse principles, among which vehicle dynamics, pedestrian dynamics and telecommunications play a very important role. However, these are rarely considered together in studies for intelligent mobility. On top of that, optimising such a multi-disciplinary system is a very challenging task because of the number of principles and interfacing among the participating components. This work introduces a scalable research methodology that combines all of the above, so as to assess the effectiveness of the application and to provide an alternative approach to design an urban environment that could be equally applied at scale. This is expected to provide deeper insight to traffic planners and researchers both in academia and industry, so as to generate new designs that could yield higher performance solutions in intelligent mobility problems.</t>
  </si>
  <si>
    <t>Chapter 2 - Mobile Security: A Practitioner’s Perspective</t>
  </si>
  <si>
    <t>Mobile Security and Privacy</t>
  </si>
  <si>
    <t>Syngress</t>
  </si>
  <si>
    <t>Abstract This chapter looks at some of the sociological aspects of the increase in the use of mobile devices as the world transforms rapidly in a move toward mobile ubiquity. It then describes the challenges surrounding mobile device security for practitioners, highlighting the key risks for individuals and the key concerns for organizations interacting with a digital native workforce who rely on these mobile devices. It offers insights on various threats, risks, issues, mitigations, and mobile security strategies, as well as sections covering privacy, forensics, and individual versus organizational impacts. Finally, it concludes with 10 suggested steps to secure mobile devices.</t>
  </si>
  <si>
    <t>https://www.sciencedirect.com/science/article/pii/B978012804629600002X</t>
  </si>
  <si>
    <t>C. D. Tupper</t>
  </si>
  <si>
    <t>18 - Data Warehouses II</t>
  </si>
  <si>
    <t>Data Architecture</t>
  </si>
  <si>
    <t>321-336</t>
  </si>
  <si>
    <t>Publisher Summary There is often a significant discussion concerning whether a data warehouse should be relational or dimensional. While there is no discussion necessary on whether the logical model will be relational, the concern often rests on whether the physical model would be relational or dimensional. Properly addressing the matter of dimensional modeling versus relational modeling requires a number of definitions and some fundamental facts about the organization’s data and how they use it. There are three levels of decision making within an organization: operational, tactical, and strategic. While some of these levels feed one another, they each serve distinct purposes and have their own set of data. Operational data deals with day-to-day operations. Tactical data deals with near-term decisions. Strategic data deals with long-term decisions. Proper analysis and reporting require data from multiple relevant sources. These can be internal, external, self-reported, and even simulated data sources. The data must be vetted to ensure its quality. This means that it must be cleansed to produce data of good quality before being integrated into the warehouse. In order for the warehouse to be created in the most efficient manner, it should be designed by a formal process called modeling.</t>
  </si>
  <si>
    <t>https://www.sciencedirect.com/science/article/pii/B9780123851260000188</t>
  </si>
  <si>
    <t>Re-architecting the firm</t>
  </si>
  <si>
    <t>2009 IEEE International Technology Management Conference (ICE)</t>
  </si>
  <si>
    <t>Next Generation EA is an emerging vision for how Enterprise Architecture will be conducted in the post global crisis world economy. Shared cost structures, shared infrastructure, optimized investment in core assets and true interoperability between vertically and horizontally aligned Organizations are some of the characteristics of this vision. Three case studies are presented, illustrating the trend that EA is beginning to penetrate the higher levels of management practices in organizations. This paper argues that the logical next step (next generation of EA) is to use EA practices on the highest levels of the organization as a tool for decision support of the senior decision makers. This is especially true when the business directions of large Organizations are being guided by poorly informed senior decision makers in an environment where information asymmetry exists. Senior decision makers within Organizations who do not have full information at the right time and the right place will always be making sub optimal investment decisions, potentially exposing the Organizations to significant risk with unknown implications.</t>
  </si>
  <si>
    <t>A framework for interoperability analysis on the semantic web using architecture models</t>
  </si>
  <si>
    <t>207-215</t>
  </si>
  <si>
    <t>IT decision making requires analysis of possible future scenarios. The quality of the decisions can be enhanced by the use of architecture models that increase the understanding of the components of the system scenario. It is desirable that the created models support the needed analysis effectively since creation of architecture models often is a demanding and time consuming task. This paper suggests a framework for assessing interoperability on the systems communicating over the semantic web as well as a metamodel suitable for this assessment. Extended influence diagrams are used in the framework to capture the relations between various interoperability factors and enable aggregation of these into a holistic interoperability measure. The paper is concluded with an example using the framework and metamodel to create models and perform interoperability analysis.</t>
  </si>
  <si>
    <t>A Framework for Service Interoperability Analysis using Enterprise Architecture Models</t>
  </si>
  <si>
    <t>99-107</t>
  </si>
  <si>
    <t>Good IT decision making is a highly desirable property that can be furthered by the use of enterprise architecture, an approach to IT management using diagrammatic models. In order to support decision making, the models must be amenable to various kinds of analysis. It is desirable that the models support the sought after analysis effectively since creation of enterprise architecture models often is a demanding task. This paper suggests a framework for enterprise service interoperability analysis and a metamodel containing the information needed to perform the analysis. The paper also illustrates the use of the framework and metamodel in a fictional example.</t>
  </si>
  <si>
    <t>A framework to derive holistic business transformation processes</t>
  </si>
  <si>
    <t>2010 International Conference on e-Business (ICE-B)</t>
  </si>
  <si>
    <t>This paper describes an approach to deriving a holistic business transformation process and its application in practice. When a business is transforming there needs to be changes to many aspects of its Enterprise Architecture (EA). The research has ascertained that often organisations are not aware of all the aspects that need to be changed to successfully implement a business transformation. This paper presents a holistic approach to transformation that identifies the current EA of the organisation and models the one that should be after transformation to identify all aspects that need to under go transformation. It then uses a metamodel of a process to derive the required processes to achieve a holistic transformation of the businesses undertaking electronic transformations. This approach evolved in the process of assisting business transformation is the Small and Medium Enterprise (SME) sector within the Western Sydney region. This is demonstrated through a real-life example. This work has been carried out under the auspices of the AeIMS Research Group at the University of Western Sydney.</t>
  </si>
  <si>
    <t>B. P. Upadhyaya</t>
  </si>
  <si>
    <t>Enterprise service delegation pattern</t>
  </si>
  <si>
    <t>117-122</t>
  </si>
  <si>
    <t>Enterprise architecture is an emerging field of study. There are multiple areas that provide building blocks for this discipline including information technology and business management. Information technology plays a vital role in shaping the direction of business. In a granular level, business processes can be mapped to hardware and software automated processes. Service oriented architecture (SOA) is a popular architecture for providing business services in the form of software and hardware services. A software service can represent a business service partially or fully. Developing architectural building blocks is a common practice recommended by open group. This paper presents one such building block in the form of software design pattern. The enterprise service delegation pattern provides a structure to arbitrate service calls. This pattern is being used to construct enterprise service buses.</t>
  </si>
  <si>
    <t>Conceptualisation of Hybrid Service Models: An Open Models Approach</t>
  </si>
  <si>
    <t>2011 IEEE 35th Annual Computer Software and Applications Conference Workshops</t>
  </si>
  <si>
    <t>494-499</t>
  </si>
  <si>
    <t>Re-engineering enterprise architectures</t>
  </si>
  <si>
    <t>1015-1018</t>
  </si>
  <si>
    <t>An Enterprise Architecture (EA) is used for the design and realization of the business processes, along with user roles, applications, data, and technical infrastructures. Over time, maintaining an EA update may become a complex issue, let alone an organization-wide architecture and its related artifacts. EA practices provide much of the required guidelines for the design and development of EAs. However, they cannot present a comprehensive method or solution for the re-engineering processes of EAs. In this paper, we propose an EA re-engineering model and present its potential contributions. The study is conducted according to the Design Science Research Method. The research contribution is classified as an 'application of a new solution (process model) to a known problem (re-engineering EA)'. The future research efforts will focus on the implementation and evaluation of the model in case studies for gathering empirical evidences. © 2017 PTI.</t>
  </si>
  <si>
    <t>https://www.scopus.com/inward/record.uri?eid=2-s2.0-85039921937&amp;doi=10.15439%2f2017F17&amp;partnerID=40&amp;md5=cb8ac9e6d747fdc25d0c3f22239fcade</t>
  </si>
  <si>
    <t>Ontology-supported enterprise architecture analysis</t>
  </si>
  <si>
    <t>2017 IEEE First Ukraine Conference on Electrical and Computer Engineering (UKRCON)</t>
  </si>
  <si>
    <t>771-775</t>
  </si>
  <si>
    <t>Today, processing integrated information within and between enterprises is increasingly becoming more and more critical, and so is the implementation and evaluation of an Enterprise Architecture (EA). The review of literature on EA evaluation shows several issues. However, the evaluation of EAs has not attracted sufficient attention, and thus, this research area has not been explored thoroughly yet. We believe that in order to ensure consistency, interoperability and computational inferences among EAs, a complete and holistic approach, rather than monolithic, should be developed. Therefore, in this study, we propose an ontology-supported process model for the evaluation of EAs, and present the implementation details. The main contributions of the present study are the improvements realized in the expressiveness, extensibility, and computable power of EAs, and their evaluation techniques. Although the proposed model requires gathering empirical evidences and investigating applications in concrete cases, the first implications of the proposed model indicates its validity and feasibility, and, hence, the initial results are promising for continuing future studies.</t>
  </si>
  <si>
    <t>Enterprise Business Technology Governance: Three Competencies to Build Board Digital Leadership Capability</t>
  </si>
  <si>
    <t>4513-4522</t>
  </si>
  <si>
    <t>The competent leadership of digital transformation needs to involve the board of directors. The reported lack of such capability in boards is becoming a pressing issue. A part of leadership in such transformation is the board of director's competence to lead Enterprise Business Technology Governance (EBTG). In this paper we take the position that EBTG competencies are essential in boards, because competent EBTG has been shown to contribute to increased revenue, profit, and returns. We update and expand on the results of a multi-method approach to the development of a set of three board of director competencies needed for effective EBTG.</t>
  </si>
  <si>
    <t>A Requirements Based Approach for Automating Enterprise IT Architecture Modeling Using Multiple Data Sources</t>
  </si>
  <si>
    <t>79-87</t>
  </si>
  <si>
    <t>Enterprise Architecture (EA) is an approach where models of an enterprise are used for decision support. An important part of EA is enterprise IT architecture. Creating models of both types can be a complex task. EA can be difficult to model due to unavailable business data, while in the case of enterprise IT architecture, there can be too much IT data available. Furthermore, there is a trend of a growing availability of data possibly useful for modeling. We call the process of making use of available data, automatic modeling. There have been previous attempts to achieve automatic model creation using a single source of data. Often, a single source of data is not enough to create the models required. In this paper we address automatic modeling when data from multiple heterogeneous sources are needed. The paper looks at the potential data sources, requirements that the data must meet and proposes a four-part approach. The approach is tested in a study using the Cyber Security Modeling Language in order to model a lab setup at KTH Royal Institute of Technology. The lab aims at mirroring a small power utility's IT setup. The paper demonstrates that it is possible to create timely and scalable enterprise IT architecture models from multiple sources, and that manual modeling and data quality related problems can be resolved using known data processing methods.</t>
  </si>
  <si>
    <t>EA As a Tool in Change and Coherency Management - A Case of a Local Government</t>
  </si>
  <si>
    <t>In order to lead a local government towards its politically set strategic objectives, the vision of the overall status quo, as well as of the desired target state of the complex multi-agent system have to be clear. To encounter the challenges of the change management in merging six former local governments into one, in forming a new NPM related operation model, in planning and leading strategic political objectives, and in order to leverage on the information usability produced in everyday governance practices, a Government Enterprise Architecture (GEA) method has been adopted in the city of Kouvola in Finland. The study is a case study by action research adopting the Finnish GEA method in situ by exploiting Gea grid adaptation model (Geagam). The required adaptation of the GEA grid for the case is described and the adoption analyzed.</t>
  </si>
  <si>
    <t>Do conceptual modeling languages accommodate enough explicit conceptual distinctions?</t>
  </si>
  <si>
    <t>126-135</t>
  </si>
  <si>
    <t>In this paper we are concerned with the degree to which modeling languages explicitly accommodate conceptual distinctions. Such distinctions refer to the precision and nuance with which a given modeling concept in a language can be interpreted (e.g., can an actor be a human, an abstraction, or a collection of things). We start by elaborating on the notion of conceptual distinctions, while also providing a list of common modeling concepts and related distinctions that are relevant to enterprise modeling. Based on this, we will then analyze a number of conceptual modeling languages to see whether they accommodate the explicit modeling of (potentially important) conceptual distinctions - that is, whether they have specific language elements to model conceptually distinct entities with. We conclude by discussing what impact our findings may have on the use (and creation) of modeling languages.</t>
  </si>
  <si>
    <t>https://www.scopus.com/inward/record.uri?eid=2-s2.0-84924408539&amp;partnerID=40&amp;md5=54e62b775264605c3dfa5758322de62f</t>
  </si>
  <si>
    <t>On the accommodation of conceptual distinctions in conceptual modeling languages</t>
  </si>
  <si>
    <t>P225</t>
  </si>
  <si>
    <t>17-32</t>
  </si>
  <si>
    <t>In this paper we are concerned with the degree to which modeling languages explicitly accommodate conceptual distinctions. Such distinctions refer to the precision and nuance with which a given modeling concept in a language can be interpreted (e.g., can an actor be a human, an abstraction, or a collection of things). We start by elaborating on the notion of conceptual distinctions, while also providing a list of common modeling concepts and related distinctions that are relevant to enterprise modeling. Based on this, we will then analyze a number of conceptual modeling languages to see whether they accommodate the explicit modeling of (potentially important) conceptual distinctions - that is, whether they have specific language elements to model conceptually distinct entities with. On basis of these findings we then further discuss how to ensure such different distinctions are captured in created models, how to know which of them to support in modeling languages, and where existing methods fall short. We conclude by discussing what impact our findings may have on the use (and validation) of modeling languages.</t>
  </si>
  <si>
    <t>https://www.scopus.com/inward/record.uri?eid=2-s2.0-84908210670&amp;partnerID=40&amp;md5=97105e48f7a6a78824635b6f14ccd3b1</t>
  </si>
  <si>
    <t>Towards an investigation of the conceptual landscape of enterprise architecture</t>
  </si>
  <si>
    <t>526-535</t>
  </si>
  <si>
    <t>In this paper we discuss our preliminary work on clarifying the conceptual landscape of Enterprise Architecture. We do so to aid in the integration of conceptual models originating from different communities (of language users, concerns, viewpoints etc.). We propose that discovering the basic ontological structure used by these communities is necessary for the effective integration of models, and that different communities have a distinguishable different central understanding of some categories in their ontology. Our initial results include the description and categorization analysis of several languages and methods used in EA (as used by their creators), which suggest a prototype structure reflecting a community's focus. © 2011 Springer-Verlag.</t>
  </si>
  <si>
    <t>https://www.scopus.com/inward/record.uri?eid=2-s2.0-79960311181&amp;doi=10.1007%2f978-3-642-21759-3_38&amp;partnerID=40&amp;md5=f6b8e0ed8891c8858d058860a5b3bc74</t>
  </si>
  <si>
    <t>10253 LNCS</t>
  </si>
  <si>
    <t>247-263</t>
  </si>
  <si>
    <t>https://www.scopus.com/inward/record.uri?eid=2-s2.0-85021230951&amp;doi=10.1007%2f978-3-319-59536-8_16&amp;partnerID=40&amp;md5=1a0abfcbfa42aa57ba0a5dde042859eb</t>
  </si>
  <si>
    <t>Multi-abstraction layered business process modeling</t>
  </si>
  <si>
    <t>131-147</t>
  </si>
  <si>
    <t>Business Process Management (BPM) acceptance requires a modeling framework in which all abstraction layers (from the high-level enterprise view to the low-level task view) are unified and kept consistent at all times. This paper presents a simple yet effective multi-layered multi-view business process modeling framework that integrates organizational aspects, behavioral aspects, and input and output of business processes. The ultimate goal of this framework is to structure modeling efforts and to improve the usability of business process models in day-to-day decision making. A set of relationships between the layers are defined to support round-tripping as much as possible. A financial services based example is presented as a proof-of-concept in which the modeling framework was tested and assessed.</t>
  </si>
  <si>
    <t>https://www.sciencedirect.com/science/article/pii/S0166361511001345</t>
  </si>
  <si>
    <t>M. Van Sinderen</t>
  </si>
  <si>
    <t>Business models and information systems for sustainable development</t>
  </si>
  <si>
    <t>Businesses are expected to explore market opportunities in the area of sustainable development, thus contributing to finding solutions aiming at sustainable quality of life. This will require adaptation and innovation of business models and information systems, with challenges of particular interest to the business modeling and software design community. This paper briefly discusses two relevant topics in this respect, namely (i) goal and value modeling, and (ii) model-driven development. We mention existing work that can be taken as a starting point for addressing sustainability issues, and we make some observations that may be taken into account when extending existing work. Copyright © 2011 SciTePress - Science and Technology Publications.</t>
  </si>
  <si>
    <t>https://www.scopus.com/inward/record.uri?eid=2-s2.0-84877732832&amp;partnerID=40&amp;md5=31589c1940715c8711cc51d713779b82</t>
  </si>
  <si>
    <t>Guiding the Introduction of Big Data in Organizations: A Methodology with Business- and Data-Driven Ideation and Enterprise Architecture Management-Based Implementation</t>
  </si>
  <si>
    <t>908-917</t>
  </si>
  <si>
    <t>Researchers and practitioners frequently assume that big data can be leveraged to create value for organizations implementing it. Decisions for big data idea generation and implementation need careful consideration of multiple factors. However, no scientifically grounded and unbiased method to structure such an assessment and to guide implementation exists yet. This paper describes a methodology based on IT value theory and workgroup ideation guiding big data idea generation, idea assessment and implementation management. Distinct business and data driven perspectives are distinguished to account for big data specifics. Enterprise Architecture Management and Business Model Generation techniques are used in individual steps for execution. A first prototypical application in the context of Supply Chain Management illustrates the applicability of the method.</t>
  </si>
  <si>
    <t>Inter-enterprise architecture as a tool to empower decision-making in hierarchical collaborative production planning</t>
  </si>
  <si>
    <t>The novel idea of inter-enterprise architecture from the enterprise engineering perspective allows collaborative networks to integrate and coordinate different organizations. Therefore, inter-enterprise architecture offers multiple benefits, including: joint process harmonization, business strategy and information technology alignment, technological cost reduction, risk and redundancies reduction, customer services improvement and enhanced responsiveness. Inter-enterprise architecture can be used to solve the different issues that collaborative networks face on a daily basis. A conceptual model that addresses the problem of unexpected events management in the context of hierarchical production planning to improve decision-making in collaborative environments is proposed using inter-enterprise architecture. The proposed conceptual model is composed of a framework, a modeling language and the methodology. The conceptual model has been applied to a Spanish collaborative network from the ceramic tile sector.</t>
  </si>
  <si>
    <t>https://www.sciencedirect.com/science/article/pii/S0169023X15000841</t>
  </si>
  <si>
    <t>Towards the development of the framework for inter sensing enterprise architecture</t>
  </si>
  <si>
    <t>Journal of Intelligent Manufacturing</t>
  </si>
  <si>
    <t>55-72</t>
  </si>
  <si>
    <t>Inter-enterprise architecture (IEA) is a new concept that seeks to apply the tools and methodologies of enterprise architecture (EA) in a collaborative context, in order to model collaborative organizations in an inclusive manner. According to the main enterprise architectures proposed to this point, an EA should be conformed at least for a framework, a methodology and a modelling language. Sensing enterprise (SE) is an attribute of an enterprise or a network that allows it to react to business stimuli originating on the Internet. These fields have come into focus recently, and there is not evidence of the use of IEA for modelling a SE, while finding an interesting gap to work on. Thus, this paper proposes an initial framework for inter sensing enterprise architecture (FISEA), which seeks to classify, organize, store and communicate, at the conceptual level, all the elements for inter-sensing enterprise architectures and their relationships, ensuring their consistency and integrity. This FISEA provides a clear idea about the elements and views that create collaborative network and their inter-relationships, based on the support of Future Internet. © Springer Science+Business Media New York 2014.</t>
  </si>
  <si>
    <t>https://www.scopus.com/inward/record.uri?eid=2-s2.0-85028276254&amp;doi=10.1007%2fs10845-014-0901-z&amp;partnerID=40&amp;md5=b41d0e58fab2825850ab5a8265fad9a1</t>
  </si>
  <si>
    <t>Software development aid systems</t>
  </si>
  <si>
    <t>2014 Information Technology Based Higher Education and Training (ITHET)</t>
  </si>
  <si>
    <t>This paper present some of the systems (main of them) for automated software creation/generation or the stages of its development, so and its documentation.</t>
  </si>
  <si>
    <t>Enterprise Architecture Intelligence: Combining Enterprise Architecture and Operational Data</t>
  </si>
  <si>
    <t>22-31</t>
  </si>
  <si>
    <t>Combining enterprise architecture and operational data is complex (especially when considering the actual 'matching' of data with enterprise architecture objects), and little has been written on how to do this. Therefore, in this paper we aim to fill this gap and propose a method to combine operational data with enterprise architecture to better support decision-making. Using such a method may result either in an enriched enterprise architecture model (which is very suitable as a basis for model-based architecture analyses), or in a warehouse data model where operational data is enriched with enterprise architecture metadata (which leads to more traceability by easing the retrieval and interpretation of raw data, and of business analytics results). The method is illustrated by means of a case study. Also, a model to store enterprise architecture, operational data and time is presented on which new forms of analysis may be performed.</t>
  </si>
  <si>
    <t>Relating Business Intelligence and Enterprise Architecture - A Method for Combining Operational Data with Architectural Metadata</t>
  </si>
  <si>
    <t>International Journal of Cooperative Information Systems</t>
  </si>
  <si>
    <t>World Scientific Publishing Co. Pte Ltd</t>
  </si>
  <si>
    <t>Combining enterprise architecture and operational data is complex (especially when considering the actual 'matching' of data with enterprise architecture elements), and little has been written on how to do this. In this paper we aim to fill this gap, and propose a method to combine operational data with enterprise architecture to better support decision-making. Using such a method may result in either an enriched enterprise architecture model (which is very suitable as basis for model-based architecture analyses) or a warehouse data model where operational data is enriched with enterprise architecture metadata (which leads to more traceability by easing the retrieval and interpretation of raw data and of business analytics results). The method is illustrated by means of a case and evaluated by experts. Also, a model for mapping enterprise architecture, operational data, and time is proposed, which allows the model-based execution of new types of analyses. © 2016 World Scientific Publishing Company.</t>
  </si>
  <si>
    <t>https://www.scopus.com/inward/record.uri?eid=2-s2.0-84988602839&amp;doi=10.1142%2fS0218843016500076&amp;partnerID=40&amp;md5=8b87ee45a65785d0b17ff0ab3185aa4e</t>
  </si>
  <si>
    <t>Using ArchiMate to Represent ITIL Metamodel</t>
  </si>
  <si>
    <t>270-275</t>
  </si>
  <si>
    <t>Enterprise Architecture (EA) and ITIL, two distinct governance approaches with different perspectives, have become recently dominant between practitioners. However, parallel EA and ITIL projects can lead to wasted resources and a duplication of costs and efforts. This paper proposes an integration by approaching ITIL from an EA perspective and proposes a mapping of ITIL concepts to EA, and a set of models representing the ITIL metamodel using the ArchiMate modeling language. Our goal is twofold: on one hand to give the architect the elements, relationships and models that represent best practices in IT service management, and, on the other, to formally model ITIL for knowledge sharing, stakeholder communication and to contribute to ITIL discussion and validation. For evaluation we shall use interviews and the Wand and Weber ontological method.</t>
  </si>
  <si>
    <t>The Value of ITIL in Enterprise Architecture</t>
  </si>
  <si>
    <t>147-152</t>
  </si>
  <si>
    <t>Enterprise Architecture (EA) and IT Service Management (ITSM) are two complementary IT governance approaches, with distinct IT and organizational perspectives. Nowadays, ITIL is the de facto standard for implementing ITSM. However, it is still unclear how to measure the value that ITIL brings to organizations. This paper addresses the EA of organizations that use ITIL best practices to perform ITSM, focusing on the modeling and assessment of ITIL value in those architectures. Therefore, this paper's goal is threefold: (1) to find out if ITIL already contains the concepts that are usually needed to represent value, (2) to model these concepts according to an EA point of view and (3) to demonstrate how to use an architecture-based approach to choose between ITIL implementation projects.</t>
  </si>
  <si>
    <t>A Traceable Maturity Assessment Method Based on Enterprise Architecture Modelling</t>
  </si>
  <si>
    <t>245-253</t>
  </si>
  <si>
    <t>Maturity assessments of business processes and capabilities are powerful tools for organizational improvement. Business process modelling is a key activity in the assessment of organizational maturity and capability of processes. However, the resulting models are complex and can often not be communicated successfully to the organizational stakeholders. Similarly, assessment methods rely strongly on the expertise of the assessors translating their perception of an organization into an assessment outcome. These assessments often carry a subjective component and are hard to compare. Moreover, they lack efficient traceability mechanisms as organizations evolve. Additionally, mainstream methods such as ISO 15504 and SCAMPI are complex, expensive and resource demanding, which place them out of reach for many organizations. This paper describes a research approach that builds on Enterprise Architecture models and IT Governance frameworks to guide the definition of a simple process metamodel for maturity assessment. This simple meta-model is used to create an intermediary representation that can be communicated to stakeholders. A formal expression of maturity conditions in SPARQL queries increases the objectivity of the assessment and separates it from the collected and formalized evidence. We discuss our model and method and report on a preliminary case study.</t>
  </si>
  <si>
    <t>Towards an enterprise evolution contextualisation model</t>
  </si>
  <si>
    <t>Enterprises that exist today came into being mostly in an ad-hoc manner rather than being systematically designed. A piece-meal design of enterprise components led to a lack of coherence and consistency between numerous components of the enterprise. At present, both researchers and practitioners acknowledge the need for an overall view of the enterprise, as well as a new paradigm to understand and redesign the enterprise.</t>
  </si>
  <si>
    <t>Individual IT Roles in Business -- IT Alignment and IT Governance</t>
  </si>
  <si>
    <t>4920-4929</t>
  </si>
  <si>
    <t>The importance of alignment between business and information technology (IT) for generating IT business value has been emphasized in many research papers. Current literature broadly supports that capable and sustainable enterprise architecture is essential to support business processes as well as future agility. In that respect, individuals performing the role of an enterprise architect are at the core of the interface between business and IT and their relationship with the business side is crucial to generate IT business value. Employing a qualitative study we show that competencies such as profound work experience and business-related topics serves to bridge the IT-business gap and may foster alignment. This result contributes to alignment and governance literature as it emphasizes an individual level antecedent of business-IT alignment.</t>
  </si>
  <si>
    <t>Enterprise Coherence Governance in the Public Sector -- Custodial Institutions Agency of the Dutch Ministry of Security and Justice</t>
  </si>
  <si>
    <t>117-124</t>
  </si>
  <si>
    <t>This paper is concerned with an application of the GEA (General Enterprise Architecting) method in the Dutch public sector, in particular at the Custodial Institutions Agency (Dienst Justitiee&amp;#x0308;le Inrichtingen, DJI), an agency of the Ministry of Security and Justice. The DJI is, on behalf of the Minister of Security and Justice, responsible for the enforcement of fines and custodial measures, following the decision imposed by a judge. The case study itself concerns the assessment of the impact of the introduction of a new law (the law on 'conditional realease') on the DJI. The discussed DJI case is one of several cases that have been used to iteratively evaluate and improve the GEA method. This paper therefore also reports on the evaluation of the GEA method that was conducted after applying to the DJI case.</t>
  </si>
  <si>
    <t>e-Business systems integration: A systems perspective</t>
  </si>
  <si>
    <t>Information Technology and Management</t>
  </si>
  <si>
    <t>233-249</t>
  </si>
  <si>
    <t>Systems science has emerged as a meta-discipline and a meta-language, correspondingly, which can be applied to discuss issues in e-business systems and relevant enterprise architecture and enterprise integration. A lot of researches on enterprise architecture and enterprise integration in e-business systems have their theoretical findings and effective practices naturally influenced by systems theory and relative methodologies. This paper strives to review the contribution of systems theory to enterprise architecture and integration. It also tries to summarize methods or tools applied on enterprise systems level, and to investigate many crucial scopes, concepts and their interrelationship in e-business systems integration activities. Finally, this paper presents new prospects in enterprise architecture and integration for e-business systems. All of these may be useful to deal with the increase complex informatics issues of modern enterprises. © 2012 Springer Science+Business Media, LLC.</t>
  </si>
  <si>
    <t>https://www.scopus.com/inward/record.uri?eid=2-s2.0-84868645658&amp;doi=10.1007%2fs10799-012-0119-8&amp;partnerID=40&amp;md5=089c2d28c78a99686876a725566bfb36</t>
  </si>
  <si>
    <t>X. Wang</t>
  </si>
  <si>
    <t>Study on Enterprise Information Resources Planning - ILEA</t>
  </si>
  <si>
    <t>2010 Fourth International Conference on Genetic and Evolutionary Computing</t>
  </si>
  <si>
    <t>566-569</t>
  </si>
  <si>
    <t>During the development process of informationization, Chinese enterprises are being faced with some challenges of complex technologies and management. How to allocate and manage information resources, deeply develop and utilize information resources, use IT effectively, realize IT value, and align IT with business is the big objective and issue of every organization. Developing, utilizing and sharing information resources is the start step, and also the final end of enterprise informationization, as well as the goal of enterprise information resources management (IRM). Thus, IRM becomes the core of enterprise informationization. Information resources planning (IRP) is the foundation of IRM. It is the key successful factor of the informationlization. Enterprise IRP requires the theory guidance and methodology innovation. After the review and analysis of IRP theories and situation in Chinese enterprises, a framework called ILEA which is based on Enterprise Architecture and combined with information lifecycle is put forward. ILEA is the abbreviation of Enterprise Architecture Based on Information Lifecycle. In this paper, the basic components of ILEA and ILEA development method are designed comprehensively and systematically.</t>
  </si>
  <si>
    <t>Imprecise domain-specific modeling for C4ISR capability requirements analysis</t>
  </si>
  <si>
    <t>International Conference on Information Science and Technology</t>
  </si>
  <si>
    <t>33-38</t>
  </si>
  <si>
    <t>The paper proposes an approach to model the uncertain and vague requirements information of the C4ISR capability requirements. It suggests that C4ISR requirements elicitation be initiated with capability meta concept framework (CMCF) construction according to the Meta-Model of DoDAF. With the semantic confinement of CMCF, the approach extends the Fuzzy-UML and declares a C4ISR domain-specific modeling language (C4ISR DSL). Compared with classic UML and Fuzzy-UML, the C4ISR DSL is more specialized in C4ISR domain knowledge elicitation and reuse. The experiment shows the modeling language can better express both precise and vague concepts of the C4ISR capability model.</t>
  </si>
  <si>
    <t>Business and IT Alignment with SEAM for Enterprise Architecture</t>
  </si>
  <si>
    <t>111-111</t>
  </si>
  <si>
    <t>To align an IT system with an organization's needs, it is necessary to understand the organization 's position within its environment as well as its internal configuration. In SEAM for enterprise architecture the organization is considered as a hierarchy of systems that span from business down to IT. The alignment process addresses the complete hierarchy. We illustrate the use of SEAM for enterprise architecture with an example in which a new hiring process and an IT system are developed. With this approach it is possible to train new engineers in the design of business and IT alignment. It is also possible to scope projects in a way that integrate both business and IT strategies. This enables the consideration of IT developments in an enterprise-wide context.</t>
  </si>
  <si>
    <t>161-168</t>
  </si>
  <si>
    <t>Decision Support for Reducing Unnecessary IT Complexity of Application Architectures</t>
  </si>
  <si>
    <t>As many companies exist for decades, their software systems and IT architectures grow massively with the companies requirements. To avoid failures due to changes to a productive system, new demands often lead to new solutions while neglecting to restructure existing software systems despite a similar purpose of use. As a consequence, the IT complexity of such software systems and IT architectures increases sharply accompanied by higher costs, reduced adaptability and increased effort for evolving and maintaining the entire IT landscape. Although there are applications that fulfill a company's requirements, there are also software solutions and variants of them that seems to be redundant. This causes unnecessary IT complexity, which is not essential for a company's goals and requirements. To identify and reduce this unnecessary part of IT complexity, we introduce an approach to support experts in decision making regarding these redundant artifacts. We provide a method to identify variability of application architectures (AAs) and an iterative decision process to determine and remove artifacts that are not required, which enable experts to reduce unnecessary IT complexity of given AAs. We show the feasibility of our approach by applying it to industrial data in a preliminary case study.</t>
  </si>
  <si>
    <t>System-of-systems: How the maritime domain can leam from the Smart Grid</t>
  </si>
  <si>
    <t>2017 International Symposium ELMAR</t>
  </si>
  <si>
    <t>229-232</t>
  </si>
  <si>
    <t>The raising complexity of ICT in critical infrastructures results into the development of new system-of-system engineering efforts. Within this contribution, the authors show firstly an already established approach for the Smart Grid domain and discusses secondly the integration of its design principles into an approach for the development of maritime system architectures in a socio-technical system-of-systems environment considering maritime characteristics.</t>
  </si>
  <si>
    <t>Towards supporting the software architecture life cycle</t>
  </si>
  <si>
    <t>546-561</t>
  </si>
  <si>
    <t>Software architecture is a central element during the whole software life cycle. Among other things, software architecture is used for communication and documentation, for design, for reasoning about important system properties, and as a blueprint for system implementation. This is expressed by the software architecture life cycle, which emphasizes architecture-related activities like architecture design, implementation, and analysis in the context of a software life cycle. While individual activities of the software architecture life cycle are supported very well, a seamless approach for supporting the whole life cycle is still missing. Such an approach requires the integration of disparate information, artifacts, and tools into one consistent information model and environment. In this article we present such an approach. It is based on a semi-formal architecture model, which is used in all activities of the architecture life cycle, and on a set of extensible and integrated tools supporting these activities. Such an integrated approach provides several benefits. Potentially redundant activities like the creation of multiple architecture descriptions are avoided, the captured information is always consistent and up-to-date, extensive tracing between different information is possible, and interleaving activities in incremental development and design are supported.</t>
  </si>
  <si>
    <t>https://www.sciencedirect.com/science/article/pii/S0164121211001361</t>
  </si>
  <si>
    <t>Enterprise architecture approach to SCRUM processes, sprint retrospective example</t>
  </si>
  <si>
    <t>1221-1228</t>
  </si>
  <si>
    <t>Enterprise architecture supports a holistic approach used to optimize various activities of a company. Software development companies frequently use a popular agile approach, and the most popular agile methodology is Scrum. A sprint retrospective is a Scrum process which is supposed to enable self-development and improve communication among team members. Unfortunately, the reality is usually different. The aim of the paper is to identify problems with retrospectives and to use enterprise architecture models to help different stakeholders to understand the problems of agile approach and to find reasons why sometimes it does not meet its goals. Next, the authors try to find solutions for the identified problems on the basis of a persona concept.</t>
  </si>
  <si>
    <t>Variability mining of technical architectures</t>
  </si>
  <si>
    <t>39-48</t>
  </si>
  <si>
    <t>Technical architectures (TAs) represent the computing infrastructure of a company with all its hardware and software components. Over the course of time, the number of TAs grows with the companies' requirements and usually a large variety of TAs has to be maintained. Core challenge is the missing information on relations between the existing variants of TAs, which complicates reuse of solutions across systems. However, identifying these relations is an expensive task as architects have to manually analyze each TA individually. Restructuring the existing TAs poses severe risks as often sufficient information is not available (e.g., due to time constraints). To avoid failures in productive systems and resulting loss of profit, companies continue to create new solutions without restructuring existing ones. This increased variability in TAs represents technical debt. In this paper, we adapt the idea of variability mining from the software product line domain and present an efficient and automatic mining algorithm to identify the common and varying parts of TAs by analyzing a potentially arbitrary number of TAs in parallel. Using the identified variability information, architects are capable of analyzing the relations of TAs, identifying reuse potential, and making well-founded maintenance decisions. We show the feasibility and scalability of our approach by applying it to a real-world industrial case study with large sets of TAs. © 2017 ACM.</t>
  </si>
  <si>
    <t>https://www.scopus.com/inward/record.uri?eid=2-s2.0-85032261532&amp;doi=10.1145%2f3106195.3106202&amp;partnerID=40&amp;md5=7c8331bff316e84f38e7b367f1a6a1f2</t>
  </si>
  <si>
    <t>How are Enterprise Architecture Design Principles Used?</t>
  </si>
  <si>
    <t>314-321</t>
  </si>
  <si>
    <t>Most agree that enterprise architecture (EA) artifacts include not only representation models, but also design principles [35]. While EA modeling and EA models are covered broadly in the EA state-of-the-art, design activity issues and design principles in particular are still neglected. While there has been some work on EA principles recently, their use has not been systematically surveyed so far. This is surprising because EA principles play an important role in practice. Based on a review of the state-of-the-art of EA principle understanding, we summarize findings from a survey among 70 participants from Swiss and German companies. While EA principles are widely defined, well documented, based on IT strategy and generally perceived as useful, deficiencies are apparent regarding stakeholder involvement, business architecture principles (definition as well as usage), regular principle reviews, and business alignment.</t>
  </si>
  <si>
    <t>Essential Layers, Artifacts, and Dependencies of Enterprise Architecture</t>
  </si>
  <si>
    <t>30-30</t>
  </si>
  <si>
    <t>After a period where implementation speed was more important than integration, consistency and reduction of complexity, architectural considerations have become a key issue of information management in recent years again. Enterprise architecture is widely accepted as an essential mechanism for ensuring agility and consistency, compliance and efficiency. Although standards like TOGAF and FEAF have developed, however, there is no common agreement on which architecture layers, which artifact types and which dependencies constitute the essence of enterprise architecture. This paper contributes to the identification of essential elements of enterprise architecture by (1) specifying enterprise architecture as a hierarchical, multilevel system comprising aggregation hierarchies, architecture layers and views, (2) discussing enterprise architecture frameworks with regard to essential elements, (3) proposing interfacing requirements of enterprise architecture with other architecture models and (4) matching these findings with current enterprise architecture practice in several large companies.</t>
  </si>
  <si>
    <t>Elements and characteristics of enterprise architecture capabilities</t>
  </si>
  <si>
    <t>82-96</t>
  </si>
  <si>
    <t>Enterprise Architecture Management (EAM) is expected to contribute to strategic planning and systematic development of enterprises by capturing the essential structures and processes of an enterprise on different architectural levels (e.g. business, data, application, technology) and showing inter-dependencies. Capabilities in EAM are among the subjects in research which have received substantial attention during the last years, but still are not thoroughly defined regarding their characteristics, elements and lifecycle processes. Many different definitions of the term capability exist and different views on what the elements of capabilities are have been presented. The main contributions of the paper are (a) an analysis and discussion of the literature on capabilities in EAM, (b) a conceptualization of EAM capability identifying the core elements and characteristics, and (c) the results of expert interviews for validating this conceptualization. © Springer International Publishing Switzerland 2015.</t>
  </si>
  <si>
    <t>https://www.scopus.com/inward/record.uri?eid=2-s2.0-84951311034&amp;doi=10.1007%2f978-3-319-21915-8_6&amp;partnerID=40&amp;md5=277e7dfc47fcc406f86b011cbd759782</t>
  </si>
  <si>
    <t>Business Process as a Service: Model Based Business and IT Cloud Alignment as a Cloud Offering</t>
  </si>
  <si>
    <t>121-130</t>
  </si>
  <si>
    <t>Cloud computing proved to offer flexible IT solutions. Although large enterprises may benefit from this technology, SMEs are falling behind in cloud usage due to missing IT-competence and hence lose the ability to efficiently adapt their IT to their business needs. This paper introduces the project idea of the H2020 project Cloud Socket, by elaborating the idea of Business Processes as a Service (BPaaS), where concept models and semantics are applied to align business processes with Cloud deployed workflows. Four architectural building blocks are pro-posed for (i) design, (ii) allocation, (iii) execution and (iv) evaluation are discussed before providing and outlook.</t>
  </si>
  <si>
    <t>The IT-Socket: Model-Based Business and IT Alignment</t>
  </si>
  <si>
    <t>2009 Computation World: Future Computing, Service Computation, Cognitive, Adaptive, Content, Patterns</t>
  </si>
  <si>
    <t>430-436</t>
  </si>
  <si>
    <t>As a result of the ongoing evolution of IT from an enabler to an industrial sector in its own right-supporting businesses in different sectors of economy on an individual basis-alignment of business and IT is regarded as a necessary requirement for efficient operation. This paper introduces the EU project plugIT that aims to develop an Â¿IT-socketÂ¿ that will realize the vision of businesses Â¿plugging-inÂ¿ to IT. The results of plugIT are demonstrated within three scenarios from the IT domain that deal with: (1) Â¿certificationÂ¿ of IT infrastructure enabling regulation compliant operation of IT, (2) Â¿virtual organizationÂ¿ aiming at evolving service orientation to a higher abstraction level focusing on business driven aspects as well as, (3) Â¿governanceÂ¿ of IT infrastructure introducing business context into distributed and complex systems applying the model-driven approach developed within the project. The paper presents the results of the first 6 months of the project within the area of use-case and application scenario development by applying the developed IT-socket modeling framework as a coherent and comprehensive means for externalizing knowledge. The results achieved build up the basis for further research work related to the semantic kernel and implementation at the use-case partners within the next generation modeling framework.</t>
  </si>
  <si>
    <t>Design, manage and execute services based on Open Service Models</t>
  </si>
  <si>
    <t>eChallenges e-2010 Conference</t>
  </si>
  <si>
    <t>The Internet evolved to a generic platform and became a fully pervasive infrastructure providing services anywhere and anytime. The development of the cloud allows the assumption that every needed service has already been implemented. The authors argue that this technical viewpoint needs to be enlarged by service science aspects, where technology is only one perspective beside others like new business models, legal and security aspects, social as well as community influence. Hence the Internet of Service is seen as a paradigm-shift in the way business is provided to future customers in a virtualised world. It can be observed that service models widely used, hence in order to enable a holistic view on a service all models need to be integrated via a hyprid approach. This hyprid approach enables the use of different service models, for a different context with different tools but share common aspects of the service. Such a hyprid approach can be realised with meta models as a concept. The Open Model Initiative applies the same principles on models like the Open Source community does for software. This paper introduces the idea of the Open Models paradigm applied for service models, aims to motivate to openly share services models on this platform and introduces the sample of an IT-Socket for business and IT alignment that is currently developed in the EU-Project plugIT.</t>
  </si>
  <si>
    <t>A. Yamashita</t>
  </si>
  <si>
    <t>Experiences from performing software quality evaluations via combining benchmark-based metrics analysis, software visualization, and expert assessment</t>
  </si>
  <si>
    <t>2015 IEEE International Conference on Software Maintenance and Evolution (ICSME)</t>
  </si>
  <si>
    <t>421-428</t>
  </si>
  <si>
    <t>Software quality assessments are critical in organizations where the software has been produced by external vendors, or when the development and maintenance of a software product has been outsourced to external parties. These assessments are typically challenging because is not always possible to access the original developers (or sometimes is not even allowed), and in rare cases suppliers keep an account of the costs associated to code changes or defect fixes. In those situations, one is left with the artifacts (e.g., database, source code, and documentation) as the only sources of evidence for performing such evaluations. A major challenge is also to provide fact-based conclusions for supporting decision-making, instead of subjective interpretations based on expert assessments (an approach still very predominant in mainstream industrial practice). This paper describes an instance of a software quality evaluation process performed for an international logistics company, which combined: benchmark-based metrics threshold analysis, software visualization, and expert assessment. An interview was carried out afterwards with a member from the business division of the company, to assess the usefulness of the methodology and corresponding findings, and to explore avenues for future improvement.</t>
  </si>
  <si>
    <t>Profile-based digital identity management &amp;#x2014; a better way to combat fraud</t>
  </si>
  <si>
    <t>2010 IEEE International Symposium on Technology and Society</t>
  </si>
  <si>
    <t>260-267</t>
  </si>
  <si>
    <t>Identity and data matching are often utilised to combat identity crime and fraud. An accurate client profile that provides a unique identity and a true description of its associated business activities has become an increasing concern for service providers. There is a need for improved profile-based identity management. This paper identifies key risks, challenges, potential improvements which service providers in both the public and private sectors may find applicable. It proposes an enterprise architectural approach to profile-based identity management.</t>
  </si>
  <si>
    <t>A methodology in selecting enterprise architecture framework for corporate information factory</t>
  </si>
  <si>
    <t>2015 International Conference on Science in Information Technology (ICSITech)</t>
  </si>
  <si>
    <t>106-109</t>
  </si>
  <si>
    <t>For growing and mature organization, information system (IS) implementation turns out to be critical in organization's sustainability. IS and information availability become the backbone of operational and management in organization. It is also often used as a foundation for decision making in any level in the organization. Corporate Information Factory (CIF) is one of data communication tools that empower IS with logical structure in information management. CIF provides a flow in transforming data from operational systems into useful information for decision making. The complexity of CIF implementation is relative to the scale of business being empowered. CIF implementation should align with organizational objectives and consider the nature of the business process. Thus, CIF implementation can adopt Enterprise Architecture (EA) approach in order to get systematic and comprehensive view regarding the needs of organization. Unfortunately, existing EA framework and methodology usually is not specifically assigned for CIF development. The problem is that common EA framework and methodology only guide general step for creating EA, which often not suitable for every organization with different IT vision. Thus, one needs to evaluate the EA best practice and selecting a relevant one. This study explores methodology in evaluating EA framework and methodology for developing CIF in organization by defining domain and factor that is specifically needed for CIF development. Existing EAF are evaluated based on those domain and factor. The objectives of this study are two-fold: analyzing critical aspect in selecting EA development; and exploring existing EA framework and methodology based on the critical aspect. Our analysis mentioned that every framework and methodology has its strength and weakness. Thus, organization can combine some framework or methodology to build a systematic and comprehensive EA in CIF development.</t>
  </si>
  <si>
    <t>Dependability of open systems</t>
  </si>
  <si>
    <t>2013 IEEE International Symposium on Software Reliability Engineering Workshops (ISSREW)</t>
  </si>
  <si>
    <t>25-35</t>
  </si>
  <si>
    <t>This presentation demonstrates an innovative way to build a target system maintaining its dependability in an open system environment, where the boundary of the target system is blurred in the sense that interaction with its surrounding environment is always altered due to several environmental changes such as business objectives, stakeholders' requirements, regulations, and performance requirements. What we call open systems is inherently providing such a nature, and recent IT systems particularly including cloud-based services are categorized in it.</t>
  </si>
  <si>
    <t>SLM as a Third Party Service in Cloud Environment: A Reference Framework</t>
  </si>
  <si>
    <t>2015 IEEE International Conference on Services Computing</t>
  </si>
  <si>
    <t>Current frameworks to track the Quality of Services (QoS) are strictly related to the traditional IT approach and they are not suitable to ensure a proper control on Cloud Computing environments. This paper firstly discusses the differences of a cloud SLM versus traditional SLMs and summarizes emerging challenges in service discovery, selection and management process of SLM in cloud. Secondly it overviews the current state of business and academy by a survey and a literature review. Finally it introduces a third party SLM framework for Cloud Service Providers (CSPs) and Cloud Service Consumers (CSCs). This framework, which aims at an easy-to-deploy and easy-to-use approach, called SLM as a Service, was tested in a real case. Results show that a third party SLM is equal, dependable and reasonably easy to implement.</t>
  </si>
  <si>
    <t>Enterprise architecture for the adaptive enterprise - A vision paper</t>
  </si>
  <si>
    <t>146-161</t>
  </si>
  <si>
    <t>Dealing with change is a major concern in enterprise architecture. As organizations face increasingly fast-moving environments, systematic frameworks are needed to manage change at many levels. Recent advances in data analytics and business intelligence enable organizations to gain deep insights quickly and recognize needs for change, and to take actions in response. Current enterprise architecture approaches have limited ability to model and reason about the adaptiveness that is available or desirable in various parts of an enterprise. In this vision paper, we attempt a preliminary characterization of an adaptive enterprise, so as to stimulate debate and research towards EA frameworks that explicitly support adaptiveness as a design goal. Initial ideas to adopt and integrate modeling constructs from system dynamics and goal-oriented and agent-oriented requirements engineering are outlined. © 2012 Springer-Verlag.</t>
  </si>
  <si>
    <t>https://www.scopus.com/inward/record.uri?eid=2-s2.0-84868323690&amp;doi=10.1007%2f978-3-642-34163-2_9&amp;partnerID=40&amp;md5=a6c465b4351c9f908fd467a6ef660705</t>
  </si>
  <si>
    <t>Exploring Intentional Modeling and Analysis for Enterprise Architecture</t>
  </si>
  <si>
    <t>32-32</t>
  </si>
  <si>
    <t>T. Y. Yu</t>
  </si>
  <si>
    <t>Model-driven applications: Using model-driven mechanism to bridge the gap between business and IT</t>
  </si>
  <si>
    <t>Advances and Applications in Model-Driven Engineering</t>
  </si>
  <si>
    <t>53-72</t>
  </si>
  <si>
    <t>How to bridge the gap between business and Information Technology (IT) has always been a critical issue for both the developers and IT managers. The individualized, differentiated demands by different customers and situations, the constantly changing in both business and IT are great challenges to the applications for enterprises. In this chapter, the authors respectively discuss the left side (computer) in software engineering, with Object-Orientation (OO), Model-Driven Engineering (MDE), Domain- Driven Development (DDD), Agile, etc., and the right side (the business) in Enterprise Engineering (EE) with Enterprise Modeling (EM), and Enterprise Architecture (EA) of the gap. It is shown there are some fundamental problems, such as the transforming barrier between analysis and design model, the entanglement of business change and development process, and the limitation to the enterprise engineering approaches such as EA by IT. Our solution is concentrated on the middle, the inevitable model as a mediator between human, computer, and the real world. The authors introduce Model-Driven Application (MDApp), which is based on Model-Driven Mechanism (MDM), operated on the evolutionary model of the target thing at runtime; it is able to largely avoid the transforming barrier and remove the entanglement. Thus, the architecture for Enterprise Model Driven Application (EMDA) is emerged, which is able to strongly support EE and adapts to the business changing at runtime. © 2014 by IGI Global. All rights reserved.</t>
  </si>
  <si>
    <t>https://www.scopus.com/inward/record.uri?eid=2-s2.0-84945127976&amp;doi=10.4018%2f978-1-4666-4494-6.ch003&amp;partnerID=40&amp;md5=e3fce1e465ec41d8e42a73431a75a77d</t>
  </si>
  <si>
    <t>Designing An Agile Enterprise Architecture For Mining Company By Using TOGAF Framework</t>
  </si>
  <si>
    <t>2016 4th International Conference on Cyber and It Service Management</t>
  </si>
  <si>
    <t>15-20</t>
  </si>
  <si>
    <t>&lt;Go to ISI&gt;://WOS:000387182400004</t>
  </si>
  <si>
    <t>Aligning Business Processes and Work Practices</t>
  </si>
  <si>
    <t>234-243</t>
  </si>
  <si>
    <t>Current business process modeling methodologies offer little guidance regarding how to keep business process models aligned with their actual execution. This paper describes how to achieve this goal by uncovering and supervising business process models in connection with work practices using BAM. BAM is a methodology for business process modeling, supervision and improvement that works at two dimensions; the dimension of processes and the dimension of work practices. The business modeling component of BAMis illustrated with a case study in an organizational setting.</t>
  </si>
  <si>
    <t>https://www.sciencedirect.com/science/article/pii/S2212017312004574</t>
  </si>
  <si>
    <t>Business alignment methodology: The discovery phase</t>
  </si>
  <si>
    <t>Information Resources Management Journal</t>
  </si>
  <si>
    <t>Current business process modeling methodologies offer little guidance regarding how to discover and maintain business process models aligned with their actual execution. This paper describes how to achieve this goal by uncovering, supervising and improving business process models based on actual work practices, using the Business Alignment Methodology (BAM). BAM aims at enabling business process modeling, supervision and improvement through the distinction of two dimensions; (1) business processes and (2) work practices. BAM encompasses three phases; (1) Business Process Discovery, (2) Business Process Supervision and (3) Business Process Assessment and Improvement. This paper illustrates the business discovery phase of BAM with a case study in a real organizational setting. Copyright © 2014, IGI Global. Copying or distributing in print or electronic forms without written permission of IGI Global is prohibited.</t>
  </si>
  <si>
    <t>https://www.scopus.com/inward/record.uri?eid=2-s2.0-84928038218&amp;doi=10.4018%2firmj.2014010101&amp;partnerID=40&amp;md5=7852809fe474830065d77b94da390266</t>
  </si>
  <si>
    <t>A ‘context-aware’ and agent-centric perspective for the alignment between individuals and organizations</t>
  </si>
  <si>
    <t>441-466</t>
  </si>
  <si>
    <t>The enterprise modeling field aims at representing organizations from several, inter-related perspectives. A number of enterprise modeling frameworks have been developed providing models, methods and tools that enable to communicate the structure and processes of organizations. These frameworks have been used both for systems development and organizational analysis ends, where the latter mainly focuses process (re)design efforts. We argue that enterprise modeling frameworks can be used for other kinds of organizational analysis. In particular, they can be used to capture and model work practices, human multitasking at work, and to compare models describing pre-defined behavior with actual execution. However, current enterprise modeling frameworks have several limitations in modeling human agents. First, these frameworks model generic behavior rather than behavior of specific individuals or groups. Second, they do not acknowledge the complex, situated and adaptive nature of human behavior. Third, these frameworks provide ‘aerial’ representations that ignore the process required to align the different and inconsistent views that human agents frequently have of the organization. In this paper we (1) argue the importance of an agent perspective to align individual and collective views of the organization; (2) describe an ontology of organizational agents and contexts to overcome current limitations in modeling human agents; and (3) show the ontology benefits for organizational analysis ends, with results from case studies in real organizational settings. The ontology is part of a broader conceptual framework for the alignment between individuals and organizations, and provides an agent-centric and ‘context-aware’ perspective of the organization complementary to existing perspectives of enterprise modeling frameworks.</t>
  </si>
  <si>
    <t>https://www.sciencedirect.com/science/article/pii/S0306437909000349</t>
  </si>
  <si>
    <t>The use of Viable System Model to develop guidelines for generating Enterprise Architecture Principles</t>
  </si>
  <si>
    <t>2014 IEEE International Conference on Systems, Man, and Cybernetics (SMC)</t>
  </si>
  <si>
    <t>1020-1026</t>
  </si>
  <si>
    <t>Enterprise Architecture Principles (EAPs) are regarded as a pivotal element in the definition of Enterprise Architecture (EA). However, the EA discipline still suffers from some fundamental limitations, such as the lack of guidelines for developing a generic set of principles and a theoretical basis for developing them. Assuming enterprises as viable systems, this paper suggests a set of design principles based on the concepts of cybernetics, especially those embedded in the Viable System Model (VSM). These principles are fundamental requirements for any viable systems, and therefore, must be complied with by the organization in order to remain viable. The suggested design principles can be used as guidelines in proposing, developing, and evaluating a set of comprehensive EAPs. As a practical example, this set of generic principles is customized for an Australian government department based on their priorities specifically to cover their architectural needs in adopting new technologies.</t>
  </si>
  <si>
    <t>A Model Supporting Business Continuity Auditing and Planning in Information Systems</t>
  </si>
  <si>
    <t>Second International Conference on Internet Monitoring and Protection (ICIMP 2007)</t>
  </si>
  <si>
    <t>33-33</t>
  </si>
  <si>
    <t>One of the main tasks of IT business continuity planning (BCP) is to guarantee that incidents affecting the IT infrastructure do not affect the availability of IT-dependent business processes beyond a given acceptable extent. Carrying out BCP of information systems is particularly challenging, because it has to take into consideration the numerous interdependencies between the IT assets typically present in an organization. In this paper we present a model and a tool supporting BCP auditing by allowing IT personnel to estimate and validate the recovery time objectives (to be) set on the various processes of the organization. Our tool can be integrated in COBIT-based risk assessment applications. Finally, we argue that our tool can be particularly useful for the dynamic auditing of the BCP.</t>
  </si>
  <si>
    <t>Model-Based Mitigation of Availability Risks</t>
  </si>
  <si>
    <t>2007 2nd IEEE/IFIP International Workshop on Business-Driven IT Management</t>
  </si>
  <si>
    <t>75-83</t>
  </si>
  <si>
    <t>The assessment and mitigation of risks related to the availability of the IT infrastructure is becoming increasingly important in modern organizations. Unfortunately, present standards for risk assessment and mitigation show limitations when evaluating and mitigating availability risks. This is due to the fact that they do not fully consider the dependencies between the constituents of an IT infrastructure that are paramount in large enterprises. These dependencies make the technical problem of assessing availability issues very challenging. In this paper we define a method and a tool for carrying out a risk mitigation activity which allows us to assess the global impact of a set of risks and to choose the best set of countermeasures to cope with them. To this end, the presence of a tool is necessary, due to the high complexity of the assessment problem. Our approach can be integrated in present risk management methodologies (e.g. COBIT) to provide a more precise risk mitigation activity. We substantiate the viability of this approach by showing that most of the input required by the tool is available as part of a standard business continuity plan, and/or by performing a common tool-assisted risk management.</t>
  </si>
  <si>
    <t>Formalizing Enterprise Architecture Decision Models Using Integrity Constraints</t>
  </si>
  <si>
    <t>143-150</t>
  </si>
  <si>
    <t>The aim of this paper is to introduce and validate a logic-based framework that serves as the underlying model for a recently introduced formalism for capturing enterprise architecture design decisions by Plataniotis et al. Our working hypothesis is that capturing of design knowledge in terms of a logic-based framework will enable consistency checks of the underlying rationales and advanced impact/what-if analysis when confronted with changes. We formalize a set of integrity constraints, which allow guidance of decision capturing during model creation and provide means to perform consistency checks. We apply our formal framework to a practical case study from the insurance sector.</t>
  </si>
  <si>
    <t>Ontology based semantic-predictive model for reconfigurable automation systems</t>
  </si>
  <si>
    <t>2016 IEEE 14th International Conference on Industrial Informatics (INDIN)</t>
  </si>
  <si>
    <t>1094-1099</t>
  </si>
  <si>
    <t>Due to increasing product variety and complexity, capability to support reconfiguration is a key competitiveness indicator for current automation system within large enterprises. Reconfigurable manufacturing systems could efficiently reuse existing knowledge in order to decrease the required skills and design time to launch new products. However, most of the software tools developed to support design of reconfigurable manufacturing system lack integration of product, process and resource knowledge, and the design data is not transferred from domain-specific engineering tools to a collaborative and intelligent platform to capture and reuse design knowledge. The focus of this research study is to enable integrated automation systems design to support a knowledge reuse approach to predict process and resource changes when product requirements change. The proposed methodology is based on a robust semantic-predictive model supported by ontology representations and predictive algorithms for the integration of Product, Process, Resource and Requirement (PPRR) data, so that future automation system changes can be identified at early design stages.</t>
  </si>
  <si>
    <t>Research on panoramic time-space-oriented enterprise modeling integration architecture</t>
  </si>
  <si>
    <t>2010 IEEE 17Th International Conference on Industrial Engineering and Engineering Management</t>
  </si>
  <si>
    <t>1578-1581</t>
  </si>
  <si>
    <t>This paper analyzed the characteristics of enterprise format, discussed the demand of enterprise modeling in the new environment and new era, and proposed a panoramic time-space-oriented enterprise modeling integration architecture in contrast to the existing enterprise reference system models. It covers integration structure, modeling methods, implementation methods and optimization, which is able to help enterprise modeling and integration application.</t>
  </si>
  <si>
    <t>A business process driven approach for generating software architecture</t>
  </si>
  <si>
    <t>180-189</t>
  </si>
  <si>
    <t>Business processes describe business operations of an organization and capture business requirements. Business applications provide automated support for an organization to achieve business objectives. Software architecture represents the gross structure of a business application and shows the distribution of business requirements among software components. However, mainstream design approaches rely on software architects' craftsmanship to derive software architectures from business requirements. Such a manual approach is inefficient and often leads to inconsistency between business requirements and business applications. To address this problem, we propose an approach to derive software architecture from business processes. We use clustering analysis to analyze dependencies among data and tasks captured in business processes and distribute functionalities to software components. A case study is conducted to generate software architecture from a collection of business processes specified in an industrial setting. The experiment results demonstrate that our proposed approach can generate meaningful software architecture with high modularity. © 2010 IEEE.</t>
  </si>
  <si>
    <t>https://www.scopus.com/inward/record.uri?eid=2-s2.0-77958167000&amp;doi=10.1109%2fQSIC.2010.8&amp;partnerID=40&amp;md5=a162eccb7687980b2420a1feb0f4673c</t>
  </si>
  <si>
    <t>A business process-driven approach for generating software modules</t>
  </si>
  <si>
    <t>Software - Practice and Experience</t>
  </si>
  <si>
    <t>1049-1071</t>
  </si>
  <si>
    <t>Business processes describe the business operations of an organization and capture the business requirements. Business applications provide automated support for an organization to achieve their business objectives. A software modular structure represents the structure of a business application and shows the distribution of functionality to software components. However, mainstream design approaches rely on software architects' craftsmanship to derive software modular structures from business requirements. Such a manual approach is inefficient and often leads to inconsistency between business requirements and business applications. To address this problem, we propose an approach to derive software modular structures from business processes. We use clustering algorithms to analyze dependencies among data and tasks captured in business processes and group the strongly dependent tasks and data into a software component. A case study is conducted to generate software modular structures from a collection of business processes from the industrial setting and open-source development domain. The experiment results illustrate that our proposed approach can generate meaningful software modular structures with high modularity. Copyright © 2011 John Wiley &amp; Sons, Ltd.</t>
  </si>
  <si>
    <t>https://www.scopus.com/inward/record.uri?eid=2-s2.0-80052069015&amp;doi=10.1002%2fspe.1068&amp;partnerID=40&amp;md5=25ccb2b6474cd0de99c75f264120ea92</t>
  </si>
  <si>
    <t>An architectural pattern for designing intelligent enterprise systems</t>
  </si>
  <si>
    <t>Studies in Computational Intelligence</t>
  </si>
  <si>
    <t>Social mining, recommenders and data semantics are moving the focus of enterprise systems towards context-awareness and personalization. However, the design of these software systems needs specific architectures to support intelligent behaviors, still ensuring important non-functional properties, such as flexibility, efficiency and scalability. This paper proposes an architectural pattern that helps designers to easily identify the subsystems that characterize intelligent enterprise systems. By decoupling transactional behavior from batch processing, the pattern avoids the interference of knowledge extraction and reasoning processes with the state and the performance of the transactional subsystem. The pattern has been experimented in e-Commerce by designing an intelligent and scalable virtual mall.</t>
  </si>
  <si>
    <t>https://www.scopus.com/inward/record.uri?eid=2-s2.0-84867940927&amp;doi=10.1007%2f978-3-642-32524-3-12&amp;partnerID=40&amp;md5=b44d1046e9381bff971a4cd593444a5b</t>
  </si>
  <si>
    <t>Designing a scalable social E-commerce application</t>
  </si>
  <si>
    <t>Scalable Computing</t>
  </si>
  <si>
    <t>131-141</t>
  </si>
  <si>
    <t>eCommerce is gaining a momentum due to the wide diffusion of Web 2.0 technology. Social mining, recommenders and data semantics are moving the focus of eCommerce applications towards context-awareness and personalization. However, the design of these software systems needs specific architectures to support intelligent behaviors, still ensuring important non- functional properties, such as flexibility, efficiency and scalability. This paper proposes an architectural pattern that helps designers to easily identify the subsystems that characterize intelligent enterprise systems. By decoupling transactional behavior from batch processing, the pattern avoids the interference of knowledge extraction and reasoning processes with the state and the performance of the transactional subsystem, so improving scalability. The pattern has been experimented in eCommerce by designing an intelligent and scalable virtual mall. © 2013 SCPE.</t>
  </si>
  <si>
    <t>https://www.scopus.com/inward/record.uri?eid=2-s2.0-84884174605&amp;doi=10.12694%2fscpe.v14i2.845&amp;partnerID=40&amp;md5=665097c8ea8979fb92c4a7a941e24bb0</t>
  </si>
  <si>
    <t>Capability Diagnostics of Enterprise Service Architectures Using a Dedicated Software Architecture Reference Model</t>
  </si>
  <si>
    <t>2011 IEEE International Conference on Services Computing</t>
  </si>
  <si>
    <t>592-599</t>
  </si>
  <si>
    <t>ESARC</t>
  </si>
  <si>
    <t>The SOA Innovation Lab - an innovation network of industry leaders in Germany and Europe - investigates the practical use of vendor platforms in a service-oriented context. For this purpose an original service-oriented ESA-Enterprise-Software-Architecture-Reference-Model, an associated ESA-Architecture-Maturity-Framework and an ESA-Pattern-Language for supporting architecture evaluation and optimization has been researched, leveraging and extending CMMI and TOGAF, as well as other service-oriented state-of-the art frameworks and methods. Current approaches for assessing architecture quality and maturity of service-oriented enterprise software architectures are rarely validated and were intuitively developed, having sparse reference model, metamodel or pattern foundations. This is a real problem because enterprise and software architects should know how advanced architecture quality concepts can successfully be used and how a stable foundation for introducing service-oriented enterprise architectures for adaptive systems looks like. Our idea and contribution is to extend existing enterprise and software architecture reference models and maturity frameworks to accord with a sound metamodel approach. We have developed and are presenting the idea of a pattern language for assessing the architecture quality of adaptable service-oriented enterprise systems. Our approach is based on ESARC -- an Enterprise Software Architecture Reference Model we have developed.</t>
  </si>
  <si>
    <t>Adaptable Enterprise Architectures for Software Evolution of SmartLife Ecosystems</t>
  </si>
  <si>
    <t>SmartLife ecosystems are emerging as intelligent user-centered systems that will shape future trends in technology and communication. Biological metaphors of living adaptable ecosystems provide the logical foundation for self-optimizing and self-healing run-time environments for intelligent adaptable business services and related information systems with service-oriented enterprise architectures. The present research in progress work investigates mechanisms for adaptable enterprise architectures for the development of service-oriented ecosystems with integrated technologies like Semantic Technologies, Web Services, Cloud Computing and Big Data Management. With a large and diverse set of ecosystem services with different owners, our scenario of service-based SmartLife ecosystems can pose challenges in their development, and more importantly, for maintenance and software evolution. Our research explores the use of knowledge modeling using ontologies and flexible metamodels for adaptable enterprise architectures to support program comprehension for software engineers during maintenance and evolution tasks of service-based applications. Our previous reference enterprise architecture model ESARC -- Enterprise Services Architecture Reference Cube -- and the Open Group SOA Ontology was extended to support agile semantic analysis, program comprehension and software evolution for a SmartLife applications scenario. The Semantic Browser is a semantic search tool that was developed to provide knowledge-enhanced investigation capabilities for service-oriented applications and their architectures.</t>
  </si>
  <si>
    <t>Multi-Perspective Decision Management for Digitization Architecture and Governance</t>
  </si>
  <si>
    <t>The Internet of Things, Enterprise Social Networks, Adaptive Case Management, Mobility S ystems, Analytics for Big Data, and Cloudenvironments are emerging to support smart connected i.e. digital products and services and the digital transformation. Biological metaphors of living and adaptable ecosystems provide the logical foundation for self- optimizing and resilient run-time environments for intelligent business services and related distributed information systems with service-oriented digitization architectures. We are investigatingmechanismsforflexibleadaptationandevolution of information systems with digital architecture in the context of the ongoing digital transformation. Our aim is to support flexibility and agile transformation for both business and related information systems through adaptation and dynamical evolution of their digital architectures. The present research paper investigates mechanisms of decision analytics for digitization architectures, putting a spotlight to Internet of Things architectures, by extending original enterprise architecture reference models with digitization architectures andtheirmulti- perspective architectural decision management.</t>
  </si>
  <si>
    <t>Collaborative decision support for adaptive digital enterprise architecture</t>
  </si>
  <si>
    <t>24-35</t>
  </si>
  <si>
    <t>The digitization of our society changes the way we live, work, learn, communicate, and collaborate. This disruptive change interacts with all information processes and systems that are important business enablers for the context of digitization since years. Our aim is to support flexibility and agile transformations for both business domains and related information technology and enterprise systems through adaptation and evolution of digital enterprise architectures. The present research paper investigates collaborative decision mechanisms for adaptive digital enterprise architectures by extending original architecture reference models with state of art elements for agile architectural engineering for the digitization and collaborative architectural decision support. Copyright © 2015 by the authors.</t>
  </si>
  <si>
    <t>https://www.scopus.com/inward/record.uri?eid=2-s2.0-84940664495&amp;partnerID=40&amp;md5=58b26bcbb3ae5efd9aee999107cc13ad</t>
  </si>
  <si>
    <t>Towards Service-Oriented Enterprise Architectures for Big Data Applications in the Cloud</t>
  </si>
  <si>
    <t>130-135</t>
  </si>
  <si>
    <t>Applications with Service-oriented Enterprise Architectures in the Cloud are emerging and will shape future trends in technology and communication. The development of such applications integrates Enterprise Architecture and Management with Architectures for Services &amp;amp; Cloud Computing, Web Services, Semantics and Knowledge-based Systems, Big Data Management, among other Architecture Frameworks and Software Engineering Methods. In the present work in progress research, we explore Service-oriented Enterprise Architectures and application systems in the context of Big Data applications in cloud settings. Using a Big Data scenario, we investigate the integration of Services and Cloud Computing architectures with new capabilities of Enterprise Architectures and Management. The underlying architecture reference model can be used to support semantic analysis and program comprehension of service-oriented Big Data Applications. Enterprise Services Computing is the current trend for powerful large-scale information systems, which increasingly converge with Cloud Computing environments. In this paper we combine architectures for services with cloud computing. We propose a new integration model for service-oriented Enterprise Architectures on basis of ESARC - Enterprise Services Architecture Reference Cube, which is our previous developed service-oriented enterprise architecture classification framework, with MFESA - Method Framework for Engineering System Architectures - for the design of service-oriented enterprise architectures, and the systematic development, diagnostics and optimization of architecture artifacts of service-oriented cloud-based enterprise systems for Big Data applications.</t>
  </si>
  <si>
    <t>Leveraging analytics for digital transformation of enterprise services and architectures</t>
  </si>
  <si>
    <t>91-112</t>
  </si>
  <si>
    <t>The digital transformation of our society changes the way we live, work, learn, communicate, and collaborate. The digitization of software-intensive products and services is enabled basically by four megatrends: Cloud Computing, Big Data Mobile Systems, and Social Technologies. This disruptive change interacts with all information processes and systems that are important business enablers for the current digital transformation. The Internet of Things, Social Collaboration Systems for Adaptive Case Management, Mobility Systems and Services for Big Data in Cloud Services environments are emerging to support intelligent user-centered and social community systems. Modern enterprises see themselves confronted with an ever growing design space to engineer business models of the future as well as their IT support, respectively. The decision analytics in this field becomes increasingly complex and decision support, particularly for the development and evolution of sustainable enterprise architectures (EA), is duly needed. With the advent of intelligent user-centered and social community systems, the challenging decision processes can be supported in more flexible and intuitive ways. Tapping into these systems and techniques, the engineers and managers of the enterprise architecture become part of a viable enterprise, i.e. a resilient and continuously evolving system that develops innovative business models. © Springer International Publishing Switzerland 2016.</t>
  </si>
  <si>
    <t>https://www.scopus.com/inward/record.uri?eid=2-s2.0-84988867457&amp;doi=10.1007%2f978-3-319-40564-3_6&amp;partnerID=40&amp;md5=05cd09b2c616ca6749f3ac4c4e5e0228</t>
  </si>
  <si>
    <t>Digital Enterprise Architecture - Transformation for the Internet of Things</t>
  </si>
  <si>
    <t>130-138</t>
  </si>
  <si>
    <t>Excellence in IT is both a driver and a key enabler of the digital transformation. The digital transformation changes the way we live, work, learn, communicate, and collaborate. The Internet of Things (IoT) fundamentally influences today's digital strategies with disruptive business operating models and fast changing markets. New business information systems are integrating emerging Internet of Things infrastructures and components. With the huge diversity of Internet of Things technologies and products organizations have to leverage and extend previous Enterprise Architecture efforts to enable business value by integrating Internet of Things architectures. Both architecture engineering and management of current information systems and business models are complex and currently integrating beside the Internet of Things synergistic subjects, like Enterprise Architecture in context with services &amp;amp; cloud computing, semantic-based decision support through ontologies and knowledge-based systems, big data management, as well as mobility and collaboration networks. To provide adequate decision support for complex business/IT environments, we have to make transparent the impact of business and IT changes over the integral landscape of affected architectural capabilities, like directly and transitively impacted IoT-objects, business categories, processes, applications, services, platforms and infrastructures. The paper describes a new metamodel-based approach for integrating Internet of Things architectural objects, which are semi-automatically federated into a holistic Digital Enterprise Architecture environment.</t>
  </si>
  <si>
    <t>Reference architecture, metamodel, and modeling principles for architectural knowledge management in information technology services</t>
  </si>
  <si>
    <t>2014-2033</t>
  </si>
  <si>
    <t>Capturing and sharing design knowledge such as architectural decisions is becoming increasingly important in firms providing professional Information Technology (IT) services such as enterprise application development and strategic outsourcing. Methods, models, and tools supporting explicit knowledge management strategies have been proposed in recent years; however, several challenges remain unaddressed. In this paper, we extend our previous work to overcome these challenges and to satisfy the requirements of an additional user group, presales architects that are responsible for IT service solution proposals. In strategic outsourcing, such solution proposals require complex, contractually relevant design decisions concerning many different resources such as IT infrastructures, people, and real estate. To support both presales and project architects, we define a common reference architecture and a decision process-oriented metamodel. We also present a tool implementation of these concepts and discuss their application to outsourcing proposals and application development projects. Finally, we establish twelve decision modeling principles and practices that capture the practical experience gained and lessons learned during the application of our decision modeling concepts to both proposal development and architecture design work on projects.</t>
  </si>
  <si>
    <t>https://www.sciencedirect.com/science/article/pii/S0164121212001343</t>
  </si>
  <si>
    <t>Toward the selection of an enterprise architecture model for a cloud environment</t>
  </si>
  <si>
    <t>2013 11th RoEduNet International Conference</t>
  </si>
  <si>
    <t>Year 2012 celebrates the 25&lt;sup&gt;th&lt;/sup&gt; anniversary of Enterprise Architecture (EA) field, since in 1987 J.A. Zachman wrote an article entitled &amp;#x201C;A Framework for Information System Architecture&amp;#x201D; [10] which emphasized the role of a disciplined approach to the management of the information systems in order to achieve the success of a business. Due to capacity and scalability constraints, enterprises have to consider alternative architectures to support their day to day operations. This commonly implies a business model reengineering. Business model reengineering is a tough job, stakeholders have to accept and enact change. Only organizations that respond well and quick to change will be able to survive in the current business environment and economic climate. In this paper, we focus on two well-known Enterprise Architecture Frameworks (TOGAF and PEAF). First, we make a brief presentation of these frameworks. Second, we present a case study for the TOGAF EA and in the end we draw some conclusions.</t>
  </si>
  <si>
    <t>Preliminary aspects in order to develop an efficient method for cloud implementation standardization</t>
  </si>
  <si>
    <t>2013 RoEduNet International Conference 12th Edition: Networking in Education and Research</t>
  </si>
  <si>
    <t>The domain of cloud computing involves several complex issues. An interesting topic in the cloud computing are represents the application of standardization by using business application frameworks. The current paper analyses some of the existing architecture and governance frameworks and their usability from a cloud implementation perspective, in order to develop an efficient cloud architecture designed for business applications.</t>
  </si>
  <si>
    <t>1</t>
  </si>
  <si>
    <t>4</t>
  </si>
  <si>
    <t>3</t>
  </si>
  <si>
    <t>application program interface (API)_x000D_
argument_x000D_
asynchronous_x000D_
basic regular expression (BRE)_x000D_
batch job_x000D_
batch system_x000D_
built-in</t>
  </si>
  <si>
    <t>1-3874</t>
  </si>
  <si>
    <t>10.1109/IEEESTD.2008.7394902</t>
  </si>
  <si>
    <t>Batch processing_x000D_
Central Processing Unit_x000D_
Control systems_x000D_
IEEE Standards_x000D_
Operating systems_x000D_
Portable equipment_x000D_
Program Interfaces_x000D_
Synchronous machines_x000D_
1003.1-2008_x000D_
CPU_x000D_
FIFO_x000D_
X/Open System Interface (XSI)_x000D_
application program interface (API)_x000D_
argument_x000D_
asynchronous_x000D_
basic regular expression (BRE)_x000D_
batch job_x000D_
batch system_x000D_
built-in utility_x000D_
byte_x000D_
child_x000D_
command language interpreter_x000D_
extended regular expression (ERE)_x000D_
file access control mechanism_x000D_
input/output (I/O)_x000D_
job control_x000D_
network_x000D_
parent_x000D_
portable operating system interface (POSIX)_x000D_
shell_x000D_
stream_x000D_
string_x000D_
synchronous_x000D_
system_x000D_
thread</t>
  </si>
  <si>
    <t>1-3880</t>
  </si>
  <si>
    <t>10.1109/IEEESTD.2009.5393893</t>
  </si>
  <si>
    <t>C language_x000D_
IEEE standards_x000D_
Unix_x000D_
software portability_x000D_
software standards_x000D_
utility programs_x000D_
C language header definitions_x000D_
IEEE Std 1003.1_x000D_
POSIX. 1-2008_x000D_
application developers_x000D_
applications portability_x000D_
base definitions volume_x000D_
command interpreter_x000D_
common utility programs_x000D_
information technology_x000D_
language specific system services_x000D_
open group technical standard base specifications_x000D_
portable operating system interface_x000D_
source code level interface_x000D_
system implementors_x000D_
Application programming interface_x000D_
Central processing units_x000D_
Data mining_x000D_
File access control_x000D_
Operating systems_x000D_
Portable operating system interfaces_x000D_
1003.1-2008_x000D_
CPU_x000D_
FIFO_x000D_
X/Open System Interface (XSI)_x000D_
application program interface (API)_x000D_
argument_x000D_
asynchronous_x000D_
basic regular expression (BRE)_x000D_
batch job_x000D_
batch system_x000D_
built-in utility_x000D_
byte_x000D_
child_x000D_
command language interpreter_x000D_
extended regular expression (ERE)_x000D_
file access control mechanism_x000D_
input/output (I/O)_x000D_
job control_x000D_
network_x000D_
parent_x000D_
portable operating system interface (POSIX)_x000D_
shell_x000D_
stream_x000D_
string_x000D_
synchronous_x000D_
system_x000D_
thread</t>
  </si>
  <si>
    <t>POSIX.1-2008 is simultaneously IEEE Std 1003.1-2008? and The Open Group Technical Standard Base Specifications, Issue 7. POSIX.1-2008 defines a standard operating system interface and environment, including a command interpreter (or shell"), and common utility programs to support applications portability at the source code level. POSIX.1-2008 is intended to be used by both application developers and system implementors and comprises four major components (each in an associated volume): a) General terms, concepts, and interfaces common to all volumes of this standard, including utility conventions and C-language header definitions, are included in the Base Definitions volume. b) Definitions for system service functions and subroutines, language-specific system services for the C programming language, function issues, including portability, error handling, and error recovery, are included in the System Interfaces volume. c) Definitions for a standard source code-level interface to command interpretation services (a "shell") and common utility programs for application programs are included in the Shell and Utilities volume.d) Extended rationale that did not fit well into the rest of the document structure, which contains historical information concerning the contents of POSIX.1-2008 and why features were included or discarded by the standard developers, is included in the Rationale (Informative) volume. The following areas are outside the scope of POSIX.1-2008:1)Graphics interfaces 2)Database management system interfaces 3)Record I/O considerations 4) Object or binary code portability 5) System configuration and resource availability POSIX.1-2008 describes the external characteristics and facilities that are of importance to application developers, rather than the internal construction techniques employed to achieve these capabilities. Special emphasis is placed on those functions and facilities that are needed in a wide variety of commercial applications."</t>
  </si>
  <si>
    <t>architecting_x000D_
architecture description_x000D_
architecture framework_x000D_
architecture model_x000D_
architecture view_x000D_
architecture viewpoint_x000D_
decision_x000D_
model correspondence_x000D_
rationale_x000D_
system concern</t>
  </si>
  <si>
    <t>This International Standard addresses the creation, analysis and sustainment of architectures of systems through the use of architecture descriptions. A conceptual model of architecture description is established. The required contents of an architecture description are specified. Architecture frameworks are introduced for codifying conventions and common practices of architecture description within a community. The content of an architecture framework is specified. Annexes provide the motivation and background for key concepts and terminology and examples of applying this International Standard. ""</t>
  </si>
  <si>
    <t>1-53</t>
  </si>
  <si>
    <t>Computer architecture_x000D_
Context modeling_x000D_
IEC standards_x000D_
IEEE standards_x000D_
ISO standards_x000D_
Resource management_x000D_
Software engineering_x000D_
architecting_x000D_
architecture decision_x000D_
architecture description_x000D_
architecture description language_x000D_
architecture framework_x000D_
architecture model_x000D_
architecture rationale_x000D_
architecture view_x000D_
architecture viewpoint_x000D_
correspondence_x000D_
correspondence rule_x000D_
system concern</t>
  </si>
  <si>
    <t>IEEE standards_x000D_
Software engineering_x000D_
architecting_x000D_
architecture decision_x000D_
architecture description_x000D_
architecture description language_x000D_
architecture framework_x000D_
architecture model_x000D_
architecture rationale_x000D_
architecture view_x000D_
architecture viewpoint_x000D_
correspondence_x000D_
correspondence rule_x000D_
system concern</t>
  </si>
  <si>
    <t>This International Standard addresses the creation, analysis and sustainment of architectures of systems through the use of architecture descriptions. A conceptual model of architecture description is established. The required contents of an architecture description are specified. Architecture viewpoints, architecture frameworks and architecture description languages are introduced for codifying conventions and common practices of architecture description. The required content of architecture viewpoints, architecture frameworks and architecture description languages is specified. Annexes provide the motivation and background for key concepts and terminology and examples of applying this International Standard.""</t>
  </si>
  <si>
    <t>https://doi.org/10.1016/B978-0-12-385017-1.00005-5</t>
  </si>
  <si>
    <t>10.1109/IEEESTD.2011.5975181</t>
  </si>
  <si>
    <t>IEEE standards_x000D_
Information technology_x000D_
Power distribution_x000D_
Power system planning_x000D_
Smart grids</t>
  </si>
  <si>
    <t>1-46</t>
  </si>
  <si>
    <t>10.1109/IEEESTD.2011.6129467</t>
  </si>
  <si>
    <t>Computer architecture_x000D_
IEEE standards_x000D_
Software engineering_x000D_
IEEE 42010_x000D_
architecting_x000D_
architecture decision_x000D_
architecture description_x000D_
architecture description language_x000D_
architecture framework_x000D_
architecture model_x000D_
architecture rationale_x000D_
architecture view_x000D_
architecture viewpoint_x000D_
correspondence_x000D_
correspondence rule_x000D_
system concern</t>
  </si>
  <si>
    <t>160</t>
  </si>
  <si>
    <t>7</t>
  </si>
  <si>
    <t>6</t>
  </si>
  <si>
    <t>10.1049/iet-sen.2013.0231</t>
  </si>
  <si>
    <t>1-3906</t>
  </si>
  <si>
    <t>10.1109/IEEESTD.2013.6506091</t>
  </si>
  <si>
    <t>Application programming interfaces_x000D_
File systems_x000D_
IEEE standards_x000D_
Information technology_x000D_
Operating systems_x000D_
CPU_x000D_
FIFO_x000D_
IEEE 1003.1(TM)_x000D_
X/Open System Interface (XSI)_x000D_
application program interface (API)_x000D_
argument_x000D_
asynchronous_x000D_
basic regular expression (BRE)_x000D_
batch job_x000D_
batch system_x000D_
built-in utility_x000D_
byte_x000D_
child_x000D_
command language interpreter_x000D_
extended regular expression (ERE)_x000D_
file access control mechanism_x000D_
input/output (I/O)_x000D_
job control_x000D_
network_x000D_
parent_x000D_
portable operating system interface (POSIX(R))_x000D_
shell_x000D_
stream_x000D_
string_x000D_
synchronous_x000D_
system_x000D_
thread</t>
  </si>
  <si>
    <t>https://doi.org/10.1016/B978-0-12-800387-9.15003-0</t>
  </si>
  <si>
    <t>https://doi.org/10.1016/B978-0-12-799959-3.11001-8</t>
  </si>
  <si>
    <t>10.1109/ICATCCT.2015.7456844</t>
  </si>
  <si>
    <t>2</t>
  </si>
  <si>
    <t>https://doi.org/10.1016/B978-0-12-799959-3.18002-4</t>
  </si>
  <si>
    <t>1-3957</t>
  </si>
  <si>
    <t>10.1109/IEEESTD.2016.7582338</t>
  </si>
  <si>
    <t>C language_x000D_
IEEE standards_x000D_
error handling_x000D_
expert system shells_x000D_
operating systems (computers)_x000D_
program interpreters_x000D_
programming languages_x000D_
software portability_x000D_
source code (software)_x000D_
subroutines_x000D_
system recovery_x000D_
utility programs_x000D_
1003.1-2008/Cor 2-2016_x000D_
C programming languages_x000D_
C-language header definitions_x000D_
IEEE Std 1003.1-2008_x000D_
IEEE corrigenda address problems_x000D_
IEEE std specifications, issue 7_x000D_
POSIX.1-2008_x000D_
application developers_x000D_
application programs_x000D_
applications portability support_x000D_
base definitions volume_x000D_
command interpretation services_x000D_
command interpreter_x000D_
common utility programs_x000D_
error recovery_x000D_
function issues_x000D_
information technology standard_x000D_
language-specific system services_x000D_
portable operating system interface_x000D_
rationale volume_x000D_
shell and utilities volume_x000D_
source code level_x000D_
standard operating system interface_x000D_
standard source code-level interface_x000D_
system implementors_x000D_
system interfaces volume_x000D_
system service functions_x000D_
utility conventions_x000D_
Access control_x000D_
Application programming interfaces_x000D_
Batch jobs_x000D_
File access management_x000D_
Media streaming_x000D_
Open system interfaces_x000D_
CPU_x000D_
FIFO_x000D_
IEEE 1003.1(TM)_x000D_
X/Open System Interface (XSI)_x000D_
application program interface (API)_x000D_
argument_x000D_
asynchronous_x000D_
basic regular expression (BRE)_x000D_
batch job_x000D_
batch system_x000D_
built-in utility_x000D_
byte_x000D_
child_x000D_
command language interpreter_x000D_
extended regular expression (ERE)_x000D_
file access control mechanism_x000D_
input/output (I/O)_x000D_
job control_x000D_
network_x000D_
parent_x000D_
portable operating system interface (POSIX(R))_x000D_
shell_x000D_
stream_x000D_
string_x000D_
synchronous_x000D_
system_x000D_
thread</t>
  </si>
  <si>
    <t>121</t>
  </si>
  <si>
    <t>https://doi.org/10.1016/S1877-0509(17)32755-2</t>
  </si>
  <si>
    <t>1-3946</t>
  </si>
  <si>
    <t>Application programming interface_x000D_
Batch production systems_x000D_
Command languages_x000D_
IEEE Standards_x000D_
Information technology_x000D_
Input-output programs_x000D_
Operating systems_x000D_
CPU_x000D_
FIFO_x000D_
IEEE 1003.1(TM)_x000D_
X/Open System Interface (XSI)_x000D_
application program interface (API)_x000D_
argument_x000D_
asynchronous_x000D_
basic regular expression (BRE)_x000D_
batch job_x000D_
batch system_x000D_
built-in utility_x000D_
byte_x000D_
child_x000D_
command language interpreter_x000D_
extended regular expression (ERE)_x000D_
file access control mechanism_x000D_
input/output (I/O)_x000D_
job control_x000D_
network_x000D_
parent_x000D_
portable operating system interface (POSIX(R))_x000D_
shell_x000D_
stream_x000D_
string_x000D_
synchronous_x000D_
system_x000D_
thread</t>
  </si>
  <si>
    <t>Z. Aarab; R. Saidi; M. D. Rahmani</t>
  </si>
  <si>
    <t>1-8</t>
  </si>
  <si>
    <t>10.1109/AICCSA.2016.7945785</t>
  </si>
  <si>
    <t>information systems_x000D_
mobile computing_x000D_
context-aware information systems_x000D_
event-driven application design_x000D_
event-driven metamodels_x000D_
event-driven mobile computing_x000D_
event-driven modeling_x000D_
mobile computing developers_x000D_
Business_x000D_
Computational modeling_x000D_
Computer architecture_x000D_
Context_x000D_
Context modeling_x000D_
Sensors_x000D_
Context-Awareness_x000D_
Entreprise Architecture_x000D_
Entreprise Modeling_x000D_
Event metamodel_x000D_
Event-Driven Architecture_x000D_
Event-Driven Computing_x000D_
Model-Driven Architecture</t>
  </si>
  <si>
    <t>K. Abad; J. P. Carvallo; M. Espinoza; V. Saquicela</t>
  </si>
  <si>
    <t>405</t>
  </si>
  <si>
    <t>10.1007/978-3-319-26285-7_11</t>
  </si>
  <si>
    <t>Context actors_x000D_
Context models_x000D_
Linked data_x000D_
Ontology_x000D_
Semantic repository_x000D_
Strategic dependency_x000D_
Application programs_x000D_
Process engineering_x000D_
Software engineering_x000D_
Linked datum_x000D_
Strategic dependencies_x000D_
Semantics</t>
  </si>
  <si>
    <t>K. Abad; W. Pérez; J. Carvallo; X. Franch</t>
  </si>
  <si>
    <t>10.1145/3019612.3019754</t>
  </si>
  <si>
    <t>Context models_x000D_
Enterprise architecture_x000D_
Goal-oriented modeling_x000D_
Industrial validation_x000D_
iStar_x000D_
Social dependencies_x000D_
Computation theory_x000D_
Goal oriented modeling_x000D_
Semantics</t>
  </si>
  <si>
    <t>W. Abderrahim; Z. Choukair</t>
  </si>
  <si>
    <t>1-6</t>
  </si>
  <si>
    <t>10.1109/GIIS.2014.6934258</t>
  </si>
  <si>
    <t>cloud computing_x000D_
software architecture_x000D_
IT infrastructure_x000D_
cloud computing adaptive migration_x000D_
framework architecture based model_x000D_
Architecture_x000D_
Computational modeling_x000D_
Computer architecture_x000D_
Organizations_x000D_
Service-oriented architecture_x000D_
Cloud computing migration_x000D_
Framework Architecture_x000D_
Service orientation_x000D_
TOGAF</t>
  </si>
  <si>
    <t>10.1109/IWCMC.2016.7577046</t>
  </si>
  <si>
    <t>cloud computing_x000D_
IaaS_x000D_
TOGAF_x000D_
The open group architecture_x000D_
cloud service behavior_x000D_
dependability assurance_x000D_
infrastructure as a service_x000D_
multidimensional model_x000D_
Computational modeling_x000D_
Computer architecture_x000D_
Fault tolerance_x000D_
Fault tolerant systems_x000D_
Stakeholders_x000D_
Architecture Frameworks_x000D_
Cloud Actors_x000D_
Dependability_x000D_
Fault management</t>
  </si>
  <si>
    <t>R. Abraham; S. Aier; R. Winter</t>
  </si>
  <si>
    <t>57</t>
  </si>
  <si>
    <t>3-13</t>
  </si>
  <si>
    <t>10.1007/s12599-014-0361-1</t>
  </si>
  <si>
    <t>Boundary objects_x000D_
Enterprise architecture_x000D_
Enterprise transformation_x000D_
Knowledge boundaries_x000D_
Structural equation modeling</t>
  </si>
  <si>
    <t>A. Ahmad; M. A. Babar</t>
  </si>
  <si>
    <t>122</t>
  </si>
  <si>
    <t>https://doi.org/10.1016/j.jss.2016.08.039</t>
  </si>
  <si>
    <t>Software architecture_x000D_
Robotic systems_x000D_
Evidence-based software engineering_x000D_
Software architecture for robotics_x000D_
Systematic mapping study</t>
  </si>
  <si>
    <t>A. R. A. Ahmadi; F. Soltani; M. Gheitasi</t>
  </si>
  <si>
    <t>10.1109/ITNG.2007.33</t>
  </si>
  <si>
    <t>educational institutions_x000D_
information systems_x000D_
ICT Master Plan_x000D_
ICT technical reference model_x000D_
ICT tools_x000D_
Iran universities_x000D_
e-government_x000D_
enterprise architecture models_x000D_
Buildings_x000D_
Computer architecture_x000D_
Context modeling_x000D_
Costs_x000D_
Industrial engineering_x000D_
Information technology_x000D_
Transmission line measurements_x000D_
US Government</t>
  </si>
  <si>
    <t>Enterprise architecture_x000D_
Service management_x000D_
Service oriented architecture (SOA)_x000D_
Design dimensions_x000D_
Development path_x000D_
Individual dimensions_x000D_
Service definition_x000D_
Service orientation_x000D_
Service-oriented design_x000D_
Information services_x000D_
Information systems_x000D_
Design</t>
  </si>
  <si>
    <t>B. Akhgar; S. Yates</t>
  </si>
  <si>
    <t>10.1016/C2012-0-06121-2</t>
  </si>
  <si>
    <t>A. Alblawi; J. Stracener; J. Williams</t>
  </si>
  <si>
    <t>10.1109/SYSCON.2016.7490553</t>
  </si>
  <si>
    <t>Complex systems_x000D_
Decision making_x000D_
Organizations_x000D_
Programming_x000D_
Resource management_x000D_
Schedules_x000D_
Stakeholders_x000D_
program organizational design</t>
  </si>
  <si>
    <t>A. Aldea; M. E. Iacob; D. Quartel; H. Franken</t>
  </si>
  <si>
    <t>10.1109/ES.2013.6690089</t>
  </si>
  <si>
    <t>enterprise resource planning_x000D_
organisational aspects_x000D_
strategic planning_x000D_
agile alignment_x000D_
business-IT alignment_x000D_
enterprise architecture_x000D_
organisation goals_x000D_
organisational change_x000D_
strategic planning process_x000D_
strategy models_x000D_
turbulent environment_x000D_
Analytical models_x000D_
Dynamics_x000D_
Industries_x000D_
Oceans_x000D_
Organizations_x000D_
ArchiMate_x000D_
Balanced Scorecard_x000D_
Blue Ocean Strategy_x000D_
Business Model Canvas_x000D_
Dynamic Capabilities_x000D_
Five Forces Framework_x000D_
Marketing Mix_x000D_
PEST analysis_x000D_
Quantitative Strategic Planning Matrix_x000D_
SWOT analysis_x000D_
Strategy Map_x000D_
strategy model</t>
  </si>
  <si>
    <t>A. Aldea; M.-E. Iacob; J. v. Hillegersberg; D. Quartel; L. Bodenstaff; H. Franken</t>
  </si>
  <si>
    <t>10.1145/2695664.2699489</t>
  </si>
  <si>
    <t>A. Alegria; A. Vasconcelos</t>
  </si>
  <si>
    <t>1-12</t>
  </si>
  <si>
    <t>10.1109/RCIS.2010.5507358</t>
  </si>
  <si>
    <t>Computerized monitoring_x000D_
Design engineering_x000D_
Documentation_x000D_
Information analysis_x000D_
Information systems_x000D_
Instruction sets_x000D_
Process planning_x000D_
Protocols_x000D_
Telecommunication traffic_x000D_
Traffic control_x000D_
Deep Packet Analysis_x000D_
IT Architecture_x000D_
Logical Inference_x000D_
Network Traffic_x000D_
Passive Monitoring</t>
  </si>
  <si>
    <t>R. Alexander; T. Kelly</t>
  </si>
  <si>
    <t>51</t>
  </si>
  <si>
    <t>https://doi.org/10.1016/j.ssci.2012.07.006</t>
  </si>
  <si>
    <t>Safety_x000D_
Simulation_x000D_
System of systems_x000D_
Hazard analysis_x000D_
Multi-agent</t>
  </si>
  <si>
    <t>10.1109/ICCEA.2010.92</t>
  </si>
  <si>
    <t>defence industry_x000D_
military computing_x000D_
C4I system_x000D_
DODAF_x000D_
MODAF_x000D_
NAF_x000D_
UPDM_x000D_
architecture frameworks_x000D_
civil era_x000D_
defense era_x000D_
defense industry frameworks_x000D_
Application software_x000D_
Communication system control_x000D_
Computer architecture_x000D_
Control systems_x000D_
Defense industry_x000D_
Educational institutions_x000D_
Information analysis_x000D_
Information systems_x000D_
Process design_x000D_
Software engineering</t>
  </si>
  <si>
    <t>10.1109/ICCET.2010.5486188</t>
  </si>
  <si>
    <t>N. Alhadad; P. Serrano-Alvarado; Y. Busnel; P. Lamarre</t>
  </si>
  <si>
    <t>9430</t>
  </si>
  <si>
    <t>10.1007/978-3-662-48567-5_2</t>
  </si>
  <si>
    <t>Probability_x000D_
Complex architectures_x000D_
Digital resources_x000D_
Distributed systems_x000D_
First order logic_x000D_
Probability theory_x000D_
Subjective Logic_x000D_
System modeling_x000D_
Trust evaluation_x000D_
Formal logic</t>
  </si>
  <si>
    <t>I. Alloush; V. Chiprianov; J. Simonin; S. Rouvrais; Y. Kermarrec</t>
  </si>
  <si>
    <t>10.1109/ICIN.2015.7073824</t>
  </si>
  <si>
    <t>business communication_x000D_
telecommunication industry_x000D_
telecommunication services_x000D_
enterprise architecture_x000D_
hardware element_x000D_
model driven approach_x000D_
software element_x000D_
telecommunication service creation environment_x000D_
Adaptation models_x000D_
Analytical models_x000D_
Computational modeling_x000D_
Mathematical model_x000D_
Next generation networking</t>
  </si>
  <si>
    <t>I. Alloush; Y. Kermarrec; S. Rouvrais</t>
  </si>
  <si>
    <t>10-17</t>
  </si>
  <si>
    <t>telecommunication computing_x000D_
telecommunication services_x000D_
NS-3 case study_x000D_
NS-3 simulator_x000D_
OPNET_x000D_
TS creation activity_x000D_
TS design complex architectures_x000D_
TS domain_x000D_
automated tool selection method_x000D_
customized measurement_x000D_
daunting task_x000D_
design error detection_x000D_
model transformation_x000D_
model transformation technique_x000D_
modeling language level_x000D_
network simulators_x000D_
nondomain-expert designers_x000D_
performance quality violation_x000D_
reusability_x000D_
telecom service design error_x000D_
telecommunication enterprises_x000D_
verification activity_x000D_
video conference_x000D_
Adaptation models_x000D_
Analytical models_x000D_
Computer architecture_x000D_
Joining processes_x000D_
Measurement_x000D_
Software_x000D_
Unified modeling language</t>
  </si>
  <si>
    <t>Analytical models_x000D_
Business_x000D_
Complexity theory_x000D_
Computer architecture_x000D_
Model driven engineering_x000D_
Object oriented modeling_x000D_
Syntactics_x000D_
Code Generation_x000D_
Enterprise Architecture_x000D_
IMS_x000D_
Network Simulation_x000D_
Viewpoint</t>
  </si>
  <si>
    <t>J. P. A. Almeida; G. Guizzardi</t>
  </si>
  <si>
    <t>10.1109/EDOC.2008.47</t>
  </si>
  <si>
    <t>corporate modelling_x000D_
semantic networks_x000D_
conceptual modelling framework_x000D_
enterprise modelling_x000D_
role-related concepts_x000D_
semantic foundation_x000D_
Context modeling_x000D_
Distributed computing_x000D_
Inspection_x000D_
Object oriented modeling_x000D_
Production_x000D_
actors_x000D_
conceptual modelling_x000D_
object modelling_x000D_
roles</t>
  </si>
  <si>
    <t>35</t>
  </si>
  <si>
    <t>https://doi.org/10.1016/j.csi.2012.01.007</t>
  </si>
  <si>
    <t>Enterprise viewpoint_x000D_
Enterprise language_x000D_
Foundational ontology_x000D_
Social concepts_x000D_
Community</t>
  </si>
  <si>
    <t>I. Alston; S. Campbell</t>
  </si>
  <si>
    <t>10.1109/EST.2010.27</t>
  </si>
  <si>
    <t>security of data_x000D_
software engineering_x000D_
security system design_x000D_
systems engineering approach_x000D_
Analytical models_x000D_
Context_x000D_
Hardware_x000D_
Security_x000D_
Software_x000D_
Testing_x000D_
Design_x000D_
Security System_x000D_
Systems Engineering</t>
  </si>
  <si>
    <t>10.1109/CBI.2015.9</t>
  </si>
  <si>
    <t>business data processing_x000D_
information systems_x000D_
business informatics_x000D_
business process_x000D_
business service_x000D_
enterprise orientations_x000D_
work system_x000D_
Biological system modeling_x000D_
Computer architecture_x000D_
Informatics_x000D_
Object oriented modeling_x000D_
Organizations_x000D_
Unified modeling language_x000D_
enterprise orientation_x000D_
process orientation_x000D_
service orientation_x000D_
work system orientation</t>
  </si>
  <si>
    <t>A. Alwadain; E. Fielt; A. Korthaus; M. Rosemann</t>
  </si>
  <si>
    <t>105</t>
  </si>
  <si>
    <t>https://doi.org/10.1016/j.datak.2015.09.004</t>
  </si>
  <si>
    <t>Enterprise architecture_x000D_
EA_x000D_
Service-oriented architecture_x000D_
SOA_x000D_
Critical realism_x000D_
Morphogenetic theory</t>
  </si>
  <si>
    <t>R. Ananthavijayan; S. P. Karthikeyan; I. J. Raglend; J. B. Edward; K. S. Kumar</t>
  </si>
  <si>
    <t>10.1109/ICHVEPS.2017.8225882</t>
  </si>
  <si>
    <t>Computer architecture_x000D_
Distributed databases_x000D_
Monitoring_x000D_
Sensors_x000D_
Smart grids_x000D_
Software_x000D_
Software architecture_x000D_
Automatic Metering infrastructure_x000D_
Distributed Energy Sources_x000D_
Distribution Automation_x000D_
Electronic Control Unit_x000D_
Meter Data Management System</t>
  </si>
  <si>
    <t>P. Andersen; A. Carugati; M. G. Sørensen</t>
  </si>
  <si>
    <t>10.1109/HICSS.2015.491</t>
  </si>
  <si>
    <t>business data processing_x000D_
educational institutions_x000D_
organisational aspects_x000D_
EA evaluation_x000D_
academic publications_x000D_
bottom-up approach_x000D_
complex projects evaluation_x000D_
enterprise architecture evaluation practices_x000D_
informal ad hoc evaluation_x000D_
large university_x000D_
organization_x000D_
project managers_x000D_
top-down approach_x000D_
Context_x000D_
Data collection_x000D_
Interviews_x000D_
Investment_x000D_
Organizations_x000D_
Portfolios_x000D_
case study_x000D_
enterprise architecture_x000D_
evaluation</t>
  </si>
  <si>
    <t>A. Anli; C. Kolski; M. Abed</t>
  </si>
  <si>
    <t>10.1145/1148550.1148566</t>
  </si>
  <si>
    <t>G. Antunes; M. Bakhshandeh; R. Mayer; J. Borbinha; A. Caetano</t>
  </si>
  <si>
    <t>10.1109/EDOCW.2013.47</t>
  </si>
  <si>
    <t>business data processing_x000D_
ontologies (artificial intelligence)_x000D_
application components_x000D_
architecture description_x000D_
business processes_x000D_
core domain-independent ontology_x000D_
description language_x000D_
domain management_x000D_
domain-specific ontologies_x000D_
element management_x000D_
enterprise architecture languages_x000D_
heterogeneous spectrum_x000D_
information technology_x000D_
one-model fits all approach_x000D_
technological infrastructure_x000D_
Analytical models_x000D_
Computational modeling_x000D_
Computer architecture_x000D_
Ontologies_x000D_
Organizations_x000D_
Proposals_x000D_
ArchiMate_x000D_
OWL_x000D_
analysis_x000D_
enterprise architecture_x000D_
ontology</t>
  </si>
  <si>
    <t>Enterprise architecture aligns business and information technology through the management of different elements and domains. An architecture description encompasses a wide and heterogeneous spectrum of areas, such as business processes, metrics, application components, people and technological infrastructure. Views express the elements and relationships of one or more domains from the perspective of specific system concerns relevant to one or more of its stakeholders. As a result, each view needs to be expressed in the description language that best suits its concerns. However, enterprise architecture languages tend to advocate a rigid one-model fits all" approach where an all-encompassing description language describes several architectural domains. This approach hinders extensibility and adds complexity to the overall description language. On the other hand, integrating multiple models raises several challenges at the level of model coherence, consistency and trace ability. Moreover, EA models should be computable so that the effort involved in their analysis is manageable. This work advocates the employment of ontologies and associated techniques in EA for contributing to the solving of the aforementioned issues. Thus, a proposal is made comprising an extensible architecture that consists of a core domain-independent ontology that can be extended through the integration of domain-specific ontologies focusing on specific concerns. The proposal is demonstrated through a real-world evaluation scenario involving the analysis of the models according to the requirements of the scenario stakeholders."</t>
  </si>
  <si>
    <t>1-10</t>
  </si>
  <si>
    <t>C. G. Aoun; I. Alloush; Y. Kermarrec; J. Champeau; O. K. Zein</t>
  </si>
  <si>
    <t>ArchiMate_x000D_
Data Fusion_x000D_
Domain Specific Modeling Language_x000D_
Enterprise Architecture_x000D_
Marine Observatory_x000D_
Meta-Model_x000D_
Model Driven Engineers_x000D_
Models_x000D_
Simulation_x000D_
Smart Sensors_x000D_
Underwater Object Localization_x000D_
Acoustic devices_x000D_
Acoustic equipment_x000D_
Complex networks_x000D_
Electronic data interchange_x000D_
Embedded systems_x000D_
Life cycle_x000D_
Mapping_x000D_
Modeling languages_x000D_
Network architecture_x000D_
Object recognition_x000D_
Observatories_x000D_
Sensor networks_x000D_
Specification languages_x000D_
Underwater acoustics_x000D_
Domain specific modeling languages_x000D_
Marine observatories_x000D_
Meta model_x000D_
Model-driven_x000D_
Underwater objects_x000D_
Information management</t>
  </si>
  <si>
    <t>R. H. Arpini; J. P. A. Almeida</t>
  </si>
  <si>
    <t>10.1145/2245276.2232048</t>
  </si>
  <si>
    <t>active structure_x000D_
business process modeling_x000D_
enterprise modeling_x000D_
survey_x000D_
Active structures_x000D_
Business Process_x000D_
Enterprise Architecture_x000D_
In-process_x000D_
Modeling technique_x000D_
UML activity diagrams_x000D_
Surveys_x000D_
Computation theory</t>
  </si>
  <si>
    <t>C. Atkinson; R. Gerbig; M. Fritzsche</t>
  </si>
  <si>
    <t>10.1109/EDOC.2013.15</t>
  </si>
  <si>
    <t>Unified Modeling Language_x000D_
corporate modelling_x000D_
simulation languages_x000D_
ArchiMate 2.0 extension mechanisms_x000D_
BPMN 2.0 extension mechanisms_x000D_
UML profile extension mechanisms_x000D_
accidental complexity_x000D_
enterprise constraints_x000D_
enterprise rules_x000D_
enterprise system domain_x000D_
language enhancement_x000D_
metamodels_x000D_
modeling language extension_x000D_
modeling standards_x000D_
modeling tools_x000D_
service enhancement_x000D_
service extension_x000D_
technology diversity_x000D_
Analytical models_x000D_
Business_x000D_
Computational modeling_x000D_
Data models_x000D_
Standards_x000D_
Weaving_x000D_
Linguistic Classification_x000D_
Model Language Extension_x000D_
Multi-level Modeling_x000D_
Ontological Classification_x000D_
Orthogonal Classification Architecture</t>
  </si>
  <si>
    <t>54</t>
  </si>
  <si>
    <t>https://doi.org/10.1016/j.is.2015.01.003</t>
  </si>
  <si>
    <t>Multi-level modeling_x000D_
Model language extension_x000D_
Orthogonal classification architecture_x000D_
Linguistic classification_x000D_
Ontological classification</t>
  </si>
  <si>
    <t>C. Atkinson; C. Tunjic</t>
  </si>
  <si>
    <t>10.1109/EDOC.2017.26</t>
  </si>
  <si>
    <t>pattern classification_x000D_
programming languages_x000D_
Orthographic Software Modelling_x000D_
conceptual framework_x000D_
consistent using explicit view correspondence rules_x000D_
deep modeling_x000D_
deep view-point language_x000D_
interview correspondence rules_x000D_
projective modelling approach_x000D_
synthetic approach_x000D_
view-based modelling approaches_x000D_
Computational modeling_x000D_
Concrete_x000D_
Data models_x000D_
Software_x000D_
Standards_x000D_
Technological innovation_x000D_
Tools_x000D_
enterprise architecture modeling_x000D_
orthographic software modeling_x000D_
view-based modeling</t>
  </si>
  <si>
    <t>Most view-based modelling approaches are today based on a synthetic" approach in which the views hold all the information modelled about a system and are kept consistent using explicit, inter-view correspondence rules. The alternative "projective" approach, in which the contents of views are "projected" from a single underlying model on demand, is far less widely used due to the lack of suitable conceptual frameworks and languages. In this paper we take a step towards addressing this problem by presenting the foundations of a suitable language and conceptual framework for defining and applying views for projective modelling. The framework leverages deep modeling in order to seamlessly support views that exist at, and span, multiple levels of classification. The viewpoint language was developed in the context of Orthographic Software Modelling (OSM) but is more generally applicable to any projective modelling approach."</t>
  </si>
  <si>
    <t>B. Aysolmaz; O. Demirörs</t>
  </si>
  <si>
    <t>10.1109/REBPM.2014.6890732</t>
  </si>
  <si>
    <t>business data processing_x000D_
contracts_x000D_
government data processing_x000D_
information systems_x000D_
knowledge management_x000D_
workflow management software_x000D_
UPROM_x000D_
automatically generated textual user requirements_x000D_
business process models_x000D_
e-government projects_x000D_
knowledge capture_x000D_
process aware information system_x000D_
technical contracts_x000D_
unified business process modeling method_x000D_
workflow management systems_x000D_
Analytical models_x000D_
Biological system modeling_x000D_
Companies_x000D_
Software_x000D_
Trademarks_x000D_
Unified modeling language_x000D_
business process modeling_x000D_
user requirements analysis_x000D_
workflow management system</t>
  </si>
  <si>
    <t>C. L. B. Azevedo; J. P. A. Almeida; M. v. Sinderen; D. Quartel; G. Guizzardi</t>
  </si>
  <si>
    <t>10.1109/EDOC.2011.29</t>
  </si>
  <si>
    <t>business data processing_x000D_
ontologies (artificial intelligence)_x000D_
simulation languages_x000D_
ARMOR language_x000D_
archimate_x000D_
business process_x000D_
business services_x000D_
business systems_x000D_
enterprise architecture modeling language_x000D_
motivation extension_x000D_
ontology-based semantics_x000D_
unified foundational ontology_x000D_
Analytical models_x000D_
Computer architecture_x000D_
Educational institutions_x000D_
Ontologies_x000D_
Organizations_x000D_
Semantics_x000D_
Enterprise Architecture Modelling_x000D_
Goal Modelling_x000D_
UFO</t>
  </si>
  <si>
    <t>The motivation domain" of an Enterprise Architecture addresses objectives in a broad scope ranging from high-level statements expressing the goals of an enterprise to declarations of requirements on business processes, services and systems. An important development regarding the incorporation of the motivation domain in a comprehensive Enterprise Architecture modeling language is the upcoming Motivational Extension to ArchiMate (based on the ARMOR language). The extension proposes the inclusion of concepts such as concerns, assessments, goals, principles and requirements to ArchiMate. We believe that careful definition of the semantics of these concepts is required, especially when considering that the motivation domain addresses subjective aspects of the enterprise. To address that, this paper focuses on an ontology-based semantics for the Motivation Extension. We interpret the concepts by using the Unified Foundational Ontology (UFO) as a semantic domain, and, as a result, propose well-founded recommendations for improvements of the extension."</t>
  </si>
  <si>
    <t>C. L. B. Azevedo; M.-E. Iacob; J. P. A. Almeida; M. van Sinderen; L. F. Pires; G. Guizzardi</t>
  </si>
  <si>
    <t>https://doi.org/10.1016/j.is.2015.04.008</t>
  </si>
  <si>
    <t>Capability_x000D_
Resource_x000D_
Enterprise architecture modeling_x000D_
Ontology-based semantics_x000D_
ArchiMate</t>
  </si>
  <si>
    <t>M. A. Babar; T. Dingsøyr; P. Lago; H. Van Vliet</t>
  </si>
  <si>
    <t>10.1007/978-3-642-02374-3</t>
  </si>
  <si>
    <t>A software architecture manifests the major early design decisions, which determine the system's development, deployment and evolution. Thus, making better architectural decisions is one of the large challenges in software engineering. Software architecture knowledge management is about capturing practical experience and translating it into generalized architectural knowledge, and using this knowledge in the communication with stakeholders during all phases of the software lifecycle. This book presents a concise description of knowledge management in the software architecture discipline. It explains the importance of sound knowledge management practices for improving software architecture processes and products, and makes clear the role of knowledge management in software architecture and software development processes. It presents many approaches that are in use in software companies today, approaches that have been used in other domains, and approaches under development in academia. After an initial introduction by the editors, the contributions are grouped in three parts on Architecture Knowledge Management", "Strategies and Approaches for Managing Architectural Knowledge", and "Tools and Techniques for Managing Architectural Knowledge". The presentation aims at information technology and software engineering professionals, in particular software architects and software architecture researchers. For the industrial audience, the book gives a broad and concise understanding of the importance of knowledge management for improving software architecture process and building capabilities in designing and evaluating better architectures for their mission- and business-critical systems. For researchers, the book will help to understand the applications of various knowledge management approaches in an industrial setting and to identify research challenges and opportunities. © Springer-Verlag Berlin Heidelberg 2009."</t>
  </si>
  <si>
    <t>L. Bahri; B. Carminati; E. Ferrari</t>
  </si>
  <si>
    <t>10.1109/ICDCS.2014.11</t>
  </si>
  <si>
    <t>data privacy_x000D_
learning (artificial intelligence)_x000D_
security of data_x000D_
social networking (online)_x000D_
trusted computing_x000D_
OSN community feedback_x000D_
community- based supervised learning process_x000D_
community-based identity validation_x000D_
correlated attribute sets_x000D_
identity management_x000D_
identity trustworthiness level estimation_x000D_
online social networks_x000D_
privacy protection_x000D_
trust management_x000D_
user profile_x000D_
Coherence_x000D_
Communities_x000D_
Correlation_x000D_
Reliability_x000D_
Remuneration_x000D_
Training_x000D_
Community-based Validation_x000D_
Identity validation</t>
  </si>
  <si>
    <t>F. Balarin; R. Passerone; A. Pinto; A. L. Sangiovanni-Vincentelli</t>
  </si>
  <si>
    <t>10.1109/MEMCOD.2005.1487909</t>
  </si>
  <si>
    <t>formal specification_x000D_
hardware-software codesign_x000D_
logic partitioning_x000D_
specification languages_x000D_
systems analysis_x000D_
Metropolis_x000D_
declarative constraints_x000D_
formal semantics_x000D_
logic language_x000D_
metamodels_x000D_
system level design_x000D_
unified design environment_x000D_
Analytical models_x000D_
Computational modeling_x000D_
Computer architecture_x000D_
Design methodology_x000D_
Hardware_x000D_
Libraries_x000D_
Logic design_x000D_
Process design_x000D_
Space exploration_x000D_
System-level design</t>
  </si>
  <si>
    <t>10.1109/CEC.2011.31</t>
  </si>
  <si>
    <t>A. B. Balmus; M. E. Iacob; M. Van Sinderen; M. Van Busschbach</t>
  </si>
  <si>
    <t>Business intelligence_x000D_
Fast moving consumer goods_x000D_
Reference architecture_x000D_
Trade promotion_x000D_
Architecture models_x000D_
Business needs_x000D_
Competitive advantage_x000D_
Design Principles_x000D_
End users_x000D_
High quality_x000D_
Inconsistent data_x000D_
Management process_x000D_
Management systems_x000D_
Promotional effectiveness_x000D_
Proposed architectures_x000D_
Reference systems_x000D_
Reporting service_x000D_
Theoretical foundations_x000D_
Time restriction_x000D_
User friendliness_x000D_
Architecture_x000D_
Artificial intelligence_x000D_
Competition_x000D_
Decision making_x000D_
Decision support systems_x000D_
Economics_x000D_
Supply chain management_x000D_
Supply chains_x000D_
Commerce</t>
  </si>
  <si>
    <t>10.1109/LMSA.2009.5074863</t>
  </si>
  <si>
    <t>DP industry_x000D_
DP management_x000D_
software architecture_x000D_
software development management_x000D_
organizational perspective_x000D_
Application software_x000D_
Australia_x000D_
Communication system software_x000D_
Computer architecture_x000D_
Computer science_x000D_
Lenses_x000D_
Programming_x000D_
Risk management_x000D_
Solids</t>
  </si>
  <si>
    <t>https://doi.org/10.1016/B978-85-352-4722-0.50009-5</t>
  </si>
  <si>
    <t>B. Barn; T. Clark; V. Kulkarni</t>
  </si>
  <si>
    <t>Adaptation models_x000D_
Analytical models_x000D_
Computational modeling_x000D_
Kernel_x000D_
Multi-agent systems_x000D_
Organizations_x000D_
Actor Theory_x000D_
Enterprise Modeling_x000D_
Organization Theory</t>
  </si>
  <si>
    <t>A. Baroni; H. Muccini; I. Malavolta; E. Woods</t>
  </si>
  <si>
    <t>10.1109/WICSA.2014.21</t>
  </si>
  <si>
    <t>Web sites_x000D_
software architecture_x000D_
Eclipse modeling framework_x000D_
architectural languages_x000D_
architecture description_x000D_
model-based analysis_x000D_
model-based manipulation_x000D_
model-driven architecture description_x000D_
model-driven engineering_x000D_
model-driven technologies_x000D_
semantic media Wiki engine_x000D_
Analytical models_x000D_
Computer architecture_x000D_
Electronic publishing_x000D_
Information services_x000D_
Internet_x000D_
Semantics_x000D_
Unified modeling language_x000D_
Wikis</t>
  </si>
  <si>
    <t>F. Belfo; A. Trigo</t>
  </si>
  <si>
    <t>9</t>
  </si>
  <si>
    <t>https://doi.org/10.1016/j.protcy.2013.12.060</t>
  </si>
  <si>
    <t>Accounting_x000D_
Management Information Systems_x000D_
Accounting Information Systems_x000D_
Mobile Devices_x000D_
Cloud Computing_x000D_
Environmental Scanning_x000D_
Business Intelligence_x000D_
Enterprise Application Integration_x000D_
Business Process Management_x000D_
Computer Assisted Auditing Tools and Techniques</t>
  </si>
  <si>
    <t>S. Bente; U. Bombosch; S. Langade</t>
  </si>
  <si>
    <t>https://doi.org/10.1016/B978-0-12-415934-1.00005-4</t>
  </si>
  <si>
    <t>https://doi.org/10.1016/B978-0-12-415934-1.00007-8</t>
  </si>
  <si>
    <t>https://doi.org/10.1016/B978-0-12-415934-1.00008-X</t>
  </si>
  <si>
    <t>A. Bercovici; A. Fisher; F. Fournier; G. Rackham; N. Razinkov; I. Skarbovsky</t>
  </si>
  <si>
    <t>10.1109/SCC.2008.33</t>
  </si>
  <si>
    <t>business data processing_x000D_
business services_x000D_
component business modeling_x000D_
cost-effective business components_x000D_
independent business components_x000D_
industry standards_x000D_
nonoverlapping business components_x000D_
reusable business components_x000D_
service center architecture_x000D_
Assembly_x000D_
Computer architecture_x000D_
Computer industry_x000D_
Discrete transforms_x000D_
Ecosystems_x000D_
Environmental economics_x000D_
Laboratories_x000D_
Manufacturing industries_x000D_
USA Councils_x000D_
Virtual manufacturing_x000D_
Component Business Modeling (CBM)_x000D_
Telco_x000D_
artifact-centric_x000D_
business component_x000D_
business service_x000D_
industry standard</t>
  </si>
  <si>
    <t>M. v. d. Berg; H. v. Vliet</t>
  </si>
  <si>
    <t>10.1109/CBI.2014.10</t>
  </si>
  <si>
    <t>decision making_x000D_
enterprise resource planning_x000D_
investment_x000D_
IT decision-making process_x000D_
IT investment_x000D_
IT prioritization_x000D_
bounded rational approaches_x000D_
decision category_x000D_
enterprise architects_x000D_
enterprise architecture_x000D_
information technology_x000D_
investment planning_x000D_
investment prioritization_x000D_
Bibliographies_x000D_
Information systems_x000D_
Organizations_x000D_
Systematics_x000D_
IT decision-making_x000D_
IT governance</t>
  </si>
  <si>
    <t>18</t>
  </si>
  <si>
    <t>10.1007/s10796-015-9559-0</t>
  </si>
  <si>
    <t>CHOOSE_x000D_
Enterprise architecture_x000D_
Metamodel_x000D_
Small and medium-sized enterprises_x000D_
Computer networks_x000D_
Information systems_x000D_
Case study research_x000D_
IT infrastructures_x000D_
Meta model_x000D_
Organizational structures_x000D_
Recent researches_x000D_
Small and medium sized enterprise_x000D_
Industrial economics</t>
  </si>
  <si>
    <t>W. N. Bernal; G. C. Caballero; J. O. Sánchez; H. Paéz-Logreira</t>
  </si>
  <si>
    <t>10.1109/ICCCC.2016.7496739</t>
  </si>
  <si>
    <t>cloud computing_x000D_
corporate modelling_x000D_
EA-CC framework_x000D_
cloud computing services_x000D_
corporate governance models_x000D_
enterprise architecture framework_x000D_
Analytical models_x000D_
Computational modeling_x000D_
Computer architecture_x000D_
Data models_x000D_
Organizations_x000D_
Enterprise architecture_x000D_
Framework_x000D_
Togaf_x000D_
Zachman</t>
  </si>
  <si>
    <t>P. Bernus; T. Goranson; J. Gøtze; A. Jensen-Waud; H. Kandjani; A. Molina; O. Noran; R. J. Rabelo; D. Romero; P. Saha; P. Turner</t>
  </si>
  <si>
    <t>79</t>
  </si>
  <si>
    <t>https://doi.org/10.1016/j.compind.2015.07.010</t>
  </si>
  <si>
    <t>Enterprise Information Systems_x000D_
Enterprise Architecture_x000D_
Complexity management_x000D_
Sustainability_x000D_
Viability_x000D_
Situation theory</t>
  </si>
  <si>
    <t>P. Bernus; O. Noran</t>
  </si>
  <si>
    <t>326</t>
  </si>
  <si>
    <t>10.1007/978-3-642-15509-3_6</t>
  </si>
  <si>
    <t>Enterprise architecture framework_x000D_
GERAM_x000D_
Metamodelling_x000D_
Information technology_x000D_
Enterprise Architecture_x000D_
Meta model_x000D_
Meta-modelling_x000D_
Interoperability</t>
  </si>
  <si>
    <t>P. Bernus; O. Noran; A. Molina</t>
  </si>
  <si>
    <t>39</t>
  </si>
  <si>
    <t>https://doi.org/10.1016/j.arcontrol.2015.03.008</t>
  </si>
  <si>
    <t>10.1016/C2010-0-65839-1</t>
  </si>
  <si>
    <t>https://doi.org/10.1016/B978-0-12-385017-1.00002-X</t>
  </si>
  <si>
    <t>N. Bharosa; M. Janssen</t>
  </si>
  <si>
    <t>10.1109/HICSS.2010.454</t>
  </si>
  <si>
    <t>decision making_x000D_
emergency services_x000D_
information management_x000D_
information needs_x000D_
uncertain systems_x000D_
dynamic capability theory_x000D_
environmental scanning_x000D_
information back casting_x000D_
information forecasting_x000D_
information management adaptability_x000D_
information quality_x000D_
information sources_x000D_
internal information needs_x000D_
relief agency commanders_x000D_
uncertain environment_x000D_
unforeseen environmental changes_x000D_
Casting_x000D_
Crisis management_x000D_
Data mining_x000D_
Human factors_x000D_
Impedance_x000D_
Management information systems_x000D_
Memory management_x000D_
Uncertainty</t>
  </si>
  <si>
    <t>https://doi.org/10.1016/j.procs.2017.11.012</t>
  </si>
  <si>
    <t>Enterprise Systems_x000D_
ERP_x000D_
Enterprise Architecture_x000D_
Strategic Alignment_x000D_
Enterprise Modelling</t>
  </si>
  <si>
    <t>1-5</t>
  </si>
  <si>
    <t>10.1109/ICCW.2009.5208004</t>
  </si>
  <si>
    <t>emergency services_x000D_
public domain software_x000D_
forward-looking emergency agencies_x000D_
open architecture framework_x000D_
public safety_x000D_
Artificial intelligence_x000D_
Biosensors_x000D_
Cities and towns_x000D_
Collaboration_x000D_
Design methodology_x000D_
Investments_x000D_
Open systems_x000D_
Research and development_x000D_
Safety_x000D_
Security</t>
  </si>
  <si>
    <t>A. T. Bimba; N. Idris; A. Al-Hunaiyyan; R. B. Mahmud; A. Abdelaziz; S. Khan; V. Chang</t>
  </si>
  <si>
    <t>36</t>
  </si>
  <si>
    <t>https://doi.org/10.1016/j.ijinfomgt.2016.05.022</t>
  </si>
  <si>
    <t>Knowledge acquisition_x000D_
Knowledge-based business_x000D_
Linguistic knowledge base_x000D_
Ontology_x000D_
Expert knowledge base_x000D_
Cognitive knowledge base</t>
  </si>
  <si>
    <t>J. Binder; S. Strodl; A. Rauber</t>
  </si>
  <si>
    <t>10.1109/EDOCW.2014.66</t>
  </si>
  <si>
    <t>business data processing_x000D_
civil engineering computing_x000D_
natural sciences computing_x000D_
software packages_x000D_
virtual machines_x000D_
virtualisation_x000D_
PMF_x000D_
business process documentation_x000D_
business process flexibility_x000D_
business process maintainability_x000D_
business process preservability_x000D_
business process shareability_x000D_
business process virtualization_x000D_
civil engineering business process_x000D_
dynamic process information extraction_x000D_
e-science workflow_x000D_
process context model_x000D_
process execution_x000D_
process migration framework_x000D_
shared system_x000D_
static process information extraction_x000D_
system settings_x000D_
virtual machine_x000D_
Adaptation models_x000D_
Business_x000D_
Context_x000D_
Context modeling_x000D_
Documentation_x000D_
Monitoring_x000D_
Software</t>
  </si>
  <si>
    <t>S. Binu; M. Misbahuddin; P. Raj</t>
  </si>
  <si>
    <t>10.1109/ICCCT2.2014.7066715</t>
  </si>
  <si>
    <t>XML_x000D_
authorisation_x000D_
file servers_x000D_
smart cards_x000D_
MSE registration authority_x000D_
SAML protocol_x000D_
SP server_x000D_
SSO_x000D_
Security Assertion Mark Up Language_x000D_
crypto cards_x000D_
multiserver environments_x000D_
secure dynamic-ID based scheme_x000D_
security attacks_x000D_
service providing server_x000D_
single sign on based secure remote user authentication scheme_x000D_
single sign-on protocol_x000D_
smart card based authentication scheme_x000D_
Authentication_x000D_
Browsers_x000D_
Communication channels_x000D_
Protocols_x000D_
Servers_x000D_
Cyclic Groups_x000D_
Dynamic ID_x000D_
Multi-Server Environments_x000D_
SAML_x000D_
Single-Sign-on_x000D_
Two-Factor-Authentication</t>
  </si>
  <si>
    <t>10.1109/IADCC.2009.4809209</t>
  </si>
  <si>
    <t>formal specification_x000D_
large-scale systems_x000D_
program verification_x000D_
software prototyping_x000D_
evolutionary complex software system_x000D_
incremental specification_x000D_
prototype aided knowledge base_x000D_
requirements engineering_x000D_
software validation_x000D_
Costs_x000D_
Design engineering_x000D_
Knowledge engineering_x000D_
Maintenance engineering_x000D_
Prototypes_x000D_
Software maintenance_x000D_
Software standards_x000D_
Software systems_x000D_
Telecommunications</t>
  </si>
  <si>
    <t>S. Bischoff; S. Aier; R. Winter</t>
  </si>
  <si>
    <t>10.1109/CBI.2014.56</t>
  </si>
  <si>
    <t>business data processing_x000D_
information systems_x000D_
software architecture_x000D_
EA annoyances_x000D_
EA artifact intensity_x000D_
EA artifacts_x000D_
EA pressure beneficiaries_x000D_
EA shelf-warmers_x000D_
EA superstars_x000D_
EAM benefit realization_x000D_
EAM utility_x000D_
company goal map_x000D_
ease-of-use principle_x000D_
enterprise architecture artifact use_x000D_
enterprise architecture artifact utility_x000D_
enterprise architecture management_x000D_
pressure degree_x000D_
pressure-based approach_x000D_
pressure-free approach_x000D_
quantitative dataset_x000D_
target application landscape_x000D_
target process map_x000D_
Companies_x000D_
Computer architecture_x000D_
Hardware_x000D_
Software_x000D_
Standards organizations_x000D_
EA management_x000D_
enterprise architecture_x000D_
pressure_x000D_
use_x000D_
utility</t>
  </si>
  <si>
    <t>8824</t>
  </si>
  <si>
    <t>B. Blobel; F. Oemig</t>
  </si>
  <si>
    <t>211</t>
  </si>
  <si>
    <t>10.3233/978-1-61499-516-6-18</t>
  </si>
  <si>
    <t>Architecture_x000D_
Generic component model_x000D_
Health information systems_x000D_
Interoperability_x000D_
health care delivery_x000D_
human_x000D_
medical informatics_x000D_
medical information system_x000D_
organization and management_x000D_
software design_x000D_
standards_x000D_
system analysis_x000D_
theoretical model_x000D_
United States_x000D_
Delivery of Health Care_x000D_
Health Information Exchange_x000D_
Humans_x000D_
Models, Theoretical_x000D_
Systems Analysis_x000D_
Systems Integration</t>
  </si>
  <si>
    <t>C. Bo; K. S. Hardy; J. D. Harper; T. P. Bohn; D. S. Dobrzynski</t>
  </si>
  <si>
    <t>10.1109/ITEC.2015.7165789</t>
  </si>
  <si>
    <t>IEEE standards_x000D_
electric vehicles_x000D_
smart power grids_x000D_
standardisation_x000D_
EU-M490_x000D_
European Commission Mandate 490_x000D_
IEEE_x000D_
IST_x000D_
Institute of Electrical and Electronic Engineers_x000D_
National Institute of Standards and Technology_x000D_
SGAM_x000D_
SGIRM_x000D_
VGI_x000D_
smart grid architectural methodology_x000D_
smart grid interoperability reference model_x000D_
vehicle grid integration standardization_x000D_
Automotive engineering_x000D_
Business_x000D_
Collaboration_x000D_
ISO standards_x000D_
Random access memory_x000D_
Reliability</t>
  </si>
  <si>
    <t>F. S. d. Boer; M. M. Bonsangue; L. P. J. Groenewegen; A. W. Stam; S. Stevens; L. v. d. Torre</t>
  </si>
  <si>
    <t>10.1109/IRI-05.2005.1506470</t>
  </si>
  <si>
    <t>business data processing_x000D_
corporate modelling_x000D_
management of change_x000D_
architectural description language_x000D_
business processes_x000D_
change impact analysis_x000D_
enterprise architecture_x000D_
enterprise integration_x000D_
high-level description_x000D_
organization structure_x000D_
ripple effects_x000D_
Architecture description languages_x000D_
Art_x000D_
Cause effect analysis_x000D_
Data mining_x000D_
Information analysis_x000D_
Labeling_x000D_
Proposals_x000D_
Software systems</t>
  </si>
  <si>
    <t>R. C. d. Boer; H. v. Vliet</t>
  </si>
  <si>
    <t>10.1109/WICSA.2011.14</t>
  </si>
  <si>
    <t>government data processing_x000D_
knowledge management_x000D_
software development management_x000D_
architectural knowledge management_x000D_
distributed software development_x000D_
e-government_x000D_
semantic wikis_x000D_
Computer architecture_x000D_
Electronic publishing_x000D_
Encyclopedias_x000D_
Government_x000D_
Internet_x000D_
Semantics_x000D_
experience report_x000D_
semantic wiki</t>
  </si>
  <si>
    <t>J. Bogner; A. Zimmermann</t>
  </si>
  <si>
    <t>10.1109/EDOCW.2016.7584392</t>
  </si>
  <si>
    <t>information systems_x000D_
service-oriented architecture_x000D_
IT environments_x000D_
Internet of Things components_x000D_
adaptable digital enterprise architectures_x000D_
adaptable ecosystems_x000D_
digital transformation_x000D_
distributed information systems_x000D_
enterprise architecture methodologies_x000D_
microservices integration_x000D_
mobility systems_x000D_
resilient run-time environments_x000D_
self-optimizing systems_x000D_
service-oriented enterprise architectures_x000D_
Adaptation models_x000D_
Biological system modeling_x000D_
Business_x000D_
Computer architecture_x000D_
Context_x000D_
Unified modeling language</t>
  </si>
  <si>
    <t>A. Borek; A. K. Parlikad; J. Webb; P. Woodall</t>
  </si>
  <si>
    <t>10.1016/C2012-0-00446-2</t>
  </si>
  <si>
    <t>How well does your organization manage the risks associated with information quality? Managing information risk is becoming a top priority on the organizational agenda. The increasing sophistication of IT capabilities along with the constantly changing dynamics of global competition are forcing businesses to make use of their information more effectively. Information is becoming a core resource and asset for all organizations; however, it also brings many potential risks to an organization, from strategic, operational, financial, compliance, and environmental to societal. If you continue to struggle to understand and measure how information and its quality affects your business, this book is for you. This reference is in direct response to the new challenges that all managers have to face. Our process helps your organization to understand the pain points" regarding poor data and information quality so you can concentrate on problems that have a high impact on core business objectives. This book provides you with all the fundamental concepts, guidelines and tools to ensure core business information is identified, protected and used effectively, and written in a language that is clear and easy to understand for non-technical managers. © 2014 Elsevier Inc. All rights reserved."</t>
  </si>
  <si>
    <t>https://doi.org/10.1016/B978-0-12-405547-6.00006-7</t>
  </si>
  <si>
    <t>Motivation_x000D_
Goals and Scope of TIRM_x000D_
External Environment_x000D_
Organizational Context_x000D_
Business Objectives_x000D_
Measurement Units_x000D_
Risk Criteria_x000D_
Information Environment</t>
  </si>
  <si>
    <t>M. Borgers; F. Harmsen</t>
  </si>
  <si>
    <t>02</t>
  </si>
  <si>
    <t>10.1109/CBI.2016.57</t>
  </si>
  <si>
    <t>information technology_x000D_
law_x000D_
taxation_x000D_
Dutch tax agency_x000D_
IT architecture principles_x000D_
business context_x000D_
measurement instrument_x000D_
real-life situations_x000D_
recommendations_x000D_
Computer architecture_x000D_
Context_x000D_
Finance_x000D_
Instruments_x000D_
Interviews_x000D_
Software_x000D_
definition_x000D_
government organization_x000D_
measurement</t>
  </si>
  <si>
    <t>This case report describes the results of empirical validation of a definition and measurement instrument for IT architecture principles at the Dutch Tax Agency. The key objective was to answer the research question: can we identify and measure IT architecture principles?" We conducted four case studies, using the measurement instrument we developed. For each case study we describe the business context, the IT system and the use of the IT architecture principles, and we provided reflection on the use of the definition and the measurement instrument. We also describe some overall findings related to the use of IT architecture principals in real-life situations, as well as overall conclusions and recommendations on the measurement instrument used."</t>
  </si>
  <si>
    <t>X. Boucher; J. Chapron; P. Burlat; P. Lebrun</t>
  </si>
  <si>
    <t>22</t>
  </si>
  <si>
    <t>10.1080/09537287.2010.490023</t>
  </si>
  <si>
    <t>change management_x000D_
enterprise modelling_x000D_
information system urbanism_x000D_
information systems_x000D_
process clusters_x000D_
Business domain_x000D_
Business Process_x000D_
Cluster maps_x000D_
Clustering methods_x000D_
Enterprise Architecture_x000D_
IS manager_x000D_
STMicroelectronics_x000D_
Decision support systems_x000D_
Industry_x000D_
Management_x000D_
Regional planning</t>
  </si>
  <si>
    <t>X. Boucher; D. Crestani; M. A. Girard</t>
  </si>
  <si>
    <t>https://doi.org/10.3182/20060522-3-FR-2904.00033</t>
  </si>
  <si>
    <t>Evolution of industrial systems_x000D_
change management_x000D_
management of organisations_x000D_
decision aids</t>
  </si>
  <si>
    <t>R. Braun; W. Esswein</t>
  </si>
  <si>
    <t>business data processing_x000D_
programming language semantics_x000D_
specification languages_x000D_
EML_x000D_
Enterprise Modeling Languages_x000D_
comprehensive semantic specification_x000D_
conceptual modeling languages_x000D_
domain-specific restrictions_x000D_
formal semantics_x000D_
formal syntax_x000D_
hybrid semantics_x000D_
informal semantics_x000D_
integrated semantic specification_x000D_
invariant interpretations_x000D_
material semantics_x000D_
meta model layer_x000D_
model executions_x000D_
semantics nonformality_x000D_
Analytical models_x000D_
Context_x000D_
Mathematical model_x000D_
Pragmatics_x000D_
Semantics_x000D_
Syntactics_x000D_
Unified modeling language_x000D_
Behavioral Semantics_x000D_
Enterprise Modeling_x000D_
Meta Modeling</t>
  </si>
  <si>
    <t>10.1109/ICCBSS.2008.35</t>
  </si>
  <si>
    <t>business data processing_x000D_
software engineering_x000D_
MDA redux_x000D_
business requirements_x000D_
enterprise architecture_x000D_
integrated business architecture_x000D_
model driven architecture_x000D_
model-based transformations_x000D_
software development_x000D_
Automation_x000D_
Best practices_x000D_
Computer architecture_x000D_
Engineering management_x000D_
Humans_x000D_
Paper technology_x000D_
Programming_x000D_
Software development management_x000D_
Software standards_x000D_
Software systems_x000D_
Model-Driven Architecture_x000D_
UML</t>
  </si>
  <si>
    <t>D. Brown; D. Leal; C. McMahon; R. Crossland; J. Devlukia</t>
  </si>
  <si>
    <t>https://doi.org/10.1016/j.aei.2004.12.001</t>
  </si>
  <si>
    <t>Product and process modelling_x000D_
Generic entity core models_x000D_
Engineering repository_x000D_
Semantic Web_x000D_
Fatigue analysis_x000D_
Classification standards</t>
  </si>
  <si>
    <t>10.1109/SYSOSE.2006.1652301</t>
  </si>
  <si>
    <t>computer aided instruction_x000D_
computer science education_x000D_
educational courses_x000D_
engineering education_x000D_
software architecture_x000D_
systems engineering_x000D_
course book_x000D_
educational material_x000D_
enterprise architecture education_x000D_
pedagogical aid_x000D_
system engineering education_x000D_
Books_x000D_
Buildings_x000D_
Computer architecture_x000D_
Costs_x000D_
Design engineering_x000D_
Energy management_x000D_
Maintenance engineering_x000D_
Operations research_x000D_
Systems engineering and theory_x000D_
Systems engineering education</t>
  </si>
  <si>
    <t>R. A. Buchmann; D. Karagiannis</t>
  </si>
  <si>
    <t>235</t>
  </si>
  <si>
    <t>10.1007/978-3-319-25897-3_23</t>
  </si>
  <si>
    <t>Agile modelling method engineering_x000D_
Enterprise modelling_x000D_
Metamodelling_x000D_
Modelling requirements_x000D_
Reusability_x000D_
Fixed layers_x000D_
Meta-modelling_x000D_
Modelling method_x000D_
On demands_x000D_
Project scope_x000D_
SWOT analysis_x000D_
Modeling languages</t>
  </si>
  <si>
    <t>S. Buckl; M. Buschle; P. Johnson; F. Matthes; C. M. Schweda</t>
  </si>
  <si>
    <t>10.1007/978-3-642-21759-3_37</t>
  </si>
  <si>
    <t>Java programming language_x000D_
Management science_x000D_
Systems analysis_x000D_
Business IT-alignment_x000D_
Business Process_x000D_
Decision makers_x000D_
Dependency structures_x000D_
Enterprise Architecture_x000D_
Enterprise architecture managements_x000D_
Interconnectivity_x000D_
Meta language_x000D_
Meta object facility_x000D_
Meta-languages_x000D_
Other applications_x000D_
Strategic decision making_x000D_
Decision making</t>
  </si>
  <si>
    <t>10.1109/ICSMC.2009.5346262</t>
  </si>
  <si>
    <t>electronic commerce_x000D_
information management_x000D_
EA management function_x000D_
cybernetic_x000D_
enterprise architecture management_x000D_
viable system model_x000D_
Conference management_x000D_
Cybernetics_x000D_
Guidelines_x000D_
Identity management systems_x000D_
Informatics_x000D_
Process planning_x000D_
Programming_x000D_
Software testing_x000D_
Standardization_x000D_
USA Councils_x000D_
EA management Process_x000D_
EA management governance_x000D_
Enterprise Architecture</t>
  </si>
  <si>
    <t>10.1109/EDOCW.2010.18</t>
  </si>
  <si>
    <t>Unified Modeling Language_x000D_
corporate modelling_x000D_
object-oriented methods_x000D_
software architecture_x000D_
conceptual model_x000D_
cross cutting aspect_x000D_
enterprise architecture modeling_x000D_
goal adequate conceptualization_x000D_
stakeholder_x000D_
Analytical models_x000D_
Business_x000D_
Computer architecture_x000D_
Context modeling_x000D_
Object oriented modeling_x000D_
Uncertainty_x000D_
conceptual modeling_x000D_
cross-cutting aspects_x000D_
enterprise architecture</t>
  </si>
  <si>
    <t>10.1007/978-3-642-13051-9_15</t>
  </si>
  <si>
    <t>S. Buckl; C. M. Schweda; F. Matthes</t>
  </si>
  <si>
    <t>3-8</t>
  </si>
  <si>
    <t>10.1109/EDOCW.2010.27</t>
  </si>
  <si>
    <t>business data processing_x000D_
organisational aspects_x000D_
design theory nexus_x000D_
management function_x000D_
organizational context_x000D_
situational enterprise architecture management_x000D_
situational method engineering_x000D_
Computer architecture_x000D_
Context_x000D_
Organizations_x000D_
Programming_x000D_
Standards organizations_x000D_
Enterprise architecture management function</t>
  </si>
  <si>
    <t>10.1109/ICSMC.2010.5642010</t>
  </si>
  <si>
    <t>corporate modelling_x000D_
enterprise architecture management_x000D_
management function_x000D_
selection guidelines_x000D_
theory nexus_x000D_
Enterprise architecture management function_x000D_
systemic approach_x000D_
viable system</t>
  </si>
  <si>
    <t>M. Buschle; D. Quartel</t>
  </si>
  <si>
    <t>10.1109/EDOCW.2011.23</t>
  </si>
  <si>
    <t>business data processing_x000D_
Bedell method_x000D_
IT investment_x000D_
IT portfolio valuation instrument_x000D_
IT support_x000D_
enterprise architecture valuation_x000D_
information technology_x000D_
Computer architecture_x000D_
Cost accounting_x000D_
Information systems_x000D_
Investments_x000D_
Organizations_x000D_
Portfolios_x000D_
Archi Mate_x000D_
Bedell's method_x000D_
Enterprise Architecture_x000D_
IT valuation_x000D_
requirements modeling</t>
  </si>
  <si>
    <t>J. Cabot; F. Durán; N. Moreno; A. Vallecillo; J. Romero</t>
  </si>
  <si>
    <t>10.1145/1368088.1368194</t>
  </si>
  <si>
    <t>computer science education_x000D_
educational courses_x000D_
object-oriented programming_x000D_
software engineering_x000D_
teaching_x000D_
component-based technology platform_x000D_
computer science degree_x000D_
distributed software engineering course_x000D_
hands-on approach_x000D_
model-based approach_x000D_
Application software_x000D_
Computer architecture_x000D_
Computer science_x000D_
Education_x000D_
Educational programs_x000D_
Object oriented modeling_x000D_
Programming_x000D_
Software architecture_x000D_
Unified modeling language_x000D_
component-based software development_x000D_
distributed software engineering_x000D_
odp_x000D_
uml_x000D_
virtual university</t>
  </si>
  <si>
    <t>J. Calvillo; I. Román; S. Rivas; L. M. Roa</t>
  </si>
  <si>
    <t>15</t>
  </si>
  <si>
    <t>10.1109/TITB.2010.2104160</t>
  </si>
  <si>
    <t>decision making_x000D_
grid computing_x000D_
health care_x000D_
medical computing_x000D_
middleware_x000D_
ontologies (artificial intelligence)_x000D_
open systems_x000D_
security_x000D_
software architecture_x000D_
healthcare grids_x000D_
healthcare services-oriented architecture_x000D_
interoperable PMI_x000D_
ontology_x000D_
privilege management infrastructure_x000D_
review_x000D_
semantic technology_x000D_
virtual organizations_x000D_
Access control_x000D_
Medical services_x000D_
Ontologies_x000D_
Organizations_x000D_
Semantics_x000D_
Standards organizations_x000D_
directory services_x000D_
privilege management infrastructures (PMI)_x000D_
semantic technologies_x000D_
service-oriented architecture (SOA)_x000D_
virtual organization (VO)_x000D_
Access to Information_x000D_
Computer Security_x000D_
Computer Systems_x000D_
Database Management Systems_x000D_
Medical Informatics</t>
  </si>
  <si>
    <t>J. Cao; Z. Fan; L. Gao; N. Li; X. Xia; L. Xu</t>
  </si>
  <si>
    <t>1-4</t>
  </si>
  <si>
    <t>10.1109/SysEng.2017.8088316</t>
  </si>
  <si>
    <t>formal verification_x000D_
software architecture_x000D_
CV_x000D_
CeV_x000D_
DoDAF 2.0_x000D_
IaV_x000D_
OV_x000D_
SV-SvcV_x000D_
architecture development methodology_x000D_
architecture viewpoints_x000D_
capability effect viewpoint_x000D_
defense system architecture_x000D_
information activity_x000D_
information activity viewpoint_x000D_
information system architects_x000D_
operational viewpoint_x000D_
system architecture development_x000D_
system-service viewpoint_x000D_
Analytical models_x000D_
Bridges_x000D_
Computer architecture_x000D_
Data mining_x000D_
Information systems_x000D_
Systems architecture_x000D_
US Department of Defense_x000D_
Architecture Development_x000D_
Capability Effect</t>
  </si>
  <si>
    <t>R. Capilla; A. Jansen; A. Tang; P. Avgeriou; M. A. Babar</t>
  </si>
  <si>
    <t>116</t>
  </si>
  <si>
    <t>https://doi.org/10.1016/j.jss.2015.08.054</t>
  </si>
  <si>
    <t>Architectural knowledge management_x000D_
Architectural design decisions_x000D_
Agile development</t>
  </si>
  <si>
    <t>20</t>
  </si>
  <si>
    <t>Enterprise engineering_x000D_
Methodical frameworks_x000D_
Requirements engineering_x000D_
Strategic alignment vision driven approach</t>
  </si>
  <si>
    <t>A. Caplinskas; L. Paškevičiute</t>
  </si>
  <si>
    <t>10.1007/b137171_68</t>
  </si>
  <si>
    <t>Enterprise engineering_x000D_
Requirements elicitation_x000D_
Requirements engineering_x000D_
Strategic alignment_x000D_
Business needs_x000D_
Business requirement_x000D_
Enterprise information system_x000D_
Enterprise system_x000D_
Fully integrated_x000D_
Information and Communication Technologies_x000D_
Methodological frameworks_x000D_
Operational business_x000D_
Strategic goals_x000D_
Alignment_x000D_
Enterprise resource planning_x000D_
Industry_x000D_
Management information systems_x000D_
Information systems</t>
  </si>
  <si>
    <t>10.1109/EDOCW.2013.43</t>
  </si>
  <si>
    <t>business process re-engineering_x000D_
corporate modelling_x000D_
BPM_x000D_
EA approach_x000D_
KPI modeling language_x000D_
KPI-related concept modelling_x000D_
business process management_x000D_
enterprise architecture framework_x000D_
enterprise modelling approach_x000D_
goal modeling_x000D_
performance analysis_x000D_
Context_x000D_
Context modeling_x000D_
Current measurement_x000D_
Organizations_x000D_
Proposals_x000D_
Time measurement_x000D_
Enterprise Architecture_x000D_
Key Performance Indicators (KPIs)</t>
  </si>
  <si>
    <t>Z. Chaczko; C. Y. Chan; L. Carrion; W. M. G. Alenazy</t>
  </si>
  <si>
    <t>10.1109/APCASE.2015.52</t>
  </si>
  <si>
    <t>Internet_x000D_
audio-visual systems_x000D_
computer aided instruction_x000D_
data acquisition_x000D_
decision making_x000D_
haptic interfaces_x000D_
human computer interaction_x000D_
middleware_x000D_
service-oriented architecture_x000D_
statistical analysis_x000D_
architectural environment_x000D_
audio-visual object_x000D_
common gesture framework_x000D_
gesture peripheral_x000D_
haptic middleware based software architecture_x000D_
haptic peripheral_x000D_
haptic technology_x000D_
human motion_x000D_
human-machine interaction_x000D_
interactive object_x000D_
local audience_x000D_
operation characteristics_x000D_
remote audience_x000D_
self-assessment_x000D_
service oriented software middleware_x000D_
smart learning environment_x000D_
stand-alone entity_x000D_
tactile interaction_x000D_
utterance and gesture_x000D_
visual interaction_x000D_
voice interaction_x000D_
within common protocol_x000D_
Education_x000D_
Hardware_x000D_
Libraries_x000D_
Sensors_x000D_
Haptic Middleware_x000D_
Software architecture</t>
  </si>
  <si>
    <t>W. Y. Chang; H. Abu-Amara; J. F. Sanford</t>
  </si>
  <si>
    <t>10.1007/978-90-481-9846-7</t>
  </si>
  <si>
    <t>https://doi.org/10.1016/bs.adcom.2017.09.002</t>
  </si>
  <si>
    <t>Big data analytics (BDA)_x000D_
Hybrid clouds_x000D_
Hadoop_x000D_
Knowledge discovery and dissemination_x000D_
Decision enablement_x000D_
The Internet of Things (IoT)_x000D_
Apache Spark (batch processing) and Spark Streaming_x000D_
HDFS storage_x000D_
Kafka message queue/broker_x000D_
NoSQL databases</t>
  </si>
  <si>
    <t>Y. Chen; X. Li; L. Yi; D. Liu; L. Tang; H. Yang</t>
  </si>
  <si>
    <t>10.1109/ICSESS.2010.5552456</t>
  </si>
  <si>
    <t>software architecture_x000D_
abstraction level_x000D_
service-oriented architecture_x000D_
software architecture analysis_x000D_
software architecture description languages_x000D_
software architecture design_x000D_
software architecture evaluation_x000D_
software architecture evolution_x000D_
Computer architecture_x000D_
Service oriented architecture_x000D_
Software_x000D_
Standards_x000D_
Unified modeling language_x000D_
survey</t>
  </si>
  <si>
    <t>Z. Chen; R. Pooley</t>
  </si>
  <si>
    <t>10.1109/CSIE.2009.934</t>
  </si>
  <si>
    <t>formal specification_x000D_
information systems_x000D_
ontologies (artificial intelligence)_x000D_
software reusability_x000D_
systems analysis_x000D_
BWW ontology_x000D_
Bunge-Wand-Weber ontology_x000D_
ERP_x000D_
Zachman Framework_x000D_
domain engineering_x000D_
domain modeling_x000D_
enterprise architecture_x000D_
enterprise information system development_x000D_
enterprise resource planning system_x000D_
industry specific knowledge_x000D_
manufacturing company_x000D_
meta-model_x000D_
software requirement reusability_x000D_
Companies_x000D_
Computer architecture_x000D_
Concrete_x000D_
Enterprise resource planning_x000D_
Guidelines_x000D_
Knowledge management_x000D_
Management information systems_x000D_
Manufacturing_x000D_
Ontologies_x000D_
Information System</t>
  </si>
  <si>
    <t>10.1109/COMPSAC.2009.107</t>
  </si>
  <si>
    <t>formal specification_x000D_
ontologies (artificial intelligence)_x000D_
Bunge-Wand-Weber ontology_x000D_
Zachman framework_x000D_
domain engineering_x000D_
enterprise architecture_x000D_
enterprise ontology_x000D_
information system_x000D_
meta model_x000D_
requirement engineering_x000D_
system development_x000D_
Application software_x000D_
Computer applications_x000D_
Computer architecture_x000D_
Computer science_x000D_
Context modeling_x000D_
Embedded software_x000D_
Information systems_x000D_
Ontologies_x000D_
Software engineering_x000D_
Terminology_x000D_
Meta-Model_x000D_
Ontology</t>
  </si>
  <si>
    <t>Bww ontology_x000D_
Enterprise architecture_x000D_
Enterprise information systems_x000D_
Enterprise ontology_x000D_
Meta-model_x000D_
Requirement modeling_x000D_
Zachman framework_x000D_
Enterprise information system_x000D_
Meta model_x000D_
Enterprise resource planning_x000D_
Mathematical models_x000D_
Information systems</t>
  </si>
  <si>
    <t>T. Chmielecki; P. Cholda; P. Pacyna; P. Potrawka; N. Rapacz; R. Stankiewicz; P. Wydrych</t>
  </si>
  <si>
    <t>10.15439/2014F38</t>
  </si>
  <si>
    <t>risk management_x000D_
security of data_x000D_
business process_x000D_
enterprise architecture_x000D_
enterprise-centered process_x000D_
enterprise-oriented cybersecurity management_x000D_
information technology_x000D_
risk assessment_x000D_
security control selection_x000D_
security deployment_x000D_
security monitoring_x000D_
Computer architecture_x000D_
Computer security_x000D_
Monitoring_x000D_
Unified modeling language</t>
  </si>
  <si>
    <t>T. Clark; B. S. Barn</t>
  </si>
  <si>
    <t>10.1109/SOSE.2011.6139091</t>
  </si>
  <si>
    <t>message passing_x000D_
service-oriented architecture_x000D_
IT systems_x000D_
SOA_x000D_
business processes_x000D_
event driven architecture modelling_x000D_
service oriented architecture_x000D_
Analytical models_x000D_
Business_x000D_
Libraries_x000D_
Semantics_x000D_
Semiconductor optical amplifiers_x000D_
Unified modeling language</t>
  </si>
  <si>
    <t>T. Clark; B. S. Barn; S. Oussena</t>
  </si>
  <si>
    <t>10.1145/1953355.1953366</t>
  </si>
  <si>
    <t>Enterprise architecture_x000D_
Model driven architecture_x000D_
Analysis techniques_x000D_
Consistency checking_x000D_
Key feature_x000D_
Layer relationship_x000D_
Software architecture_x000D_
Industry</t>
  </si>
  <si>
    <t>P. Clements; L. Bass</t>
  </si>
  <si>
    <t>10.1109/RE.2010.18</t>
  </si>
  <si>
    <t>business data processing_x000D_
formal specification_x000D_
formal verification_x000D_
software architecture_x000D_
systems analysis_x000D_
boeing air transport system_x000D_
business goals_x000D_
goal oriented requirements engineering_x000D_
lightweight method_x000D_
quality attribute requirement_x000D_
requirements specification_x000D_
system architecture_x000D_
Communities_x000D_
Computer architecture_x000D_
Law_x000D_
Organizations_x000D_
Portfolios_x000D_
Standards organizations_x000D_
business goal scenario_x000D_
quality attribute requirementss_x000D_
requirements elicitation</t>
  </si>
  <si>
    <t>J. B. Corbets; C. J. Willy; J. E. Bischoff</t>
  </si>
  <si>
    <t>99</t>
  </si>
  <si>
    <t>1-9</t>
  </si>
  <si>
    <t>10.1109/JSYST.2017.2647980</t>
  </si>
  <si>
    <t>Entropy_x000D_
Modeling_x000D_
Requirements engineering_x000D_
System analysis and design_x000D_
Systems architecture_x000D_
Uncertainty_x000D_
Design synthesis process_x000D_
engineering effort estimation_x000D_
engineering team efficiency_x000D_
information quality theory_x000D_
system architecture quality</t>
  </si>
  <si>
    <t>P. Corcoran; K. Glasman</t>
  </si>
  <si>
    <t>8-12</t>
  </si>
  <si>
    <t>10.1109/MCE.2014.2361177</t>
  </si>
  <si>
    <t>B. Costa; P. F. Pires; F. C. Delicato; W. Li; A. Y. Zomaya</t>
  </si>
  <si>
    <t>10.1109/DASC-PICom-DataCom-CyberSciTec.2016.81</t>
  </si>
  <si>
    <t>IoT_x000D_
model-driven approach_x000D_
verification</t>
  </si>
  <si>
    <t>10.1109/SNPD.2010.39</t>
  </si>
  <si>
    <t>Unified Modeling Language_x000D_
business data processing_x000D_
simulation languages_x000D_
software architecture_x000D_
systems engineering_x000D_
SysM Lmodeling languages_x000D_
UML modeling languages_x000D_
business and software architecture codesign method_x000D_
model-driven method_x000D_
Artificial intelligence_x000D_
Computer architecture_x000D_
Design engineering_x000D_
Distributed computing_x000D_
Software design_x000D_
Software engineering_x000D_
Software systems_x000D_
Systems engineering and theory_x000D_
business architecture_x000D_
model-driven_x000D_
software architecture design</t>
  </si>
  <si>
    <t>A. Czarnecki; C. Orłowski</t>
  </si>
  <si>
    <t>10.1007/978-3-642-13541-5_34</t>
  </si>
  <si>
    <t>enterprise architecture_x000D_
IT project management_x000D_
ontology engineering_x000D_
TOGAF_x000D_
Architecture frameworks_x000D_
Generic models_x000D_
IT management_x000D_
IT project_x000D_
Model requirements_x000D_
Modeling approach_x000D_
Architecture_x000D_
Information technology_x000D_
Ontology_x000D_
Project management_x000D_
Multi agent systems</t>
  </si>
  <si>
    <t>10.1109/SG-TEP.2012.6642393</t>
  </si>
  <si>
    <t>power engineering computing_x000D_
power system management_x000D_
power system planning_x000D_
smart power grids_x000D_
ICT-architecture management_x000D_
Smart Grid functionalities_x000D_
business requirements_x000D_
domain specific planning approach_x000D_
information and communication technologies_x000D_
power system_x000D_
technology roadmaps_x000D_
Business_x000D_
Capability maturity model_x000D_
Computer architecture_x000D_
Context_x000D_
Context modeling_x000D_
Planning_x000D_
Smart grids</t>
  </si>
  <si>
    <t>M. H. Danesh; P. Loucopoulos; E. Yu</t>
  </si>
  <si>
    <t>9381</t>
  </si>
  <si>
    <t>10.1007/978-3-319-25264-3_26</t>
  </si>
  <si>
    <t>Capability modeling_x000D_
Enterprise engineering_x000D_
Sustainability_x000D_
Data mining_x000D_
Ecology_x000D_
Information systems_x000D_
Strategic planning_x000D_
Sustainable development_x000D_
Business strategy_x000D_
Business structures_x000D_
Capability model_x000D_
Dynamic capabilities_x000D_
Information systems development_x000D_
Sustainable enterprise_x000D_
Sustainable systems_x000D_
Planning</t>
  </si>
  <si>
    <t>M. Daneva; E. van der Veen; C. Amrit; S. Ghaisas; K. Sikkel; R. Kumar; N. Ajmeri; U. Ramteerthkar; R. Wieringa</t>
  </si>
  <si>
    <t>86</t>
  </si>
  <si>
    <t>5</t>
  </si>
  <si>
    <t>https://doi.org/10.1016/j.jss.2012.12.046</t>
  </si>
  <si>
    <t>Agile requirements engineering_x000D_
Requirements prioritization_x000D_
Outsourced software development_x000D_
Requirements dependencies_x000D_
Large projects_x000D_
Distributed project management Qualitative research_x000D_
Case study</t>
  </si>
  <si>
    <t>29</t>
  </si>
  <si>
    <t>10.1016/j.tele.2011.07.001</t>
  </si>
  <si>
    <t>Axiomatic_x000D_
Customer orientation_x000D_
Enterprise architecture_x000D_
Information technology_x000D_
QFD_x000D_
Shannon's entropy_x000D_
Customer satisfaction_x000D_
Entropy_x000D_
Industry_x000D_
Information theory_x000D_
Sales</t>
  </si>
  <si>
    <t>1499</t>
  </si>
  <si>
    <t>Enterprise Modeling_x000D_
Mobile Application_x000D_
Stakeholder participation_x000D_
Visual Aspects_x000D_
Collaborative framework_x000D_
Collaborative technique_x000D_
Conceptual model_x000D_
Mobile applications_x000D_
Modeling process_x000D_
Application programs</t>
  </si>
  <si>
    <t>B. Day; S. C. Ke-Zun; L. Lovelock; C. Lutteroth</t>
  </si>
  <si>
    <t>10.1109/EDOC.2009.29</t>
  </si>
  <si>
    <t>Capability Maturity Model_x000D_
DP industry_x000D_
business data processing_x000D_
corporate modelling_x000D_
project management_x000D_
software development management_x000D_
CMMI level 3_x000D_
ICT company_x000D_
Rational Unified Process development process framework_x000D_
The Open Group Architectural Framework methodology_x000D_
business processes_x000D_
capability maturity model integration maturity rating_x000D_
enterprise modeling tools_x000D_
process customization_x000D_
process models_x000D_
project management methodologies_x000D_
workflow model_x000D_
Business_x000D_
Companies_x000D_
Distributed computing_x000D_
Management training_x000D_
Quality assurance_x000D_
Testing_x000D_
Timing_x000D_
Unified modeling language</t>
  </si>
  <si>
    <t>S. De Kinderen; Q. Ma</t>
  </si>
  <si>
    <t>10</t>
  </si>
  <si>
    <t>7-24</t>
  </si>
  <si>
    <t>10.3233/AO-150139</t>
  </si>
  <si>
    <t>goal modeling_x000D_
Modeling language design_x000D_
requirements engineering_x000D_
Computational linguistics_x000D_
Computer aided software engineering_x000D_
Data mining_x000D_
Decision making_x000D_
Specifications_x000D_
Access rights management_x000D_
Conceptual modeling languages_x000D_
Goal-oriented_x000D_
Language design_x000D_
Language development_x000D_
Language specification_x000D_
Requirements engineering process_x000D_
Modeling languages</t>
  </si>
  <si>
    <t>C. L. De Rezende Rohlfs; G. Gröner; F. S. Parreiras</t>
  </si>
  <si>
    <t>ArchiMate_x000D_
Body of Knowledge_x000D_
Conceptual Model_x000D_
Enterprise Architecture_x000D_
Enterprise resource planning_x000D_
Information systems_x000D_
Enterprise modeling_x000D_
Holistic perspectives_x000D_
IT infrastructures_x000D_
Products and services_x000D_
Industry</t>
  </si>
  <si>
    <t>L. De Silva; D. Balasubramaniam</t>
  </si>
  <si>
    <t>85</t>
  </si>
  <si>
    <t>10.1016/j.jss.2011.07.036</t>
  </si>
  <si>
    <t>Architecture erosion_x000D_
Controlling architecture erosion_x000D_
Design erosion_x000D_
Software architecture_x000D_
Software decay_x000D_
Survey_x000D_
Architectural principles_x000D_
Architecture designs_x000D_
Broken down_x000D_
Business conditions_x000D_
Design constraints_x000D_
Process-oriented architecture_x000D_
Restoration techniques_x000D_
Self adaptation_x000D_
Software adaptation_x000D_
Software architects_x000D_
Software systems_x000D_
Useful lifetime_x000D_
Design_x000D_
Erosion_x000D_
Restoration_x000D_
Surveys</t>
  </si>
  <si>
    <t>R. de Souza; M. Goh; B. Sundarakani; W. T. Wai; K. Toh; W. Yong</t>
  </si>
  <si>
    <t>62</t>
  </si>
  <si>
    <t>https://doi.org/10.1016/j.compind.2011.08.002</t>
  </si>
  <si>
    <t>RFID adoption_x000D_
SCOR_x000D_
ROI analysis_x000D_
RFID implementation</t>
  </si>
  <si>
    <t>10.1007/978-3-319-70625-2_9</t>
  </si>
  <si>
    <t>Design domains_x000D_
Enterprise design_x000D_
Enterprise engineering_x000D_
Big data_x000D_
Data mining_x000D_
Product design_x000D_
Systems analysis_x000D_
Basic systems_x000D_
Design Principles_x000D_
Design team_x000D_
Design-science researches_x000D_
Design</t>
  </si>
  <si>
    <t>E. Dehli; H. Smith-Meyer; F. Liliehagen</t>
  </si>
  <si>
    <t>Computer architecture_x000D_
Computer software_x000D_
Data reduction_x000D_
Indexing (of information)_x000D_
Interoperability_x000D_
Learning systems_x000D_
Object oriented programming_x000D_
Project management_x000D_
Software engineering_x000D_
Standardization_x000D_
XML_x000D_
Granular design elements_x000D_
Software designs_x000D_
Information technology</t>
  </si>
  <si>
    <t>10.4018/978-1-4666-6473-9.ch004</t>
  </si>
  <si>
    <t>R. Delima; H. B. Santoso; J. Purwadi</t>
  </si>
  <si>
    <t>10.1109/IAC.2016.7905691</t>
  </si>
  <si>
    <t>agriculture_x000D_
information systems_x000D_
EA_x000D_
Enterprise Architecture_x000D_
IAIS_x000D_
Indonesian Integrated Agriculture Information Systems_x000D_
TOGAF Framework_x000D_
The Open Group Architecture Framework_x000D_
architecture vision_x000D_
Computer architecture_x000D_
Information and communication technology_x000D_
Organizations_x000D_
Stakeholders_x000D_
Integrated Agriculture Information System</t>
  </si>
  <si>
    <t>H. Demirkan; R. J. Kauffman; J. A. Vayghan; H.-G. Fill; D. Karagiannis; P. P. Maglio</t>
  </si>
  <si>
    <t>https://doi.org/10.1016/j.elerap.2008.07.002</t>
  </si>
  <si>
    <t>Business processes_x000D_
Economic analysis_x000D_
IT management_x000D_
Research directions_x000D_
Service-oriented architecture_x000D_
Service paradigm_x000D_
Service-oriented technology and management_x000D_
Thought leadership</t>
  </si>
  <si>
    <t>A. A. Detoni; G. M. Miranda; L. D. C. Renault; R. A. Falbo; J. P. A. Almeida; G. Guizzardi; M. P. Barcellos</t>
  </si>
  <si>
    <t>10.1109/EDOCW.2017.29</t>
  </si>
  <si>
    <t>government data processing_x000D_
ontologies (artificial intelligence)_x000D_
open systems_x000D_
security of data_x000D_
consistently interlinked modular ontologies_x000D_
e-Government interoperability project_x000D_
enterprise architecture models_x000D_
information systems landscapes_x000D_
modularization_x000D_
ontological model_x000D_
ontology network_x000D_
public security domain_x000D_
semantic interoperability projects_x000D_
single monolithic ontology_x000D_
Business_x000D_
Conferences_x000D_
Interoperability_x000D_
Neon_x000D_
Ontologies_x000D_
Security_x000D_
Semantics_x000D_
Enterprise Architecture_x000D_
Conceptual Modeling</t>
  </si>
  <si>
    <t>T. L. Dinh; T. A. Rickenberg; H. G. Fill; M. H. Breitner</t>
  </si>
  <si>
    <t>10.1109/HICSS.2014.441</t>
  </si>
  <si>
    <t>business data processing_x000D_
content management_x000D_
information management_x000D_
knowledge engineering_x000D_
enterprise content management_x000D_
information assets_x000D_
information knowledge_x000D_
innovation capacity_x000D_
knowledge perspectives_x000D_
knowledge-based content management framework_x000D_
knowledge-based framework_x000D_
knowledge-intensive enterprises_x000D_
knowledge-intensive products_x000D_
knowledge-intensive services_x000D_
organizational knowledge_x000D_
unstructured documents_x000D_
Companies_x000D_
Electronic countermeasures_x000D_
Knowledge based systems_x000D_
Semantics_x000D_
Technological innovation_x000D_
Knowledge component_x000D_
Knowledge management</t>
  </si>
  <si>
    <t>250</t>
  </si>
  <si>
    <t>10.1002/9780470987797.ch8</t>
  </si>
  <si>
    <t>Convergence_x000D_
Customer relationship management_x000D_
Industries_x000D_
Software_x000D_
Telecommunications_x000D_
Tools</t>
  </si>
  <si>
    <t>This chapter contains sections titled: &lt;list style=bulleted" xml:id="l1"&gt; &lt;listItem&gt; Enterprise Software Environment &lt;/listItem&gt; &lt;listItem&gt; Enterprise System Integration Challenges &lt;/listItem&gt; &lt;listItem&gt; Enterprise Process Optimization &lt;/listItem&gt; &lt;listItem&gt; Methodologies for Business Process Optimization &lt;/listItem&gt; &lt;listItem&gt; Summary &lt;/listItem&gt; &lt;listItem&gt; References &lt;/listItem&gt; &lt;/list&gt;"</t>
  </si>
  <si>
    <t>A. Dragomir; H. Lichter</t>
  </si>
  <si>
    <t>10.1109/APSEC.2014.97</t>
  </si>
  <si>
    <t>Architecture Quality Index_x000D_
Communication Integrity_x000D_
Software Architecture Evaluation_x000D_
Software Architecture Reconstruction_x000D_
Benchmarking_x000D_
Computer software_x000D_
Quality assurance_x000D_
Quality control_x000D_
Software architecture_x000D_
Software engineering_x000D_
Analysis and evaluation_x000D_
Architecture description_x000D_
Architecture reconstruction_x000D_
Evaluating software architectures_x000D_
Proposed architectures_x000D_
Quality indices_x000D_
Computer software selection and evaluation</t>
  </si>
  <si>
    <t>P. Drews; I. Schirmer</t>
  </si>
  <si>
    <t>10.1109/EDOCW.2014.12</t>
  </si>
  <si>
    <t>business data processing_x000D_
educational administrative data processing_x000D_
health care_x000D_
logistics data processing_x000D_
organisational aspects_x000D_
retail data processing_x000D_
EAM_x000D_
IT architecture_x000D_
business ecosystem architecture_x000D_
collaborative networks_x000D_
education industries_x000D_
enterprise architecture management approaches_x000D_
enterprise interconnectedness_x000D_
federated architectures_x000D_
intraorganizational concepts_x000D_
logistics_x000D_
organizational boundaries_x000D_
retail_x000D_
Companies_x000D_
Computer architecture_x000D_
Containers_x000D_
Ecosystems_x000D_
Medical services_x000D_
business ecosystem_x000D_
collaborative network_x000D_
enterprise architecture_x000D_
inter-organizational architectures</t>
  </si>
  <si>
    <t>P. Drews; I. Schirmer; B. Horlach; C. Tekaat</t>
  </si>
  <si>
    <t>10.1109/EDOCW.2017.18</t>
  </si>
  <si>
    <t>business data processing_x000D_
enterprise resource planning_x000D_
BizDevOps teams_x000D_
EAM functions_x000D_
bimodal enterprise architecture management_x000D_
business-IT-alignment_x000D_
central enterprise architecture management function_x000D_
cross-service issues_x000D_
defining business functionality_x000D_
enterprise architecture management changes_x000D_
microservices_x000D_
Collaboration_x000D_
Companies_x000D_
Computer architecture_x000D_
Conferences_x000D_
Agile_x000D_
BizDevOps_x000D_
DevOps_x000D_
Digital IT_x000D_
Enterprise Architecture Management_x000D_
Fast IT</t>
  </si>
  <si>
    <t>During the last years, many companies established fast IT or digital IT units dedicated to build and operate digital customer-facing services. These units adopted agile methods, new tool chains as well as new organizational settings like BizDevOps teams. BizDevOps teams are responsible for continuously (re-)defining business functionality of certain (micro-)services, (re-)developing and running them. In these new fast IT environments, the role of enterprise architecture management changes dramatically. BizDevOps teams have a high degree of autonomy in designing both, the functionality and the architecture of their (micro-)services and thus contribute to business-IT-alignment in a new way. Nevertheless, a central enterprise architecture management (EAM) function is still required for supporting the teams regarding cross-team and cross-service issues. Furthermore, as many companies still run the traditional IT function side-by-side with the new IT function, the EAM functions of both parts have to cooperate. Based on a single case study, we discuss the emergence of a new EAM function (fast IT EAM"), changing tasks and processes, implications for EA models and challenges for the integration of the traditional EAM and the fast IT EAM functions."</t>
  </si>
  <si>
    <t>F. A. Du Toit; M. Tanner</t>
  </si>
  <si>
    <t>Business capability_x000D_
Change impact analysis_x000D_
Enterprise architecture_x000D_
Software cost estimation_x000D_
Computer software_x000D_
Cost estimating_x000D_
Enterprise software_x000D_
Software architecture_x000D_
Software prototyping_x000D_
Specifications_x000D_
Business architecture_x000D_
Design and implements_x000D_
Design specification_x000D_
Design-science researches_x000D_
Enterprise architecture managements_x000D_
Software cost estimations_x000D_
Design</t>
  </si>
  <si>
    <t>J. C. Duarte; M. Lima-Marques</t>
  </si>
  <si>
    <t>Business intelligence_x000D_
Business process management_x000D_
Business strategy_x000D_
Enterprise architecture_x000D_
Enterprise intelligence_x000D_
Enterprise ontology_x000D_
Modern time_x000D_
New approaches_x000D_
Organizational units_x000D_
Decision making_x000D_
Enterprise resource management_x000D_
Information technology_x000D_
Management science_x000D_
Strategic planning_x000D_
Ontology</t>
  </si>
  <si>
    <t>458</t>
  </si>
  <si>
    <t>BPM_x000D_
Competency center_x000D_
EA_x000D_
Modeling and simulation_x000D_
Ontologies_x000D_
Integrated approach_x000D_
Model and simulation_x000D_
Techniques and tools_x000D_
Computer simulation_x000D_
Decision making_x000D_
Ontology_x000D_
Industry</t>
  </si>
  <si>
    <t>E. Dubois; C. Mauger</t>
  </si>
  <si>
    <t>3-6</t>
  </si>
  <si>
    <t>10.1109/RCIS.2015.7128858</t>
  </si>
  <si>
    <t>buildings (structures)_x000D_
construction industry_x000D_
formal specification_x000D_
information systems_x000D_
project management_x000D_
structural engineering computing_x000D_
BIM_x000D_
IS projects_x000D_
IT architecture_x000D_
architectural models_x000D_
building information model_x000D_
building-as-a-service paradigm_x000D_
business service alignment_x000D_
complex construction projects_x000D_
construction projects_x000D_
enterprise architecture_x000D_
information exchange_x000D_
information system projects_x000D_
requirements engineering_x000D_
service integration_x000D_
Architecture_x000D_
Buildings_x000D_
Computer architecture_x000D_
Programming_x000D_
construction models_x000D_
information system_x000D_
product/service system</t>
  </si>
  <si>
    <t>K. Dunsire; T. O. Neill; M. Denford; J. Leaney</t>
  </si>
  <si>
    <t>10.1109/ECBS.2005.66</t>
  </si>
  <si>
    <t>data visualisation_x000D_
management information systems_x000D_
organisational aspects_x000D_
software architecture_x000D_
3D visualisation_x000D_
ABACUS architectural approach_x000D_
business operation_x000D_
enterprise architecture_x000D_
enterprise computer-based system_x000D_
enterprise evolution_x000D_
enterprise system analysis_x000D_
software analysis_x000D_
Buildings_x000D_
Communications technology_x000D_
Computer architecture_x000D_
Continents_x000D_
Control systems_x000D_
Engineering management_x000D_
Hardware_x000D_
Particle measurements_x000D_
Software systems_x000D_
Visualization</t>
  </si>
  <si>
    <t>K. Ebner; B. Mueller; N. Urbach; G. Riempp; H. Krcmar</t>
  </si>
  <si>
    <t>63</t>
  </si>
  <si>
    <t>10.1109/TEM.2015.2508499</t>
  </si>
  <si>
    <t>business data processing_x000D_
economics_x000D_
organisational aspects_x000D_
IT management performance assessment_x000D_
IT organization performance_x000D_
SITBM methods_x000D_
design theory_x000D_
economic pressure_x000D_
field-tested method_x000D_
information technology_x000D_
optimal peer group composition_x000D_
process models_x000D_
strategic IT benchmarking_x000D_
Benchmark testing_x000D_
Companies_x000D_
Instruments_x000D_
Radio frequency_x000D_
Design theory (DT)_x000D_
information technology (IT) performance measurement_x000D_
strategic IT benchmarking (SITBM)_x000D_
strategic IT management (ITM)</t>
  </si>
  <si>
    <t>I. Y. M. Edward; W. Shalannanda; A. Agusdian; S. I. Lestariningati</t>
  </si>
  <si>
    <t>10.1109/ICEECS.2014.7045263</t>
  </si>
  <si>
    <t>government data processing_x000D_
management of change_x000D_
TOGAF ADM enterprise continuum_x000D_
architecture continuum_x000D_
architecture repository_x000D_
change management domains phases_x000D_
e-government_x000D_
enterprise need_x000D_
foundation architectures_x000D_
implementation governance_x000D_
migration plan_x000D_
organization-specific architectures_x000D_
organization-specific solution_x000D_
ppportunity and solution_x000D_
solutions continuum_x000D_
Architecture_x000D_
Catalogs_x000D_
Computer architecture_x000D_
Electronic government_x000D_
Standards_x000D_
Enterprise Continuum_x000D_
Solution Continuum_x000D_
TOGAF ADM</t>
  </si>
  <si>
    <t>A. E. J. Egeten; Meyliana; M. Hapsara; H. Prabowo; R. Kosala</t>
  </si>
  <si>
    <t>10.1109/COMCOM.2017.8167103</t>
  </si>
  <si>
    <t>customer services_x000D_
electronic commerce_x000D_
software architecture_x000D_
transaction processing_x000D_
Online transaction_x000D_
e-commerce system_x000D_
electronic media_x000D_
enterprise architecture framework_x000D_
systematic literature review method_x000D_
component_x000D_
e-commerce_x000D_
systematic literature review</t>
  </si>
  <si>
    <t>M. Ekstedt; P. Johnson; A. Lindstrom; M. Gammelgard; E. Johansson; L. Plazaola; E. Silva; J. Lilieskold</t>
  </si>
  <si>
    <t>10.1109/HICSS.2004.1265519</t>
  </si>
  <si>
    <t>business data processing_x000D_
integrated software_x000D_
knowledge acquisition_x000D_
knowledge management_x000D_
software architecture_x000D_
chief information officer_x000D_
decision making_x000D_
enterprise software system architecture_x000D_
information searching_x000D_
isolated software systems_x000D_
management tools_x000D_
real-time process control_x000D_
Companies_x000D_
Computer architecture_x000D_
Connectors_x000D_
Costs_x000D_
History_x000D_
Portfolios_x000D_
Process control_x000D_
Real time systems_x000D_
Software systems</t>
  </si>
  <si>
    <t>M. Ekstedt; T. Sommestad</t>
  </si>
  <si>
    <t>10.1109/PSCE.2009.4840267</t>
  </si>
  <si>
    <t>power system analysis computing_x000D_
power system economics_x000D_
power system management_x000D_
power system security_x000D_
Swedish Centre of Excellence in Electric Power Engineering_x000D_
VIKING_x000D_
architectural languages_x000D_
control systems management_x000D_
cyber security analysis_x000D_
enterprise architecture models_x000D_
graphical models_x000D_
Communication system control_x000D_
Communication system security_x000D_
Computer security_x000D_
Control systems_x000D_
Electrical equipment industry_x000D_
Energy management_x000D_
Information security_x000D_
Vehicles_x000D_
Bayesian Networks_x000D_
Cyber Security_x000D_
Enterprise Architecture</t>
  </si>
  <si>
    <t>M. El Kharbili; E. Pulvermüller</t>
  </si>
  <si>
    <t>Business process compliances_x000D_
Business process management_x000D_
Compliance management_x000D_
ITS architecture_x000D_
Legal regulation_x000D_
Policy-based framework_x000D_
Semantic consistency_x000D_
Semantic framework_x000D_
Enterprise resource management_x000D_
Industry_x000D_
Laws and legislation_x000D_
Semantics_x000D_
Management science</t>
  </si>
  <si>
    <t>M. El Kharbili; S. Stein; I. Markovic; E. Pulvermüller</t>
  </si>
  <si>
    <t>339</t>
  </si>
  <si>
    <t>1-15</t>
  </si>
  <si>
    <t>Business Process Management_x000D_
Business Rule_x000D_
Compliance Management_x000D_
Ontology_x000D_
Policy_x000D_
Business process compliances_x000D_
Business rules_x000D_
Compliance checking_x000D_
Legal regulation_x000D_
Policy-based framework_x000D_
Strategic business_x000D_
Enterprise resource management_x000D_
Information systems_x000D_
Management science_x000D_
Public policy_x000D_
Semantics_x000D_
Compliance control</t>
  </si>
  <si>
    <t>M. El-Mekawy; L. Rusu; E. Perjons</t>
  </si>
  <si>
    <t>https://doi.org/10.1016/j.chb.2014.12.016</t>
  </si>
  <si>
    <t>Strategic alignment_x000D_
Evaluation framework_x000D_
BITA_x000D_
Collaborative learning in BITA_x000D_
Alignment models</t>
  </si>
  <si>
    <t>8823</t>
  </si>
  <si>
    <t>W. Engelsmana; D. Quartelc; H. Jonkersa; M. van Sinderen</t>
  </si>
  <si>
    <t>9-36</t>
  </si>
  <si>
    <t>10.1080/17517575.2010.491871</t>
  </si>
  <si>
    <t>Business-IT alignment_x000D_
Enterprise architecture_x000D_
Goal modelling_x000D_
Requirements engineering_x000D_
Stakeholder concerns_x000D_
Analysis techniques_x000D_
Business goals_x000D_
Enterprise modelling_x000D_
Modelling techniques_x000D_
Open group architecture frameworks_x000D_
Requirements modelling_x000D_
Alignment_x000D_
Architecture_x000D_
High level languages_x000D_
Motivation_x000D_
Industry</t>
  </si>
  <si>
    <t>D. Enstrom; D. Walsh</t>
  </si>
  <si>
    <t>10.1109/HICSS.2010.445</t>
  </si>
  <si>
    <t>information technology_x000D_
system documentation_x000D_
IT architecture_x000D_
architecture components_x000D_
documentation_x000D_
system context_x000D_
Architecture_x000D_
Art_x000D_
Buildings_x000D_
Costs_x000D_
Design engineering_x000D_
ISO standards_x000D_
Industrial relations_x000D_
Knowledge engineering_x000D_
Shape</t>
  </si>
  <si>
    <t>M. Erder; P. Pureur</t>
  </si>
  <si>
    <t>https://doi.org/10.1016/B978-0-12-803284-8.00006-3</t>
  </si>
  <si>
    <t>Continuous Architecture principles_x000D_
architecture validation_x000D_
Continuous Delivery_x000D_
Agile development_x000D_
architecture and design decisions_x000D_
qualitative architecture validation techniques_x000D_
quantitative architecture validation techniques_x000D_
architectural runway_x000D_
SAFe_x000D_
Architecture Tradeoff Analysis Method (ATAM)_x000D_
Decision Centric Architecture Review (DCAR)_x000D_
utility tree_x000D_
architecture peer validation_x000D_
pair programming_x000D_
MEAN stack_x000D_
Quality Attributes_x000D_
Continuous Evaluation_x000D_
architecture checkups_x000D_
code inspections_x000D_
manual code reviews_x000D_
automated code reviews_x000D_
static code analysis_x000D_
facilitator_x000D_
scribe_x000D_
checklist-driven validation_x000D_
architecture validation checklist_x000D_
scenario-based validation_x000D_
decision-centric validation_x000D_
decision forces_x000D_
LEGO</t>
  </si>
  <si>
    <t>https://doi.org/10.1016/B978-0-12-803284-8.00008-7</t>
  </si>
  <si>
    <t>software architect_x000D_
Continuous Architecture_x000D_
Myers-Briggs Type Indicator_x000D_
Belbin_x000D_
five-factor model_x000D_
strength deployment inventory_x000D_
product management_x000D_
architectural decisions_x000D_
communication and collaboration</t>
  </si>
  <si>
    <t>https://doi.org/10.1016/B978-0-12-803284-8.00009-9</t>
  </si>
  <si>
    <t>collaboration and communication_x000D_
common language_x000D_
architecture process_x000D_
architecture methodology_x000D_
enterprise architecture_x000D_
architecture frameworks_x000D_
design patterns_x000D_
architectural decisions_x000D_
software architect</t>
  </si>
  <si>
    <t>A. M. Ernst; J. Lankes; C. M. Schweda; A. Wittenburg</t>
  </si>
  <si>
    <t>10.1109/EDOC.2006.60</t>
  </si>
  <si>
    <t>business data processing_x000D_
management_x000D_
EA management tools_x000D_
enterprise architecture management_x000D_
tool evaluation_x000D_
tool support_x000D_
Concrete_x000D_
Electronic mail_x000D_
Informatics_x000D_
Information management_x000D_
Metamodeling_x000D_
Portfolios_x000D_
Process control_x000D_
Project management_x000D_
Software tools_x000D_
Visualization</t>
  </si>
  <si>
    <t>J. A. Espinosa; F. Armour; W. F. Boh</t>
  </si>
  <si>
    <t>10.1109/HICSS.2010.450</t>
  </si>
  <si>
    <t>business data processing_x000D_
business process_x000D_
businesstechnology_x000D_
enterprise architecture_x000D_
Cognition_x000D_
Collaborative work_x000D_
Conference management_x000D_
Data analysis_x000D_
Documentation_x000D_
Information management_x000D_
Information technology_x000D_
Online Communities/Technical Collaboration_x000D_
Organizing_x000D_
Technology management</t>
  </si>
  <si>
    <t>Enterprise architecture (EA) models the desired relationships between business processes and technology. While the conceptual benefits of EA are many, experience shows that managing the EA can be daunting because of the complex interdependencies among business, technology and the people involved. Having sound EA frameworks and programs are necessary but insufficient conditions for EA success. Effective coordination and governance of the EA practice are also necessary, but this has received little attention in the literature. In this paper we begin to fill this gap by providing a reference framework, theoretical foundations and preliminary evidence from semi-structured interviews on coordination and governance in enterprise architecting"."</t>
  </si>
  <si>
    <t>10.1109/HICSS.2011.428</t>
  </si>
  <si>
    <t>commerce_x000D_
EA consultants_x000D_
IT staff_x000D_
business processes_x000D_
business stakeholders_x000D_
business strategy_x000D_
business technology_x000D_
chief architects_x000D_
enterprise architecting_x000D_
enterprise architecture models_x000D_
group cognition_x000D_
semistructured interviews_x000D_
technical architects_x000D_
Cognition_x000D_
Context_x000D_
Data models_x000D_
Interviews_x000D_
Organizations_x000D_
Standards organizations</t>
  </si>
  <si>
    <t>Enterprise architecture (EA) models the desired relationships between business processes and technology. Enterprise architecting" is the process of developing and maintaining the EA. The goal of EA is to align business process and IT for the effective execution of business strategy and the efficient implementation of the associated systems. Thus, the architecting process involves many stakeholders (e.g., architects, IT staff, and business staff) with very diverse perspectives, making coordination of architecting work daunting. Despite their critical importance to EA success, coordination and governance in EA have received very little attention in the literature. In this paper we report on a study based on semi-structured interviews of CIO's, chief architects, technical architects, IT staff, business stakeholders and EA consultants. The focus of the study was to better understand the coordination challenges and best practices leading to EA success. Our results show that various forms of group cognition play a critical role in the effective coordination of architecting."</t>
  </si>
  <si>
    <t>J. A. Espinosa; F. Armour; W. F. Boh; M. A. Clark</t>
  </si>
  <si>
    <t>10.1109/HICSS.2012.84</t>
  </si>
  <si>
    <t>business data processing_x000D_
information technology_x000D_
EA coordination_x000D_
IT_x000D_
business process_x000D_
business strategy_x000D_
cognitive coordination_x000D_
communication_x000D_
coordination mechanism_x000D_
enterprise architecting_x000D_
self-fueling coordination model_x000D_
task programming_x000D_
team cognition_x000D_
Cognition_x000D_
Companies_x000D_
Educational institutions_x000D_
Interviews_x000D_
Standards organizations_x000D_
Enterprise Architecture</t>
  </si>
  <si>
    <t>Enterprise architecting" is the process of developing, updating and maintaining the EA. The goal of EA is to align business process and IT for the effective execution of business strategy. But the architecting process involves many stakeholders with very diverse and often conflicting goals. This makes architecting a daunting process. However, coordination in EA has received very little attention in the literature. A prior study reported that there are three fundamental types of coordination, each affecting architecting differently: (1) communication - the most prevalent, but least effective coordination mechanism in EA, (2) task programming - less prevalent but a very necessary type of coordination for EA success, and (3) team cognition - less understood but the most critical predictor of EA coordination success. In this paper we report on two case studies that investigated one highly successful and one less successful EA practice. Both organizations had competent business, IT and EA staff and active architecting coordination via communication and task programming. Only the successful organization, however, had strong team cognition, underscoring the importance of cognitive coordination in architecting."</t>
  </si>
  <si>
    <t>J. A. Espinosa; B. Wai Fong</t>
  </si>
  <si>
    <t>10.1109/HICSS.2009.133</t>
  </si>
  <si>
    <t>business data processing_x000D_
information management_x000D_
distance barriers_x000D_
enterprise architecture management_x000D_
geographically distributed enterprise architecting_x000D_
governance perspective_x000D_
time barriers_x000D_
Conference management_x000D_
Constraint theory_x000D_
Dispersion_x000D_
Documentation_x000D_
Information technology_x000D_
Management information systems_x000D_
Technology management</t>
  </si>
  <si>
    <t>Previous research examining the effective implementation and management of enterprise architecture (EA) has typically used a governance perspective. However, this perspective does not consider the challenges associated with the architecting" effort-.e., the processes involved in generating and managing the EA. This requires the coordinated action of many stakeholders and architects, especially when they are geographically dispersed because distance and time barriers need to be bridged to coordinate their efforts. In this paper we adapt a previously suggested architecting coordination framework to develop a research model that integrates the coordination and governance perspectives in order to examine the development and implementation of effective geographically dispersed EAs. We use data obtained from two practitioner workshops on EA and follow up interviews with two participants to do some preliminary analysis. We then propose an empirical research design to study our proposed research framework in greater detail."</t>
  </si>
  <si>
    <t>R. Ettema; F. Russo; P. Huysmans</t>
  </si>
  <si>
    <t>ArchiMate_x000D_
Causal mechanism_x000D_
Enterprise ontology_x000D_
Lean six sigma_x000D_
Organizational diagnosis_x000D_
Organisational_x000D_
Multi variate analysis_x000D_
Lean production_x000D_
Multivariant analysis_x000D_
Process monitoring_x000D_
Restoration_x000D_
Work simplification_x000D_
Process engineering</t>
  </si>
  <si>
    <t>H. Faller; S. d. Kinderen; C. Constantinidis</t>
  </si>
  <si>
    <t>10.1109/HICSS.2016.569</t>
  </si>
  <si>
    <t>airports_x000D_
business data processing_x000D_
organisational aspects_x000D_
travel industry_x000D_
European Airport company_x000D_
enterprise architecture effectiveness_x000D_
organizational subculture_x000D_
subcultural differences_x000D_
subcultural similarity_x000D_
Companies_x000D_
Decision making_x000D_
Europe_x000D_
Stakeholders_x000D_
case study_x000D_
communication defects_x000D_
qualitative research</t>
  </si>
  <si>
    <t>D. Fanesi; D. R. Cacciagrano; K. Hinkelmann</t>
  </si>
  <si>
    <t>10.1109/ES.2015.10</t>
  </si>
  <si>
    <t>business data processing_x000D_
inference mechanisms_x000D_
knowledge representation languages_x000D_
ontologies (artificial intelligence)_x000D_
BPM mechanization degree enhancement_x000D_
OWL-FA_x000D_
business process management_x000D_
business process models_x000D_
execution data_x000D_
is-a relation_x000D_
metamodel_x000D_
occurrenceOf_x000D_
ontology_x000D_
proprietary property_x000D_
semantic business process representation_x000D_
standard reasoning mechanisms_x000D_
Calculus_x000D_
Companies_x000D_
Data models_x000D_
Ontologies_x000D_
Semantics_x000D_
BPMN_x000D_
Business Process Ontology_x000D_
OWL_x000D_
Semantic Business Process Management_x000D_
meta-modeling</t>
  </si>
  <si>
    <t>Business process management is still characterized by a low degree of mechanization. One of the main causes is a lack of an appropriate semantic representation for business process models and execution data unified in a single ontology. Many researchers addressed this problem but the ontologies proposed so far define a proprietary property called occurrence Of" to link a process model to its execution data. In this paper we we propose an alternative approach based on a multilayer representation using an is-a relation instead. This is cognitively more adequate and allows to use standard reasoning mechanisms. We show how OWL-FA enables a semantic representation of the metamodel in an ontology, providing decidable reasoners. We present a case study and we address the semantic issue with a detailed analysis. We show how it is possible to answer some queries with the support of this ontology, demonstrating how our ontology can be a suitable tool to enhance the mechanization of business process management."</t>
  </si>
  <si>
    <t>863</t>
  </si>
  <si>
    <t>Automation_x000D_
EAM_x000D_
Enterprise Architecture Management_x000D_
Maintenance_x000D_
Meta-model_x000D_
Modelling_x000D_
Data collection process_x000D_
Enterprise Architecture_x000D_
Enterprise architecture managements_x000D_
Enterprise architecture modeling_x000D_
External data sources_x000D_
Informed decision_x000D_
Meta model_x000D_
Models</t>
  </si>
  <si>
    <t>M. Farwick; B. Agreiter; R. Breu; S. Ryll; K. Voges; I. Hanschke</t>
  </si>
  <si>
    <t>10.1109/EDOCW.2011.19</t>
  </si>
  <si>
    <t>business data processing_x000D_
data handling_x000D_
organisational aspects_x000D_
EA data quality attributes_x000D_
EA maintenance processes_x000D_
automation processes_x000D_
enterprise architecture management_x000D_
enterprise architecture model_x000D_
living models_x000D_
model complexity_x000D_
Automation_x000D_
Business_x000D_
Data models_x000D_
Data structures_x000D_
Maintenance engineering_x000D_
Manuals_x000D_
enterprise architecture_x000D_
it-governance_x000D_
maintenance_x000D_
model_x000D_
process</t>
  </si>
  <si>
    <t>M. Farwick; R. Breu; M. Hauder; S. Roth; F. Matthes</t>
  </si>
  <si>
    <t>10.1109/HICSS.2013.200</t>
  </si>
  <si>
    <t>Automation_x000D_
Computer architecture_x000D_
Data models_x000D_
Documentation_x000D_
Industries_x000D_
Organizations_x000D_
enterprise architecture management_x000D_
maintenance</t>
  </si>
  <si>
    <t>M. Farwick; W. Pasquazzo; R. Breu; C. M. Schweda; K. Voges; I. Hanschke</t>
  </si>
  <si>
    <t>10.1109/EDOC.2012.11</t>
  </si>
  <si>
    <t>business data processing_x000D_
data handling_x000D_
software maintenance_x000D_
EA data collection_x000D_
EA models_x000D_
Living IT-Landscape Models_x000D_
automated enterprise architecture model maintenance_x000D_
data collection_x000D_
data sources_x000D_
meta-model_x000D_
model actuality_x000D_
model consistency_x000D_
quality assurance_x000D_
Computational modeling_x000D_
Computer architecture_x000D_
Context modeling_x000D_
Data models_x000D_
Information systems_x000D_
Maintenance engineering_x000D_
Object oriented modeling_x000D_
EAM_x000D_
automation_x000D_
enterprise architecture management_x000D_
maintenance_x000D_
modelling</t>
  </si>
  <si>
    <t>59</t>
  </si>
  <si>
    <t>https://doi.org/10.1016/j.eswa.2016.04.019</t>
  </si>
  <si>
    <t>Conceptual modeling_x000D_
Business architecture_x000D_
Business best practices_x000D_
Enterprise architecture_x000D_
Design rationale_x000D_
System dynamics</t>
  </si>
  <si>
    <t>10.1109/RCIS.2015.7128887</t>
  </si>
  <si>
    <t>C. Feltus; E. Dubois; M. Petit</t>
  </si>
  <si>
    <t>authorisation_x000D_
business data processing_x000D_
meta data_x000D_
ArchiMate_x000D_
Hospital Center_x000D_
IT infrastructure_x000D_
RBAC_x000D_
ReMMo_x000D_
access rights management_x000D_
business actors responsibility_x000D_
business layer_x000D_
business operation_x000D_
business services_x000D_
business/IT alignment_x000D_
enterprise architecture formalism_x000D_
governance need_x000D_
responsibility metamodel_x000D_
Companies_x000D_
Computer architecture_x000D_
Hospitals_x000D_
Permission_x000D_
Semantics_x000D_
Unified modeling language_x000D_
Access rights_x000D_
Enterprise architecture_x000D_
Responsibility model</t>
  </si>
  <si>
    <t>C. Feltus; C. Incoul; J. Aubert; B. Gateau; A. Adelsbach; M. Camy</t>
  </si>
  <si>
    <t>10.1109/ARES.2009.47</t>
  </si>
  <si>
    <t>DP industry_x000D_
DP management_x000D_
IT company_x000D_
IT governance_x000D_
accountability concept_x000D_
business IT alignment_x000D_
capability concept_x000D_
commitment concept_x000D_
financial economic situation_x000D_
responsibility model_x000D_
use case_x000D_
Access control_x000D_
Availability_x000D_
Business_x000D_
Collaboration_x000D_
Companies_x000D_
Computer aided software engineering_x000D_
ISO standards_x000D_
Security_x000D_
Stability_x000D_
Standards publication_x000D_
Governance_x000D_
Organizational model_x000D_
Policy Engineering_x000D_
Process model</t>
  </si>
  <si>
    <t>C. Feltus; D. Khadraoui</t>
  </si>
  <si>
    <t>10.1145/2523514.2523583</t>
  </si>
  <si>
    <t>C. Feltus; M. Ouedraogo; D. Khadraoui</t>
  </si>
  <si>
    <t>10.1109/ICT-DM.2014.6917782</t>
  </si>
  <si>
    <t>SCADA systems_x000D_
security of data_x000D_
ArchiMate_x000D_
CockpitCI project_x000D_
SCADA components_x000D_
component smartness_x000D_
critical infrastructure_x000D_
cyber safety_x000D_
cyber-security protection_x000D_
petroleum supply chain_x000D_
security policy generation_x000D_
supervisory control and data acquisition_x000D_
Computer architecture_x000D_
Context_x000D_
Organizations_x000D_
Petroleum_x000D_
Unified modeling language_x000D_
Archillate metamodel_x000D_
ReMMo_x000D_
SCADA_x000D_
multi-components system_x000D_
petroleum supply chains_x000D_
trust</t>
  </si>
  <si>
    <t>C. Feltus; E. H. A. Proper</t>
  </si>
  <si>
    <t>10.15439/2017F9</t>
  </si>
  <si>
    <t>business data processing_x000D_
economics_x000D_
value engineering_x000D_
abstract language conceptualization_x000D_
business object_x000D_
model value_x000D_
numeric economy_x000D_
value co-creation_x000D_
value creation_x000D_
Analytical models_x000D_
Companies_x000D_
Information systems_x000D_
Privacy_x000D_
Security_x000D_
Syntactics</t>
  </si>
  <si>
    <t>10.1109/SYSCON.2016.7490555</t>
  </si>
  <si>
    <t>Computer architecture_x000D_
Context_x000D_
IEC Standards_x000D_
ISO Standards_x000D_
Modeling_x000D_
Safety_x000D_
Assurance Argument_x000D_
Claim Argument Evidence_x000D_
Decision Support_x000D_
Design Decisions_x000D_
Design Rationale_x000D_
Goal Refinement_x000D_
Goal Requirement Languge_x000D_
Goal Strutured Notation_x000D_
Intent Specification_x000D_
Justification_x000D_
Phased Safety Case_x000D_
User Requirements Notation</t>
  </si>
  <si>
    <t>N. Ferreira; N. Santos; P. Soares; R. J. Machado; D. Gašević</t>
  </si>
  <si>
    <t>165</t>
  </si>
  <si>
    <t>10.1007/978-3-642-41641-5</t>
  </si>
  <si>
    <t>Enterprise information systems_x000D_
Enterprise modeling_x000D_
Model transformation_x000D_
Requirement elicitation_x000D_
Transition to software requirements_x000D_
Enterprise resource planning_x000D_
Requirements engineering_x000D_
Enterprise information system_x000D_
Software requirements_x000D_
Information systems</t>
  </si>
  <si>
    <t>M. C. Figueiredo; C. R. B. De Souza; M. Z. Pereira; R. Prikladnicki; J. L. N. Audy</t>
  </si>
  <si>
    <t>56</t>
  </si>
  <si>
    <t>10.1016/j.infsof.2014.04.001</t>
  </si>
  <si>
    <t>Architect roles_x000D_
IT architecture_x000D_
Software architecture_x000D_
Data acquisition_x000D_
Knowledge management_x000D_
Architect role_x000D_
Grounded theory methods_x000D_
IT infrastructures_x000D_
Knowledge transfer_x000D_
Semi structured interviews_x000D_
Software architects_x000D_
Technical activities_x000D_
Information systems</t>
  </si>
  <si>
    <t>M. C. Florea; N. D. Hindie; P. Valin</t>
  </si>
  <si>
    <t>Web services_x000D_
sensor fusion_x000D_
automatic target tracking_x000D_
multisensor data fusion system_x000D_
service oriented architecture_x000D_
DNDAF_x000D_
Multi-sensor data fusion_x000D_
interoperability</t>
  </si>
  <si>
    <t>H. Florez; M. Sánchez; J. Villalobos</t>
  </si>
  <si>
    <t>10.1109/ColumbianCC.2014.6955334</t>
  </si>
  <si>
    <t>corporate modelling_x000D_
ArchiMate_x000D_
enterprise information_x000D_
enterprise modeling_x000D_
model driven engineering_x000D_
modeling language_x000D_
Availability_x000D_
Customer relationship management_x000D_
Data models_x000D_
Databases_x000D_
Object oriented modeling_x000D_
Pragmatics_x000D_
Servers_x000D_
Drafts of Models_x000D_
Enterprise Architecture</t>
  </si>
  <si>
    <t>R. Foorthuis; M. van Steenbergen; S. Brinkkemper; W. A. G. Bruls</t>
  </si>
  <si>
    <t>10.1007/s10796-014-9542-1</t>
  </si>
  <si>
    <t>Architectural insight_x000D_
Benefits_x000D_
Compliance_x000D_
Enterprise architecture_x000D_
Exploratory study_x000D_
Formative measurement_x000D_
Organizational performance_x000D_
Partial least squares_x000D_
Projects_x000D_
Question-driven research_x000D_
Knowledge management_x000D_
Least squares approximations_x000D_
Exploratory studies_x000D_
Formative measurements_x000D_
Partial least square (PLS)_x000D_
Algorithms</t>
  </si>
  <si>
    <t>10.1109/EDOC.2014.17</t>
  </si>
  <si>
    <t>business data processing_x000D_
microeconomics_x000D_
EA models_x000D_
business operations_x000D_
enterprise architecture analysis_x000D_
information technology_x000D_
production function concept_x000D_
Analytical models_x000D_
Availability_x000D_
Biological system modeling_x000D_
Business_x000D_
Computer architecture_x000D_
Production_x000D_
Unified modeling language_x000D_
Enterprise Architecture_x000D_
business analysis_x000D_
production functions</t>
  </si>
  <si>
    <t>U. Franke; M. Buschle</t>
  </si>
  <si>
    <t>13</t>
  </si>
  <si>
    <t>10.1109/TNSM.2015.2510080</t>
  </si>
  <si>
    <t>cloud computing_x000D_
contracts_x000D_
decision making_x000D_
decision support systems_x000D_
outsourcing_x000D_
risk management_x000D_
IT service SLA studies_x000D_
IT service management_x000D_
availability service level agreements_x000D_
decision-making_x000D_
decision-support systems_x000D_
experimental economics investigation_x000D_
experimental evidence_x000D_
information technology services_x000D_
nonmonotonic preference_x000D_
risk-averse preference_x000D_
risk-seeking preference_x000D_
underpinning contracts_x000D_
Economics_x000D_
Information technology_x000D_
Organizations_x000D_
Service Level Agreeements_x000D_
Service level agreements_x000D_
enterprise IT service availability</t>
  </si>
  <si>
    <t>U. Franke; D. Hook; J. Konig; R. Lagerstrom; P. Narman; J. Ullberg; P. Gustafsson; M. Ekstedt</t>
  </si>
  <si>
    <t>10.1109/SNPD.2009.98</t>
  </si>
  <si>
    <t>business data processing_x000D_
decision making_x000D_
enterprise architecture framework classification_x000D_
meta framework_x000D_
Artificial intelligence_x000D_
Computer architecture_x000D_
Distributed computing_x000D_
IEC standards_x000D_
ISO standards_x000D_
Intelligent networks_x000D_
Management information systems_x000D_
Software engineering_x000D_
Standardization_x000D_
Standards organizations_x000D_
Classification of frameworks_x000D_
Enterprise Architecture_x000D_
Enterprise Architecture Framework</t>
  </si>
  <si>
    <t>10.1109/EDOCW.2009.5331975</t>
  </si>
  <si>
    <t>U. Franke; J. Ullberg; T. Sommestad; R. Lagerström; P. Johnson</t>
  </si>
  <si>
    <t>Classification trees_x000D_
Cost-benefit analysis_x000D_
Enterprise architecture_x000D_
Metamodel maintenance_x000D_
Decision making process_x000D_
Decision supports_x000D_
Engineering process_x000D_
Integral part_x000D_
Management decision-making_x000D_
Meta model_x000D_
Metamodel development_x000D_
Modifiability_x000D_
Value added_x000D_
Computer science_x000D_
Cost benefit analysis_x000D_
Cost effectiveness_x000D_
Decision support systems_x000D_
Decision theory_x000D_
Information theory_x000D_
Maintenance_x000D_
Technical presentations_x000D_
Decision making</t>
  </si>
  <si>
    <t>Models are an integral part of the discipline of Enterprise Architecture (EA). To stay relevant to management decision-making needs, the models need to be based upon suitable metamodels. These metamodels, in turn, need to be properly and continuously maintained. While there exists several methods for metamodel development and maintenance, these typically focus on internal metamodel qualities and metamodel engineering processes, rather than on the actual decision-making needs and their impact on the metamodels used. The present paper employs techniques from information theory and learning classification trees to propose a method for metamodel management based upon the value added by entities and attributes to the decision-making process. This allows for the removal of those metamodel parts that give the least bang for the bucks" in terms of decision support. The method proposed is illustrated using real data from an ongoing research project on systems modifiability. ©2009 IEEE."</t>
  </si>
  <si>
    <t>F. J. Frey; R. Bijvank; M. P; #246; ttker</t>
  </si>
  <si>
    <t>1-25</t>
  </si>
  <si>
    <t>10.1145/2855321.2855350</t>
  </si>
  <si>
    <t>K. Gaaloul; S. Guerreiro</t>
  </si>
  <si>
    <t>10.1109/WETICE.2015.33</t>
  </si>
  <si>
    <t>business data processing_x000D_
management of change_x000D_
technology management_x000D_
CPS_x000D_
change management_x000D_
cyber-physical systems_x000D_
decision-oriented approach_x000D_
design decision support_x000D_
enterprise architecture evolution_x000D_
feedback control schema_x000D_
modelling technique_x000D_
system architecture_x000D_
Analytical models_x000D_
Complexity theory_x000D_
Control systems_x000D_
Organizations_x000D_
Process control_x000D_
Security_x000D_
Access control model_x000D_
Artifact_x000D_
Design decision_x000D_
Enterprise Architecture_x000D_
Evolution</t>
  </si>
  <si>
    <t>K. Gaaloul; S. Guerreiro; H. A. Proper</t>
  </si>
  <si>
    <t>10.1109/CBI.2014.26</t>
  </si>
  <si>
    <t>Government data processing_x000D_
Modeling languages_x000D_
Service oriented architecture (SOA)_x000D_
Access control models_x000D_
Business transaction_x000D_
Enterprise Architecture_x000D_
Enterprise architecture modeling_x000D_
Enterprise modeling_x000D_
Role-based Access Control_x000D_
Security constraint_x000D_
Service oriented enterprise_x000D_
Access control</t>
  </si>
  <si>
    <t>10.1109/Bridge.2016.012</t>
  </si>
  <si>
    <t>business data processing_x000D_
software architecture_x000D_
software prototyping_x000D_
IT efforts_x000D_
agile development_x000D_
business outcomes_x000D_
conceptual orientation_x000D_
design intent_x000D_
enterprise software_x000D_
metamodels_x000D_
service design thinking_x000D_
software development_x000D_
Computer architecture_x000D_
Couplings_x000D_
Organizations_x000D_
Software_x000D_
Standards organizations_x000D_
Unified modeling language</t>
  </si>
  <si>
    <t>M. Gammelgard; A. Lindstrom</t>
  </si>
  <si>
    <t>10.1109/IEMC.2003.1252240</t>
  </si>
  <si>
    <t>information technology_x000D_
investment_x000D_
software architecture_x000D_
software management_x000D_
IT investment evaluation_x000D_
enterprise software systems architecture_x000D_
Books_x000D_
Computer architecture_x000D_
Control systems_x000D_
History_x000D_
Investments_x000D_
Performance evaluation_x000D_
Service oriented architecture_x000D_
Software performance_x000D_
Software systems_x000D_
Thumb</t>
  </si>
  <si>
    <t>M. Gammelgard; A. Lindstrom; M. Simonsson</t>
  </si>
  <si>
    <t>10.1109/EDOCW.2006.13</t>
  </si>
  <si>
    <t>Business communication_x000D_
Conference management_x000D_
Context modeling_x000D_
Current measurement_x000D_
Decision making_x000D_
Hardware_x000D_
Management information systems_x000D_
Organizational aspects_x000D_
Technology management_x000D_
Testing</t>
  </si>
  <si>
    <t>A. Gandhi; Y. Ruldeviyani; Y. G. Sucahyo</t>
  </si>
  <si>
    <t>10.1109/ICRIIS.2017.8002474</t>
  </si>
  <si>
    <t>government data processing_x000D_
information systems_x000D_
public administration_x000D_
strategic planning_x000D_
COBIT 5 processes_x000D_
IS applications_x000D_
IT governance_x000D_
IT human resources_x000D_
IT infrastructure_x000D_
IT policies_x000D_
IT roles_x000D_
MEMR_x000D_
Ministry of Energy and Mineral Resources_x000D_
SISP_x000D_
bureaucratic reform_x000D_
business legalization process_x000D_
business principles_x000D_
cascading mechanism_x000D_
enterprise architecture modeling_x000D_
government institution_x000D_
information technology_x000D_
open-access public data_x000D_
performance transparency_x000D_
public service_x000D_
standardization_x000D_
strategic IS planning_x000D_
strategic information systems planning_x000D_
technical tactics_x000D_
Government_x000D_
Mineral resources_x000D_
Monitoring_x000D_
Planning_x000D_
Portfolios_x000D_
COBIT_x000D_
enterprise architecture</t>
  </si>
  <si>
    <t>W. Gao; M. R. Farahani; A. Aslam; S. Hosamani</t>
  </si>
  <si>
    <t>10.1007/s10586-017-0887-3</t>
  </si>
  <si>
    <t>Distance learning_x000D_
Ontology_x000D_
Ontology mapping_x000D_
Similarity measuring_x000D_
Distance education_x000D_
Learning algorithms_x000D_
Mapping_x000D_
Distance functions_x000D_
Distance learning technologies_x000D_
Engineering applications_x000D_
High-efficiency_x000D_
Learning frameworks_x000D_
Similarity measure</t>
  </si>
  <si>
    <t>B. Ge; K. W. Hipel; K. Yang; Y. Chen</t>
  </si>
  <si>
    <t>8</t>
  </si>
  <si>
    <t>4-13</t>
  </si>
  <si>
    <t>10.1109/JSYST.2013.2270573</t>
  </si>
  <si>
    <t>Petri nets_x000D_
XML_x000D_
formal specification_x000D_
service-oriented architecture_x000D_
CPN_x000D_
Department of Defense architecture framework_x000D_
DoDAF metamodel_x000D_
XML schema language_x000D_
XML technology_x000D_
colored Petri net_x000D_
data dictionary_x000D_
executable formalism metamodel_x000D_
extensible markup language_x000D_
extensible stylesheet language specification_x000D_
mapping rules_x000D_
model transformation specification_x000D_
system-of-systems architecture_x000D_
Adaptation models_x000D_
Analytical models_x000D_
Data models_x000D_
Mathematical model_x000D_
Object oriented modeling_x000D_
Unified modeling language_x000D_
Architectural data metamodel_x000D_
data-centric_x000D_
system-of-systems (SoS) architecture</t>
  </si>
  <si>
    <t>10.1109/ICITST.2013.6750165</t>
  </si>
  <si>
    <t>Big Data_x000D_
information systems_x000D_
iterative methods_x000D_
Hevner framework_x000D_
big data technology_x000D_
information systems artifacts_x000D_
iteration method_x000D_
predictive analytics techniques_x000D_
reference architecture_x000D_
Abstracts_x000D_
Data visualization_x000D_
Databases_x000D_
Engines_x000D_
Filtering theory_x000D_
Interoperability_x000D_
Monitoring</t>
  </si>
  <si>
    <t>H. K. Gidey; D. Marmsoler; J. Eckhardt</t>
  </si>
  <si>
    <t>10.1109/ICSAW.2017.41</t>
  </si>
  <si>
    <t>design_x000D_
formal specification_x000D_
formal verification_x000D_
software architecture_x000D_
systems analysis_x000D_
ADD_x000D_
ASR_x000D_
GT_x000D_
architectural design decisions_x000D_
architecturally significant requirements_x000D_
grounded architectures_x000D_
grounded theory_x000D_
software architectures design_x000D_
Computer architecture_x000D_
Context_x000D_
Encoding_x000D_
Interviews_x000D_
Market research_x000D_
Tools_x000D_
appification_x000D_
architectural design experience_x000D_
design decisions_x000D_
grounded architecture_x000D_
reference architecture</t>
  </si>
  <si>
    <t>Context: Designing new architectures is a challenging task. A common and also effective approach for this task is to apply architectural design experience. Problem: If, however, architectural design experience is not available, two major problems arise: (i) how can we identify architecturally significant requirements (ASRs) and (ii) how can we identify architectural design decisions (ADDs) which address those ASRs?Approach: To address these problems, we propose an approach to systematically elicit ASRs and identify ADDs based on grounded theory (GT). By using GT, our approach provides transparency and fosters objectivity: ASRs as well as ADDs are elicited by qualitative data analysis and each ADD is motivated by corresponding ASRs. While objectivity addresses the correctness of the identified ASRs and ADDs, transparency allows for assessing ADDs with respect to the corresponding ASRs. Evaluation: We evaluate our approach by a case study in which we apply it to develop an architecture in the context of the technology trend appification"."</t>
  </si>
  <si>
    <t>A. Q. Gill; S. L. Alam; J. Eustace</t>
  </si>
  <si>
    <t>Emergency_x000D_
Enterprise architecture_x000D_
Information management_x000D_
Online social network_x000D_
Social architecture_x000D_
Architecture_x000D_
Civil defense_x000D_
Disasters_x000D_
Information systems_x000D_
Risk management_x000D_
Emergency management_x000D_
On-line social networks_x000D_
Online social networks (OSN)_x000D_
Partner institutions_x000D_
Traditional systems_x000D_
Social networking (online)</t>
  </si>
  <si>
    <t>A. Q. Gill; E. K. Chew; D. Kricker; G. Bird</t>
  </si>
  <si>
    <t>01</t>
  </si>
  <si>
    <t>10.1109/CBI.2016.21</t>
  </si>
  <si>
    <t>business data processing_x000D_
investment_x000D_
organisational aspects_x000D_
ADR_x000D_
FSO_x000D_
adaptive action design research_x000D_
adaptive action-design research method_x000D_
adaptive enterprise resilience management_x000D_
customer-centric portfolio_x000D_
financial services case study_x000D_
financial services organization_x000D_
interdependent large portfolio_x000D_
resilient services_x000D_
Adaptation models_x000D_
Conferences_x000D_
Context_x000D_
Industries_x000D_
Organizations_x000D_
Resilience_x000D_
adaptability_x000D_
architecture_x000D_
model-driven_x000D_
operations_x000D_
service</t>
  </si>
  <si>
    <t>Resilience is the ability of an enterprise to absorb, recover and adapt from a disruption. Being resilient is a complex undertaking for enterprises operating in a highly dynamic environment and striving for continuous efficiency and innovation. The challenge for enterprises is to offer and run a customer-centric and interdependent large portfolio of resilient services. The fundamental research question is: how to enable service resilience in the practical enterprise resilience context? This paper addresses this important research question, and reports findings from on-going (2014-2016) research on adaptive enterprise resilience management in an Australian financial services organization (FSO). This research is being conducted using the adaptive action-design research (ADR) method to iteratively research, develop and deliver the desired resilience framework in short increments. This paper presents the overall evolved adaptive enterprise resilience management framework and its service resilience" element details as one of the key outcomes from the second adaptive ADR increment."</t>
  </si>
  <si>
    <t>S. Gilliland; P. Kotzé; A. v. d. Merwe</t>
  </si>
  <si>
    <t>10.1109/ES.2015.12</t>
  </si>
  <si>
    <t>human factors_x000D_
information management_x000D_
enterprise architecture_x000D_
organisational strategy_x000D_
socio-technical issue_x000D_
work level related human factor_x000D_
Bibliographies_x000D_
Complexity theory_x000D_
Context_x000D_
Information technology_x000D_
acceptance_x000D_
adoption_x000D_
strategy_x000D_
work levels</t>
  </si>
  <si>
    <t>S. Glissman; I. Terrizzano; A. Lelescu; J. Sanz</t>
  </si>
  <si>
    <t>10.1109/SRII.2011.99</t>
  </si>
  <si>
    <t>business data processing_x000D_
data mining_x000D_
decision making_x000D_
banking industry_x000D_
business architecture_x000D_
business assessment services enhancement_x000D_
decision making efficiencies_x000D_
disjoint trends_x000D_
dynamic web information_x000D_
operational advantages_x000D_
social media data_x000D_
social media sentiment anomalies_x000D_
social media sentiment patterns_x000D_
synergetic opportunities_x000D_
systematic Web data mining_x000D_
systematic relationship_x000D_
unstructured web information_x000D_
Barium_x000D_
Companies_x000D_
Context_x000D_
Measurement_x000D_
Media_x000D_
Monitoring_x000D_
Business Metrics_x000D_
Social Media Metrics_x000D_
Text Analytics_x000D_
component</t>
  </si>
  <si>
    <t>S. Glissmann; Y. T. Leung; G. J. Ren; J. L. Sanz</t>
  </si>
  <si>
    <t>10.1109/SOLI.2010.5551563</t>
  </si>
  <si>
    <t>knowledge management_x000D_
portals_x000D_
user interfaces_x000D_
Web portal_x000D_
Web-based technologies_x000D_
active user participation_x000D_
business-to-business environment_x000D_
client engagement_x000D_
content level_x000D_
deliverable work_x000D_
intellectual capital_x000D_
knowledge-intensive services_x000D_
knowledge-sharing mechanisms_x000D_
tool level_x000D_
work-knowledge cohesion_x000D_
Barium_x000D_
Communities_x000D_
Educational institutions_x000D_
Variable speed drives</t>
  </si>
  <si>
    <t>S. Glissmann; J. Sanz; R. Liu; V. Becker</t>
  </si>
  <si>
    <t>10.1109/HICSS.2012.686</t>
  </si>
  <si>
    <t>business data processing_x000D_
data handling_x000D_
insurance_x000D_
organisational aspects_x000D_
IT centric data management activities_x000D_
analytics value_x000D_
business executives_x000D_
business managers_x000D_
business priorities_x000D_
componentized business architecture_x000D_
enterprises operation_x000D_
information metamodel_x000D_
information value_x000D_
insurance industry_x000D_
organization asset base_x000D_
Biological system modeling_x000D_
Companies_x000D_
Decision making_x000D_
Industries_x000D_
Information architecture</t>
  </si>
  <si>
    <t>P. Gomes; G. Cadete; M. M. d. Silva</t>
  </si>
  <si>
    <t>10.1109/CBI.2017.30</t>
  </si>
  <si>
    <t>business continuity_x000D_
business data processing_x000D_
organisational aspects_x000D_
ArchiMate modelling language_x000D_
BCP_x000D_
EA_x000D_
business continuity planning assistance_x000D_
enterprise architecture_x000D_
environment consistency measure_x000D_
ex-post scenario_x000D_
goal efficacy measure_x000D_
holistic approach_x000D_
large-public organizations_x000D_
organizational aspect_x000D_
structural quality measure_x000D_
technological aspect_x000D_
Organizations_x000D_
Planning_x000D_
Stakeholders_x000D_
Standards organizations_x000D_
ArchiMate_x000D_
Business Continuity Planning_x000D_
COBIT</t>
  </si>
  <si>
    <t>Gon; #231; a. Antunes; M. Bakhshandeh; R. Mayer; Jos; #233; Borbinha; A. Caetano</t>
  </si>
  <si>
    <t>10.1145/2554850.2555176</t>
  </si>
  <si>
    <t>A. Gonçalves; M. Zacarias; P. Sousa</t>
  </si>
  <si>
    <t>1-7</t>
  </si>
  <si>
    <t>business data processing_x000D_
groupware_x000D_
ontologies (artificial intelligence)_x000D_
activity diagram_x000D_
activity theory_x000D_
business process_x000D_
ontological transaction_x000D_
IEEE Xplore_x000D_
Portable document format_x000D_
Ontological Model</t>
  </si>
  <si>
    <t>O. González-Rojas; A. López; D. Correal</t>
  </si>
  <si>
    <t>30</t>
  </si>
  <si>
    <t>12</t>
  </si>
  <si>
    <t>10.1080/0951192X.2017.1307453</t>
  </si>
  <si>
    <t>business-ICT capabilities_x000D_
complexity measurement_x000D_
enterprise architecture_x000D_
enterprise modelling and integration_x000D_
project plan_x000D_
risk management_x000D_
Budget control_x000D_
Information services_x000D_
Risk assessment_x000D_
Enterprise modelling_x000D_
Ict capabilities_x000D_
Project plans_x000D_
Service oriented architecture (SOA)</t>
  </si>
  <si>
    <t>E. Grandry; C. Feltus; E. Dubois</t>
  </si>
  <si>
    <t>10.1109/EDOCW.2013.19</t>
  </si>
  <si>
    <t>business data processing_x000D_
management information systems_x000D_
risk management_x000D_
security of data_x000D_
simulation languages_x000D_
ArchiMate enterprise architecture modeling language_x000D_
EAM_x000D_
enterprise architecture management_x000D_
enterprise transformations_x000D_
information system security_x000D_
security risk management_x000D_
Computer architecture_x000D_
Information systems_x000D_
Organizations_x000D_
Security_x000D_
ArchiMate_x000D_
Enterprise Model Integration_x000D_
Information Security Risk Management</t>
  </si>
  <si>
    <t>J. Granjo; M. Bakhshandeh; J. Pombinho; M. M. Da Silva; A. Caetano</t>
  </si>
  <si>
    <t>ArchiMate_x000D_
Business Model Canvas_x000D_
E3value_x000D_
Meta-model_x000D_
Ontology Integration_x000D_
OWL_x000D_
SPARQL_x000D_
Birds_x000D_
Software design_x000D_
Systems engineering_x000D_
Business modeling_x000D_
Meta model_x000D_
Mapping</t>
  </si>
  <si>
    <t>S. Graupner; H. R. Motahari-Nezhad; S. Singhal; S. Basu</t>
  </si>
  <si>
    <t>10.1109/EDOCW.2009.5332021</t>
  </si>
  <si>
    <t>business data processing_x000D_
knowledge based systems_x000D_
best-practice framework_x000D_
business process_x000D_
process-aware knowledge repository_x000D_
Best practices_x000D_
Bridges_x000D_
Decision making_x000D_
Laboratories_x000D_
Milling machines_x000D_
Organizing_x000D_
Quality assurance_x000D_
Quality management_x000D_
Risk management_x000D_
Software development management_x000D_
Best practice frameworks_x000D_
Business processes</t>
  </si>
  <si>
    <t>D. Greefhorst; H. A. Proper</t>
  </si>
  <si>
    <t>10.1109/EDOCW.2011.18</t>
  </si>
  <si>
    <t>business data processing_x000D_
TOGAF_x000D_
architecture principles_x000D_
driver translation_x000D_
enterprise architecture_x000D_
Computer architecture_x000D_
Conferences_x000D_
Context_x000D_
Documentation_x000D_
Information systems_x000D_
Organizations</t>
  </si>
  <si>
    <t>S. Gregor; D. Hart; N. Martin</t>
  </si>
  <si>
    <t>10.1108/09593840710758031</t>
  </si>
  <si>
    <t>Architecture_x000D_
Business enterprise_x000D_
Communication technologies_x000D_
Information systems_x000D_
Strategic alignment</t>
  </si>
  <si>
    <t>J. Groenewegen; S. Hoppenbrouwers; E. Proper</t>
  </si>
  <si>
    <t>10.1007/978-3-642-13051-9_16</t>
  </si>
  <si>
    <t>Architecture models_x000D_
Enterprise architecture_x000D_
Games_x000D_
Validation_x000D_
Systems analysis_x000D_
Development process_x000D_
Information transformations_x000D_
Model understanding_x000D_
Systematic exploration_x000D_
Systems engineering</t>
  </si>
  <si>
    <t>10.1007/978-3-642-32741-4_10</t>
  </si>
  <si>
    <t>automated Enterprise Architecture documentation_x000D_
data quality_x000D_
Enterprise Service Bus (ESB)_x000D_
SAP PI_x000D_
Automation_x000D_
Information systems_x000D_
Enterprise Architecture_x000D_
Enterprise architecture managements_x000D_
Enterprise service bus_x000D_
Error prones_x000D_
Extracting information_x000D_
Process integration_x000D_
Productive systems_x000D_
Strategic advantages_x000D_
Industry</t>
  </si>
  <si>
    <t>S. Gudas; A. Lopata</t>
  </si>
  <si>
    <t>27</t>
  </si>
  <si>
    <t>1-29</t>
  </si>
  <si>
    <t>10.15388/Informatica.2016.74</t>
  </si>
  <si>
    <t>business modelling (BM)_x000D_
business process modelling (BPM)_x000D_
enterprise modelling (EM)_x000D_
internal modelling paradigm_x000D_
IS application domain_x000D_
management function_x000D_
management transaction_x000D_
self-managed system</t>
  </si>
  <si>
    <t>10.1109/CBI.2013.11</t>
  </si>
  <si>
    <t>Markov processes_x000D_
business data processing_x000D_
decision making_x000D_
decision theory_x000D_
design engineering_x000D_
innovation management_x000D_
organisational aspects_x000D_
DEMO business transaction space_x000D_
Markov decision processes_x000D_
business rules elicitation_x000D_
business transaction model dynamics_x000D_
business transaction models_x000D_
business transaction optimization_x000D_
decision-making processes_x000D_
design freedom restrictions_x000D_
enterprise operation_x000D_
innovative solutions_x000D_
organizations_x000D_
value function_x000D_
Aerospace electronics_x000D_
Process control_x000D_
Production_x000D_
Trajectory_x000D_
Business transaction (BT)_x000D_
Markov decision process (MDP)_x000D_
Operation_x000D_
Organization_x000D_
Steer</t>
  </si>
  <si>
    <t>G. Guizzardi; N. Guarino; J. P. A. Almeida</t>
  </si>
  <si>
    <t>10.1007/978-3-319-45348-4_2</t>
  </si>
  <si>
    <t>Conceptual modeling_x000D_
Endurants_x000D_
Events_x000D_
Ontology_x000D_
Reification_x000D_
Administrative data processing_x000D_
Data mining_x000D_
Enterprise resource management_x000D_
Systems engineering_x000D_
Business models_x000D_
Business process model_x000D_
Conceptual model_x000D_
Representation of events</t>
  </si>
  <si>
    <t>G. Guizzardi; G. Wagner; J. P. A. Almeida; R. S. S. Guizzardi</t>
  </si>
  <si>
    <t>3-4</t>
  </si>
  <si>
    <t>10.3233/AO-150157</t>
  </si>
  <si>
    <t>conceptual modeling_x000D_
Ontology_x000D_
ontology-driven conceptual modeling_x000D_
OntoUML_x000D_
UFO_x000D_
Computation theory_x000D_
Computational linguistics_x000D_
Computational methods_x000D_
Computer simulation languages_x000D_
Data mining_x000D_
Design for testability_x000D_
Pattern recognition_x000D_
Conceptual model_x000D_
Conceptual modeling languages_x000D_
Foundational ontologies_x000D_
Ontological foundation_x000D_
Unified foundational ontologies (UFO)_x000D_
Modeling languages</t>
  </si>
  <si>
    <t>R. Guizzardi; X. Franch; G. Guizzardi</t>
  </si>
  <si>
    <t>1-11</t>
  </si>
  <si>
    <t>10.1109/RCIS.2012.6240425</t>
  </si>
  <si>
    <t>ontologies (artificial intelligence)_x000D_
programming language semantics_x000D_
simulation languages_x000D_
UFO ontology_x000D_
business settings_x000D_
conceptual modeling languages_x000D_
core i* construct semantics_x000D_
foundational ontologies_x000D_
i* community_x000D_
i* framework_x000D_
i* language_x000D_
means-end links_x000D_
trouble learning_x000D_
Analytical models_x000D_
Communities_x000D_
Information services_x000D_
Ontologies_x000D_
Proposals_x000D_
Semantics_x000D_
Unified modeling language_x000D_
UFO_x000D_
foundational ontology_x000D_
i&lt;sup&gt;&amp;#x2217_x000D_
&lt;/sup&gt;_x000D_
iStar_x000D_
means-end</t>
  </si>
  <si>
    <t>A. I. Gunawan; K. Surendro</t>
  </si>
  <si>
    <t>10.1109/ICAICTA.2014.7005915</t>
  </si>
  <si>
    <t>cloud computing_x000D_
enterprise resource planning_x000D_
software architecture_x000D_
cloud-based ERP system development_x000D_
enterprise architecture_x000D_
information technology_x000D_
Companies_x000D_
Computational modeling_x000D_
Computer architecture_x000D_
Information systems_x000D_
Architecture_x000D_
Cloud_x000D_
ERP_x000D_
Enterprise</t>
  </si>
  <si>
    <t>Y. Guo; A. Motro</t>
  </si>
  <si>
    <t>groupware_x000D_
manufacturing data processing_x000D_
collaboration failures_x000D_
collaborative manufacturing networks_x000D_
information repository_x000D_
risk estimation_x000D_
service repository_x000D_
supply capacity management_x000D_
workflow repository_x000D_
Collaboration_x000D_
Computer architecture_x000D_
Manufacturing_x000D_
Optimization_x000D_
Production_x000D_
Virtual enterprises</t>
  </si>
  <si>
    <t>P. Gustafsson; D. Hook; E. Ericsson; J. Lillieskold</t>
  </si>
  <si>
    <t>10.1109/PICMET.2009.5262275</t>
  </si>
  <si>
    <t>belief networks_x000D_
corporate modelling_x000D_
information technology_x000D_
investment_x000D_
maintenance engineering_x000D_
organisational aspects_x000D_
Bayesian inference engine_x000D_
Bayesian network_x000D_
European electric power utility_x000D_
IT impact_x000D_
IT investments_x000D_
enterprise architecture_x000D_
maintenance management_x000D_
organization business value_x000D_
organizational structure_x000D_
Bayesian methods_x000D_
Companies_x000D_
Control systems_x000D_
Electrical equipment industry_x000D_
Industrial control_x000D_
Information analysis_x000D_
Investments_x000D_
Power system modeling_x000D_
Usability_x000D_
Visualization</t>
  </si>
  <si>
    <t>10.4018/978-1-4666-4161-7.ch007</t>
  </si>
  <si>
    <t>Data mining_x000D_
Integration_x000D_
Semantics_x000D_
Specifications_x000D_
Systems analysis_x000D_
Cross-cutting concerns_x000D_
Evolutionary changes_x000D_
Information systems development methodologies_x000D_
Neutral representations_x000D_
Semantic inconsistencies_x000D_
Semantic integration_x000D_
Semantic integrity_x000D_
Systems specification_x000D_
Information systems</t>
  </si>
  <si>
    <t>C. Gutierrez; E. Fernandez-Medina; M. Piattini</t>
  </si>
  <si>
    <t>10.1109/ICWS.2006.107</t>
  </si>
  <si>
    <t>Web services_x000D_
security of data_x000D_
Web services security_x000D_
security requirement specification_x000D_
security standards_x000D_
Concrete_x000D_
Security_x000D_
Service oriented architecture_x000D_
Web and internet services</t>
  </si>
  <si>
    <t>S. Hacks; M. Brosius; S. Aier</t>
  </si>
  <si>
    <t>10.1109/EDOCW.2017.17</t>
  </si>
  <si>
    <t>business data processing_x000D_
information systems_x000D_
EA deliverables_x000D_
EAM research_x000D_
business processes_x000D_
enterprise architecture management_x000D_
exemplary EAM approach_x000D_
heterogeneous concerns_x000D_
hierarchical levels_x000D_
homogenous concerns_x000D_
stakeholder concerns_x000D_
stakeholder perspective_x000D_
technical infrastructure_x000D_
Computer architecture_x000D_
Conferences_x000D_
Interviews_x000D_
Organizations_x000D_
Stakeholders_x000D_
Standards organizations_x000D_
case study_x000D_
enterprise architecture management (EAM)_x000D_
hierarchical level</t>
  </si>
  <si>
    <t>M. Hagge; M. v. Hoffen; J. H. Betzing; J. Becker</t>
  </si>
  <si>
    <t>10.1109/CBI.2017.68</t>
  </si>
  <si>
    <t>Internet_x000D_
feature extraction_x000D_
grammars_x000D_
program compilers_x000D_
sentiment analysis_x000D_
social networking (online)_x000D_
software tools_x000D_
Airbnb_x000D_
Twitter_x000D_
aspect-based sentiment analysis_x000D_
dependency parsing_x000D_
microblogging service_x000D_
natural language processing_x000D_
part-of-speech tagging_x000D_
social media channel_x000D_
software toolkit design_x000D_
tweets extraction_x000D_
Business_x000D_
Semantics_x000D_
Tagging_x000D_
Data Analytics_x000D_
Microblogging_x000D_
Sentiment Analysis Toolkit_x000D_
Sharing Economy</t>
  </si>
  <si>
    <t>M. K. Haki; M. W. Forte</t>
  </si>
  <si>
    <t>commerce_x000D_
information systems_x000D_
software architecture_x000D_
SOA_x000D_
agile organizations_x000D_
business-IT Alignment_x000D_
enterprise architecture_x000D_
service oriented architecture governance model_x000D_
strategic information systems_x000D_
Application software_x000D_
Buildings_x000D_
Costs_x000D_
Investments_x000D_
Organizational aspects_x000D_
Proposals_x000D_
Semiconductor optical amplifiers_x000D_
Service oriented architecture_x000D_
Web services</t>
  </si>
  <si>
    <t>10.1109/SERVICES.2010.39</t>
  </si>
  <si>
    <t>business data processing_x000D_
software architecture_x000D_
organization business layer_x000D_
service oriented enterprise architecture framework_x000D_
software engineering_x000D_
Computer architecture_x000D_
Organizations_x000D_
Service oriented architecture_x000D_
Standards organizations_x000D_
Unified modeling language_x000D_
Enterprise Architecture (EA)_x000D_
Project Management_x000D_
Service Oriented Architecture (SOA)_x000D_
Service Oriented Enterprise Architecture (SOEA)</t>
  </si>
  <si>
    <t>M. E. Haloui; A. Kriouile</t>
  </si>
  <si>
    <t>10.1109/CloudTech.2016.7847698</t>
  </si>
  <si>
    <t>cloud computing_x000D_
decision making_x000D_
decision support systems_x000D_
IT solutions_x000D_
cloud computing activities_x000D_
cloud computing adoption_x000D_
cloud computing architectural requirements_x000D_
decision-support model_x000D_
enterprise architecture point_x000D_
functional block information system_x000D_
maturity assessment model_x000D_
Buildings_x000D_
Computational modeling_x000D_
Interoperability_x000D_
Law_x000D_
Scalability_x000D_
Security_x000D_
Enterprise Architecture_x000D_
Information System_x000D_
Maturity model_x000D_
Outsourcing</t>
  </si>
  <si>
    <t>T. Halpin; T. Morgan</t>
  </si>
  <si>
    <t>https://doi.org/10.1016/B978-012373568-3.50006-0</t>
  </si>
  <si>
    <t>J. E. Hannay; K. Brathen; O. M. Mevassvik</t>
  </si>
  <si>
    <t>10.1007/s00766-016-0244-8</t>
  </si>
  <si>
    <t>Agile management and development_x000D_
Architecture_x000D_
Capability Taxonomy_x000D_
Requirements handling_x000D_
Service orientation_x000D_
Agile manufacturing systems_x000D_
Distributed computer systems_x000D_
Information services_x000D_
Taxonomies_x000D_
Agile requirements_x000D_
Capability taxonomies_x000D_
Enterprise strategies_x000D_
Portfolio development_x000D_
Strategic decisions_x000D_
Service oriented architecture (SOA)</t>
  </si>
  <si>
    <t>10.1109/CIT.2008.Workshops.98</t>
  </si>
  <si>
    <t>business data processing_x000D_
government data processing_x000D_
land use planning_x000D_
NSW land department_x000D_
NSW state government_x000D_
comprehensive business transformation method_x000D_
enterprise architecture_x000D_
environment scan_x000D_
non technical contextual enterprise architecture overview_x000D_
organisation operation_x000D_
organisation process_x000D_
Architecture_x000D_
EA_x000D_
Enterprise_x000D_
Framework_x000D_
hybrid_x000D_
solving business issues</t>
  </si>
  <si>
    <t>M. H. Hasan; J. Jaafar; M. F. Hassan</t>
  </si>
  <si>
    <t>10.1109/ICCISci.2012.6297300</t>
  </si>
  <si>
    <t>Web services_x000D_
peer-to-peer computing_x000D_
quality of service_x000D_
service-oriented architecture_x000D_
system monitoring_x000D_
SOA_x000D_
Web services nonfunctional requirements specification_x000D_
Web services uncomplicated requirements specification_x000D_
contract agreement_x000D_
distributed computing paradigm_x000D_
peer-to-peer communication_x000D_
service oriented architecture_x000D_
vague nonfunctional requirement_x000D_
vague quality of service compliance monitoring_x000D_
violation monitoring_x000D_
Computer architecture_x000D_
Conferences_x000D_
Contracts_x000D_
Monitoring</t>
  </si>
  <si>
    <t>history_x000D_
information retrieval systems_x000D_
Indonesian e-cultural heritage_x000D_
digital preservation_x000D_
eCHNH_x000D_
eCultural Heritage and Natural History framework_x000D_
information-and-communication technologies_x000D_
natural history information retrieval system_x000D_
Cultural differences_x000D_
Electronic learning_x000D_
Games_x000D_
Information retrieval_x000D_
Multimedia communication_x000D_
Portals</t>
  </si>
  <si>
    <t>H. Hiisilä; M. Kauppinen; S. Kujala</t>
  </si>
  <si>
    <t>10.1109/CBI.2016.19</t>
  </si>
  <si>
    <t>business data processing_x000D_
innovation management_x000D_
organisational aspects_x000D_
project management_x000D_
business development_x000D_
business-case analysis_x000D_
customer organization_x000D_
development-goal setting_x000D_
enterprise architecture modeling_x000D_
implementation phase_x000D_
innovation mangement_x000D_
iterative process_x000D_
outsourced IT development environment_x000D_
prestudy phase_x000D_
procurement phase_x000D_
solution planning_x000D_
Companies_x000D_
Conferences_x000D_
Interviews_x000D_
Software_x000D_
Standards organizations_x000D_
business analysis_x000D_
business focus_x000D_
outsourced environment_x000D_
requirements definition</t>
  </si>
  <si>
    <t>R. Hilliard; I. Malavolta; H. Muccini; P. Pelliccione</t>
  </si>
  <si>
    <t>10.1109/WICSA-ECSA.212.21</t>
  </si>
  <si>
    <t>software architecture_x000D_
software maintenance_x000D_
software reusability_x000D_
specification languages_x000D_
ADL_x000D_
AF_x000D_
ISO/IEC/IEEE 42010_x000D_
architecture description language_x000D_
architecture framework_x000D_
development life cycle_x000D_
domain-specific needs_x000D_
maintenance activity_x000D_
operation activity_x000D_
organization-specific needs_x000D_
project-specific needs_x000D_
representational resources composition_x000D_
representational resources customization_x000D_
representational resources reuse_x000D_
Architecture_x000D_
Computer architecture_x000D_
IEC standards_x000D_
ISO_x000D_
Software_x000D_
Unified modeling language_x000D_
megamodelling_x000D_
model-driven engineering_x000D_
software architectures_x000D_
viewpoints</t>
  </si>
  <si>
    <t>K. Hinkelmann; E. Laurenzi; B. Lammel; S. Kurjakovic; R. Woitsch</t>
  </si>
  <si>
    <t>10.1109/ES.2016.25</t>
  </si>
  <si>
    <t>business process as a service_x000D_
cloud computing_x000D_
enterprise modelling_x000D_
semantic lifting_x000D_
Graphic methods_x000D_
Ontology_x000D_
Semantics_x000D_
Business Process_x000D_
Enterprise ontology_x000D_
GraphicaL model_x000D_
Graphical modelling_x000D_
Hybrid model_x000D_
Modelling environment_x000D_
Enterprise resource planning</t>
  </si>
  <si>
    <t>K. Hinkelmann; M. Maise; B. Thönssen</t>
  </si>
  <si>
    <t>10.1109/ES.2013.6690088</t>
  </si>
  <si>
    <t>enterprise resource planning_x000D_
inference mechanisms_x000D_
information systems_x000D_
meta data_x000D_
ontologies (artificial intelligence)_x000D_
ArchiMEO_x000D_
ArchiMate framework_x000D_
Swiss company_x000D_
context-sensitive information access_x000D_
enterprise architecture description_x000D_
enterprise ontology_x000D_
formal representation_x000D_
inference capabilities_x000D_
information objects_x000D_
metadata encoding scheme_x000D_
operational databases_x000D_
semantic metadata_x000D_
Companies_x000D_
Customer relationship management_x000D_
Interviews_x000D_
Ontologies_x000D_
Unified modeling language_x000D_
ArchiMate_x000D_
Enterprise Architecture_x000D_
Information Object_x000D_
Information System_x000D_
Metadata</t>
  </si>
  <si>
    <t>10.1109/IGBSG.2014.6835169</t>
  </si>
  <si>
    <t>air pollution_x000D_
building management systems_x000D_
educational institutions_x000D_
energy conservation_x000D_
service-oriented architecture_x000D_
BCU_x000D_
Birmingham City University_x000D_
ESB_x000D_
SOA_x000D_
business-process improvement_x000D_
carbon emissions_x000D_
city centre campus development scheme_x000D_
cost-savings_x000D_
enterprise service bus_x000D_
initial planning stages_x000D_
intelligent-buildings_x000D_
multiprotocol business_x000D_
occupant experience enhancement_x000D_
service enhancements_x000D_
service orientated architecture_x000D_
smart campus development_x000D_
university wide suite_x000D_
working model_x000D_
Architecture_x000D_
Artificial intelligence_x000D_
Buildings_x000D_
Business_x000D_
Cities and towns_x000D_
Enterprise-Service-Bus_x000D_
Service-Orientated-Architectures_x000D_
sustainability_x000D_
systems-integration</t>
  </si>
  <si>
    <t>10.1007/978-3-642-41641-5_8</t>
  </si>
  <si>
    <t>Application landscape_x000D_
Co-evolution_x000D_
Enterprise architecture_x000D_
Migration_x000D_
Transformation_x000D_
Business Process_x000D_
Model approach_x000D_
nocv1_x000D_
Data processing</t>
  </si>
  <si>
    <t>Web services_x000D_
architecture_x000D_
commerce_x000D_
government data processing_x000D_
natural language processing_x000D_
open systems_x000D_
standards_x000D_
EU projects_x000D_
Internet_x000D_
Netherlands_x000D_
Web service discovery_x000D_
business transactions_x000D_
egovernment interoperability_x000D_
government architecture_x000D_
information disclosure_x000D_
natural language systems_x000D_
open standards_x000D_
Computer architecture_x000D_
Government_x000D_
Interoperability_x000D_
Standards organizations_x000D_
business services_x000D_
ontology</t>
  </si>
  <si>
    <t>J. Holt; S. Perry</t>
  </si>
  <si>
    <t>10.1049/PBPC008E</t>
  </si>
  <si>
    <t>Corporate modelling_x000D_
Defence-based architectural framework_x000D_
Enterprise architecture modelling_x000D_
Requirements modelling_x000D_
UML diagram_x000D_
Unified Modeling Language_x000D_
Zachman framework_x000D_
Architectural frameworks_x000D_
Enterprise Architecture_x000D_
UML diagrams_x000D_
Modeling languages</t>
  </si>
  <si>
    <t>D. Hook; P. Gustafsson; L. Nordstrom; P. Johnson</t>
  </si>
  <si>
    <t>10.1109/PICMET.2009.5262273</t>
  </si>
  <si>
    <t>corporate modelling_x000D_
maintenance engineering_x000D_
software tools_x000D_
Balanced Scorecard_x000D_
Extended Influence Diagrams_x000D_
IT support system_x000D_
electric power utilities_x000D_
enterprise IT-system portfolio_x000D_
enterprise architecture_x000D_
geographically distributed processes_x000D_
holistic management_x000D_
maintenance management_x000D_
method enabling quantified analysis_x000D_
Cause effect analysis_x000D_
Costs_x000D_
Energy management_x000D_
Investments_x000D_
Performance analysis_x000D_
Portfolios_x000D_
Power distribution_x000D_
Power system management_x000D_
Power system modeling_x000D_
Resource management</t>
  </si>
  <si>
    <t>J. F. Hoorn; R. Farenhorst; P. Lago; H. van Vliet</t>
  </si>
  <si>
    <t>84</t>
  </si>
  <si>
    <t>https://doi.org/10.1016/j.jss.2010.11.909</t>
  </si>
  <si>
    <t>Software architecture_x000D_
Knowledge sharing_x000D_
Architecture needs_x000D_
Support tools_x000D_
Empirical research</t>
  </si>
  <si>
    <t>J. Horkoff; L. Tong; L. Feng-Lin; M. Salnitri; E. Cardoso; P. Giorgini; J. Mylopoulos; J. Pimentel</t>
  </si>
  <si>
    <t>10.1109/RCIS.2014.6861036</t>
  </si>
  <si>
    <t>information systems_x000D_
integrated software_x000D_
object-oriented languages_x000D_
systems analysis_x000D_
downstream system development_x000D_
goal model integration_x000D_
goal oriented language integration_x000D_
goal oriented language mapping_x000D_
goal oriented language transform_x000D_
goal-oriented languages_x000D_
information system development_x000D_
requirements analysis process_x000D_
software artifacts_x000D_
system intention awareness_x000D_
system life cycle_x000D_
systematic roadmap_x000D_
Market research_x000D_
Software_x000D_
Syntactics_x000D_
Systematics_x000D_
Taxonomy_x000D_
Transforms_x000D_
Unified modeling language_x000D_
evidence-based requirements engineering_x000D_
goal model_x000D_
model transformation_x000D_
requirements engineering_x000D_
systematic literature map_x000D_
systematic literature survey</t>
  </si>
  <si>
    <t>G. Horvath; J. Bolinger; J. Ramanathan; R. Ramnath</t>
  </si>
  <si>
    <t>10.1109/CTS.2009.5067507</t>
  </si>
  <si>
    <t>XML_x000D_
data mining_x000D_
groupware_x000D_
Microsoft Office_x000D_
MySight_x000D_
Open XML standard_x000D_
Windows Shell_x000D_
ad-hoc user-interaction_x000D_
computer supported cooperative work tools_x000D_
document-centric collaborative spaces_x000D_
knowledge-intensive processes_x000D_
life-cycle visibility_x000D_
process knowledge mining_x000D_
Automatic logic units_x000D_
Business process re-engineering_x000D_
Collaboration_x000D_
Collaborative work_x000D_
Computer architecture_x000D_
Decision making_x000D_
Knowledge management_x000D_
Process design_x000D_
Routing_x000D_
Space technology_x000D_
CSCW_x000D_
Process Management_x000D_
Workflow</t>
  </si>
  <si>
    <t>G. Hu; B. Wu; B. Cheng; J. Chen</t>
  </si>
  <si>
    <t>10.1109/ICWS.2014.105</t>
  </si>
  <si>
    <t>alarm systems_x000D_
data mining_x000D_
information services_x000D_
production management_x000D_
service-oriented architecture_x000D_
component-based information service_x000D_
heating charging service_x000D_
heating industry_x000D_
heating management system_x000D_
information sharing_x000D_
multilevel alarm service_x000D_
Boilers_x000D_
Business_x000D_
Maintenance engineering_x000D_
Monitoring_x000D_
Temperature measurement_x000D_
SOA_x000D_
business process_x000D_
heating_x000D_
information integration_x000D_
service platform</t>
  </si>
  <si>
    <t>J. Hu; L. Huang; X. Chang; B. Cao</t>
  </si>
  <si>
    <t>10.1109/SysCon.2014.6819248</t>
  </si>
  <si>
    <t>SysML_x000D_
discrete event simulation_x000D_
formal specification_x000D_
service-oriented architecture_x000D_
software maintenance_x000D_
systems analysis_x000D_
DEVS simulation_x000D_
IT implementation_x000D_
IT systems_x000D_
MDSE methodology_x000D_
SoS complexity_x000D_
SoS requirement complexity_x000D_
SoSE_x000D_
acquired systems_x000D_
complex system analysis method_x000D_
discrete event system specification simulation architecture design_x000D_
dynamic requirements_x000D_
flexible integration approach_x000D_
high-level complex business requirement_x000D_
large-scale heterogeneous system integration_x000D_
legacy systems_x000D_
loosely-coupled system_x000D_
model driven service engineering approach_x000D_
model transformation_x000D_
multilevel models_x000D_
service implementation artifact generation_x000D_
service oriented SoS architecting_x000D_
service oriented SoS modeling_x000D_
service oriented SoS simulation_x000D_
service oriented architecture modeling language SoaML_x000D_
service oriented methodology_x000D_
system design_x000D_
system development_x000D_
system of systems complexity_x000D_
system of systems engineering_x000D_
Airports_x000D_
Analytical models_x000D_
Business_x000D_
Computational modeling_x000D_
Computer architecture_x000D_
Activity-Centric_x000D_
Capability-Based Requirement_x000D_
DEVS_x000D_
Model Driven Service Engineering_x000D_
System of Systems</t>
  </si>
  <si>
    <t>J. S. Huang; K. Hsueh; A. Reynolds</t>
  </si>
  <si>
    <t>10.1109/DEST.2013.6611348</t>
  </si>
  <si>
    <t>cultural aspects_x000D_
groupware_x000D_
object-oriented methods_x000D_
social aspects of automation_x000D_
sustainable development_x000D_
collaborative SEED digital ecosystem_x000D_
collaborative social-economic-and-environmental development_x000D_
community development_x000D_
design patterns_x000D_
digital agenda_x000D_
local culture_x000D_
multidisciplinary collaborations_x000D_
self-organizing collaborations_x000D_
societal empowerment_x000D_
technology development_x000D_
Collaboration_x000D_
Communities_x000D_
Economics_x000D_
Ecosystems_x000D_
Investment_x000D_
Technological innovation_x000D_
Semantic knowledgebase_x000D_
governance_x000D_
impact investment_x000D_
sustainability science_x000D_
value networks</t>
  </si>
  <si>
    <t>3-32</t>
  </si>
  <si>
    <t>https://doi.org/10.1016/B978-0-12-396463-2.00001-6</t>
  </si>
  <si>
    <t>https://doi.org/10.1016/B978-0-12-396463-2.00008-9</t>
  </si>
  <si>
    <t>10.1007/978-3-658-07470-8</t>
  </si>
  <si>
    <t>M. E. Iacob; D. Quartel; H. Jonkers</t>
  </si>
  <si>
    <t>11-20</t>
  </si>
  <si>
    <t>10.1109/EDOC.2012.12</t>
  </si>
  <si>
    <t>business data processing_x000D_
investment_x000D_
optimisation_x000D_
service-oriented architecture_x000D_
simulation languages_x000D_
strategic planning_x000D_
ArchiMate_x000D_
IT portfolio valuation_x000D_
application portfolio consolidation case study_x000D_
business requirements modeling_x000D_
business strategy modeling_x000D_
business value_x000D_
constrained optimization valuation method_x000D_
enterprise architecture modeling language_x000D_
language extension_x000D_
metamodel fragment_x000D_
missing concepts_x000D_
strategy identification_x000D_
Biological system modeling_x000D_
Computer architecture_x000D_
Cost accounting_x000D_
Optimization_x000D_
Organizations_x000D_
Portfolios_x000D_
application portfolio valuation_x000D_
business requirements management_x000D_
business strategy_x000D_
enterprise architecture</t>
  </si>
  <si>
    <t>D. Ibrahim; V. B. Misic</t>
  </si>
  <si>
    <t>10.1109/SCC.2006.91</t>
  </si>
  <si>
    <t>Internet_x000D_
electronic commerce_x000D_
software architecture_x000D_
Web service based application_x000D_
enterprise_x000D_
service oriented architecture_x000D_
software system architecture_x000D_
Application software_x000D_
Availability_x000D_
Coherence_x000D_
Computer architecture_x000D_
ISO standards_x000D_
Security_x000D_
Software systems_x000D_
Web services</t>
  </si>
  <si>
    <t>M. Ide; M. Aoyama; T. Kishida; Y. Kikushima</t>
  </si>
  <si>
    <t>10.1109/REBPM.2014.6890729</t>
  </si>
  <si>
    <t>business data processing_x000D_
formal verification_x000D_
BMG_x000D_
BSTM_x000D_
IT-driven business model design methodology_x000D_
SMC_x000D_
XBMC_x000D_
business architecture_x000D_
business model canvas_x000D_
business model generation_x000D_
business-system translation metamodel_x000D_
extended BMC_x000D_
goal model_x000D_
innovative information technologies_x000D_
mobile music delivery business_x000D_
requirements engineering methodology_x000D_
system model canvas_x000D_
Analytical models_x000D_
Business_x000D_
Computer architecture_x000D_
Educational institutions_x000D_
Information systems_x000D_
Visualization_x000D_
BPM (Business Process Management)_x000D_
Business Model Design_x000D_
Business Modeling_x000D_
Business Requirements Engineering</t>
  </si>
  <si>
    <t>A. D. Ionita; M. Mocanu</t>
  </si>
  <si>
    <t>10.1109/ICCP.2016.7737136</t>
  </si>
  <si>
    <t>decision support systems_x000D_
emergency management_x000D_
hazards_x000D_
risk management_x000D_
river pollution_x000D_
accidental river pollution_x000D_
computational artifacts_x000D_
decision support_x000D_
emergency situations_x000D_
industrial hazard management_x000D_
modeling language_x000D_
natural hazard management_x000D_
nuclear plant incidents_x000D_
physical artifacts_x000D_
radiation dispersion_x000D_
radioactive clouds_x000D_
virtual organizations_x000D_
Computer architecture_x000D_
Information systems_x000D_
Mathematical model_x000D_
Predictive models_x000D_
Software_x000D_
Water pollution_x000D_
Hazard Management_x000D_
Information System_x000D_
Software and Systems Modeling</t>
  </si>
  <si>
    <t>R. Iqbal; F. Doctor; B. More; S. Mahmud; U. Yousuf</t>
  </si>
  <si>
    <t>https://doi.org/10.1016/j.future.2017.10.021</t>
  </si>
  <si>
    <t>Big Data_x000D_
Big Data analytics_x000D_
Cyber–Physical Systems_x000D_
Computational Intelligence_x000D_
CI and CPS applications_x000D_
HSTSM</t>
  </si>
  <si>
    <t>M. Irlbeck; D. Bytschkow; G. Hackenberg; V. Koutsoumpas</t>
  </si>
  <si>
    <t>9-16</t>
  </si>
  <si>
    <t>10.1109/SE4SG.2013.6596106</t>
  </si>
  <si>
    <t>energy management systems_x000D_
power system simulation_x000D_
smart power grids_x000D_
standards_x000D_
bottom-up development_x000D_
concrete system architectures_x000D_
custom systems_x000D_
legislation_x000D_
national discussion_x000D_
reference architectures_x000D_
regulation design_x000D_
smart energy systems_x000D_
standardization_x000D_
Abstracts_x000D_
Architecture_x000D_
Computer architecture_x000D_
Smart grids_x000D_
Software_x000D_
Terminology_x000D_
Unified modeling language_x000D_
Bottom-up design_x000D_
Conceptual Modeling_x000D_
Domain Modeling_x000D_
Ontologies_x000D_
Reference Architecture_x000D_
Smart Grid</t>
  </si>
  <si>
    <t>N. Jafarov; E. Lewis</t>
  </si>
  <si>
    <t>10.1109/SAI.2015.7237243</t>
  </si>
  <si>
    <t>cloud computing_x000D_
service-oriented architecture_x000D_
ESB_x000D_
SOA system_x000D_
VSM_x000D_
cloud service model_x000D_
cybernetic concept_x000D_
enterprise service bus_x000D_
iPaaS_x000D_
infrastructure platform as a service_x000D_
service oriented architecture_x000D_
standardised policy_x000D_
vendor-agnostic approach_x000D_
viable system model_x000D_
Adaptation models_x000D_
Business_x000D_
Cybernetics_x000D_
Semiconductor optical amplifiers_x000D_
Standards_x000D_
Design Principles</t>
  </si>
  <si>
    <t>J. Jamison; C. Snow</t>
  </si>
  <si>
    <t>58</t>
  </si>
  <si>
    <t>5/6</t>
  </si>
  <si>
    <t>10.1147/JRD.2014.2346593</t>
  </si>
  <si>
    <t>Consumer behavior_x000D_
Consumer products_x000D_
Customer services_x000D_
Electronic commerce_x000D_
Internet of things_x000D_
Investments_x000D_
Market research_x000D_
Network architecture</t>
  </si>
  <si>
    <t>P. Johnson; E. Johansson; T. Sommestad; J. Ullberg</t>
  </si>
  <si>
    <t>10.1109/EDOC.2007.25</t>
  </si>
  <si>
    <t>business data processing_x000D_
decision making_x000D_
information systems_x000D_
open systems_x000D_
security of data_x000D_
software architecture_x000D_
software reliability_x000D_
software tools_x000D_
availability_x000D_
decision-making_x000D_
enterprise architecture analysis_x000D_
enterprise-wide information system_x000D_
information security_x000D_
interoperability_x000D_
software tool_x000D_
Computer architecture_x000D_
Computer industry_x000D_
Distributed computing_x000D_
Electrical equipment industry_x000D_
Information analysis</t>
  </si>
  <si>
    <t>P. Johnson; R. Lagerstrom; M. Ekstedt; U. Franke</t>
  </si>
  <si>
    <t>10.1109/SESoS.2016.009</t>
  </si>
  <si>
    <t>Unified Modeling Language_x000D_
software engineering_x000D_
ArchiMate standard_x000D_
MAPL features analysis_x000D_
OCL formalisms_x000D_
UML formalisms_x000D_
data accuracy_x000D_
enterprise architecture modeling_x000D_
multiattribute prediction language_x000D_
nonfunctional qualities_x000D_
predictive-probabilistic architecture modeling framework_x000D_
service availability_x000D_
service cost_x000D_
systems-of-systems analysis_x000D_
Analytical models_x000D_
Architecture_x000D_
Business_x000D_
Computer architecture_x000D_
Predictive models_x000D_
Software_x000D_
architecture analysis_x000D_
architecture modeling_x000D_
systems-of-systems architecture</t>
  </si>
  <si>
    <t>P. Johnson; R. Lagerstrom; P. Norman; M. Simonsson</t>
  </si>
  <si>
    <t>3-12</t>
  </si>
  <si>
    <t>10.1109/EDOC.2006.27</t>
  </si>
  <si>
    <t>business data processing_x000D_
diagrams_x000D_
formal languages_x000D_
information systems_x000D_
software architecture_x000D_
decision making_x000D_
enterprise architecture analysis_x000D_
enterprise information security_x000D_
enterprise information system_x000D_
extended influence diagrams_x000D_
formal language_x000D_
Computer architecture_x000D_
Inference mechanisms_x000D_
Information analysis_x000D_
Information management_x000D_
Information security_x000D_
Management information systems_x000D_
Uncertainty</t>
  </si>
  <si>
    <t>H. Jonkers; E. Proper; M. M. Lankhorst; D. A. C. Quartel; M. E. Iacob</t>
  </si>
  <si>
    <t>10.1109/CEC.2011.52</t>
  </si>
  <si>
    <t>business data processing_x000D_
corporate modelling_x000D_
simulation languages_x000D_
software architecture_x000D_
ArchiMate language_x000D_
enterprise architecture modelling_x000D_
migration extension_x000D_
motivation extension_x000D_
Architecture_x000D_
Business_x000D_
Computer architecture_x000D_
Joining processes_x000D_
Servers_x000D_
Unified modeling language_x000D_
Visualization_x000D_
ArchiMate_x000D_
TOGAF_x000D_
enterprise architecture_x000D_
modelling</t>
  </si>
  <si>
    <t>10.1109/CBI.2015.47</t>
  </si>
  <si>
    <t>corporate modelling_x000D_
formal languages_x000D_
information systems_x000D_
object-oriented languages_x000D_
object-oriented programming_x000D_
ontologies (artificial intelligence)_x000D_
EM community_x000D_
enterprise modeling_x000D_
informal modeling languages_x000D_
object-oriented programming languages_x000D_
ontology category_x000D_
semiformal modeling languages_x000D_
Analytical models_x000D_
Object oriented modeling_x000D_
Ontologies_x000D_
Pragmatics_x000D_
Semantics_x000D_
Terminology_x000D_
Vocabulary</t>
  </si>
  <si>
    <t>A. Kallgren; J. Ullberg; P. Johnson</t>
  </si>
  <si>
    <t>10.1109/SNPD.2009.103</t>
  </si>
  <si>
    <t>business data processing_x000D_
corporate modelling_x000D_
decision making_x000D_
information technology_x000D_
IT decision making_x000D_
IT management_x000D_
company specific enterprise architecture model_x000D_
diagrammatic models_x000D_
Artificial intelligence_x000D_
Companies_x000D_
Computer architecture_x000D_
Computer industry_x000D_
Distributed computing_x000D_
Electrical equipment industry_x000D_
Intelligent networks_x000D_
Management information systems_x000D_
Software engineering_x000D_
Enterprise Architecture_x000D_
decision making process_x000D_
framework_x000D_
stakeholder_x000D_
viewpoint</t>
  </si>
  <si>
    <t>H. Kandjani; P. Bernus; S. Nielsen</t>
  </si>
  <si>
    <t>10.1109/HICSS.2013.199</t>
  </si>
  <si>
    <t>Business_x000D_
Complexity theory_x000D_
Control systems_x000D_
Cybernetics_x000D_
Educational institutions_x000D_
Modeling_x000D_
Predictive models</t>
  </si>
  <si>
    <t>45</t>
  </si>
  <si>
    <t>https://doi.org/10.3182/20120523-3-RO-2023.00152</t>
  </si>
  <si>
    <t>Enterprise modelling_x000D_
Information analysis_x000D_
Management systems_x000D_
Virtual Organisation_x000D_
Maturity Models</t>
  </si>
  <si>
    <t>T. Kangilaski; E. Shevtshenko</t>
  </si>
  <si>
    <t>10.1109/ISIE.2014.6864594</t>
  </si>
  <si>
    <t>business communication_x000D_
organisational aspects_x000D_
professional communication_x000D_
business connection_x000D_
business environment_x000D_
business goal_x000D_
maturity aspects_x000D_
partner network dynamics_x000D_
partner network lifecycle_x000D_
Collaboration_x000D_
Companies_x000D_
Law_x000D_
Monitoring_x000D_
Maturity Model_x000D_
Partner Network_x000D_
Process analyses</t>
  </si>
  <si>
    <t>C. Kearny; A. Gerber; A. v. d. Merwe</t>
  </si>
  <si>
    <t>10.1109/SMC.2016.7844957</t>
  </si>
  <si>
    <t>Big Data_x000D_
business data processing_x000D_
document handling_x000D_
EA_x000D_
TOGAF ADM phases_x000D_
business IT alignment_x000D_
business support_x000D_
data driven enterprise architecture_x000D_
data science_x000D_
document analysis_x000D_
Computer architecture_x000D_
Organizations_x000D_
Standards organizations</t>
  </si>
  <si>
    <t>S. Kehrer; D. Jugel; A. Zimmermann</t>
  </si>
  <si>
    <t>10.1109/EDOCW.2016.7584352</t>
  </si>
  <si>
    <t>Big Data_x000D_
business data processing_x000D_
data analysis_x000D_
organisational aspects_x000D_
Big Data analytics_x000D_
Big Data literature_x000D_
Big Data projects_x000D_
Big Data transformation processes_x000D_
EA management discipline_x000D_
IT architectures_x000D_
business needs_x000D_
category system_x000D_
data-driven approach_x000D_
enterprise architecture management_x000D_
inductive category formation_x000D_
innovation-driven evolution_x000D_
organization EA transformation_x000D_
organizations_x000D_
problem-specific insights_x000D_
requirement categorization_x000D_
requirements conceptual categories_x000D_
socio-technical solutions_x000D_
systematic literature identification_x000D_
Bibliographies_x000D_
Context_x000D_
Encoding_x000D_
Market research_x000D_
Systematics</t>
  </si>
  <si>
    <t>The 3+1 Views of Architecture (in 3D)": An Amplification of the 4+1 Viewpoint Framework"</t>
  </si>
  <si>
    <t>10.1109/WICSA.2008.27</t>
  </si>
  <si>
    <t>software architecture_x000D_
software standards_x000D_
enterprise software_x000D_
international standard IEEE 1471_x000D_
software architecture description_x000D_
software intensive systems_x000D_
Asset management_x000D_
Best practices_x000D_
Computer architecture_x000D_
Concrete_x000D_
Context modeling_x000D_
Reflection_x000D_
Software systems_x000D_
Unified modeling language_x000D_
1471_x000D_
4+1_x000D_
decision reasoning_x000D_
unified process_x000D_
view</t>
  </si>
  <si>
    <t>Processes and techniques for the development of enterprise software are best served when infused with practical experience. Pragmatic reflection on what works and what doesn 't is critical to enable successful adoption of any process. One aspect of developing software intensive systems is that of architecture description. A very popular approach to software architecture description is the 4+1 Views of Architecture in Kruchten, P. (1995). From practical experience applying this framework, this paper discuses an amplification of the 4+1 Views approach - the 3+1 Views of Architecture - in 3D ". It is also compliant with the best practices described within the international standard IEEE 1471 - Recommended Practice for Architectural Description of Software Intensive Systems in."</t>
  </si>
  <si>
    <t>A. Khadraoui; W. Opprecht; M. Léonard; C. Aïdonidis</t>
  </si>
  <si>
    <t>10.1109/RCIS.2011.6006872</t>
  </si>
  <si>
    <t>government data processing_x000D_
information systems_x000D_
IS complexity_x000D_
e-government services engineering_x000D_
service specification_x000D_
Context_x000D_
Electronic government_x000D_
Law_x000D_
Service oriented architecture_x000D_
Common base_x000D_
E-government service_x000D_
IS evolution engineering_x000D_
IS interoperability_x000D_
Service engineering_x000D_
legacy IS</t>
  </si>
  <si>
    <t>D. Khadraoui; C. Feltus</t>
  </si>
  <si>
    <t>10.1109/SMC.2013.811</t>
  </si>
  <si>
    <t>SCADA systems_x000D_
Unified Modeling Language_x000D_
access control_x000D_
critical infrastructures_x000D_
inference mechanisms_x000D_
information retrieval_x000D_
protocols_x000D_
SCADA system architecture_x000D_
actions realization_x000D_
component behaviour_x000D_
critical infrastructure governance_x000D_
heterogeneous technology_x000D_
information access_x000D_
policy management_x000D_
precontrived components interaction_x000D_
production system_x000D_
reasoning_x000D_
semantics_x000D_
unified component modelling approach_x000D_
Context_x000D_
Correlation_x000D_
Data visualization_x000D_
Monitoring_x000D_
Organizations_x000D_
IS security_x000D_
SCADA system_x000D_
architecture_x000D_
critical infrastructure</t>
  </si>
  <si>
    <t>M. Khalfallah; N. Figay; M. Barhamgi; P. Ghodous</t>
  </si>
  <si>
    <t>10.1109/SCC.2014.60</t>
  </si>
  <si>
    <t>cloud computing_x000D_
conformance testing_x000D_
formal verification_x000D_
program testing_x000D_
software standards_x000D_
SaaS paradigm_x000D_
collaborative platform_x000D_
conformant service interface_x000D_
formal framework_x000D_
model driven conformance testing_x000D_
software as a service_x000D_
software testing_x000D_
standardized services_x000D_
Collaboration_x000D_
Engines_x000D_
Ontologies_x000D_
Semantics_x000D_
Software_x000D_
Standards_x000D_
Syntactics_x000D_
compliance_x000D_
measurements_x000D_
vector spaces</t>
  </si>
  <si>
    <t>M. E. Kharbili; E. Pulvermueller</t>
  </si>
  <si>
    <t>1-3</t>
  </si>
  <si>
    <t>10.4018/978-1-4666-2919-6.ch011</t>
  </si>
  <si>
    <t>Access control_x000D_
Administrative data processing_x000D_
Enterprise resource management_x000D_
Information management_x000D_
Modeling languages_x000D_
Ontology_x000D_
Process control_x000D_
Regulatory compliance_x000D_
Semantics_x000D_
Business process management_x000D_
Compliance checking_x000D_
Compliance management_x000D_
Guidance and control_x000D_
Platform independent_x000D_
Policy verification_x000D_
Process reengineering_x000D_
Resource access control_x000D_
Compliance control</t>
  </si>
  <si>
    <t>H. Kim; S. Oussena; J. Essien; P. Komisarczuk</t>
  </si>
  <si>
    <t>10.4018/978-1-4666-4667-4.ch011</t>
  </si>
  <si>
    <t>Enterprise Architecture (EA) has been researched to supply components for enterprise system modelling, including taxonomies, meta-models, architecture development methods, and modelling tools. However, EA now faces a big challenge due to the rapidly changing market demands and business environments. From the technology point of view, there are already matured, promising paradigms that tackle this challenge, such as Complex Event Processing (CEP). However, this has not been fully explored with EA. This chapter investigates the possibility of integrating Event Driven Architecture (EDA) into EA modelling. A modelling framework, Event Driven Enterprise Architecture Modelling Framework" (EDEMF), is proposed for the adoption of complex events as a main viewpoint and incorporation of event process modelling in EA. An event-centric thinking is applied to the contextual analysis, followed by a translation of the analysis into conceptual and logical EA models, including complex event model; the EA models are then transformed into physical models grounded in existing or new enterprise system components. This approach has been achieved by providing an extension to ArchiMate, an EA modelling language. The feasibility of the proposed approach is demonstrated using a case study that applies to a student internship program. The case study uses a semantic web platform. © 2014, IGI Global. All right reserved."</t>
  </si>
  <si>
    <t>10.1057/ejis.2012.47</t>
  </si>
  <si>
    <t>healthcare information systems_x000D_
inter-organizational network_x000D_
IT governance_x000D_
operating model_x000D_
system design_x000D_
workflow_x000D_
Health care information system_x000D_
Operating models_x000D_
Health care_x000D_
Industry_x000D_
Medical computing_x000D_
Systems analysis_x000D_
Computer networks</t>
  </si>
  <si>
    <t>104</t>
  </si>
  <si>
    <t>https://doi.org/10.1016/j.procs.2017.01.077</t>
  </si>
  <si>
    <t>Enterprise modeling_x000D_
Enterprise models_x000D_
FREEDOM framework</t>
  </si>
  <si>
    <t>C. Kistasamy; A. v. d. Merwe; A. d. l. Harpe</t>
  </si>
  <si>
    <t>10.1109/EDOCW.2010.12</t>
  </si>
  <si>
    <t>business data processing_x000D_
software architecture_x000D_
EA_x000D_
SOA_x000D_
enterprise architecture_x000D_
service oriented architecture_x000D_
Computer architecture_x000D_
Context_x000D_
Organizations_x000D_
Semiconductor optical amplifiers_x000D_
Standards organizations_x000D_
Relationship between Enterprise architecture and Service Oriented Architecture</t>
  </si>
  <si>
    <t>1806</t>
  </si>
  <si>
    <t>12-17</t>
  </si>
  <si>
    <t>J. Klein; I. Gorton</t>
  </si>
  <si>
    <t>Big Data_x000D_
SQL_x000D_
Web sites_x000D_
data models_x000D_
data visualisation_x000D_
database management systems_x000D_
knowledge based systems_x000D_
query processing_x000D_
semantic Web_x000D_
software architecture_x000D_
software quality_x000D_
NoSQL databases_x000D_
NoSQL products_x000D_
NoSQL technology landscape_x000D_
NoSQL technology selection_x000D_
ad hoc exploration_x000D_
application architecture_x000D_
architecture patterns_x000D_
big data system architects_x000D_
curated information_x000D_
data model_x000D_
deployment topology_x000D_
graphical visualization_x000D_
knowledge model_x000D_
quality attributes_x000D_
queryable knowledge base_x000D_
semantic MediaWiki_x000D_
semantic platform_x000D_
systematic exploration_x000D_
tabular visualization_x000D_
trusted design assistance_x000D_
Computer architecture_x000D_
Databases_x000D_
Scalability_x000D_
Semantics</t>
  </si>
  <si>
    <t>R. Klimek; P. Szwed</t>
  </si>
  <si>
    <t>formal specification_x000D_
formal verification_x000D_
software engineering_x000D_
temporal logic_x000D_
temporal reasoning_x000D_
Archi modeler_x000D_
ArchiMate process specification verification_x000D_
business models_x000D_
deduction-based techniques_x000D_
deductive temporal reasoning_x000D_
formal specifications_x000D_
linear temporal logic formulas_x000D_
semantic tableaux technique_x000D_
software development_x000D_
Business_x000D_
Cognition_x000D_
Computer architecture_x000D_
Junctions_x000D_
Model checking_x000D_
Semantics_x000D_
Unified modeling language</t>
  </si>
  <si>
    <t>R. Kluge; T. Hering; R. Belter; B. Franczyk</t>
  </si>
  <si>
    <t>10.1109/COMPSAC.2008.147</t>
  </si>
  <si>
    <t>business data processing_x000D_
ontologies (artificial intelligence)_x000D_
project management_x000D_
software engineering_x000D_
software management_x000D_
software packages_x000D_
formal representation_x000D_
functional business requirements_x000D_
ontology_x000D_
software development projects_x000D_
standard application software_x000D_
Application software_x000D_
Natural languages_x000D_
Ontologies_x000D_
Packaging_x000D_
Programming_x000D_
Proposals_x000D_
Software standards_x000D_
Standards development_x000D_
Synthetic aperture sonar_x000D_
business requirements_x000D_
requirement engineering</t>
  </si>
  <si>
    <t>K. Kluza; K. Jobczyk; P. Wiśniewski; A. Ligęza</t>
  </si>
  <si>
    <t>business data processing_x000D_
temporal logic_x000D_
business process models_x000D_
temporal logics_x000D_
Automobiles_x000D_
Credit cards_x000D_
Insurance_x000D_
Petri nets_x000D_
Process modeling_x000D_
Unified modeling language_x000D_
BPMN_x000D_
Business Processes_x000D_
Temporal Issues_x000D_
Time Patterns</t>
  </si>
  <si>
    <t>K. Kluza; P. Wiśniewski; K. Jobczyk; A. Ligęza; A. S. Mroczek</t>
  </si>
  <si>
    <t>10.15439/2017F454</t>
  </si>
  <si>
    <t>Unified Modeling Language_x000D_
business data processing_x000D_
decision making_x000D_
formal specification_x000D_
BPMN_x000D_
DMN_x000D_
UML_x000D_
decision modeling_x000D_
process modeling_x000D_
selected modeling notations_x000D_
system modeling_x000D_
system requirements_x000D_
system specifications_x000D_
Business_x000D_
Computational modeling_x000D_
Computer architecture_x000D_
Data models_x000D_
Object oriented modeling_x000D_
Software_x000D_
Business Process Model and Notation_x000D_
Decision Model and Notation_x000D_
Software Engineering</t>
  </si>
  <si>
    <t>N. Kobayashi; S. Yamamoto</t>
  </si>
  <si>
    <t>10.1109/IIAI-AAI.2017.23</t>
  </si>
  <si>
    <t>automotive engineering_x000D_
design engineering_x000D_
open systems_x000D_
project management_x000D_
software architecture_x000D_
O-DA application_x000D_
O-DA template evaluation_x000D_
Open Dependability through Assuredness_x000D_
Open Group_x000D_
application method_x000D_
automotive software design project_x000D_
dependable Enterprise Architecture framework_x000D_
Companies_x000D_
Computer architecture_x000D_
Industries_x000D_
Software design_x000D_
ArchiMate_x000D_
Assurance case_x000D_
Industrial case study_x000D_
O-DA_x000D_
TOGAF</t>
  </si>
  <si>
    <t>J. König; U. Franke; L. Nordström</t>
  </si>
  <si>
    <t>10.1109/TDC.2010.5484364</t>
  </si>
  <si>
    <t>fault trees_x000D_
power distribution control_x000D_
power system interconnection_x000D_
probability_x000D_
smart power grids_x000D_
ICT systems_x000D_
active distribution networks_x000D_
automation systems_x000D_
enterprise architecture methods_x000D_
fault tree analysis_x000D_
information and communication system_x000D_
interconnected system analysis_x000D_
power supply_x000D_
primary power system equipment_x000D_
probabilistic availability analysis_x000D_
probabilistic relational models_x000D_
smart electricity grids_x000D_
Automatic control_x000D_
Automation_x000D_
Availability_x000D_
Communication system control_x000D_
Control system analysis_x000D_
Control systems_x000D_
Power system analysis computing_x000D_
Power system reliability_x000D_
Smart grids_x000D_
Enterprise Architecture_x000D_
Substation Automation_x000D_
System Analysis</t>
  </si>
  <si>
    <t>J. J. Korhonen; M. Halén</t>
  </si>
  <si>
    <t>10.1109/CBI.2017.45</t>
  </si>
  <si>
    <t>business data processing_x000D_
organisational aspects_x000D_
EA_x000D_
adaptive conceptualizations_x000D_
business inline_x000D_
digital transformation_x000D_
enterprise architecture_x000D_
organizational level_x000D_
process standardization_x000D_
Collaboration_x000D_
Computer architecture_x000D_
Ecosystems_x000D_
Face_x000D_
Organizations_x000D_
Standards organizations_x000D_
adaptive capabilities_x000D_
dynamic capabilities</t>
  </si>
  <si>
    <t>M. Korman; T. Sommestad; J. Hallberg; J. Bengtsson; M. Ekstedt</t>
  </si>
  <si>
    <t>10.1109/EDOC.2014.16</t>
  </si>
  <si>
    <t>risk management_x000D_
security of data_x000D_
ArchiMate concepts_x000D_
ArchiMate structure_x000D_
enterprise architecture_x000D_
enterprise information_x000D_
information security risk assessment_x000D_
risk assessment methods_x000D_
Computer architecture_x000D_
ISO standards_x000D_
Information security_x000D_
NIST_x000D_
ArchiMate_x000D_
enterprise information needs_x000D_
risk assessment</t>
  </si>
  <si>
    <t>P. Kosmides; E. Adamopoulou; K. Demestichas; C. Remoundou; I. Loumiotis; M. Theologou</t>
  </si>
  <si>
    <t>10.1109/UCC.2014.104</t>
  </si>
  <si>
    <t>social networking (online)_x000D_
academic social networks_x000D_
business process_x000D_
business service_x000D_
community awareness_x000D_
system architecture_x000D_
Business_x000D_
Collaboration_x000D_
Communities_x000D_
Engines_x000D_
Maximum likelihood estimation_x000D_
Social network services_x000D_
Training_x000D_
Virtual Communities</t>
  </si>
  <si>
    <t>P. Kosmides; L. Lambrinos; V. Asthenopoulos; K. Demestichas; E. Adamopoulou</t>
  </si>
  <si>
    <t>10.1109/ISCC.2016.7543745</t>
  </si>
  <si>
    <t>electric vehicles_x000D_
energy conservation_x000D_
energy consumption_x000D_
intelligent transportation systems_x000D_
learning (artificial intelligence)_x000D_
pattern clustering_x000D_
power aware computing_x000D_
FEV_x000D_
clustering based approach_x000D_
clustering based prediction_x000D_
eco-routing_x000D_
energy consumption levels prediction_x000D_
energy consumption reduction_x000D_
energy efficiency_x000D_
energy efficient routing_x000D_
fully electric vehicles_x000D_
intelligent transport systems_x000D_
machine learning_x000D_
transportation_x000D_
Multilayer perceptrons_x000D_
Roads_x000D_
Routing_x000D_
Support vector machines_x000D_
Vehicles</t>
  </si>
  <si>
    <t>P. Kosmides; C. Remoundou; K. Demestichas; I. Loumiotis; E. Adamopoulou; M. Theologou</t>
  </si>
  <si>
    <t>10.1109/MCSI.2014.39</t>
  </si>
  <si>
    <t>learning (artificial intelligence)_x000D_
neural nets_x000D_
probability_x000D_
recommender systems_x000D_
social networking (online)_x000D_
check-ins_x000D_
location prediction schemes_x000D_
location recommendations_x000D_
location recommender system_x000D_
location-based social media_x000D_
location-based social networks_x000D_
machine learning techniques_x000D_
probabilistic neural network_x000D_
social connections_x000D_
user interests_x000D_
user location_x000D_
users needs_x000D_
Multilayer perceptrons_x000D_
Prediction algorithms_x000D_
Probabilistic logic_x000D_
Social network services_x000D_
Support vector machines_x000D_
Training_x000D_
Neural Networks_x000D_
location reccomendations</t>
  </si>
  <si>
    <t>Location-Based Social media have evolved rapidly during the last decade. Most Social Networks provide a plethora of venues and points of interest, while at the same time, users are able to declare their presence in specific locations (a process often referred to as check-ins"), to provide ratings about the visited places or even suggest them to their friends. Location recommendations depending on users' needs have been a subject of interest for many researchers, while location prediction schemes have been developed in order to provide user's possible future location. In this paper, we present a method for predicting a user's location based on machine learning techniques. The dataset we used was based on input from a well-known Location-Based Social Network. Prediction results can be used in order to make appropriate suggestions for venues or points of interests to users, based on their interests and social connections. We propose a Probabilistic Neural Network and confirm its superior performance against two other types of neural networks."</t>
  </si>
  <si>
    <t>S. Kotusev; M. Singh; I. Storey</t>
  </si>
  <si>
    <t>10.1109/HICSS.2015.489</t>
  </si>
  <si>
    <t>business data processing_x000D_
EA practice_x000D_
EA theory_x000D_
EAM research_x000D_
IT perspective_x000D_
business/IT alignment_x000D_
enterprise architecture management research consolidation_x000D_
enterprise current states documentation_x000D_
enterprise future states documentation_x000D_
integrated business_x000D_
iterative step-wise process_x000D_
management practice_x000D_
Abstracts_x000D_
Companies_x000D_
Concrete_x000D_
Documentation_x000D_
Logistics</t>
  </si>
  <si>
    <t>P. Kotzé; M. Tsogang; A. Van Der Merwe</t>
  </si>
  <si>
    <t>1-20</t>
  </si>
  <si>
    <t>10.1007/978-3-642-34163-2_1</t>
  </si>
  <si>
    <t>design patterns_x000D_
Enterprise architecture_x000D_
pattern collections_x000D_
pattern languages_x000D_
Industry_x000D_
Novel concept_x000D_
Public domains_x000D_
Research</t>
  </si>
  <si>
    <t>J. Kramer; I. Terrizzano; J. Sanz</t>
  </si>
  <si>
    <t>10.1109/ICEBE.2010.98</t>
  </si>
  <si>
    <t>business data processing_x000D_
business process re-engineering_x000D_
corporate modelling_x000D_
information technology_x000D_
business applications modeling_x000D_
business architecture_x000D_
rigid IT system_x000D_
support system_x000D_
Barium_x000D_
Computer architecture_x000D_
Engines_x000D_
Monitoring_x000D_
Organizations_x000D_
Portfolios_x000D_
business application_x000D_
capability_x000D_
model_x000D_
objectives_x000D_
project</t>
  </si>
  <si>
    <t>P. Krogdahl; G. Luef; C. Steindl</t>
  </si>
  <si>
    <t>10.1109/SCC.2005.86</t>
  </si>
  <si>
    <t>business data processing_x000D_
formal specification_x000D_
software engineering_x000D_
IT systems_x000D_
SOA development_x000D_
adaptability_x000D_
agile methods_x000D_
agile software development_x000D_
business_x000D_
customer demand_x000D_
external threats_x000D_
market opportunities_x000D_
service oriented architecture_x000D_
service-oriented agility_x000D_
Computer architecture_x000D_
Data security_x000D_
Object oriented modeling_x000D_
Petroleum_x000D_
Programming_x000D_
Resource management_x000D_
Runtime_x000D_
Web services</t>
  </si>
  <si>
    <t>10.1007/978-1-4471-2936-3</t>
  </si>
  <si>
    <t>Data mining_x000D_
Information systems_x000D_
Philosophical aspects_x000D_
Conceptual model_x000D_
Future trends_x000D_
Generic frameworks_x000D_
Information system development_x000D_
Information systems development_x000D_
Model based development_x000D_
Modeling type_x000D_
Technological development_x000D_
Modeling languages</t>
  </si>
  <si>
    <t>D. Kudryavtsev; T. Gavrilova</t>
  </si>
  <si>
    <t>24</t>
  </si>
  <si>
    <t>10.1002/kpm.1509</t>
  </si>
  <si>
    <t>D. Kudryavtsev; T. Gavrilova; I. Leshcheva</t>
  </si>
  <si>
    <t>classification_x000D_
knowledge management_x000D_
ontologies (artificial intelligence)_x000D_
business content_x000D_
business knowledge diagrams_x000D_
competency questions_x000D_
domain specific diagrams_x000D_
error prone_x000D_
managerial needs_x000D_
ontology design patterns_x000D_
organizational ontology_x000D_
qualitative business diagrams_x000D_
visual knowledge structuring_x000D_
visual modeling languages_x000D_
Business_x000D_
Complexity theory_x000D_
Data visualization_x000D_
Educational institutions_x000D_
Ontologies_x000D_
Unified modeling language_x000D_
Visualization</t>
  </si>
  <si>
    <t>N. Kulkarni; V. Dwivedi</t>
  </si>
  <si>
    <t>10.1109/SERVICES-1.2008.86</t>
  </si>
  <si>
    <t>Web services_x000D_
financial data processing_x000D_
software architecture_x000D_
SOA design strategy_x000D_
US financial Institution International Financial and Brokerage Services_x000D_
Web-services_x000D_
business process_x000D_
service granularity_x000D_
service oriented architecture_x000D_
Assembly_x000D_
Bonding_x000D_
Companies_x000D_
Guidelines_x000D_
Investments_x000D_
Loans and mortgages_x000D_
Mutual funds_x000D_
Pain_x000D_
Portfolios_x000D_
SOA Adoption</t>
  </si>
  <si>
    <t>V. Kulkarni; T. Clark; S. Barat; B. Barn</t>
  </si>
  <si>
    <t>Data mining_x000D_
Current practices_x000D_
Dynamic environments_x000D_
Model based approach_x000D_
Model-based OPC_x000D_
Simulation and analysis_x000D_
Computer simulation</t>
  </si>
  <si>
    <t>A. Kumar; P. Raghavan; J. Ramanathan; R. Ramnath</t>
  </si>
  <si>
    <t>10.1109/APSCC.2008.200</t>
  </si>
  <si>
    <t>business data processing_x000D_
management of change_x000D_
ontologies (artificial intelligence)_x000D_
software architecture_x000D_
architecture lifecycle management_x000D_
business process_x000D_
business-IT alignment process_x000D_
change impact analysis_x000D_
complex system_x000D_
enterprise interaction ontology_x000D_
information technology_x000D_
integrated query_x000D_
Availability_x000D_
Best practices_x000D_
Computer architecture_x000D_
Computer science_x000D_
Decision making_x000D_
Information analysis_x000D_
Ontologies_x000D_
Taxonomy_x000D_
Throughput_x000D_
capacity management_x000D_
change management_x000D_
cmdb_x000D_
complex architectures_x000D_
enterprise_x000D_
enterprise-interaction ontology_x000D_
logical cmdb_x000D_
ontology</t>
  </si>
  <si>
    <t>N. Labusch; S. Aier</t>
  </si>
  <si>
    <t>10.1109/CBI.2014.31</t>
  </si>
  <si>
    <t>business data processing_x000D_
enterprise resource planning_x000D_
EAM_x000D_
ET management_x000D_
architectural support_x000D_
business functions_x000D_
business-related information_x000D_
enterprise architecture management_x000D_
enterprise transformations_x000D_
information provision_x000D_
success factor_x000D_
Abstracts_x000D_
Availability_x000D_
Information processing_x000D_
Logistics_x000D_
Organizations_x000D_
Planning_x000D_
empirical study_x000D_
enterprise transformation_x000D_
information_x000D_
transformation success</t>
  </si>
  <si>
    <t>9-23</t>
  </si>
  <si>
    <t>10.1007/978-3-642-41641-5_2</t>
  </si>
  <si>
    <t>R. Lagerström; U. Franke; P. Johnson; J. Ullberg</t>
  </si>
  <si>
    <t>Enterprise architecture_x000D_
Metamodeling_x000D_
Probabilistic relational models_x000D_
Software modifiability.</t>
  </si>
  <si>
    <t>J. Lakhrouit; M. Benhaddi; K. Baïna</t>
  </si>
  <si>
    <t>10.1109/CloudTech.2015.7336965</t>
  </si>
  <si>
    <t>business data processing_x000D_
optimisation_x000D_
organisational aspects_x000D_
IT management tool_x000D_
agility evaluation_x000D_
architecture optimization_x000D_
business strategy_x000D_
enterprise architecture approach_x000D_
organizational culture_x000D_
Complexity theory_x000D_
Computer architecture_x000D_
Information systems_x000D_
Organizations_x000D_
System software_x000D_
Agility_x000D_
Archimate_x000D_
EA_x000D_
Enterprise Architecture_x000D_
Evaluation of Enterprise Architecture_x000D_
Indicators of Evaluation_x000D_
Network-Theoretic Models</t>
  </si>
  <si>
    <t>M. Langermeier; C. Saad; B. Bauer</t>
  </si>
  <si>
    <t>10.1109/EDOCW.2014.42</t>
  </si>
  <si>
    <t>business data processing_x000D_
EA analysis_x000D_
EA field_x000D_
EA models_x000D_
architectural data_x000D_
architecture models_x000D_
context sensitive evaluation_x000D_
data flow based analysis_x000D_
enterprise architecture analysis_x000D_
generic representation_x000D_
independent framework_x000D_
unified framework_x000D_
Adaptation models_x000D_
Analytical models_x000D_
Computational modeling_x000D_
Context modeling_x000D_
Data models_x000D_
Mathematical model_x000D_
Unified modeling language_x000D_
Architecture Analysis_x000D_
Data flow analysis_x000D_
Enterprise Architecture_x000D_
Meta Model</t>
  </si>
  <si>
    <t>10.1109/EDOC.2007.27</t>
  </si>
  <si>
    <t>business process re-engineering_x000D_
public administration_x000D_
semantic Web_x000D_
business process management_x000D_
demand-driven e-government_x000D_
identity management_x000D_
semantic Web technologies_x000D_
service orientation_x000D_
service-oriented architecture_x000D_
Computer architecture_x000D_
Distributed computing_x000D_
Electronic government_x000D_
Identity management systems_x000D_
Legislation_x000D_
Local government_x000D_
Quality of service_x000D_
Service oriented architecture_x000D_
Technology management</t>
  </si>
  <si>
    <t>A. Lapouchnian; E. Yu; A. Sturm</t>
  </si>
  <si>
    <t>10.1109/RCIS.2015.7128881</t>
  </si>
  <si>
    <t>business data processing_x000D_
innovation management_x000D_
organisational aspects_x000D_
BPA configurations_x000D_
business innovations_x000D_
business process architecture_x000D_
day-to-day functioning_x000D_
design dimensions_x000D_
goal-driven approach_x000D_
longer term viability_x000D_
organizations_x000D_
process architecture redesign_x000D_
technological innovations_x000D_
Schedules_x000D_
Stability analysis_x000D_
Vehicles_x000D_
flexibility_x000D_
process modeling_x000D_
requirements_x000D_
variability</t>
  </si>
  <si>
    <t>H. Lee; J. Ramanathan; Z. Hossain; P. Kumar; B. Weirwille; R. Ramnath</t>
  </si>
  <si>
    <t>10.1109/SCC.2014.61</t>
  </si>
  <si>
    <t>business data processing_x000D_
enterprise resource planning_x000D_
software architecture_x000D_
EA context_x000D_
EA tools_x000D_
IT components_x000D_
IT installations_x000D_
IT service complex_x000D_
IT service management_x000D_
ITSM_x000D_
business processes_x000D_
complex information technology_x000D_
complexity management_x000D_
complexity patterns_x000D_
delivering IT services_x000D_
enterprise architecture content model_x000D_
service delivery_x000D_
software complexity_x000D_
Area measurement_x000D_
Business_x000D_
Complexity theory_x000D_
Computer architecture_x000D_
Context_x000D_
Software_x000D_
Content Meta-Model_x000D_
Enterprise Architecture</t>
  </si>
  <si>
    <t>Complex information technology (IT) installations within an enterprise raise contextual challenges when delivering IT service management (ITSM) that maintain and enhance software for the business. Enterprise Architecture (EA) tools are now available to represent context as business processes, services and enabling IT components. However, few methods exist to leverage these representations for the management of complexity that exits in the EA. In this paper, we contribute towards this emerging area of research by posing fundamental questions: 1) what makes an IT service complex to deliver and by what measures?" and 2) "what is the complexity management?" To answer these questions, we begin by examining related work in measures of software complexity. Next, we use a graph-based framework to identify complexity patterns that exist in the real world. Using the framework and case study method we show the relationships between the difficulty of service delivery and complexity patterns in the EA context. Generalizing from this, we propose principles for the complexity management."</t>
  </si>
  <si>
    <t>J. Lee; Y. You; K. Lee</t>
  </si>
  <si>
    <t>10.1145/3149572.3149605</t>
  </si>
  <si>
    <t>11</t>
  </si>
  <si>
    <t>10.3233/AO-160170</t>
  </si>
  <si>
    <t>hypernym detection_x000D_
Taxonomy construction_x000D_
taxonomy learning_x000D_
Knowledge based systems_x000D_
Semantics_x000D_
Syntactics_x000D_
Domain-independent approach_x000D_
Knowledge acquisition bottlenecks_x000D_
Lexico-syntactic patterns_x000D_
Morpho-syntactic analyzers_x000D_
Qualitative evaluations_x000D_
Semantic relationships_x000D_
State-of-the-art system_x000D_
Taxonomies</t>
  </si>
  <si>
    <t>M. Leotta; F. Ricca; M. Ribaudo; G. Reggio; E. Astesiano; T. Vernazza</t>
  </si>
  <si>
    <t>10.1109/WSE.2012.6320528</t>
  </si>
  <si>
    <t>DP industry_x000D_
Web services_x000D_
service-oriented architecture_x000D_
Italian industry_x000D_
Italian software professional_x000D_
RESTFul service_x000D_
SOA adoption_x000D_
SOA knowledge_x000D_
UDDI_x000D_
Web service_x000D_
orchestration language_x000D_
service oriented architecture_x000D_
Companies_x000D_
Industries_x000D_
Market research_x000D_
Semiconductor optical amplifiers_x000D_
Level of Adoption_x000D_
Personal Opinion Survey_x000D_
REST_x000D_
SOA_x000D_
Trend of Pervasiveness</t>
  </si>
  <si>
    <t>S. Leuchter; D. Muhlenberg; R. Schonbein</t>
  </si>
  <si>
    <t>10.1109/ICSMC.2008.5054671</t>
  </si>
  <si>
    <t>IP networks_x000D_
Information management_x000D_
Intelligent agent_x000D_
Intelligent networks_x000D_
Intelligent sensors_x000D_
Military computing_x000D_
Reconnaissance_x000D_
Satellite ground stations_x000D_
Software architecture_x000D_
Surveillance_x000D_
defense, intelligence, surveillance, and_x000D_
reconnaissance, ISR, information space, information fusion_x000D_
software agents, software architecture, personalization</t>
  </si>
  <si>
    <t>Y. Leydier; F. LeBourgeois; H. Emptoz</t>
  </si>
  <si>
    <t>10.1145/1096601.1096630</t>
  </si>
  <si>
    <t>F. Lillehagen; J. Krogstie</t>
  </si>
  <si>
    <t>10.1007/978-3-540-79416-5</t>
  </si>
  <si>
    <t>N. Lim; T. g. Lee; S. g. Park</t>
  </si>
  <si>
    <t>10.1109/SNPD.2009.97</t>
  </si>
  <si>
    <t>DP management_x000D_
information management_x000D_
quality management_x000D_
enterprise architecture development_x000D_
enterprise architecture quality attribute_x000D_
four dimensional concepts_x000D_
Artificial intelligence_x000D_
Data mining_x000D_
Distributed computing_x000D_
Information analysis_x000D_
Innovation management_x000D_
Intelligent networks_x000D_
Organizing_x000D_
Risk management_x000D_
Software engineering_x000D_
enterprise architecture_x000D_
enterprise architecture framework_x000D_
quality attributes</t>
  </si>
  <si>
    <t>Business process management_x000D_
Enterprise architecture_x000D_
Social tool_x000D_
TOGAF</t>
  </si>
  <si>
    <t>D. v. d. Linden; M. v. Zee</t>
  </si>
  <si>
    <t>10.1109/CBI.2014.30</t>
  </si>
  <si>
    <t>corporate modelling_x000D_
vocabulary_x000D_
autonomous entity_x000D_
enterprise modeling_x000D_
modeling concept structure_x000D_
modeling languages_x000D_
modeling process_x000D_
semantic feature structure_x000D_
Analytical models_x000D_
Business_x000D_
Context_x000D_
Context modeling_x000D_
Materials_x000D_
Semantics_x000D_
Unified modeling language</t>
  </si>
  <si>
    <t>10.1109/HICSS.2006.367</t>
  </si>
  <si>
    <t>Companies_x000D_
Corporate acquisitions_x000D_
Costs_x000D_
Decision making_x000D_
Environmental economics_x000D_
Environmental management_x000D_
Performance analysis_x000D_
Resource management_x000D_
Software systems_x000D_
Technology management</t>
  </si>
  <si>
    <t>A. Lindstrom; R. Berntsson</t>
  </si>
  <si>
    <t>10.1109/PICMET.2006.296736</t>
  </si>
  <si>
    <t>automobile industry_x000D_
decision making_x000D_
information technology_x000D_
IT related decisions_x000D_
Scania_x000D_
architectural principles_x000D_
easy-to-grasp tree-structure_x000D_
enterprise specific application portfolio assessment method_x000D_
multinational vehicle manufacturer_x000D_
Costs_x000D_
Electrical equipment industry_x000D_
Financial management_x000D_
Industrial control_x000D_
Information security_x000D_
Manufacturing_x000D_
Paper technology_x000D_
Portfolios_x000D_
Resource management_x000D_
Vehicles</t>
  </si>
  <si>
    <t>K. Liu; L. Sun; D. Jambari; V. Michell; S. Chong</t>
  </si>
  <si>
    <t>10.1007/978-3-642-21640-4_32</t>
  </si>
  <si>
    <t>business-technology alignment_x000D_
consulting framework_x000D_
consulting requirements analysis_x000D_
norm analysis_x000D_
socio-technical approach_x000D_
Requirements analysis_x000D_
Business-technology alignments_x000D_
Design_x000D_
Information systems_x000D_
Systems engineering_x000D_
Alignment_x000D_
Network function virtualization</t>
  </si>
  <si>
    <t>V. M. Llamas; T. Coudert; L. Geneste; J. C. R. Bejarano; A. d. Valroger</t>
  </si>
  <si>
    <t>10.1109/IEEM.2016.7797956</t>
  </si>
  <si>
    <t>agile manufacturing_x000D_
case-based reasoning_x000D_
production engineering computing_x000D_
Agility_x000D_
CBR principles_x000D_
agile process_x000D_
knowledge-driven industrial processes_x000D_
reuse_x000D_
Context_x000D_
Problem-solving_x000D_
Stakeholders_x000D_
Standards organizations_x000D_
Experience Feedback_x000D_
Industrial Processes_x000D_
Knowledge Management</t>
  </si>
  <si>
    <t>P. Loucopoulos; E. Kavakli</t>
  </si>
  <si>
    <t>10.1007/978-3-319-39417-6_9</t>
  </si>
  <si>
    <t>ADOxx_x000D_
Capability_x000D_
CODEK_x000D_
Enterprise modeling</t>
  </si>
  <si>
    <t>P. Loucopoulos; C. Stratigaki; M. H. Danesh; G. Bravos; D. Anagnostopoulos; G. Dimitrakopoulos</t>
  </si>
  <si>
    <t>10.1109/ES.2015.14</t>
  </si>
  <si>
    <t>business data processing_x000D_
information technology_x000D_
service-oriented architecture_x000D_
business process management_x000D_
digital services_x000D_
digital services enterprise_x000D_
enterprise capability modeling_x000D_
enterprise requirements_x000D_
organizational objectives_x000D_
service-oriented development_x000D_
strategic alignment_x000D_
strategic management_x000D_
Adaptation models_x000D_
Business_x000D_
Context_x000D_
Ecosystems_x000D_
Information systems_x000D_
Modeling_x000D_
Software_x000D_
capability modeling_x000D_
enterprise change_x000D_
enterprise modeling_x000D_
information systems development</t>
  </si>
  <si>
    <t>10.1007/978-3-642-24849-8_12</t>
  </si>
  <si>
    <t>1-39</t>
  </si>
  <si>
    <t>https://doi.org/10.1016/B978-0-12-800205-6.00001-9</t>
  </si>
  <si>
    <t>Type of architecture_x000D_
architecture_x000D_
forms of standardization_x000D_
reusable structures_x000D_
accumulation of knowledge_x000D_
relationships among components_x000D_
taxonomy_x000D_
symbology_x000D_
senses_x000D_
personal computers_x000D_
midrange computers_x000D_
laptops_x000D_
smartphones_x000D_
smart tablets_x000D_
business-minded_x000D_
business strategy_x000D_
business vision_x000D_
pet projects_x000D_
pain points_x000D_
ROI_x000D_
business benefit_x000D_
control_x000D_
architectural challenges_x000D_
acquisitions_x000D_
mergers_x000D_
shadow IT_x000D_
lack of IT standards_x000D_
nonstandard processes_x000D_
competitive business_x000D_
process improvement_x000D_
component reuse_x000D_
punch cards_x000D_
inconsistent components_x000D_
automation landscape_x000D_
Big Data_x000D_
open source_x000D_
metrics_x000D_
customer experience metrics_x000D_
operational metrics_x000D_
automated metrics collection_x000D_
understanding ones' data_x000D_
business glossary_x000D_
business dictionary_x000D_
percent of IT budget_x000D_
informed decision making_x000D_
business capabilities_x000D_
layers of business capabilities_x000D_
disaster recovery_x000D_
complexity_x000D_
understanding IT_x000D_
number systems_x000D_
written language_x000D_
mechanical age_x000D_
mental activities_x000D_
fundamental principles_x000D_
architectural disciplines_x000D_
mindset of engineers_x000D_
varieties of automation systems_x000D_
control systems_x000D_
information systems_x000D_
mechanical equipment_x000D_
virtual world control system_x000D_
virtual control system_x000D_
artificial intelligence_x000D_
games_x000D_
intangible_x000D_
differences in error handling_x000D_
error handling_x000D_
process-oriented focus_x000D_
differences in data and testing_x000D_
sensory I/O devices_x000D_
test bed_x000D_
financial differences_x000D_
mindset_x000D_
customers_x000D_
degrees of separation_x000D_
enterprise architecture_x000D_
centralized_x000D_
decentralized_x000D_
shared resources_x000D_
stable team_x000D_
SCRUM_x000D_
shared vision_x000D_
innovation_x000D_
matrix organization_x000D_
center of excellence_x000D_
pooled architecture resources_x000D_
enterprise architects_x000D_
high price solutions_x000D_
hype_x000D_
role of enterprise architecture_x000D_
frameworks_x000D_
programmer analysts_x000D_
solution architects_x000D_
data modelers_x000D_
information architects_x000D_
The Hedgehog and the Fox_x000D_
Archilochus_x000D_
Isaiah Berlin_x000D_
Hedgehog Concept_x000D_
philosophical differentiators_x000D_
business focus_x000D_
development capabilities_x000D_
agile staffing_x000D_
synergistic multipurpose personnel_x000D_
operations architecture_x000D_
advanced business users_x000D_
self-service is an accelerator_x000D_
stakeholders frequently palaver_x000D_
real transparency not virtual_x000D_
business first_x000D_
participators not spectators_x000D_
new philosophy of enterprise architecture_x000D_
taxonomy and organization of enterprise architecture_x000D_
enterprise architecture frameworks_x000D_
TOGAF_x000D_
Zachman_x000D_
business architecture and governance_x000D_
information systems architecture and governance_x000D_
information architecture and governance_x000D_
control systems architecture and governance_x000D_
operations architecture and governance_x000D_
cross-discipline capabilities</t>
  </si>
  <si>
    <t>T. Lumor; E. Chew; A. Q. Gill</t>
  </si>
  <si>
    <t>10.1109/EDOCW.2016.7584360</t>
  </si>
  <si>
    <t>information systems_x000D_
organisational aspects_x000D_
software architecture_x000D_
EA principle_x000D_
IS-enabled OT_x000D_
enterprise architecture_x000D_
information system_x000D_
organizational transformation_x000D_
Bibliographies_x000D_
Economics_x000D_
Organizations_x000D_
Psychology_x000D_
Switches</t>
  </si>
  <si>
    <t>A. Luo; J. Fu; J. Liu</t>
  </si>
  <si>
    <t>10.1109/PIC.2016.7949595</t>
  </si>
  <si>
    <t>business data processing_x000D_
ArchiMate 2.0_x000D_
EA evolution_x000D_
IT architecture evolution_x000D_
IT architecture transition_x000D_
IT elements_x000D_
IT solution evolution_x000D_
business architecture_x000D_
business processes evolution_x000D_
enterprise architecture_x000D_
enterprise strategy management_x000D_
impact analysis method_x000D_
Analytical models_x000D_
Computer architecture_x000D_
Contracts_x000D_
System software_x000D_
Tools_x000D_
ArchiMate_x000D_
business process_x000D_
evolve</t>
  </si>
  <si>
    <t>10.4018/978-1-4666-4518-9.ch012</t>
  </si>
  <si>
    <t>S. Lusa; D. I. Sensuse</t>
  </si>
  <si>
    <t>10.1109/ICTC.2011.6082581</t>
  </si>
  <si>
    <t>business data processing_x000D_
knowledge management_x000D_
The Open Group Architecture Framework_x000D_
enterprise architecture model_x000D_
interpretative approach_x000D_
knowledge management system_x000D_
socio-technical approach_x000D_
soft system methodology_x000D_
Companies_x000D_
Computer architecture_x000D_
Information systems_x000D_
Information technology_x000D_
Socio technical_x000D_
TOGAF</t>
  </si>
  <si>
    <t>J. Lüssem; H. Harrach</t>
  </si>
  <si>
    <t>10.1109/AICCSA.2013.6616436</t>
  </si>
  <si>
    <t>electronic data interchange_x000D_
management information systems_x000D_
open systems_x000D_
organisational aspects_x000D_
software architecture_x000D_
SAP financial services-policy management_x000D_
TOGAF_x000D_
best-practice standardized methodology_x000D_
complex MIS data migration project_x000D_
complex data migration activity_x000D_
data migration approach_x000D_
data migration processes_x000D_
management information systems data migration projects_x000D_
migration dimensions_x000D_
organization-wide migration process_x000D_
organizational aspects_x000D_
process blueprint_x000D_
the open group architecture framework_x000D_
Aging_x000D_
Best practices_x000D_
Complexity theory_x000D_
Data conversion_x000D_
Data models_x000D_
Standards organizations_x000D_
Data migration_x000D_
data quality_x000D_
management information system</t>
  </si>
  <si>
    <t>J. Lutz; B. Thönssen; H. F. Witschel</t>
  </si>
  <si>
    <t>10.1109/ES.2013.6690092</t>
  </si>
  <si>
    <t>Web sites_x000D_
business data processing_x000D_
intranets_x000D_
learning (artificial intelligence)_x000D_
portals_x000D_
recommender systems_x000D_
SEEK!sem project_x000D_
context similarity_x000D_
electronic documents_x000D_
enterprise portals_x000D_
incomprehensible folder structure_x000D_
information management_x000D_
information prison_x000D_
information repositories_x000D_
information resources_x000D_
information system_x000D_
intranet_x000D_
machine learning_x000D_
paper management_x000D_
recommender system_x000D_
relatedness rules_x000D_
semantically enriched context descriptions_x000D_
Abstracts_x000D_
Context_x000D_
Information services_x000D_
Ontologies_x000D_
similarity</t>
  </si>
  <si>
    <t>D. Luzeaux; T. Morlaye; J. L. Wippler</t>
  </si>
  <si>
    <t>10.1109/SysEng.2015.7302770</t>
  </si>
  <si>
    <t>data integrity_x000D_
software architecture_x000D_
architecture integrity_x000D_
knowledge sharing_x000D_
system architecture_x000D_
Complex systems_x000D_
Context_x000D_
Geography_x000D_
History_x000D_
Knowledge engineering_x000D_
Stakeholders_x000D_
Standards_x000D_
Architecture definition_x000D_
Architecture framework_x000D_
analytical vs synthetical_x000D_
graphical_x000D_
history and geography_x000D_
langauge representation</t>
  </si>
  <si>
    <t>Z. Maamar; N. Faci; S. Sakr; M. Boukhebouze; A. Barnawi</t>
  </si>
  <si>
    <t>10.1016/j.is.2016.02.005</t>
  </si>
  <si>
    <t>Business process_x000D_
Coordination_x000D_
Machine_x000D_
Person_x000D_
Social relation_x000D_
Task_x000D_
Information systems_x000D_
Machining_x000D_
Social relations_x000D_
Hardware</t>
  </si>
  <si>
    <t>J. Madsen; A. Munck</t>
  </si>
  <si>
    <t>10.1109/SYSCON.2017.7934729</t>
  </si>
  <si>
    <t>embedded systems_x000D_
formal specification_x000D_
formal verification_x000D_
software tools_x000D_
systems engineering_x000D_
model-based systems engineering_x000D_
systems engineering tools_x000D_
tool selection process_x000D_
tool specification_x000D_
Computational modeling_x000D_
Organizations_x000D_
Stakeholders_x000D_
Tools</t>
  </si>
  <si>
    <t>F. Maghsoodlou; R. Masiello; T. Ray</t>
  </si>
  <si>
    <t>10.1109/MPAE.2004.1338122</t>
  </si>
  <si>
    <t>energy management systems_x000D_
power system control_x000D_
power system reliability_x000D_
power system security_x000D_
EMS_x000D_
advanced network analysis algorithms_x000D_
control center_x000D_
energy management system_x000D_
power system operational reliability_x000D_
utility industry_x000D_
Central nervous system_x000D_
Centralized control_x000D_
Control systems_x000D_
Energy management_x000D_
Legislation_x000D_
Medical services_x000D_
Power system management_x000D_
Power systems</t>
  </si>
  <si>
    <t>P. M. Malta; R. D. Sousa</t>
  </si>
  <si>
    <t>business data processing_x000D_
organisational aspects_x000D_
business and information technologies strategy_x000D_
business-IT alignment_x000D_
dialogical action research_x000D_
enterprise architecture_x000D_
organizational environment_x000D_
Companies_x000D_
Computer architecture_x000D_
Information systems_x000D_
Information technology_x000D_
Interviews_x000D_
Alignment_x000D_
business_x000D_
process</t>
  </si>
  <si>
    <t>10.1109/SysEng.2017.8088297</t>
  </si>
  <si>
    <t>augmented reality_x000D_
business data processing_x000D_
decision making_x000D_
production engineering computing_x000D_
strategic planning_x000D_
virtual reality_x000D_
Enterprise Architecture_x000D_
multidimensional business strategy model_x000D_
strategic business decision-making_x000D_
Economics_x000D_
Organizations_x000D_
Solid modeling_x000D_
Stakeholders_x000D_
Business Operating Environment_x000D_
Business Operating Model_x000D_
Business Strategy_x000D_
Holons</t>
  </si>
  <si>
    <t>B. Marco; C. Jordi; W. Manuel; B. Luciano</t>
  </si>
  <si>
    <t>207</t>
  </si>
  <si>
    <t>10.2200/S00751ED2V01Y201701SWE004</t>
  </si>
  <si>
    <t>DSL_x000D_
EMF_x000D_
Eclipse_x000D_
MDA_x000D_
MDD_x000D_
MDE_x000D_
MDSE_x000D_
OMG_x000D_
UML_x000D_
code generation_x000D_
domain-specific language_x000D_
model transformation_x000D_
model-driven engineering_x000D_
modeling_x000D_
reverse engineering_x000D_
software engineering</t>
  </si>
  <si>
    <t>D. Marosin; S. Ghanavati</t>
  </si>
  <si>
    <t>10.1109/RELAW.2015.7330210</t>
  </si>
  <si>
    <t>business data processing_x000D_
design engineering_x000D_
EA community_x000D_
EA models_x000D_
EA principles_x000D_
design restriction management_x000D_
design restriction measurement_x000D_
enterprise architecture adoption_x000D_
enterprise architecture creation_x000D_
enterprise architecture principles_x000D_
enterprise architecture usage_x000D_
formal framework_x000D_
natural language representation_x000D_
noncompliant principles_x000D_
normative guidance_x000D_
regulatory compliance checking_x000D_
regulatory compliance management_x000D_
requirements engineering_x000D_
soft-laws_x000D_
structural definition_x000D_
Adaptation models_x000D_
Companies_x000D_
Computer architecture_x000D_
Guidelines_x000D_
Law_x000D_
Enterprise architecture (EA)_x000D_
compliance_x000D_
formalism</t>
  </si>
  <si>
    <t>M. Masikos; K. Demestichas; E. Adamopoulou; M. Theologou</t>
  </si>
  <si>
    <t>10.1049/iet-its.2013.0006</t>
  </si>
  <si>
    <t>electric vehicles_x000D_
electrical engineering computing_x000D_
energy conservation_x000D_
learning (artificial intelligence)_x000D_
road traffic_x000D_
road vehicles_x000D_
traffic engineering computing_x000D_
ecodriving assistance systems_x000D_
economical driving behaviour_x000D_
emission reductions_x000D_
energy consumption predictions_x000D_
energy efficient routing_x000D_
fuel economy_x000D_
machine learning functionality_x000D_
machine learning methodology_x000D_
road segments_x000D_
vehicle route</t>
  </si>
  <si>
    <t>10.1109/SERVICES.2012.27</t>
  </si>
  <si>
    <t>Unified Modeling Language_x000D_
cloud computing_x000D_
military computing_x000D_
security of data_x000D_
service-oriented architecture_x000D_
DoDAF_x000D_
DoDAF version 2.0_x000D_
SOA modeling language_x000D_
SoaML model integration_x000D_
U.S Department of Defense architecture framework_x000D_
UML profile-based integrated architecture_x000D_
UPIA model integration_x000D_
cloud architectures_x000D_
defense modeling techniques_x000D_
industry modeling techniques_x000D_
military architecture models_x000D_
secure distributed SOA clouds_x000D_
service oriented architecture_x000D_
Computer architecture_x000D_
Measurement_x000D_
Modeling_x000D_
Servers_x000D_
Virtual machining_x000D_
SOA_x000D_
SOA-RA_x000D_
SOA-RM_x000D_
SoaML_x000D_
UML_x000D_
UPIA_x000D_
services</t>
  </si>
  <si>
    <t>N. Mayer; C. Feltus</t>
  </si>
  <si>
    <t>10.1109/EDOCW.2017.30</t>
  </si>
  <si>
    <t>business data processing_x000D_
cognition_x000D_
information systems_x000D_
risk management_x000D_
security of data_x000D_
software engineering_x000D_
user interfaces_x000D_
EAM-ISSRM integrated model_x000D_
EAMISSRM integrated model_x000D_
RSO visual notation_x000D_
appropriate notation_x000D_
cognitive effective visual notation_x000D_
enterprise architecture management information system security risk_x000D_
information security risk managers_x000D_
user experience evaluation_x000D_
visual notations_x000D_
Computer architecture_x000D_
Security_x000D_
Visualization</t>
  </si>
  <si>
    <t>We evaluated the support proposed by the RSO to represent graphically our EAM-ISSRM (Enterprise Architecture Management - Information System Security Risk Management) integrated model. The evaluation of the RSO visual notation has been done at two different levels: completeness with regards to the EAM-ISSRM integrated model (Section III) and cognitive effectiveness, relying on the nine principles established by D. Moody [The 'Physics' of Notations: Toward a Scientific Basis for Constructing Visual Notations in Software Engineering," IEEE Trans. Softw. Eng., vol. 35, no. 6, pp. 756-779, Nov. 2009] (Section IV). Regarding completeness, the coverage of the EAMISSRM integrated model by the RSO is complete apart from 'Event'. As discussed in Section III, this lack is negligible and we can consider the RSO as an appropriate notation to support the EAM-ISSRM integrated model from a completeness point of view. Regarding cognitive effectiveness, many gaps have been identified with regards to the nine principle established by Moody. Although no quantitative analysis has been performed to objectify this conclusion, the RSO can decently not be considered as an appropriate notation from a cognitive effectiveness point of view and there is room to propose a notation better on this aspect. This paper is focused on assessing the RSO without suggesting improvements based on the conclusions drawn. As a consequence, our objective for future work is to propose a more cognitive effective visual notation for the EAM-ISSRM integrated model. The approach currently considered is to operationalize Moody's principles into concrete metrics and requirements, taking into account the needs and profile of the target group of our notation (information security risk managers) through personas development and user experience map. With such an approach, we will be able to make decisions on the necessary trade-offs about our visual syntax, taking care of a specific context. We also aim at valida- ing our proposal(s) with the help of tools and approaches extracted from cognitive psychology research applied to HCI domain (e.g., eye tracking, heuristic evaluation, user experience evaluation...)."</t>
  </si>
  <si>
    <t>R. Mayer; G. Antunes; A. Caetano; M. Bakhshandeh; A. Rauber; J. Borbinha</t>
  </si>
  <si>
    <t>2-4</t>
  </si>
  <si>
    <t>10.1007/s00799-015-0141-7</t>
  </si>
  <si>
    <t>Context_x000D_
Digital preservation_x000D_
Preservation metadata_x000D_
Process preservation</t>
  </si>
  <si>
    <t>R. Mayer; T. Miksa; A. Rauber</t>
  </si>
  <si>
    <t>10.1109/eScience.2014.47</t>
  </si>
  <si>
    <t>data handling_x000D_
ontologies (artificial intelligence)_x000D_
organisational aspects_x000D_
code versioning_x000D_
computing infrastructure_x000D_
data intensive domains_x000D_
data sharing_x000D_
data sources_x000D_
e-Science experiments_x000D_
ontologies_x000D_
open source_x000D_
organisational dimension_x000D_
publishing_x000D_
scientific experiment process context_x000D_
social dimension_x000D_
software tools_x000D_
Context_x000D_
Context modeling_x000D_
Hardware_x000D_
Licenses_x000D_
Software</t>
  </si>
  <si>
    <t>W. Mayer; M. Stumptner; P. Casanovas; L. De Koker</t>
  </si>
  <si>
    <t>1897</t>
  </si>
  <si>
    <t>Investigation management_x000D_
Law enforcement_x000D_
Linked data_x000D_
Artificial intelligence_x000D_
Data handling_x000D_
Public policy_x000D_
Information architectures_x000D_
Knowledge pertaining_x000D_
Law-enforcement agencies_x000D_
Linked datum_x000D_
Modular architectures_x000D_
Policy issues_x000D_
Work process_x000D_
Work-flows_x000D_
Information management</t>
  </si>
  <si>
    <t>A. v. d. Merwe; A. Gerber; J. v. d. Linde</t>
  </si>
  <si>
    <t>10.1109/ES.2013.6690093</t>
  </si>
  <si>
    <t>DP industry_x000D_
decision making_x000D_
enterprise resource planning_x000D_
personnel_x000D_
software development management_x000D_
software houses_x000D_
EA adoption_x000D_
EA frameworks_x000D_
IT costs_x000D_
distributed enterprises_x000D_
distributed organisation complexity_x000D_
information technology strategy_x000D_
managerial enterprise architecture decisions_x000D_
multifaceted enterprises_x000D_
software development company_x000D_
software development employees_x000D_
Complexity theory_x000D_
Computer architecture_x000D_
Information systems_x000D_
Interviews_x000D_
Investment_x000D_
Software_x000D_
Enterprise Architecture (EA)_x000D_
Impact of Enterprise Architecture_x000D_
SDLC_x000D_
Software Developer_x000D_
Software developer roles and responsibilities_x000D_
TOGAF_x000D_
TOGAF ADM_x000D_
Zachman</t>
  </si>
  <si>
    <t>E. Mezghani; E. Exposito; K. Drira</t>
  </si>
  <si>
    <t>10.1109/TETCI.2017.2699218</t>
  </si>
  <si>
    <t>Big Data_x000D_
Internet of Things_x000D_
cognitive systems_x000D_
fault tolerant computing_x000D_
health care_x000D_
medical information systems_x000D_
autonomic cognitive IoT-based systems_x000D_
autonomic cognitive design patterns_x000D_
cognitive monitoring system_x000D_
heterogeneous large-scale data stream integration_x000D_
heterogeneous large-scale data stream processing_x000D_
heterogeneous wearable devices_x000D_
model-driven methodology_x000D_
patient health management_x000D_
response time_x000D_
scalability management_x000D_
smart IoT-based systems_x000D_
system functional requirements_x000D_
system nonfunctional requirements_x000D_
system performance evaluation_x000D_
Complex systems_x000D_
Complexity theory_x000D_
Computational modeling_x000D_
Design methodology_x000D_
Monitoring_x000D_
Scalability_x000D_
Autonomic computing_x000D_
IoT-based system_x000D_
cognitive computing_x000D_
design patterns</t>
  </si>
  <si>
    <t>10.1109/SERA.2016.7516135</t>
  </si>
  <si>
    <t>business data processing_x000D_
knowledge management_x000D_
organisational aspects_x000D_
EA development_x000D_
EA frameworks_x000D_
behavioral theory_x000D_
business goals_x000D_
business governance_x000D_
business strategies_x000D_
enterprise architecture planning_x000D_
human behavior_x000D_
information technology_x000D_
organizational behavior_x000D_
organizational business plan_x000D_
organizational knowledge creation_x000D_
organizational theory_x000D_
staff education_x000D_
staff training_x000D_
theory of structuration_x000D_
Computer architecture_x000D_
Context_x000D_
Guidelines_x000D_
Organizations_x000D_
Stakeholders_x000D_
Enterprise Architecture_x000D_
knowledge creation_x000D_
organizational knowledge Information Technology_x000D_
stakeholder Behavior</t>
  </si>
  <si>
    <t>T. Mikaelian; D. J. Nightingale; D. H. Rhodes; D. E. Hastings</t>
  </si>
  <si>
    <t>10.1109/TEM.2010.2093146</t>
  </si>
  <si>
    <t>auditing_x000D_
investment_x000D_
product design_x000D_
strategic planning_x000D_
uncertainty handling_x000D_
IT-centric view_x000D_
ROA_x000D_
enterprise architecture_x000D_
holistic mapping_x000D_
real option analysis_x000D_
strategic investments_x000D_
uncertainty management_x000D_
Cost accounting_x000D_
Investments_x000D_
Organizations_x000D_
Payloads_x000D_
Switches_x000D_
Uncertainty_x000D_
Unmanned aerial vehicles_x000D_
Decision making_x000D_
flexibility_x000D_
real options</t>
  </si>
  <si>
    <t>M. R. S. Moghaddam; A. Sharifi; E. Merati</t>
  </si>
  <si>
    <t>10.1109/ICCIT.2008.272</t>
  </si>
  <si>
    <t>software architecture_x000D_
virtual enterprises_x000D_
Iran Telecommunication research Center_x000D_
axiomatic design technique_x000D_
communication technology_x000D_
enterprise architecting_x000D_
enterprise architecture methodologies_x000D_
generalized enterprise reference architecture_x000D_
generalized enterprise reference methodology_x000D_
information technology_x000D_
Art_x000D_
Communications technology_x000D_
Costs_x000D_
Councils_x000D_
Information systems_x000D_
Maintenance engineering_x000D_
Process design_x000D_
Axiomatic Design_x000D_
Enterprise Architecture_x000D_
GERAM_x000D_
Generalized Enterprise Reference Architecture and Methodology_x000D_
enterprise entity</t>
  </si>
  <si>
    <t>M. A. Mohamed; G. H. Galal-Edeen; H. A. Hassan; E. E. Hasanien</t>
  </si>
  <si>
    <t>10.1109/ICCES.2012.6408524</t>
  </si>
  <si>
    <t>government data processing_x000D_
development issue_x000D_
e-government_x000D_
electronic government_x000D_
enterprise architecture framework_x000D_
nonfunctional requirements perspective_x000D_
Complexity theory_x000D_
Computer architecture_x000D_
Interoperability_x000D_
Standards_x000D_
EA_x000D_
EAF_x000D_
Enterprise Architecture_x000D_
Evaluation</t>
  </si>
  <si>
    <t>S. Mohapatra; R. P. Singh</t>
  </si>
  <si>
    <t>9781461424284</t>
  </si>
  <si>
    <t>10.1007/978-1-4614-2428-4</t>
  </si>
  <si>
    <t>Case-studies_x000D_
Different domains_x000D_
Education sectors_x000D_
Emerging trends_x000D_
Information strategy_x000D_
Information technology strategy_x000D_
IT strategies_x000D_
Real estate development_x000D_
Regional planning</t>
  </si>
  <si>
    <t>M. Möhring; R. Schmidt; R. C. Härting; F. Bär; A. Zimmermann</t>
  </si>
  <si>
    <t>202</t>
  </si>
  <si>
    <t>10.1007/978-3-319-15895-2_37</t>
  </si>
  <si>
    <t>BPM_x000D_
Business processes_x000D_
Context data_x000D_
Extrinsic data_x000D_
Intrinsic data_x000D_
Administrative data processing_x000D_
Classification (of information)_x000D_
Data handling_x000D_
Enterprise resource management_x000D_
Business Process_x000D_
Big data</t>
  </si>
  <si>
    <t>B. Molnar; Z. Vinceller</t>
  </si>
  <si>
    <t>11-16</t>
  </si>
  <si>
    <t>10.1109/CogInfoCom.2013.6719225</t>
  </si>
  <si>
    <t>Analysis_x000D_
Architecture_x000D_
Data Mining_x000D_
On-line Social Network_x000D_
Software Architecture_x000D_
Experiments_x000D_
Social sciences computing_x000D_
Comparative studies_x000D_
Facebook_x000D_
On-line social networks_x000D_
Online social networks (OSN)_x000D_
Technology architectures_x000D_
Twitter Analysis_x000D_
Social networking (online)</t>
  </si>
  <si>
    <t>E. Molnar; R. Molnar; M. Gregus</t>
  </si>
  <si>
    <t>10.1109/ICETA.2017.8102509</t>
  </si>
  <si>
    <t>business data processing_x000D_
innovation management_x000D_
management education_x000D_
RIS3_x000D_
business schools_x000D_
enterprise architecture perspective_x000D_
Collaboration_x000D_
Companies_x000D_
Education_x000D_
Industries_x000D_
Research and development_x000D_
Technological innovation</t>
  </si>
  <si>
    <t>W. A. Molnar; J. J. Korhonen</t>
  </si>
  <si>
    <t>10.1109/RCIS.2014.6861071</t>
  </si>
  <si>
    <t>information systems_x000D_
research and development_x000D_
ECIS_x000D_
EE_x000D_
EEWC_x000D_
Enterprise Engineering Working Conference_x000D_
European Conference on Information Systems_x000D_
MCIS_x000D_
Mediterranean Conference on Information Systems_x000D_
PRET_x000D_
Practice-Driven Research on Enterprise Transformation_x000D_
enterprise design_x000D_
enterprise engineering analysis_x000D_
functionalist paradigm_x000D_
interpretive paradigm_x000D_
organizational science_x000D_
research approach_x000D_
research paradigms_x000D_
research topics_x000D_
social aspect_x000D_
technical focus_x000D_
Complexity theory_x000D_
Conferences_x000D_
Context_x000D_
Cultural differences_x000D_
Organizations_x000D_
Enterprise engineering_x000D_
paradigm_x000D_
research_x000D_
social aspects</t>
  </si>
  <si>
    <t>C. Montenegro; R. Fonseca; A. Larco</t>
  </si>
  <si>
    <t>10.1109/CIMPS.2016.7802807</t>
  </si>
  <si>
    <t>DP management_x000D_
business continuity_x000D_
small-to-medium enterprises_x000D_
software process improvement_x000D_
software prototyping_x000D_
DSR approach_x000D_
IT process improvement_x000D_
IT standards_x000D_
SFramework_x000D_
agile model_x000D_
agile structured model_x000D_
business continuity process_x000D_
complementary models_x000D_
design science research_x000D_
documentation_x000D_
generic phases_x000D_
process improvement_x000D_
Adaptation models_x000D_
Design methodology_x000D_
IEC Standards_x000D_
ISO Standards_x000D_
Organizations_x000D_
Software_x000D_
Standards organizations_x000D_
Agile_x000D_
DSR_x000D_
IT Management_x000D_
Reference Model</t>
  </si>
  <si>
    <t>Y. Mordecai; D. Dori</t>
  </si>
  <si>
    <t>10.1109/SYSCON.2015.7116855</t>
  </si>
  <si>
    <t>ISO standards_x000D_
defence industry_x000D_
military computing_x000D_
missiles_x000D_
systems engineering_x000D_
time to market_x000D_
ISO-19450 standard_x000D_
Israeli ballistic missile defense system_x000D_
MBSE_x000D_
OPM_x000D_
agile development_x000D_
agile modeling_x000D_
iron dome_x000D_
model-based systems engineering_x000D_
object-process methodology_x000D_
robustness_x000D_
system modeling_x000D_
time-to-market_x000D_
Biological system modeling_x000D_
Iron_x000D_
Modeling_x000D_
Planning_x000D_
Unified modeling language_x000D_
Agile Model-Based Systems Engineering_x000D_
Ballistic Missile Defense_x000D_
Configuration Management_x000D_
Evolving System Models</t>
  </si>
  <si>
    <t>Y. Mordecai; O. Orhof; D. Dori</t>
  </si>
  <si>
    <t>10.1109/TSMC.2016.2602543</t>
  </si>
  <si>
    <t>Atmospheric modeling_x000D_
Business_x000D_
Interoperability_x000D_
Ontologies_x000D_
Unified modeling language_x000D_
Airport terminals_x000D_
model-based systems engineering (MBSE)_x000D_
object process methodology (OPM)_x000D_
systems-of-systems (SoS)</t>
  </si>
  <si>
    <t>A. Morkevicius; S. Gudas</t>
  </si>
  <si>
    <t>10.1007/978-3-642-33308-8_14</t>
  </si>
  <si>
    <t>Business and IT alignment_x000D_
Enterprise Architecture_x000D_
Enterprise Modeling_x000D_
Service provisioning_x000D_
SOA_x000D_
IT alignment_x000D_
Alignment_x000D_
Industry_x000D_
Quality of service_x000D_
Information technology</t>
  </si>
  <si>
    <t>A. Morkevičius; S. Gudas; D. Silingas</t>
  </si>
  <si>
    <t>business and IS alignment_x000D_
enterprise architecture_x000D_
enterprise modeling_x000D_
service provisioning_x000D_
SOA</t>
  </si>
  <si>
    <t>10.1109/ITHET.2016.7760754</t>
  </si>
  <si>
    <t>O. Moscoso-Zea; S. Lujan-Mora</t>
  </si>
  <si>
    <t>10.23919/CISTI.2017.7975823</t>
  </si>
  <si>
    <t>Educational Management_x000D_
Knowledge Management_x000D_
Organizational Knowledge_x000D_
Data mining_x000D_
Education_x000D_
Information systems_x000D_
Management science_x000D_
Records management_x000D_
Educational data mining_x000D_
Enterprise Architecture_x000D_
Higher education institutions_x000D_
Knowledge management in higher educations_x000D_
Technological infrastructure_x000D_
Transfer of knowledge</t>
  </si>
  <si>
    <t>O. Moscoso-Zea; S. Luján-Mora; C. E. Cáceres; N. Schweimanns</t>
  </si>
  <si>
    <t>Business Intelligence_x000D_
Enterprise Architecture_x000D_
Knowledge Management_x000D_
Competitive intelligence_x000D_
Data mining_x000D_
Data visualization_x000D_
Data warehouses_x000D_
Information analysis_x000D_
Information systems_x000D_
Km frameworks_x000D_
Knowledge management framework_x000D_
Management practices_x000D_
Practical guide_x000D_
Research objectives_x000D_
Three dimensions_x000D_
Transfer of knowledge_x000D_
Management science</t>
  </si>
  <si>
    <t>10.1007/978-3-319-69904-2_2</t>
  </si>
  <si>
    <t>H. R. Motahari Nezhad; M. Reichert</t>
  </si>
  <si>
    <t>https://doi.org/10.1016/j.is.2015.06.004</t>
  </si>
  <si>
    <t>G. Motta; T. G. Barroero; I. Telese</t>
  </si>
  <si>
    <t>10.1109/IJCSS.2011.17</t>
  </si>
  <si>
    <t>design_x000D_
service-oriented architecture_x000D_
design approach_x000D_
execution architecture_x000D_
execution dynamic_x000D_
functional layers_x000D_
performance aware service systems_x000D_
Business_x000D_
Computer architecture_x000D_
Mobile communication_x000D_
Monitoring_x000D_
Process control_x000D_
Software_x000D_
Unified modeling language_x000D_
Information Systems_x000D_
Performance management_x000D_
SSME_x000D_
Service Science_x000D_
Service Systems</t>
  </si>
  <si>
    <t>10.1007/978-3-7908-2632-6_21</t>
  </si>
  <si>
    <t>M. Naab; S. Braun; T. Lenhart; S. Hess; A. Eitel; D. Magin; R. Carbon; F. Kiefer</t>
  </si>
  <si>
    <t>10.1109/WICSA.2015.13</t>
  </si>
  <si>
    <t>mobile computing_x000D_
software architecture_x000D_
software prototyping_x000D_
software quality_x000D_
agricultural domain_x000D_
architectural drivers_x000D_
architecture decision management_x000D_
architecture design_x000D_
computer science_x000D_
data modeling_x000D_
information systems_x000D_
large-scale mobile app ecosystem prototyping_x000D_
system quality attributes_x000D_
Computer architecture_x000D_
Context_x000D_
Data models_x000D_
Databases_x000D_
Ecosystems_x000D_
Mobile communication_x000D_
Synchronization_x000D_
app ecosystem_x000D_
data_x000D_
mobile_x000D_
practical experiences</t>
  </si>
  <si>
    <t>A. Nabiollahi; R. A. Alias; S. Sahibuddin</t>
  </si>
  <si>
    <t>10.1109/ITSIM.2010.5561369</t>
  </si>
  <si>
    <t>Web services_x000D_
information management_x000D_
investment_x000D_
management information systems_x000D_
software architecture_x000D_
IT investments_x000D_
IT service management governance framework_x000D_
IT-IS service architectures_x000D_
ITIL V3 integration_x000D_
business strategy_x000D_
computer science_x000D_
enterprise architecture_x000D_
information system_x000D_
information technology infrastructure library_x000D_
service based framework_x000D_
service-oriented architecture_x000D_
Computer architecture_x000D_
Information systems_x000D_
Interviews_x000D_
Organizations_x000D_
Service oriented architecture_x000D_
Enterprise Architecture (EA)_x000D_
ITIL_x000D_
Integrated Service Architecture framework (ISAF)_x000D_
Service Design</t>
  </si>
  <si>
    <t>E. Najafi; A. Baraani</t>
  </si>
  <si>
    <t>10.1109/SERVICES.2010.41</t>
  </si>
  <si>
    <t>software architecture_x000D_
KASRA framework_x000D_
SO roadmap_x000D_
business strategic objectives_x000D_
classification schema_x000D_
service oriented enterprise architecture framework_x000D_
Architecture_x000D_
Companies_x000D_
Computer architecture_x000D_
Computers_x000D_
Lead_x000D_
Enterprise Architecture_x000D_
Enterprise Architecture Framework (EAF)_x000D_
Information Technology Infrastructure Library (ITIL)_x000D_
Service Oriented Enterprise Architecture (SOEA)_x000D_
Service Oriented Enterprise Architecture Framework (SOEAF)</t>
  </si>
  <si>
    <t>J. P. Napoli; K. Kaloyanova</t>
  </si>
  <si>
    <t>10.1145/2023607.2023620</t>
  </si>
  <si>
    <t>D. Naranjo; M. Sanchez; J. Villalobos</t>
  </si>
  <si>
    <t>10.1109/EDOCW.2014.20</t>
  </si>
  <si>
    <t>analysis_x000D_
enterprise architecture_x000D_
tool support_x000D_
visualization_x000D_
Flow visualization_x000D_
Enterprise architects_x000D_
Enterprise modeling_x000D_
Enterprise models_x000D_
Modeling environments_x000D_
Visualization technique</t>
  </si>
  <si>
    <t>10.1109/EDOCW.2012.13</t>
  </si>
  <si>
    <t>Enterprise Architecture_x000D_
Enterprise Models_x000D_
Model Analysis_x000D_
Visual Analysis_x000D_
Industry_x000D_
Information systems_x000D_
Architecture-based_x000D_
Partial assessments_x000D_
Topological properties_x000D_
Visualization technique_x000D_
Topology</t>
  </si>
  <si>
    <t>14</t>
  </si>
  <si>
    <t>10.5381/jot.2015.14.1.a3</t>
  </si>
  <si>
    <t>Analysis_x000D_
Enterprise architecture_x000D_
Tool evaluation_x000D_
Visualization</t>
  </si>
  <si>
    <t>10.1109/EDOC.2017.14</t>
  </si>
  <si>
    <t>corporate modelling_x000D_
data visualisation_x000D_
specification languages_x000D_
virtual enterprises_x000D_
appropriateness_x000D_
business domains_x000D_
capability concept_x000D_
core concepts_x000D_
domainspecific language_x000D_
enterprise metamodels_x000D_
enterprise modeling_x000D_
language accuracy_x000D_
modeling languages_x000D_
nuanced concepts_x000D_
particular interpretation_x000D_
service concept_x000D_
value concept_x000D_
visual comparison_x000D_
Analytical models_x000D_
Ontologies_x000D_
Pragmatics_x000D_
Semantics_x000D_
Syntactics_x000D_
Unified modeling language_x000D_
Visualization_x000D_
model theory_x000D_
nuance_x000D_
ontology</t>
  </si>
  <si>
    <t>D. Naranjo; M. Sànchez; J. Villalobos</t>
  </si>
  <si>
    <t>227</t>
  </si>
  <si>
    <t>10.1007/978-3-319-22348-3_24</t>
  </si>
  <si>
    <t>Enterprise architecture_x000D_
Enterprise models_x000D_
Model analysis_x000D_
Visual analysis_x000D_
Decision making_x000D_
Graphic methods_x000D_
Information systems_x000D_
Semantics_x000D_
Visualization_x000D_
Architecture-based_x000D_
Partial assessments_x000D_
Semantic properties_x000D_
Visualization technique_x000D_
Topology</t>
  </si>
  <si>
    <t>J. C. Nardi; R. d. A. Falbo; J. P. A. Almeida; G. Guizzardi; L. F. Pires; M. J. v. Sinderen; N. Guarino</t>
  </si>
  <si>
    <t>10.1109/EDOC.2013.28</t>
  </si>
  <si>
    <t>Web services_x000D_
ontologies (artificial intelligence)_x000D_
UFO-S ontology_x000D_
commitment-based account_x000D_
commitment-based reference ontology_x000D_
enterprise computing_x000D_
service customers_x000D_
service lifecycle_x000D_
service notion_x000D_
service providers_x000D_
service science_x000D_
service-related concepts_x000D_
Aggregates_x000D_
Communities_x000D_
Context_x000D_
Ontologies_x000D_
Organizations_x000D_
Software_x000D_
core ontology_x000D_
service computing</t>
  </si>
  <si>
    <t>The concept of service" has been characterized by different disciplines and authors from various points of view. The variety of characterizations reveals that this notion, although an intuitive one, is far from trivial. Given the importance of services in enterprise computing and Service Science in general, we believe that a clear account of services and service-related concepts is necessary and would serve as a basis for communication, consensus and alignment of various approaches and perspectives. In this paper we propose a commitment-based account of the notion of service captured in a core reference ontology called UFO-S. We address the commitments established between service providers and customers, and show how such commitments affect the service lifecycle. We show that the commitment-based account can serve to harmonize different notions of service in the literature."</t>
  </si>
  <si>
    <t>P. Närman; E. Ericsson</t>
  </si>
  <si>
    <t>corporate acquisitions_x000D_
project management_x000D_
public administration_x000D_
quality management_x000D_
technology management_x000D_
IT functions_x000D_
Swedish public agency_x000D_
business culture_x000D_
business improvement_x000D_
business standard_x000D_
enterprise architecture_x000D_
merging process_x000D_
quality improvement_x000D_
Conferences_x000D_
Information systems_x000D_
Organizations_x000D_
Research and development_x000D_
Standards organizations</t>
  </si>
  <si>
    <t>10.1080/17517575.2011.647092</t>
  </si>
  <si>
    <t>P. Narman; P. Johnson; L. Nordstrom</t>
  </si>
  <si>
    <t>10.1109/EDOC.2007.39</t>
  </si>
  <si>
    <t>DP management_x000D_
decision making_x000D_
diagrams_x000D_
formal specification_x000D_
information systems_x000D_
software quality_x000D_
ISO 9126-based theory_x000D_
IT decision making_x000D_
PERDAF enterprise architecture metamodel_x000D_
business-oriented IT management_x000D_
enterprise information system management_x000D_
extended influence diagrams_x000D_
model-based approach_x000D_
system quality analysis_x000D_
Availability_x000D_
Computer architecture_x000D_
Hardware_x000D_
ISO standards_x000D_
Information analysis_x000D_
Information security_x000D_
Management information systems_x000D_
Performance analysis_x000D_
Shape</t>
  </si>
  <si>
    <t>T. V. Nguyen; L. L. S; K. Nguyen-An; T. M. Truong</t>
  </si>
  <si>
    <t>8-14</t>
  </si>
  <si>
    <t>10.1109/EDOCW.2017.11</t>
  </si>
  <si>
    <t>Web services_x000D_
business data processing_x000D_
software architecture_x000D_
ICT capabilities_x000D_
aligning service level agreements_x000D_
business process_x000D_
domestic airfare_x000D_
enterprise architecture_x000D_
high-level enterprise services_x000D_
human-mediated fashion_x000D_
human-mediated functionality_x000D_
modeling analyzing enterprise architectures_x000D_
service level agreement_x000D_
service penalty_x000D_
service-oriented enterprise architecture_x000D_
Airports_x000D_
Automobiles_x000D_
Companies_x000D_
Computer architecture_x000D_
Gold_x000D_
ArchiMate_x000D_
Business Processes</t>
  </si>
  <si>
    <t>M. Nicho; S. Khan; M. S. M. K. Rahman</t>
  </si>
  <si>
    <t>10.1109/COMAPP.2017.8079741</t>
  </si>
  <si>
    <t>business data processing_x000D_
organisational aspects_x000D_
retail data processing_x000D_
risk analysis_x000D_
security of data_x000D_
IT GRC_x000D_
information security risk_x000D_
integrated governance risk and compliance_x000D_
retail financial institution_x000D_
Capability maturity model_x000D_
ISO Standards_x000D_
Organizations_x000D_
Risk management_x000D_
Standards organizations_x000D_
IT GRC model_x000D_
IT compliance_x000D_
IT governance_x000D_
IT risk management_x000D_
integrated IT governance model</t>
  </si>
  <si>
    <t>E. Niemi; S. Pekkola</t>
  </si>
  <si>
    <t>10.1109/HICSS.2009.48</t>
  </si>
  <si>
    <t>business data processing_x000D_
information systems_x000D_
realisation theory_x000D_
business environments_x000D_
enterprise architecture benefit realization process_x000D_
information systems success_x000D_
information technology_x000D_
Conference management_x000D_
Context modeling_x000D_
Environmental management_x000D_
Information management_x000D_
Investments_x000D_
Logistics_x000D_
Management information systems_x000D_
Personnel_x000D_
Technology management</t>
  </si>
  <si>
    <t>H. Niemietz; S. d. Kinderen</t>
  </si>
  <si>
    <t>10.1109/CBI.2013.49</t>
  </si>
  <si>
    <t>cultural aspects_x000D_
organisational aspects_x000D_
EA guided enterprise transformations_x000D_
architecture driven transformations_x000D_
cultural diversity_x000D_
enterprise architecture_x000D_
organisation_x000D_
transformation struggles_x000D_
Business_x000D_
Context_x000D_
Cultural differences_x000D_
Electric breakdown_x000D_
Global communication_x000D_
Grounding_x000D_
Interviews_x000D_
communication breakdowns_x000D_
enterprise transformation_x000D_
literature review_x000D_
organisational subculture</t>
  </si>
  <si>
    <t>10.4018/978-1-59904-189-6.ch003</t>
  </si>
  <si>
    <t>Often, in an enterprise engineering (EE) project, it is quite difficult to figure out what exactly needs to be done due to the rather generic (and often proprietary) character of the EE methods available. In addition, selecting appropriate elements from the multitude of available and emerging architecture frameworks (AFs) in order to model and manage the given EE undertaking is a non-trivial task. This chapter proposes a way to assist the inference of processes and to facilitate the selection and use of AF elements needed to accomplish EE projects. This is accomplished by assessing and organising AF elements into a structured repository (SR) using a generalised architecture framework (ISO15704:2000 Annex A) and by providing a method to create methods" (a meta-methodology) for specific EE tasks that also guides the selection of AF elements from the SR. A brief introduction outlining the previously mentioned EE problems is followed by the description of the meta-methodology principle and of the assessment reference used. Next, a case study presents a sample application of the meta-methodology for a real EE project. The chapter closes with conclusions on the presented approach and a description of further work to refine and enrich the meta-methodology. © 2007, Idea Group Inc."</t>
  </si>
  <si>
    <t>47</t>
  </si>
  <si>
    <t>17</t>
  </si>
  <si>
    <t>10.1080/00207540902847355</t>
  </si>
  <si>
    <t>Collaborative networks_x000D_
Decision support system_x000D_
Virtual organisation_x000D_
Collaborative network_x000D_
Decision support framework_x000D_
Distributed projects_x000D_
New projects_x000D_
Project process_x000D_
Real-world scenario_x000D_
Reference models_x000D_
Task type_x000D_
Virtual organisations_x000D_
Artificial intelligence_x000D_
Decision making_x000D_
Decision theory_x000D_
Managers_x000D_
Quality assurance_x000D_
Decision support systems</t>
  </si>
  <si>
    <t>10.1007/978-3-642-15509-3_5</t>
  </si>
  <si>
    <t>Enterprise architecture_x000D_
Environmental management_x000D_
Climate change_x000D_
Computer architecture_x000D_
Environmental regulations_x000D_
Interoperability_x000D_
Planning_x000D_
Strategic planning_x000D_
Environmental information_x000D_
Environmental initiatives_x000D_
Environmental reporting_x000D_
Environmental responsibility_x000D_
Meta methodologies_x000D_
Reference architecture_x000D_
Strategic management</t>
  </si>
  <si>
    <t>10.1007/978-3-642-16961-8_37</t>
  </si>
  <si>
    <t>Architecture frameworks_x000D_
Business environments_x000D_
Enterprise engineering_x000D_
Enterprise Integration_x000D_
Enterprise IS_x000D_
Flows of materials_x000D_
High level description_x000D_
OR-networks_x000D_
Potential applications_x000D_
Theoretical foundations_x000D_
Architectural design_x000D_
Artificial intelligence_x000D_
Decision support systems_x000D_
Decision theory_x000D_
Industry_x000D_
Internet_x000D_
Network function virtualization_x000D_
Peer to peer networks</t>
  </si>
  <si>
    <t>64</t>
  </si>
  <si>
    <t>10.1016/j.compind.2012.09.006</t>
  </si>
  <si>
    <t>Enterprise architecture_x000D_
Enterprise integration_x000D_
Meta-methodology_x000D_
Architecture frameworks_x000D_
Business environments_x000D_
Detailed design_x000D_
Enterprise engineering_x000D_
Enterprise IS_x000D_
Flows of materials_x000D_
High level description_x000D_
OR-networks_x000D_
Potential applications_x000D_
Theoretical foundations_x000D_
Artificial intelligence_x000D_
Decision support systems_x000D_
Integration_x000D_
Industry</t>
  </si>
  <si>
    <t>26</t>
  </si>
  <si>
    <t>10.1080/0951192X.2012.681908</t>
  </si>
  <si>
    <t>Collaborative network_x000D_
Meta-methodology_x000D_
Virtual organisation_x000D_
Application area_x000D_
Globalisation_x000D_
Long-term effects_x000D_
Tertiary education_x000D_
Virtual organisations_x000D_
Computer applications_x000D_
Computer integrated manufacturing_x000D_
Social aspects</t>
  </si>
  <si>
    <t>10.1109/ICWR.2017.7959319</t>
  </si>
  <si>
    <t>Internet_x000D_
business process re-engineering_x000D_
formal verification_x000D_
systems analysis_x000D_
BDD_x000D_
BORE_x000D_
Web-based system_x000D_
business process models_x000D_
business-driven development_x000D_
business-oriented requirements engineering_x000D_
requirements elicitation_x000D_
Adaptation models_x000D_
Computational modeling_x000D_
Information systems_x000D_
Organizations_x000D_
Requirements engineering_x000D_
Stakeholders_x000D_
Business Oriented Requirements Engineering (BORE)_x000D_
Business-Driven Development (BDD)_x000D_
process model</t>
  </si>
  <si>
    <t>P. D. Nostro; F. Orciuoli; S. Paolozzi; P. Ritrovato; D. Toti</t>
  </si>
  <si>
    <t>10.1109/WAINA.2013.43</t>
  </si>
  <si>
    <t>business data processing_x000D_
groupware_x000D_
ARISTOTELE platform_x000D_
enterprise architecture framework_x000D_
enterprise management_x000D_
organization management_x000D_
personalized learning activity_x000D_
semantic-based collaborative system_x000D_
semantic-driven platform_x000D_
Collaboration_x000D_
Computer architecture_x000D_
Organizations_x000D_
Semantics_x000D_
Service-oriented architecture_x000D_
Standards organizations_x000D_
Human Resource Management_x000D_
Innovation_x000D_
Knowledge Management_x000D_
Learning_x000D_
Semantic Enterprise architecture_x000D_
Training_x000D_
knowledge models</t>
  </si>
  <si>
    <t>S. Nurcan; B. Claudepierre; I. Gmati</t>
  </si>
  <si>
    <t>10.1109/RCIS.2008.4632097</t>
  </si>
  <si>
    <t>business data processing_x000D_
decision making_x000D_
information systems_x000D_
business-IT alignment_x000D_
conceptual dependency_x000D_
decision making mechanisms_x000D_
information system engineering process_x000D_
information technology governance_x000D_
market change_x000D_
strategic alignment_x000D_
Business/IS Alignment_x000D_
Enterprise Architecture_x000D_
IS engineering_x000D_
IT governance</t>
  </si>
  <si>
    <t>S. Nurcan; R. Schmidt</t>
  </si>
  <si>
    <t>10.1109/EDOCW.2009.5331988</t>
  </si>
  <si>
    <t>business process re-engineering_x000D_
peer-to-peer computing_x000D_
software architecture_x000D_
business process management_x000D_
enterprise engineering_x000D_
peer-reviewed papers_x000D_
service oriented enterprise-architecture_x000D_
service provisioning_x000D_
support systems_x000D_
Companies_x000D_
Computer architecture_x000D_
Engineering management_x000D_
Information technology_x000D_
Model driven engineering_x000D_
Process design_x000D_
Resource management_x000D_
Standardization_x000D_
Technology management_x000D_
Weapons_x000D_
Business services_x000D_
Enterprise Architecture_x000D_
Service-oriented computing_x000D_
Serviceoriented systems</t>
  </si>
  <si>
    <t>U. Ö; M. Kleehaus; X. Xu; F. Matthes</t>
  </si>
  <si>
    <t>10.1109/EDOC.2017.25</t>
  </si>
  <si>
    <t>software architecture_x000D_
software development management_x000D_
software prototyping_x000D_
disciplined Agile 2.0_x000D_
information architects_x000D_
large scale scrum_x000D_
scaling agile frameworks_x000D_
structured literature_x000D_
Bibliographies_x000D_
Computer architecture_x000D_
Crystals_x000D_
Organizations_x000D_
Scrum (Software development)_x000D_
Software_x000D_
agile software development_x000D_
application architecture</t>
  </si>
  <si>
    <t>A. D. A. Oliveira; M. M. Eler</t>
  </si>
  <si>
    <t>10.1109/COMPSAC.2017.222</t>
  </si>
  <si>
    <t>Internet_x000D_
Web sites_x000D_
government data processing_x000D_
portals_x000D_
Brazilian Digital Government scenario_x000D_
Brazilian Federal Universities_x000D_
Brazilian e-government_x000D_
Brazilian education sector_x000D_
accessibility_x000D_
e-government standards_x000D_
e-government web portals_x000D_
federal government_x000D_
governments_x000D_
interoperability_x000D_
specific development methods_x000D_
Electronic government_x000D_
Guidelines_x000D_
W3C_x000D_
Brazil_x000D_
digital government_x000D_
e-government_x000D_
web standards</t>
  </si>
  <si>
    <t>J. P. Olivier; S. Balestrini-Robinson; S. Briceño</t>
  </si>
  <si>
    <t>10.1109/SysCon.2014.6819286</t>
  </si>
  <si>
    <t>design engineering_x000D_
marine systems_x000D_
military vehicles_x000D_
naval engineering_x000D_
ships_x000D_
SoS theory_x000D_
affordability_x000D_
capability-based framework_x000D_
capability-based system-of-systems framework_x000D_
complex military system_x000D_
designing ships_x000D_
foundational definition_x000D_
holistic environment encompassing_x000D_
intrinsic ship system capability_x000D_
multilayered maritime domain warfare enterprise_x000D_
naval platform_x000D_
naval ship design_x000D_
naval surface combatant_x000D_
naval system-of-system_x000D_
ship capability portfolio_x000D_
ship design process_x000D_
traditional method_x000D_
Force_x000D_
Interoperability_x000D_
Marine vehicles_x000D_
Planning_x000D_
Propulsion_x000D_
Robustness_x000D_
Visualization_x000D_
capability-based planning_x000D_
model-based system engineering_x000D_
naval_x000D_
ship design_x000D_
system-of-systems_x000D_
systems engineering</t>
  </si>
  <si>
    <t>D. Ortega; E. Uzcátegui; M. M. Guevara</t>
  </si>
  <si>
    <t>10.1109/ICIW.2009.12</t>
  </si>
  <si>
    <t>Web services_x000D_
business data processing_x000D_
software architecture_x000D_
Web service_x000D_
business process_x000D_
communication and information technology_x000D_
enterprise architecture integration framework_x000D_
service oriented architecture_x000D_
Application software_x000D_
Business communication_x000D_
Computer architecture_x000D_
Information technology_x000D_
Semiconductor optical amplifiers_x000D_
Software systems_x000D_
Web and internet services_x000D_
Communication and Information Technologies_x000D_
Enterprise Architecture_x000D_
Enterprise Architecture Integration</t>
  </si>
  <si>
    <t>S. Oussena; J. Essien</t>
  </si>
  <si>
    <t>10.1109/ISKO-Maghreb.2013.6728200</t>
  </si>
  <si>
    <t>business data processing_x000D_
educational administrative data processing_x000D_
knowledge representation languages_x000D_
ontologies (artificial intelligence)_x000D_
program verification_x000D_
public domain software_x000D_
query languages_x000D_
service-oriented architecture_x000D_
specification languages_x000D_
ArchiMate modelling language_x000D_
BDD_x000D_
EA design_x000D_
EA model validation_x000D_
IT environment_x000D_
IT solutions_x000D_
Information Technology domains_x000D_
Protocol and RDF Query Language_x000D_
RDFS_x000D_
SIP_x000D_
SPARQL_x000D_
Student Internship Program_x000D_
Web ontology language_x000D_
behavior driven development_x000D_
business behavior specifications_x000D_
conceptual metamodel_x000D_
domain model construction_x000D_
dynamic business architectures_x000D_
enterprise architecture validation_x000D_
heterogeneous application systems_x000D_
incongruent technologies_x000D_
knowledge-based applications_x000D_
model artefacts_x000D_
model elements_x000D_
model instance_x000D_
ontology-based approach_x000D_
open source platform_x000D_
resource description framework schema_x000D_
structural triples_x000D_
taxonomy decomposition_x000D_
testable artifact generation_x000D_
Business_x000D_
Collaboration_x000D_
Computer architecture_x000D_
Data models_x000D_
Ontologies_x000D_
Resource description framework_x000D_
Semantics_x000D_
ArchiMate_x000D_
Enterprise Architecture_x000D_
Metamodel_x000D_
Model_x000D_
Ontology_x000D_
Schema and Query Language_x000D_
Validation_x000D_
Viewpoints</t>
  </si>
  <si>
    <t>E. Özalp; B. Baykal</t>
  </si>
  <si>
    <t>management_x000D_
Alter work system framework_x000D_
HWSF development_x000D_
business conduction_x000D_
engineering management activity_x000D_
holistic work system framework_x000D_
systems thinking_x000D_
technology management activity_x000D_
Collaboration_x000D_
Complexity theory_x000D_
Context_x000D_
Materials_x000D_
Organizations_x000D_
Standards organizations</t>
  </si>
  <si>
    <t>M. Ozkaya; C. Kloukinas</t>
  </si>
  <si>
    <t>10.1109/SEAA.2013.34</t>
  </si>
  <si>
    <t>formal verification_x000D_
programming language semantics_x000D_
software architecture_x000D_
ADL_x000D_
architecture description language analysis_x000D_
automated analysis_x000D_
complex systems_x000D_
formal analysis_x000D_
formal realizability_x000D_
formal semantics_x000D_
formal usability_x000D_
language properties_x000D_
software system architectures_x000D_
system development_x000D_
Computer architecture_x000D_
Connectors_x000D_
Protocols_x000D_
Semantics_x000D_
Usability_x000D_
Architecture Description Language_x000D_
Comparison_x000D_
Realizability</t>
  </si>
  <si>
    <t>10.1109/EDOCW.2010.58</t>
  </si>
  <si>
    <t>1684</t>
  </si>
  <si>
    <t>ArchiMate 3.0_x000D_
Enterprise architecture_x000D_
Evidence-based approach_x000D_
System complexity_x000D_
University information system_x000D_
Information systems_x000D_
Archimate_x000D_
Evidence-based_x000D_
University information systems_x000D_
Information management</t>
  </si>
  <si>
    <t>Complexity is a relative term. It depends on the number and the nature of interactions among the variables involved. In this paper, the evidence-based management (EBM) is considered as an approach to cope with university information system (UIS) complexity. The EBM approach permits to identify the reasons for the system existence and it deals with the why" question. In the paper, the enterprise architecture (EA) model of university will be presented and opportunities to collect evidence for complexity management will be revealed."</t>
  </si>
  <si>
    <t>10.1109/RCIS.2010.5507269</t>
  </si>
  <si>
    <t>Context modeling_x000D_
Decision support systems_x000D_
Information management_x000D_
Knowledge management_x000D_
Management information systems_x000D_
Ontologies_x000D_
Process planning_x000D_
Semantic Web_x000D_
Strategic planning_x000D_
Technology management_x000D_
information systems</t>
  </si>
  <si>
    <t>G. Park; L. Chung; L. Khan; S. Park</t>
  </si>
  <si>
    <t>10.1109/RCIS.2017.7956514</t>
  </si>
  <si>
    <t>Big Data_x000D_
SQL_x000D_
business process re-engineering_x000D_
continuous improvement_x000D_
data analysis_x000D_
specification languages_x000D_
Big Data analytics_x000D_
Big Data processing_x000D_
SQL operation_x000D_
Spark_x000D_
big analytics alignment view_x000D_
big analytics query view_x000D_
business environment_x000D_
business goals_x000D_
business process reengineering_x000D_
business values_x000D_
conceptual modeling language_x000D_
goal-orientation_x000D_
metamodels_x000D_
modeling framework_x000D_
transformational insight view_x000D_
Analytical models_x000D_
Automobiles_x000D_
Data models_x000D_
Logistics_x000D_
Business Analytics_x000D_
Business Process</t>
  </si>
  <si>
    <t>S. Parsa; A. Ebrahimifard; M. J. Amiri; M. K. Arani</t>
  </si>
  <si>
    <t>10.1109/ICWR.2016.7498448</t>
  </si>
  <si>
    <t>Web services_x000D_
humanities_x000D_
BPMN 2.0 standard_x000D_
Savara tool_x000D_
Web service choreography validation_x000D_
choreography domain_x000D_
customer complex requirements_x000D_
goal-driven method_x000D_
requirement extraction_x000D_
Business_x000D_
Collaboration_x000D_
Computer architecture_x000D_
Production facilities_x000D_
Protocols_x000D_
Choreography_x000D_
Goals Model_x000D_
Validation_x000D_
business process_x000D_
requirement</t>
  </si>
  <si>
    <t>D. Pascot; F. Bouslama; S. Mellouli</t>
  </si>
  <si>
    <t>10.1007/s10115-010-0292-1</t>
  </si>
  <si>
    <t>Business processes_x000D_
CCDM_x000D_
Entreprise architecture_x000D_
Field actions_x000D_
Health informatics_x000D_
Information architecture_x000D_
Two track model_x000D_
Views</t>
  </si>
  <si>
    <t>R. Petrasch; R. Hentschke</t>
  </si>
  <si>
    <t>10.1109/JCSSE.2016.7748885</t>
  </si>
  <si>
    <t>Big Data_x000D_
Internet of Things_x000D_
Unified Modeling Language_x000D_
cloud computing_x000D_
factory automation_x000D_
production engineering computing_x000D_
I4PML_x000D_
Industry 4.0 process modeling language_x000D_
OMG's BPMN standard_x000D_
UML_x000D_
business process model and notation_x000D_
industrial revolution_x000D_
productivity_x000D_
smart factory_x000D_
smart manufacturing_x000D_
software development_x000D_
software specification_x000D_
BPMN_x000D_
Business Process Modeling Language_x000D_
I4PLM_x000D_
IIoT_x000D_
Industry 4.0_x000D_
Industry 4.0 Process Modeling_x000D_
Internet-of-Services_x000D_
Internet-of-Things_x000D_
Profile</t>
  </si>
  <si>
    <t>J. Petrikina; P. Drews; I. Schirmer; K. Zimmermann</t>
  </si>
  <si>
    <t>10.1109/EDOCW.2014.16</t>
  </si>
  <si>
    <t>business data processing_x000D_
IT architectures_x000D_
business architecture_x000D_
business model integration_x000D_
business model management_x000D_
enterprise architecture integration_x000D_
enterprise architecture management_x000D_
Adaptation models_x000D_
Analytical models_x000D_
Biological system modeling_x000D_
Computer architecture_x000D_
Information systems_x000D_
Organizations_x000D_
business model_x000D_
enterprise architecture_x000D_
integration_x000D_
potentials</t>
  </si>
  <si>
    <t>R. Pirta; J. Grabis</t>
  </si>
  <si>
    <t>303</t>
  </si>
  <si>
    <t>10.1007/978-3-319-69023-0_14</t>
  </si>
  <si>
    <t>Application architecture_x000D_
Architecture principles_x000D_
Enterprise architecture_x000D_
IS changes_x000D_
Reuse_x000D_
Information systems_x000D_
Reusability_x000D_
Standardization_x000D_
Building blockes_x000D_
Comprehensive evaluation_x000D_
Controlled environment_x000D_
Ea principles_x000D_
Implementation planning_x000D_
Interoperability</t>
  </si>
  <si>
    <t>G. Plataniotis; S. d. Kinderen; H. A. Proper</t>
  </si>
  <si>
    <t>10.1145/2420918.2420927</t>
  </si>
  <si>
    <t>A. Polyvyanyy; C. Ouyang; A. Barros; W. M. P. van der Aalst</t>
  </si>
  <si>
    <t>100</t>
  </si>
  <si>
    <t>https://doi.org/10.1016/j.dss.2017.04.011</t>
  </si>
  <si>
    <t>Process querying_x000D_
Process management_x000D_
Process analytics_x000D_
Process intelligence_x000D_
Process science_x000D_
Business intelligence</t>
  </si>
  <si>
    <t>10.1109/EDOCW.2012.19</t>
  </si>
  <si>
    <t>business data processing_x000D_
formal verification_x000D_
DEMO_x000D_
business modeling_x000D_
business service definition_x000D_
domain-specific framework_x000D_
e3Value_x000D_
enterprise architecture_x000D_
enterprise engineering_x000D_
general systems theory_x000D_
mapping enterprise strategy_x000D_
service development discipline_x000D_
service orientation_x000D_
service provisioning_x000D_
service science_x000D_
social actor communication theory_x000D_
teleological aspect_x000D_
value modeling_x000D_
value-oriented approach_x000D_
Books_x000D_
Context_x000D_
Libraries_x000D_
Organizations_x000D_
Production_x000D_
Standards organizations_x000D_
Business Service_x000D_
Contribution_x000D_
Purpose_x000D_
Value</t>
  </si>
  <si>
    <t>10.1109/CBI.2014.48</t>
  </si>
  <si>
    <t>business data processing_x000D_
corporate modelling_x000D_
ontologies (artificial intelligence)_x000D_
DEMO_x000D_
actor alignment_x000D_
business model constructibility_x000D_
e3Value_x000D_
economic concepts_x000D_
enterprise engineering_x000D_
network context_x000D_
ontological perspectives_x000D_
ontology matching effort_x000D_
system model quality improvement_x000D_
teleological perspectives_x000D_
transaction alignment_x000D_
value object alignment_x000D_
value semantics_x000D_
Books_x000D_
Business_x000D_
Context_x000D_
Economics_x000D_
Libraries_x000D_
Ontologies_x000D_
Production_x000D_
Business Modelling</t>
  </si>
  <si>
    <t>10.4018/ijisss.2015010104</t>
  </si>
  <si>
    <t>Benefits management_x000D_
Contribution perspective_x000D_
Enterprise engineering_x000D_
Ontology_x000D_
Purpose_x000D_
Service system_x000D_
Teleology_x000D_
Value modeling_x000D_
Value object</t>
  </si>
  <si>
    <t>E. R. Poort; H. van Vliet</t>
  </si>
  <si>
    <t>https://doi.org/10.1016/j.jss.2012.03.071</t>
  </si>
  <si>
    <t>Software architecture_x000D_
Risk Management_x000D_
Cost management</t>
  </si>
  <si>
    <t>E. R. Poort; H. v. Vliet</t>
  </si>
  <si>
    <t>2-11</t>
  </si>
  <si>
    <t>10.1109/WICSA.2011.11</t>
  </si>
  <si>
    <t>decision making_x000D_
risk management_x000D_
software architecture_x000D_
business stakeholders_x000D_
cost management discipline_x000D_
risk management discipline_x000D_
Computer architecture_x000D_
Context_x000D_
Organizations_x000D_
Software_x000D_
architecture process_x000D_
solution architecture</t>
  </si>
  <si>
    <t>M. Postina; S. Rohjans; U. Steffens; M. Uslar</t>
  </si>
  <si>
    <t>10.1109/SMARTGRID.2010.5622009</t>
  </si>
  <si>
    <t>IEC standards_x000D_
Web services_x000D_
ontologies (artificial intelligence)_x000D_
open systems_x000D_
power engineering computing_x000D_
semantic Web_x000D_
smart power grids_x000D_
software architecture_x000D_
CIM_x000D_
EA-related view_x000D_
IEC 61970-61968_x000D_
IEC 62541_x000D_
OPC UA_x000D_
bottom-up view_x000D_
intraenterprise communication_x000D_
ontology mappings_x000D_
power grid_x000D_
semantic Web services_x000D_
service oriented architectures_x000D_
smart grids_x000D_
technical interoperability_x000D_
top-down view_x000D_
utility domain-specific SOA_x000D_
Architecture_x000D_
Business_x000D_
Computer integrated manufacturing_x000D_
Context_x000D_
Ontologies_x000D_
Service oriented architecture</t>
  </si>
  <si>
    <t>M. Postina; J. Trefke; U. Steffens</t>
  </si>
  <si>
    <t>10.1109/EDOC.2010.25</t>
  </si>
  <si>
    <t>business data processing_x000D_
data visualisation_x000D_
software architecture_x000D_
EA approach_x000D_
SOA viewpoints_x000D_
enterprise architecture management_x000D_
metamodel_x000D_
service oriented architectures_x000D_
stakeholders analyses visualizations_x000D_
Architecture_x000D_
Business_x000D_
Computer architecture_x000D_
Context_x000D_
Engines_x000D_
Semiconductor optical amplifiers_x000D_
Service oriented architecture_x000D_
enterprise architecture_x000D_
service classification_x000D_
service-oriented architecture</t>
  </si>
  <si>
    <t>10.1109/SOCA.2013.31</t>
  </si>
  <si>
    <t>business data processing_x000D_
IT reliance_x000D_
business informatics_x000D_
business process_x000D_
enterprise transformation_x000D_
Analytical models_x000D_
Bismuth_x000D_
Books_x000D_
Business_x000D_
Educational institutions_x000D_
Informatics_x000D_
Predictive models</t>
  </si>
  <si>
    <t>190</t>
  </si>
  <si>
    <t>10.1007/978-3-319-09492-2_2</t>
  </si>
  <si>
    <t>Enterprise architecture_x000D_
Enterprise transformation_x000D_
Enterprises in motion_x000D_
Automobile steering equipment_x000D_
Cost reduction_x000D_
Playing fields_x000D_
Position papers_x000D_
Process Improvement_x000D_
Senior management_x000D_
Service innovation_x000D_
Steering systems_x000D_
Information systems</t>
  </si>
  <si>
    <t>10.1109/HICSS.2006.447</t>
  </si>
  <si>
    <t>Companies_x000D_
Computer architecture_x000D_
Enterprise resource planning_x000D_
Information systems_x000D_
Information technology_x000D_
Process planning_x000D_
Project management_x000D_
Strategic planning_x000D_
Technology management_x000D_
Technology planning</t>
  </si>
  <si>
    <t>This paper presents a process model for the management of architectural decisions in enterprise architecture planning. First, decisions are made at the enterprise level, with strategic business considerations on the enterprise information, systems and technology strategy and governance issues. The next step is to define the domains, to then go on with domain architecture decisions. At the systems level, the enterprise and domain architecture decisions are collected and converted into architecture descriptions accurate in precision, form and detail to be given as input to the information systems development process, following the architectural planning. The model is derived from previous work and empirical findings in three large organizations, where the enterprise architecture and enterprise systems have been developed. This case study contributes with considerations on the domains, their definition, and produces refinements to an enterprise architecture process model presented before. For the development of the model, the living system" paradigm is followed."</t>
  </si>
  <si>
    <t>M. Pulkkinen; A. Hirvonen</t>
  </si>
  <si>
    <t>10.1109/HICSS.2005.220</t>
  </si>
  <si>
    <t>Bridges_x000D_
Collaboration_x000D_
Communications technology_x000D_
Companies_x000D_
Guidelines_x000D_
Information technology_x000D_
Process planning_x000D_
Project management_x000D_
Technology management_x000D_
Technology planning</t>
  </si>
  <si>
    <t>10.1109/CBI.2015.33</t>
  </si>
  <si>
    <t>C. N. Pushpa; G. Deepak; J. Thriveni; K. R. Venugopal</t>
  </si>
  <si>
    <t>10.1109/ICoAC.2015.7562785</t>
  </si>
  <si>
    <t>Internet_x000D_
groupware_x000D_
knowledge based systems_x000D_
ontologies (artificial intelligence)_x000D_
Onto Collab_x000D_
World Wide Web_x000D_
cognitive bridge_x000D_
knowledge bases_x000D_
ontology modeling_x000D_
review based strategy_x000D_
semantic property_x000D_
strategic review oriented collaborative knowledge modeling_x000D_
Collaboration_x000D_
Computational modeling_x000D_
Electronic publishing_x000D_
Information services_x000D_
Ontologies_x000D_
Semantics_x000D_
Collaborative Modeling</t>
  </si>
  <si>
    <t>10.1109/EDOC.2009.22</t>
  </si>
  <si>
    <t>D. Quartel; W. Engelsman; H. Jonkers; M. Van Sinderen</t>
  </si>
  <si>
    <t>Analysis techniques_x000D_
Enterprise Architecture_x000D_
Enterprise modelling_x000D_
Goal-oriented_x000D_
Modelling language_x000D_
Modelling techniques_x000D_
Computer science_x000D_
Linguistics_x000D_
Motivation_x000D_
High level languages</t>
  </si>
  <si>
    <t>D. Quartel; S. Pokraev; R. M. Pessoa; M. v. Sinderen</t>
  </si>
  <si>
    <t>10.1109/EDOC.2008.39</t>
  </si>
  <si>
    <t>semantic Web_x000D_
software architecture_x000D_
application integration_x000D_
business flexibility_x000D_
interoperability problem_x000D_
mediation service_x000D_
model-driven development_x000D_
semantic Web techniques_x000D_
service-oriented architectures_x000D_
Automation_x000D_
Buildings_x000D_
Distributed computing_x000D_
Guidelines_x000D_
Mediation_x000D_
Process design_x000D_
Protocols_x000D_
Service oriented architecture_x000D_
Standardization_x000D_
interoperability_x000D_
service composition_x000D_
service mediation_x000D_
system integration</t>
  </si>
  <si>
    <t>D. Quartel; M. W. A. Steen; M. Lankhorst</t>
  </si>
  <si>
    <t>10.1109/EDOC.2010.24</t>
  </si>
  <si>
    <t>business data processing_x000D_
enterprise resource planning_x000D_
information technology_x000D_
organisational aspects_x000D_
Archi Mate design architect_x000D_
BiZZ design architect_x000D_
IT portfolio valuation_x000D_
architecture-based approach_x000D_
business requirements modeling_x000D_
enterprise architecture_x000D_
organization_x000D_
valuation methods_x000D_
Analytical models_x000D_
Computer architecture_x000D_
Cost accounting_x000D_
Investments_x000D_
Organizations_x000D_
Portfolios_x000D_
IT portfolio management_x000D_
IT valuation_x000D_
requirements modeling</t>
  </si>
  <si>
    <t>R. J. Rabelo; O. Noran; P. Bernus</t>
  </si>
  <si>
    <t>10.1109/EDOCW.2015.34</t>
  </si>
  <si>
    <t>business data processing_x000D_
decision making_x000D_
groupware_x000D_
innovation management_x000D_
service-oriented architecture_x000D_
SOA paradigm_x000D_
SOEA_x000D_
business models_x000D_
collaborative innovation_x000D_
compliance regulations_x000D_
digital ecosystems_x000D_
flexible organizational structures_x000D_
holistic enterprise architecture frameworks_x000D_
interenterprise structure_x000D_
intraenterprise structure_x000D_
next generation service oriented enterprise architecture_x000D_
participatory decision-making_x000D_
partnership levels_x000D_
value-chained service-based scenario_x000D_
Biological system modeling_x000D_
Companies_x000D_
Computer architecture_x000D_
Ecosystems_x000D_
Enterprise Architecture_x000D_
Service-Oriented Enterprise Architecture</t>
  </si>
  <si>
    <t>J. Ralyté; W. Opprecht; M. Léonard</t>
  </si>
  <si>
    <t>267</t>
  </si>
  <si>
    <t>10.1007/978-3-319-48393-1_13</t>
  </si>
  <si>
    <t>Information system evolution_x000D_
IS evolution steering_x000D_
IS steering model_x000D_
Responsibility space of IS evolution steering_x000D_
Data processing_x000D_
Amount of information_x000D_
Business ecosystem_x000D_
Conceptual frameworks_x000D_
Enterprise IS_x000D_
IS evolution_x000D_
nocv1_x000D_
Steering models_x000D_
Information systems</t>
  </si>
  <si>
    <t>J. Ramanathan; P. Calyam</t>
  </si>
  <si>
    <t>10.1109/ISC2.2016.7580814</t>
  </si>
  <si>
    <t>Component_x000D_
Formatting_x000D_
Style_x000D_
Styling_x000D_
Economics_x000D_
Industrial economics_x000D_
Information services_x000D_
Virtual reality_x000D_
Advanced manufacturing_x000D_
Delivery architecture_x000D_
Intelligent community_x000D_
Socio-economic impacts_x000D_
Economic and social effects</t>
  </si>
  <si>
    <t>J. Ramanathan; R. Ramnath</t>
  </si>
  <si>
    <t>10.4018/978-1-60566-276-3</t>
  </si>
  <si>
    <t>J. Ramanathan; R. Ramnath; M. J. Herold; B. J. R. Wierwille</t>
  </si>
  <si>
    <t>10.1109/FIE.2013.6685063</t>
  </si>
  <si>
    <t>computer aided instruction_x000D_
engineering computing_x000D_
engineering education_x000D_
Bloom taxonomy_x000D_
National Science Funded Industry_x000D_
University Cooperative Research Center_x000D_
data generation_x000D_
deployed service system complexity_x000D_
information technology complexity_x000D_
innovation-directed experiential learning_x000D_
national dialogue_x000D_
service blueprints_x000D_
Buildings_x000D_
Context_x000D_
Educational institutions_x000D_
Medical services_x000D_
Software_x000D_
Technological innovation_x000D_
complex systems_x000D_
design_x000D_
innovation_x000D_
performance metrics_x000D_
services science_x000D_
technology management</t>
  </si>
  <si>
    <t>10.1109/ICRTIT.2016.7569513</t>
  </si>
  <si>
    <t>Internet of Things_x000D_
air pollution_x000D_
atmospheric composition_x000D_
cameras_x000D_
fossil fuels_x000D_
intelligent transportation systems_x000D_
sensors_x000D_
traffic control_x000D_
CO&lt;sub&gt;2&lt;/sub&gt; emission_x000D_
IoT smart parking system green house_x000D_
Pi camera devices_x000D_
autonomous parking systems_x000D_
cloud storage_x000D_
distance sensor_x000D_
green house gas emission reduction_x000D_
interconnected Raspberry Pi_x000D_
natural calamity_x000D_
parking hazards_x000D_
transportation_x000D_
Acoustics_x000D_
Automobiles_x000D_
Market research_x000D_
Pins_x000D_
CO&lt;inf&gt;2&lt;/inf&gt; Emission_x000D_
Green House Emission_x000D_
IoT Parking_x000D_
IoT Sensors_x000D_
Raspberry Pi_x000D_
Smart City_x000D_
Smart Parking_x000D_
Smart Transportation Systems</t>
  </si>
  <si>
    <t>10.1109/MIPRO.2016.7522225</t>
  </si>
  <si>
    <t>application program interfaces_x000D_
API composition_x000D_
API ecosystems_x000D_
API value creation_x000D_
API value oriented analysis_x000D_
business architecture_x000D_
business processes_x000D_
service dominant ecosystem environments_x000D_
Analytical models_x000D_
Biological system modeling_x000D_
Data models_x000D_
Ecosystems_x000D_
Organizations_x000D_
Resource description framework</t>
  </si>
  <si>
    <t>10.23919/SOFTCOM.2017.8115513</t>
  </si>
  <si>
    <t>Web services_x000D_
business data processing_x000D_
ecology_x000D_
object-oriented methods_x000D_
software architecture_x000D_
Ecosystem Architectures_x000D_
Enterprise Architecture_x000D_
business environment_x000D_
business model definition_x000D_
collaborative network_x000D_
complex ecosystem environments_x000D_
ecosystem architecture_x000D_
innovative method_x000D_
relevant design aspects_x000D_
service composition_x000D_
service interactions_x000D_
service selection_x000D_
standard frameworks_x000D_
users_x000D_
value oriented aspects_x000D_
value oriented service design elements_x000D_
Biological system modeling_x000D_
Computer architecture_x000D_
Ecosystems_x000D_
Focusing_x000D_
Organizations_x000D_
Unified modeling language_x000D_
business model_x000D_
service design_x000D_
value orientation</t>
  </si>
  <si>
    <t>A. L. Ramos; J. V. Ferreira; J. Barceló</t>
  </si>
  <si>
    <t>42</t>
  </si>
  <si>
    <t>10.1109/TSMCC.2011.2106495</t>
  </si>
  <si>
    <t>software engineering_x000D_
communication mechanisms_x000D_
embryonic formalisms_x000D_
model-based systems engineering_x000D_
modeling languages_x000D_
modern systems_x000D_
system model_x000D_
systems-of-systems_x000D_
Biological system modeling_x000D_
Brain modeling_x000D_
Data models_x000D_
Object oriented modeling_x000D_
Standards_x000D_
Unified modeling language_x000D_
Model-based systems engineering (MBSE)_x000D_
modeling</t>
  </si>
  <si>
    <t>16</t>
  </si>
  <si>
    <t>10.1016/j.procs.2013.01.041</t>
  </si>
  <si>
    <t>Architecture framework_x000D_
Cross-cultural psychology_x000D_
Cultural understanding_x000D_
Epistemology_x000D_
Requirements_x000D_
System engineering_x000D_
Sytem architecture_x000D_
Viewpoints</t>
  </si>
  <si>
    <t>Epistemology is a branch of Philosophy where the debates focus on the nature of knowledge and ways of knowing. Epistemological questions and debates are often reflected in other disciplines having a strong relationship with knowledge, such as the sciences. Furthermore, these debates may also be reflected in the practice of engineering due to its relationship with the sciences. For example: one epistemological debate is concerned with whether different cultures know things in the same way. The psychological sciences of Cultural Psychology and Cross-cultural Psychology reflect this debate by offering differing answers to questions such as is the concept of depression valid across cultures?" Another reflection of this debate may be observed in system engineering during requirements elicitation if the several clients of a system represent multiple cultures. Here, fundamental concepts such as "proper operation" may be understood differently among the cultures, with dire consequences ifthe differences in knowing are unrecognized. This paper provides an illustration of how re-formulating a problem from one discipline (system engineering) into a common root discipline (epistemology) and then to another derivative discipline (psychology) may provide new beneficial insights. © 2013 The authors. Published by Elsevier B.V."</t>
  </si>
  <si>
    <t>A. Rayes; S. Salam</t>
  </si>
  <si>
    <t>10.1007/978-3-319-44860-2</t>
  </si>
  <si>
    <t>Education_x000D_
Internet protocols_x000D_
Teaching_x000D_
Constituent elements_x000D_
Engineering professionals_x000D_
Internet of Things (IOT)_x000D_
Networking protocols_x000D_
Security components_x000D_
Sensors and actuators_x000D_
Technical understanding_x000D_
University students_x000D_
Internet of things</t>
  </si>
  <si>
    <t>This book comprehensively describes an end-to-end Internet of Things (IoT) architecture that is comprised of devices, network, compute, storage, platform, applications along with management and security components. It is organized into five main parts, comprising of a total of 11 chapters. Part I presents a generic IoT reference model to establish a common vocabulary for IoT solutions. This includes a detailed description of the Internet protocol layers and the Things (sensors and actuators) as well as the key business drivers to realize the IoT vision. Part II focuses on the IoT requirements that impact networking protocols and provides a layer-by-layer walkthrough of the protocol stack with emphasis on industry progress and key gaps. Part III introduces the concept of Fog computing and describes the drivers for the technology, its constituent elements, and how it relates and differs from Cloud computing. Part IV discusses the IoT services platform, the cornerstone of the solution followed by the Security functions and requirements. Finally, Part V provides a treatment of the topic of connected ecosystems in IoT along with practical applications. It then surveys the latest IoT standards and discusses the pivotal role of open source in IoT. Faculty will find well-crafted questions and answers at the end of each chapter, suitable for review and in classroom discussion topics. In addition, the material in the book can be used by engineers and technical leaders looking to gain a deep technical understanding of IoT, as well as by managers and business leaders looking to gain a competitive edge and understand innovation opportunities for the future." Dr. Jim Spohrer, IBM "This text provides a very compelling study of the IoT space and achieves a very good balance between engineering/technology focus and business context. As such, it is highly-recommended for anyone interested in this rapidly-expanding field and will have broad appeal to a wide cross-section of readers, i.e., including engineering professionals, business analysts, university students, and professors." Professor Nasir Ghani, University of South Florida. © Springer International Publishing AG 2017."</t>
  </si>
  <si>
    <t>N. Razinkov; N. Mashkif; D. Amid; A. Fisher</t>
  </si>
  <si>
    <t>10.1109/SCC.2009.42</t>
  </si>
  <si>
    <t>business data processing_x000D_
software architecture_x000D_
standards_x000D_
SOA solution stack_x000D_
business process models_x000D_
heterogeneous data models_x000D_
heterogeneous data sources_x000D_
impact analysis_x000D_
industry standards models_x000D_
information models_x000D_
message models_x000D_
proprietary models_x000D_
repository system_x000D_
service composition_x000D_
service orientation_x000D_
Computer industry_x000D_
Costs_x000D_
Physical layer_x000D_
Profitability_x000D_
Semiconductor optical amplifiers_x000D_
Service oriented architecture_x000D_
Software standards_x000D_
Software systems_x000D_
Standards development_x000D_
Time to market_x000D_
Industry Models_x000D_
Model Management_x000D_
SOA_x000D_
Traceability</t>
  </si>
  <si>
    <t>10.1109/SOCA.2017.20</t>
  </si>
  <si>
    <t>Biological system modeling_x000D_
Business_x000D_
Computational modeling_x000D_
Computer architecture_x000D_
Economics_x000D_
Manganese_x000D_
Smart grids_x000D_
Economic feasibility_x000D_
commercial services_x000D_
smart grid</t>
  </si>
  <si>
    <t>I. S. Razo-Zapata; M. Mihaylov; E. Proper</t>
  </si>
  <si>
    <t>10.1109/CBI.2016.41</t>
  </si>
  <si>
    <t>smart power grids_x000D_
software architecture_x000D_
SGAM representation_x000D_
enterprise architectures_x000D_
multilayer networks_x000D_
smart grid architecture model_x000D_
Business_x000D_
Complexity theory_x000D_
Computer architecture_x000D_
Manganese_x000D_
Measurement_x000D_
Nonhomogeneous media_x000D_
Visualization</t>
  </si>
  <si>
    <t>G. J. Ren; Y. Nakamura; H. Ludwig</t>
  </si>
  <si>
    <t>10.1109/SRII.2014.21</t>
  </si>
  <si>
    <t>business data processing_x000D_
customer services_x000D_
value engineering_x000D_
SVM method_x000D_
business outcomes_x000D_
business-to-business environment_x000D_
customer operations_x000D_
customer-specific business architecture_x000D_
industry solutions_x000D_
service value modeling_x000D_
systematic step-wise method_x000D_
technology vendors_x000D_
Cities and towns_x000D_
Economics_x000D_
Industries_x000D_
Measurement_x000D_
Organizations_x000D_
Support vector machines_x000D_
business architecture_x000D_
business value_x000D_
industry solution_x000D_
value model_x000D_
value modeling</t>
  </si>
  <si>
    <t>D. Repta; M. A. Moisescu; I. S. Sacala; A. M. Stanescu; G. Neagu</t>
  </si>
  <si>
    <t>10.1109/CSCS.2015.126</t>
  </si>
  <si>
    <t>business data processing_x000D_
resource allocation_x000D_
BPM techniques_x000D_
ad-hoc industrial processes_x000D_
agility influencing strategy_x000D_
automated process mapping applications_x000D_
business opportunities_x000D_
business process mapping_x000D_
complex processes_x000D_
cyber intelligent enterprise_x000D_
dynamic global business environment_x000D_
flexible processes_x000D_
generic framework_x000D_
human factor_x000D_
Artificial intelligence_x000D_
Computer architecture_x000D_
Object oriented modeling_x000D_
Organizations_x000D_
Sensors_x000D_
Unified modeling language_x000D_
Cyber Physical Systems_x000D_
Process mapping</t>
  </si>
  <si>
    <t>10.1016/j.procs.2015.08.511</t>
  </si>
  <si>
    <t>T. Roach; G. Low; J. D. Ambra</t>
  </si>
  <si>
    <t>10.1109/SERVICES-1.2008.48</t>
  </si>
  <si>
    <t>information systems_x000D_
software architecture_x000D_
CAPSICUM_x000D_
IT resources_x000D_
application-centric enterprise architectures_x000D_
conceptual model_x000D_
service oriented architecture_x000D_
Australia_x000D_
Computer architecture_x000D_
Network servers_x000D_
Process planning_x000D_
Real time systems_x000D_
Semiconductor optical amplifiers_x000D_
Technological innovation_x000D_
Web services_x000D_
Business and IT Alignment_x000D_
Enterprise Architecture_x000D_
SOA</t>
  </si>
  <si>
    <t>10.1147/JRD.2012.2205633</t>
  </si>
  <si>
    <t>Business_x000D_
Decision making_x000D_
Information analysis_x000D_
Information systems_x000D_
Problem-solving_x000D_
Stability analysis_x000D_
Uncertainty</t>
  </si>
  <si>
    <t>D. A. Robles-Ramirez; P. J. Escamilla-Ambrosio; T. Tryfonas</t>
  </si>
  <si>
    <t>10.1109/ICMEAE.2017.20</t>
  </si>
  <si>
    <t>Analytical models_x000D_
Authentication_x000D_
Data models_x000D_
Hardware_x000D_
Object oriented modeling_x000D_
Unified modeling language_x000D_
Internet of Things_x000D_
SysML_x000D_
UML_x000D_
UML extension_x000D_
modelling_x000D_
security_x000D_
security requirements</t>
  </si>
  <si>
    <t>S. Rohjans; C. Dänekas; M. Uslar</t>
  </si>
  <si>
    <t>10.1109/ISGTEurope.2012.6465617</t>
  </si>
  <si>
    <t>power engineering computing_x000D_
smart power grids_x000D_
software architecture_x000D_
architecture development_x000D_
smart grid ICT-architectures_x000D_
smart grid development_x000D_
software development_x000D_
transmission infrastructure_x000D_
Business_x000D_
Computer architecture_x000D_
Context_x000D_
IEC standards_x000D_
Smart grids_x000D_
Software_x000D_
ICT-Architecture_x000D_
Requirements Engineering_x000D_
SOA_x000D_
Smart Grid_x000D_
Use Case</t>
  </si>
  <si>
    <t>D. Romero; F. Vernadat</t>
  </si>
  <si>
    <t>https://doi.org/10.1016/j.compind.2016.03.001</t>
  </si>
  <si>
    <t>State-of-the-art_x000D_
Future trends_x000D_
Enterprise information systems_x000D_
Enterprise architecture_x000D_
Enterprise integration_x000D_
Interoperability_x000D_
Enterprise networking</t>
  </si>
  <si>
    <t>10.1109/EDOCW.2007.27</t>
  </si>
  <si>
    <t>business data processing_x000D_
software architecture_x000D_
software tools_x000D_
FEAR_x000D_
ODP enterprise architecture tools_x000D_
RM-ODP_x000D_
TOGAF_x000D_
enterprise architecture representations_x000D_
Business_x000D_
Computer architecture_x000D_
Data systems_x000D_
Distributed processing_x000D_
IEC standards_x000D_
ISO standards_x000D_
Large-scale systems_x000D_
Proposals_x000D_
Space technology_x000D_
Unified modeling language</t>
  </si>
  <si>
    <t>J. R. Romero; J. I. Jaen; A. Vallecillo</t>
  </si>
  <si>
    <t>10.1109/EDOC.2009.23</t>
  </si>
  <si>
    <t>formal specification_x000D_
architectural framework_x000D_
complex software system_x000D_
model transformation_x000D_
multi-viewpoint specification_x000D_
viewpoint modeling_x000D_
Distributed computing_x000D_
Distributed processing_x000D_
IEC_x000D_
ISO_x000D_
Large-scale systems_x000D_
Metamodeling_x000D_
Proposals_x000D_
Software systems_x000D_
Unified modeling language_x000D_
Visualization_x000D_
architectural frameworks_x000D_
multi-viewpoint specifications_x000D_
viewpoint correspondences</t>
  </si>
  <si>
    <t>10.1109/SERA.2011.31</t>
  </si>
  <si>
    <t>10.1109/CNSI.2011.84</t>
  </si>
  <si>
    <t>Case study_x000D_
Enterprise architecture_x000D_
Experiential software engineering_x000D_
Grounded theory method_x000D_
Industry_x000D_
Information technology_x000D_
Research_x000D_
Societies and institutions_x000D_
Case study approach_x000D_
Elicitation techniques_x000D_
Enterprise architects_x000D_
Evaluation results_x000D_
Grounded theory methods_x000D_
Institutional review boards_x000D_
Qualitative analysis_x000D_
Software engineering</t>
  </si>
  <si>
    <t>551</t>
  </si>
  <si>
    <t>10.1007/978-3-319-27218-4_3</t>
  </si>
  <si>
    <t>S. W. Ross; L. D. Erasmus</t>
  </si>
  <si>
    <t>DP industry_x000D_
broadband networks_x000D_
decision making_x000D_
fuzzy set theory_x000D_
mobile radio_x000D_
smart phones_x000D_
FCMapper tool_x000D_
ICT industry_x000D_
OTT environment_x000D_
V&lt;sup&gt;4&lt;/sup&gt; business model_x000D_
external factors_x000D_
fuzzy cognitive maps_x000D_
mobile broadband technologies_x000D_
network operator business model_x000D_
over-the-top players_x000D_
smartphone penetration_x000D_
strategic decision making_x000D_
Finance_x000D_
Industries_x000D_
Market research_x000D_
Mobile communication_x000D_
Technology management</t>
  </si>
  <si>
    <t>B. D. Rouhani; M. N. Mahrin; F. Nikpay; P. Nikfard</t>
  </si>
  <si>
    <t>10.1109/ICICM.2013.9</t>
  </si>
  <si>
    <t>business data processing_x000D_
DODAF_x000D_
Department of Defense Architecture Framework_x000D_
EA implementation methodologies_x000D_
EA project_x000D_
EAP_x000D_
FEA_x000D_
Federal Enterprise Architecture_x000D_
Gartner_x000D_
TOGAF_x000D_
comparison enterprise architecture implementation methodologies_x000D_
enterprise architecture planning_x000D_
Complexity theory_x000D_
Educational institutions_x000D_
Informatics_x000D_
Planning_x000D_
Standards_x000D_
US Department of Defense_x000D_
Enterprise Architecture_x000D_
Enterprise Architecture Implementation Methodology</t>
  </si>
  <si>
    <t>N. Roussopoulos; W. Utz</t>
  </si>
  <si>
    <t>10.1007/978-3-319-39417-6_4</t>
  </si>
  <si>
    <t>Accessibility_x000D_
Big data_x000D_
Data service_x000D_
Semantics</t>
  </si>
  <si>
    <t>In the dynamic world of the internet and web service, the need to access data in a transparent and flexible way becomes increasingly important. Technological advances on infrastructure level allow us to store and process larger volumes of data, with a higher complexity/variety and modification speed on structure as well as content level close to real-time. In this paper, the concept of Data Service" is introduced as a novel methodology to match the data needs of services with existing, unstructured data environments. The approach is conceptualized as a domain-independent modeling method enabling developers to semantically design access mechanisms and algorithms, combine available data services according to functionality requirements and enrich retrieved data with metadata and provenance information. © Springer International Publishing Switzerland 2016. All rights reserved."</t>
  </si>
  <si>
    <t>C. L. P. Ruiz; F. A. H. Carreño; J. V. Vega</t>
  </si>
  <si>
    <t>10.1109/EATIS.2016.7520136</t>
  </si>
  <si>
    <t>business data processing_x000D_
systems engineering_x000D_
BPMN_x000D_
Bonita open solution tool_x000D_
EA_x000D_
TOGAF framework_x000D_
business domain_x000D_
business process management systems_x000D_
current process model_x000D_
cyclomatic complexity_x000D_
enterprise architecture_x000D_
functional tests_x000D_
process modeling_x000D_
systems engineering degree program_x000D_
Business process management_x000D_
Modeling_x000D_
Silicon_x000D_
Silicon compounds_x000D_
Software_x000D_
Asignatura_x000D_
BPM_x000D_
BPMNs_x000D_
Herramienta_x000D_
Proceso_x000D_
Pruebas de Calidad_x000D_
TOGAF</t>
  </si>
  <si>
    <t>J. Saat; R. Winter; U. Franke; R. Lagerstrom; M. Ekstedt</t>
  </si>
  <si>
    <t>10.1109/HICSS.2011.63</t>
  </si>
  <si>
    <t>DP management_x000D_
IT alignment situation_x000D_
IT executives_x000D_
IT governance perspective_x000D_
IT systems perspective_x000D_
business alignment situation_x000D_
business perspective_x000D_
design research perspective_x000D_
goal decomposition_x000D_
Adaptation model_x000D_
Availability_x000D_
Companies_x000D_
Computer architecture_x000D_
Industries</t>
  </si>
  <si>
    <t>I. S. Sacala; M. A. Moisescu; D. Repta</t>
  </si>
  <si>
    <t>10.1109/CSCS.2013.84</t>
  </si>
  <si>
    <t>Internet_x000D_
electronic commerce_x000D_
middleware_x000D_
business value_x000D_
cyber-physical system context_x000D_
distributed semantic middleware_x000D_
future Internet based enterprise_x000D_
world economy dynamics_x000D_
Business_x000D_
Computer architecture_x000D_
Ontologies_x000D_
Semantics_x000D_
Sensors_x000D_
Cyber Enterprise_x000D_
Future Internet Enterprise Systems</t>
  </si>
  <si>
    <t>C. E. Salgado; R. J. Machado; R. S. P. Maciel</t>
  </si>
  <si>
    <t>10.1109/QUATIC.2014.46</t>
  </si>
  <si>
    <t>business data processing_x000D_
information systems_x000D_
IS-IT architecture alignment_x000D_
OMG-based meta-framework_x000D_
business models_x000D_
enterprise architecture_x000D_
enterprise modelling_x000D_
goal modelling_x000D_
incremental research approach_x000D_
information technology_x000D_
logical architecture_x000D_
requirements engineering_x000D_
strategy alignment_x000D_
strategy modelling_x000D_
Bibliographies_x000D_
Computer architecture_x000D_
Organizations_x000D_
Proposals_x000D_
Software_x000D_
Software Design_x000D_
Software Engineering Models and Methods_x000D_
Software Requirements</t>
  </si>
  <si>
    <t>10.1109/CBI.2015.28</t>
  </si>
  <si>
    <t>business data processing_x000D_
formal specification_x000D_
systems engineering_x000D_
SPEM approach_x000D_
balanced scorecard business model_x000D_
business goals_x000D_
business model canvas_x000D_
business model transformations_x000D_
business rules_x000D_
cube structure_x000D_
requirements-based business model_x000D_
systems process engineering metamodel_x000D_
three-dimensional business model_x000D_
two-step elicitation_x000D_
Biological system modeling_x000D_
Organizations_x000D_
Proposals_x000D_
Solid modeling_x000D_
Unified modeling language_x000D_
Visualization_x000D_
Balanced Scorecard_x000D_
Business Model_x000D_
Goals and Rules_x000D_
Strategy_x000D_
Three-dimensional_x000D_
Use Cases</t>
  </si>
  <si>
    <t>10.1109/IACS.2015.7103187</t>
  </si>
  <si>
    <t>corporate modelling_x000D_
organisational aspects_x000D_
strategic planning_x000D_
SPEM approach_x000D_
balanced scorecard business model_x000D_
base structure_x000D_
organization strategy_x000D_
organizations_x000D_
strategy management_x000D_
strategy-oriented business model_x000D_
three-dimensional business model_x000D_
Adaptation models_x000D_
Analytical models_x000D_
Solid modeling_x000D_
Unified modeling language_x000D_
Visualization_x000D_
Balanced Scorecard_x000D_
Business Model_x000D_
Goals and Rules_x000D_
Strategy_x000D_
Three-dimensional_x000D_
Use Cases</t>
  </si>
  <si>
    <t>M. Sánchez; J. C. Reyes; J. Villalobos</t>
  </si>
  <si>
    <t>191</t>
  </si>
  <si>
    <t>3-20</t>
  </si>
  <si>
    <t>10.1007/978-3-662-44860-1_1</t>
  </si>
  <si>
    <t>Automatic documentation_x000D_
Enterprise modeling_x000D_
MDE_x000D_
Model analysis_x000D_
Automated analysis_x000D_
Construction of enterprise_x000D_
Enterprise models_x000D_
Modeling and meta-modeling</t>
  </si>
  <si>
    <t>F. Sanchez-Puchol; J. A. Pastor-Collado; B. Borrell</t>
  </si>
  <si>
    <t>https://doi.org/10.1016/j.procs.2017.11.072</t>
  </si>
  <si>
    <t>Information Systems Architecture_x000D_
Reference Model_x000D_
Higher Education Institutions_x000D_
Enterprise Information Systems</t>
  </si>
  <si>
    <t>K. Sandkuhl; U. Seigerroth; J. Kaidalova</t>
  </si>
  <si>
    <t>10.1109/EDOCW.2017.13</t>
  </si>
  <si>
    <t>Internet of Things_x000D_
business data processing_x000D_
cyber-physical systems_x000D_
innovation management_x000D_
CPS_x000D_
DI_x000D_
EAM_x000D_
IoT_x000D_
digital innovation_x000D_
embedded IT-systems_x000D_
enterprise architecture management_x000D_
enterprise-IT_x000D_
physical products_x000D_
product-IT integration method_x000D_
Computer architecture_x000D_
Conferences_x000D_
Embedded systems_x000D_
Interviews_x000D_
Licenses_x000D_
Integration_x000D_
Product-IT</t>
  </si>
  <si>
    <t>10.1109/SCCC.2013.22</t>
  </si>
  <si>
    <t>business data processing_x000D_
ontologies (artificial intelligence)_x000D_
serious games (computing)_x000D_
software architecture_x000D_
EA structural model_x000D_
Lego serious play_x000D_
enterprise architecture_x000D_
language ontology_x000D_
strategy construction model_x000D_
Complexity theory_x000D_
Computer architecture_x000D_
Information systems_x000D_
Ontologies_x000D_
Organizations_x000D_
Unified modeling language_x000D_
Processes Models_x000D_
Value Chain</t>
  </si>
  <si>
    <t>A. Santana; D. Simon; K. Fischbach; H. d. Moura</t>
  </si>
  <si>
    <t>10.1109/EDOC.2016.7579379</t>
  </si>
  <si>
    <t>business data processing_x000D_
classification_x000D_
EA professionals_x000D_
attribute check analysis_x000D_
classification schema_x000D_
cognitive-structural diagnosis analysis_x000D_
enterprise architecture network analysis_x000D_
expert tacit knowledge_x000D_
structural information_x000D_
Analytical models_x000D_
Business_x000D_
Complexity theory_x000D_
Computer architecture_x000D_
Context_x000D_
Data models_x000D_
Knowledge engineering</t>
  </si>
  <si>
    <t>A. Santana; A. Souza; D. Simon; K. Fischbach; H. D. Moura</t>
  </si>
  <si>
    <t>10-19</t>
  </si>
  <si>
    <t>10.1109/EDOC.2017.12</t>
  </si>
  <si>
    <t>business data processing_x000D_
EA_x000D_
enterprise architecture analysis_x000D_
information requirements_x000D_
meta-model_x000D_
network analysis techniques_x000D_
network science_x000D_
systematic literature review_x000D_
Analytical models_x000D_
Bibliographies_x000D_
Business_x000D_
Computer architecture_x000D_
Data models_x000D_
Knowledge engineering_x000D_
Measurement_x000D_
enterprise architecture_x000D_
network analysis_x000D_
structural analysis</t>
  </si>
  <si>
    <t>F. J. N. Santos; F. M. Santoro; C. Cappelli</t>
  </si>
  <si>
    <t>10.1109/EDOCW.2014.45</t>
  </si>
  <si>
    <t>aspect-oriented programming_x000D_
corporate modelling_x000D_
ontologies (artificial intelligence)_x000D_
EA representations_x000D_
aspect-oriented approach_x000D_
crosscutting concerns_x000D_
enterprise architecture components_x000D_
enterprise architecture level_x000D_
enterprise ontology_x000D_
Companies_x000D_
Computer architecture_x000D_
Ontologies_x000D_
Proposals_x000D_
Software_x000D_
Crosscutting Concern_x000D_
Enterprise Architecture_x000D_
Modularity</t>
  </si>
  <si>
    <t>P. S. Santos Jr; J. P. A. Almeida; G. Guizzardi</t>
  </si>
  <si>
    <t>ARIS_x000D_
Ontological interpretation_x000D_
Organizational structure_x000D_
Semantics for enterprise models_x000D_
UFO (Unified Foundation Ontology)_x000D_
Analysis approach_x000D_
Foundational ontologies_x000D_
Modeling languages_x000D_
Ontology-based_x000D_
Organizational structures_x000D_
Real-world_x000D_
Semantic domains_x000D_
Semantic foundation_x000D_
Unified foundation ontologies_x000D_
Industry_x000D_
Semantics_x000D_
Work simplification_x000D_
Ontology</t>
  </si>
  <si>
    <t>38</t>
  </si>
  <si>
    <t>10.1016/j.is.2012.09.004</t>
  </si>
  <si>
    <t>ARIS_x000D_
Ontological analysis_x000D_
Organizational structure_x000D_
Semantics for enterprise models_x000D_
UFO (Unified Foundation Ontology)_x000D_
Modeling languages_x000D_
Semantics_x000D_
Enterprise models_x000D_
Organizational structures_x000D_
Unified foundation ontologies_x000D_
Ontology</t>
  </si>
  <si>
    <t>10.1504/IJBPIM.2011.040205</t>
  </si>
  <si>
    <t>10.1007/978-3-319-25264-3_37</t>
  </si>
  <si>
    <t>G. Sauba; J. v. d. Burgt; E. Varvarigos; P. Makris; A. Schoofs</t>
  </si>
  <si>
    <t>10.1109/INTLEC.2015.7572272</t>
  </si>
  <si>
    <t>distributed power generation_x000D_
energy management systems_x000D_
investment_x000D_
photovoltaic power systems_x000D_
smart power grids_x000D_
wind turbines_x000D_
European R&amp;D 7th Framework Programme_x000D_
VIMSEN project_x000D_
current centralized electricity market_x000D_
energy aggregator_x000D_
energy cost_x000D_
energy management and business model_x000D_
future smart energy grid_x000D_
photovoltaic unit_x000D_
prosumer clustering_x000D_
renewable energy investment_x000D_
smart communication system_x000D_
smart tool_x000D_
tariff policy_x000D_
trading tool_x000D_
virtual microgrid_x000D_
wind turbine_x000D_
Business_x000D_
Decision support systems_x000D_
Electricity supply industry_x000D_
Forecasting_x000D_
Load management_x000D_
Predictive models_x000D_
active energy management_x000D_
communication technologies_x000D_
decision making_x000D_
intelligent data acquisition</t>
  </si>
  <si>
    <t>R. Savold; N. Dagher; P. Frazier; D. McCallam</t>
  </si>
  <si>
    <t>10.1109/CSCloud.2017.37</t>
  </si>
  <si>
    <t>security of data_x000D_
systems engineering_x000D_
Northrop Grumman cyber defense reference architecture_x000D_
agile structure_x000D_
cognitive tasks_x000D_
cyber threats_x000D_
cybersecurity solution development_x000D_
design patterns_x000D_
security control checklists_x000D_
static cyber defense platforms_x000D_
systems engineering approach_x000D_
Business_x000D_
Cloud computing_x000D_
Computer architecture_x000D_
Computer security_x000D_
Electric breakdown_x000D_
Visualization_x000D_
cyber defense_x000D_
cybersecurity_x000D_
security architecture_x000D_
systems security</t>
  </si>
  <si>
    <t>Y. Sayeb; I. Hamdoun; M. Saidani; S. Jbali; H. B. Ghezala</t>
  </si>
  <si>
    <t>10.1109/ISKO-Maghreb.2013.6728199</t>
  </si>
  <si>
    <t>business process re-engineering_x000D_
educational administrative data processing_x000D_
educational institutions_x000D_
information systems_x000D_
management of change_x000D_
IT professionals_x000D_
UMA_x000D_
University of Manouba_x000D_
academic information system urbanization approach_x000D_
business process reengineering_x000D_
goal-oriented approach_x000D_
goal-oriented models_x000D_
strategic needs_x000D_
Adaptation models_x000D_
Business_x000D_
Computer architecture_x000D_
Context_x000D_
Context modeling_x000D_
Actor_x000D_
change management_x000D_
the model map_x000D_
urbanization</t>
  </si>
  <si>
    <t>S. Scherer; M. A. Wimmer</t>
  </si>
  <si>
    <t>10.1145/2037556.2037571</t>
  </si>
  <si>
    <t>H.-J. Scheruhn; M. von Rosing; R. L. Fallon</t>
  </si>
  <si>
    <t>https://doi.org/10.1016/B978-0-12-799959-3.00025-2</t>
  </si>
  <si>
    <t>Process life cycle_x000D_
Process automation_x000D_
decomposition levels_x000D_
information objects and information models framework_x000D_
balanced scorcard_x000D_
BPMN_x000D_
EPC_x000D_
ERM_x000D_
IE_x000D_
UML</t>
  </si>
  <si>
    <t>R. Schmidt; M. Möhring</t>
  </si>
  <si>
    <t>111</t>
  </si>
  <si>
    <t>10.1007/978-3-319-40564-3_11</t>
  </si>
  <si>
    <t>Analytics_x000D_
Decision support_x000D_
Enterprise architecture management_x000D_
IT-Service-Management</t>
  </si>
  <si>
    <t>R. Schmidt; M. Wißotzki; D. Jugel; M. Möhring; K. Sandkuhl; A. Zimmermann</t>
  </si>
  <si>
    <t>10.1109/EDOCW.2014.47</t>
  </si>
  <si>
    <t>Big Data_x000D_
business data processing_x000D_
software architecture_x000D_
EAM maturity framework_x000D_
architectural data_x000D_
architectural decisions_x000D_
architecture metamodels_x000D_
big data technologies_x000D_
business enterprise system environments_x000D_
cyclic evaluations_x000D_
enterprise architecture analytics_x000D_
enterprise architectures_x000D_
holistic EAM reference architecture_x000D_
model representation_x000D_
permanent systems evolution_x000D_
system architectures_x000D_
top-down approach_x000D_
Cloud computing_x000D_
Computational modeling_x000D_
Computer architecture_x000D_
Measurement_x000D_
Organizations_x000D_
Enterprise Analytics_x000D_
Enterprise Architecture</t>
  </si>
  <si>
    <t>R. Schmidt; A. Zimmermann; M. Möhring; D. Jugel; F. Bär; C. M. Schweda</t>
  </si>
  <si>
    <t>10.1007/978-3-319-15895-2_39</t>
  </si>
  <si>
    <t>Enterprise architecture management processes_x000D_
Administrative data processing_x000D_
Enterprise resource management_x000D_
Enterprise software_x000D_
Management science_x000D_
Business process management_x000D_
Coordination mechanisms_x000D_
Enterprise architecture managements_x000D_
Enterprise strategies_x000D_
Interactive functions_x000D_
IT service management_x000D_
Management process_x000D_
Visualization method_x000D_
Information management</t>
  </si>
  <si>
    <t>B. Scholtz; A. Calitz; A. Connolley</t>
  </si>
  <si>
    <t>10.1109/ES.2013.6690087</t>
  </si>
  <si>
    <t>business data processing_x000D_
organisational aspects_x000D_
small-to-medium enterprises_x000D_
strategic planning_x000D_
EA component classification map_x000D_
EA programme_x000D_
enterprise architecture_x000D_
enterprise systems_x000D_
information technology_x000D_
medium to large South African organisations_x000D_
organisational challenge_x000D_
strategic challenge_x000D_
Computational modeling_x000D_
Data models_x000D_
Educational institutions_x000D_
Industries_x000D_
Ontologies_x000D_
Standardization_x000D_
Unified modeling language_x000D_
EA frameworks_x000D_
enterprise architectures_x000D_
modelling</t>
  </si>
  <si>
    <t>K. Schuitemaker; J. G. Braakhuis; M. Rajabalinejad</t>
  </si>
  <si>
    <t>10.1109/SYSOSE.2015.7151933</t>
  </si>
  <si>
    <t>knowledge management_x000D_
railway engineering_x000D_
railway safety_x000D_
safety-critical software_x000D_
systems engineering_x000D_
A3 architecture overview tool_x000D_
A3AO tool_x000D_
Dutch high speed train lines_x000D_
SysML diagrams_x000D_
architectural knowledge capturing_x000D_
architectural knowledge sharing_x000D_
iterative validations_x000D_
model based safety architecture framework_x000D_
safety complexity_x000D_
safety engineering_x000D_
safety information_x000D_
safety-critical systems_x000D_
systems engineering domain_x000D_
systems modeling language-based diagrams_x000D_
Complexity theory_x000D_
Computer architecture_x000D_
Hazards_x000D_
Modeling_x000D_
Risk management_x000D_
Model based_x000D_
SoSE_x000D_
architecture_x000D_
framework_x000D_
safety</t>
  </si>
  <si>
    <t>J. Schulenklopper; E. Rommes</t>
  </si>
  <si>
    <t>33</t>
  </si>
  <si>
    <t>10.1109/MS.2016.67</t>
  </si>
  <si>
    <t>software architecture_x000D_
best practices_x000D_
business stakeholders_x000D_
visual communication_x000D_
Computer architecture_x000D_
Image color analysis_x000D_
Information technology_x000D_
Psychology_x000D_
Stakeholders_x000D_
Visualization_x000D_
IT_x000D_
IT architecture_x000D_
collaboration_x000D_
effective communication_x000D_
software development_x000D_
software engineering_x000D_
visualization techniques</t>
  </si>
  <si>
    <t>G. Sedrakyan; J. De Weerdt; M. Snoeck</t>
  </si>
  <si>
    <t>https://doi.org/10.1016/j.chb.2015.12.040</t>
  </si>
  <si>
    <t>Teaching/learning modeling_x000D_
Domain modeling_x000D_
Conceptual modeling_x000D_
Process-oriented feedback_x000D_
Modeling patterns_x000D_
Information systems education_x000D_
Process mining_x000D_
Learning analytics</t>
  </si>
  <si>
    <t>G. Sedrakyan; M. Snoeck; S. Poelmans</t>
  </si>
  <si>
    <t>78</t>
  </si>
  <si>
    <t>https://doi.org/10.1016/j.compedu.2014.06.014</t>
  </si>
  <si>
    <t>Teaching conceptual modeling_x000D_
Modeling knowledge_x000D_
Model validation/validity_x000D_
Simulation/prototyping_x000D_
Augmented feedback</t>
  </si>
  <si>
    <t>T. C. Shan; W. W. Hua</t>
  </si>
  <si>
    <t>10.1109/EDOC.2006.54</t>
  </si>
  <si>
    <t>business data processing_x000D_
information systems_x000D_
software architecture_x000D_
P20 Tao model_x000D_
architecture complexity_x000D_
architecture lifecycle_x000D_
architecture perspectives_x000D_
architecture stack_x000D_
common application platform_x000D_
eServices_x000D_
enterprise information systems_x000D_
model-centric architecting process_x000D_
prescriptive artineering method_x000D_
readiness maturity_x000D_
solution architecting framework_x000D_
solution architecting mechanism_x000D_
solution open architecture planning_x000D_
Best practices_x000D_
Business_x000D_
Computer architecture_x000D_
Dynamic programming_x000D_
Logic_x000D_
Object oriented modeling_x000D_
Process design_x000D_
Process planning_x000D_
Software testing_x000D_
Unified modeling language</t>
  </si>
  <si>
    <t>10.1109/SCC.2006.99</t>
  </si>
  <si>
    <t>Internet_x000D_
business data processing_x000D_
3-tier architectural style_x000D_
Internet application_x000D_
Web distributed system_x000D_
architecture model_x000D_
database tier_x000D_
distributed application_x000D_
holistic application architecture framework_x000D_
n-tier application_x000D_
runtime infrastructure pillar_x000D_
service-oriented model_x000D_
service-oriented solution architecture_x000D_
Business communication_x000D_
Databases_x000D_
Environmental management_x000D_
Java_x000D_
Portals_x000D_
Runtime environment_x000D_
Search engines_x000D_
Service oriented architecture_x000D_
Web services</t>
  </si>
  <si>
    <t>10.1109/SOCA.2007.39</t>
  </si>
  <si>
    <t>Internet_x000D_
quality of service_x000D_
security of data_x000D_
software architecture_x000D_
Internet applications_x000D_
SOFIA model_x000D_
architecture design complexity_x000D_
conceptual view_x000D_
information system_x000D_
integration mechanism_x000D_
logical view_x000D_
overarching model_x000D_
physical view_x000D_
security solution_x000D_
service-oriented framework_x000D_
solution development lifecycle_x000D_
system architecture_x000D_
system governance_x000D_
system management_x000D_
technology solution_x000D_
topology view_x000D_
utility components_x000D_
Design methodology_x000D_
Logic testing_x000D_
Management information systems_x000D_
Process design_x000D_
Security_x000D_
System testing_x000D_
Technology management_x000D_
Topology_x000D_
Web and internet services</t>
  </si>
  <si>
    <t>10.4018/978-1-60566-008-0.ch006</t>
  </si>
  <si>
    <t>D. Shishmanian; C. Bogdan</t>
  </si>
  <si>
    <t>corporate modelling_x000D_
logistics_x000D_
management information systems_x000D_
ontologies (artificial intelligence)_x000D_
organisational aspects_x000D_
IT scope_x000D_
business objectives_x000D_
business scope_x000D_
enterprise architecture framework_x000D_
enterprise generic model_x000D_
industrial process_x000D_
information system_x000D_
information technology_x000D_
logistic cross-enterprise process_x000D_
ontological specification_x000D_
performance indicators_x000D_
performance management_x000D_
Computer architecture_x000D_
Information systems_x000D_
Semantics_x000D_
Enterprise modelling_x000D_
Governance_x000D_
Indicator_x000D_
Measurement_x000D_
Performance_x000D_
RFID</t>
  </si>
  <si>
    <t>L. F. d. Silva; F. B. e. Abreu</t>
  </si>
  <si>
    <t>10.1109/QUATIC.2010.34</t>
  </si>
  <si>
    <t>business data processing_x000D_
organisational aspects_x000D_
IT infrastructure patterns approach_x000D_
IT service management quality_x000D_
IT services_x000D_
organization processes_x000D_
Business_x000D_
Databases_x000D_
Hardware_x000D_
Internet_x000D_
Routing protocols_x000D_
Security_x000D_
Servers_x000D_
Design patterns_x000D_
IT infrastructures_x000D_
Information Technology</t>
  </si>
  <si>
    <t>M. A. A. d. Silva; A. Abhervé; A. Sadovykh</t>
  </si>
  <si>
    <t>10.1109/SYNASC.2013.67</t>
  </si>
  <si>
    <t>client-server systems_x000D_
cloud computing_x000D_
protocols_x000D_
user interfaces_x000D_
MODAClouds FP7 EU project_x000D_
ModelioSaaS_x000D_
SOFTEAM_x000D_
Web interfaces_x000D_
client-server based products_x000D_
client-server services_x000D_
desktop_x000D_
functional requirements_x000D_
multiclouds_x000D_
nonfunctional requirements_x000D_
software as a service_x000D_
Business_x000D_
Computer architecture_x000D_
Modeling_x000D_
Servers_x000D_
Teamwork_x000D_
Unified modeling language_x000D_
legacy applications_x000D_
migration</t>
  </si>
  <si>
    <t>N. Silva; M. M. d. Silva; #233; a. Barafort; M. Vicente; P. Sousa</t>
  </si>
  <si>
    <t>10.1145/2695664.2699486</t>
  </si>
  <si>
    <t>D. Simon; K. Fischbach; D. Schoder</t>
  </si>
  <si>
    <t>32</t>
  </si>
  <si>
    <t>1-71</t>
  </si>
  <si>
    <t>Enterprise architecture_x000D_
Information technology management_x000D_
Scientometrics_x000D_
Survey_x000D_
Co-authorships_x000D_
Development process_x000D_
Intellectual structures_x000D_
Research fields_x000D_
Research questions_x000D_
Information technology_x000D_
Surveys_x000D_
Research</t>
  </si>
  <si>
    <t>A. P. Sinha; H. Jain</t>
  </si>
  <si>
    <t>131</t>
  </si>
  <si>
    <t>https://doi.org/10.1016/j.jss.2016.07.036</t>
  </si>
  <si>
    <t>Conceptual modeling_x000D_
Cognitive fit_x000D_
Chunking_x000D_
Analyst experience_x000D_
Software reuse_x000D_
Systems development</t>
  </si>
  <si>
    <t>F. L. Siqueira; P. S. M. Silva</t>
  </si>
  <si>
    <t>96</t>
  </si>
  <si>
    <t>10.1016/j.jss.2014.06.007</t>
  </si>
  <si>
    <t>Stakeholder requirement_x000D_
Transformation_x000D_
Use case_x000D_
Hardware_x000D_
Software engineering_x000D_
Empirical analysis_x000D_
Enterprise modeling_x000D_
Enterprise system_x000D_
Model-driven Engineering_x000D_
Software requirements_x000D_
Transformation rules_x000D_
Requirements engineering</t>
  </si>
  <si>
    <t>F. L. Siqueira; P. S. M. Silva; P. S. M. Silva</t>
  </si>
  <si>
    <t>10.1109/MoDRE.2011.6045363</t>
  </si>
  <si>
    <t>business data processing_x000D_
formal specification_x000D_
formal verification_x000D_
systems analysis_x000D_
domain knowledge_x000D_
enterprise model_x000D_
model-driven engineering concepts_x000D_
requirements engineering_x000D_
semi-automatic transformation_x000D_
use case model_x000D_
Context_x000D_
Organizations_x000D_
Semantics_x000D_
Syntactics_x000D_
Transforms_x000D_
Unified modeling language_x000D_
requirement_x000D_
specification_x000D_
transformation_x000D_
use case</t>
  </si>
  <si>
    <t>M. A. Solano; J. Carbone</t>
  </si>
  <si>
    <t>sensor fusion_x000D_
software architecture_x000D_
systems engineering_x000D_
cohesive approach_x000D_
enterprise multilevel fusion integration_x000D_
formal process_x000D_
fusion system architecture_x000D_
information fusion_x000D_
systematic approach_x000D_
Aging_x000D_
Capability maturity model_x000D_
Modeling_x000D_
Organizations_x000D_
Fusion Systems Architecture_x000D_
Multi-Level Fusio_x000D_
Systems Enginnering</t>
  </si>
  <si>
    <t>H. P. d. S. Sousa; J. C. S. d. P. Leite</t>
  </si>
  <si>
    <t>10.1109/CBI.2017.65</t>
  </si>
  <si>
    <t>human resource management_x000D_
organisational aspects_x000D_
GPI_x000D_
HR strategic alignment analysis_x000D_
business strategic goal_x000D_
business strategy demand_x000D_
competency management literature_x000D_
human resource competency perspective_x000D_
organizational alignment modeling language_x000D_
organizational layer_x000D_
Analytical models_x000D_
Complexity theory_x000D_
Context modeling_x000D_
Organizations_x000D_
Planning_x000D_
Proposals_x000D_
competency management_x000D_
competency modeling_x000D_
human resources alignment_x000D_
human resources modeling_x000D_
organizational alignment_x000D_
organizational modeling</t>
  </si>
  <si>
    <t>10.1109/ICETA.2011.6112614</t>
  </si>
  <si>
    <t>computer aided instruction_x000D_
information systems_x000D_
organisational aspects_x000D_
e-learning project_x000D_
e-learning use case_x000D_
information systems architecture modeling_x000D_
loosely IT coupled structures_x000D_
modulation vision_x000D_
organizations_x000D_
positivist vision_x000D_
technosocial system_x000D_
user interrelation_x000D_
Animals_x000D_
Biological system modeling_x000D_
Computational modeling_x000D_
Computer architecture_x000D_
Electronic learning_x000D_
Information technology_x000D_
commodity_x000D_
information system architecture_x000D_
interpretivist_x000D_
positivist_x000D_
technosocial systems</t>
  </si>
  <si>
    <t>J. L. R. Sousa; R. J. Machado</t>
  </si>
  <si>
    <t>https://doi.org/10.1016/j.protcy.2014.10.005</t>
  </si>
  <si>
    <t>Business / IT alignment_x000D_
complex-networks_x000D_
profiling framework_x000D_
information systems</t>
  </si>
  <si>
    <t>J. L. R. Sousa; R. J. Machado; J. F. F. Mendes</t>
  </si>
  <si>
    <t>Modeling organizational information system architecture using complex networks" concepts"</t>
  </si>
  <si>
    <t>10.1109/QUATIC.2012.40</t>
  </si>
  <si>
    <t>computer science related discipline: information management_x000D_
management related discipline: information systems management_x000D_
software requirements_x000D_
Architectural models_x000D_
Biological networks_x000D_
Empirical studies_x000D_
Networked systems_x000D_
Organizational information systems_x000D_
Requirements modeling_x000D_
Self organizations_x000D_
Information management_x000D_
Information services_x000D_
Information systems_x000D_
Research_x000D_
Service oriented architecture (SOA)_x000D_
Social networking (online)_x000D_
Computer simulation</t>
  </si>
  <si>
    <t>Organizations live in a world where interdependence, self-organization and emergence are factors for agility, adaptability and flexibility plunged into networks. Software-based information systems go into a service oriented architecture direction and the same goes to Infrastructures where services are become structures available in networks. Inspired into empirical studies of networked systems such as Internet, social networks, and biological networks, researchers have in recent years developed a variety of techniques and models to help us structurally understand or predict the behavior of these systems. Those findings are characterized by been supported on the complex networks" concepts. On this PhD research we present the use of the concepts of complex networks from physics to develop organizational information system architectural models, as requirements modeling technique. The research is about the structure and function of networks and its use for modeling organizational information systems architectures by using a combination of empirical methods, analysis, and computer simulations. © 2012 IEEE."</t>
  </si>
  <si>
    <t>T. Speckert; I. Rychkova; J. Zdravkovic; S. Nurcan</t>
  </si>
  <si>
    <t>10.1109/EDOCW.2013.41</t>
  </si>
  <si>
    <t>DP management_x000D_
business data processing_x000D_
organisational aspects_x000D_
peer-to-peer computing_x000D_
EA knowledge_x000D_
decentralization principles_x000D_
decentralized environments_x000D_
decentralized organizations_x000D_
enterprise architecture_x000D_
organization process_x000D_
peer-to-peer architectures_x000D_
Collaboration_x000D_
Computer architecture_x000D_
Decision making_x000D_
Engines_x000D_
Organizations_x000D_
Standards organizations_x000D_
decentralization</t>
  </si>
  <si>
    <t>D. Ståhl; J. Bosch</t>
  </si>
  <si>
    <t>83</t>
  </si>
  <si>
    <t>https://doi.org/10.1016/j.infsof.2016.11.006</t>
  </si>
  <si>
    <t>Cinders_x000D_
Software integration_x000D_
Software testing_x000D_
Continuous integration_x000D_
Continuous delivery_x000D_
Architecture framework</t>
  </si>
  <si>
    <t>A. Stam; J. Jacob; F. S. De Boer; M. M. Bonsangue; L. Van Der Torre</t>
  </si>
  <si>
    <t>Enterprise resource planning_x000D_
Formal languages_x000D_
Information analysis_x000D_
Mathematical models_x000D_
Program documentation_x000D_
XML_x000D_
Architectural information_x000D_
Enterprise architectures_x000D_
Transformation languages_x000D_
XML transformations_x000D_
Computer architecture</t>
  </si>
  <si>
    <t>M. W. A. Steen; D. H. Akehurst; H. W. L. t. Doest; M. M. Lankhorst</t>
  </si>
  <si>
    <t>10.1109/EDOC.2004.1342516</t>
  </si>
  <si>
    <t>Unified Modeling Language_x000D_
corporate modelling_x000D_
decision making_x000D_
distributed processing_x000D_
formal specification_x000D_
organisational aspects_x000D_
business process architecture_x000D_
information architecture_x000D_
organisational structures_x000D_
viewpoint-oriented enterprise architecture_x000D_
Coherence_x000D_
Collaboration_x000D_
Computer architecture_x000D_
Contracts_x000D_
Distributed computing_x000D_
Environmental management_x000D_
Lenses_x000D_
Organizational aspects_x000D_
Portfolios</t>
  </si>
  <si>
    <t>M. Stephan; J. R. Cordy</t>
  </si>
  <si>
    <t>10.1109/QRS.2016.21</t>
  </si>
  <si>
    <t>security of data_x000D_
software architecture_x000D_
software quality_x000D_
software reliability_x000D_
software tools_x000D_
model clone detection_x000D_
model-driven analysis_x000D_
reliability_x000D_
security_x000D_
software architecture quality model-driven evaluation_x000D_
Adaptation models_x000D_
Analytical models_x000D_
Cloning_x000D_
Computer architecture_x000D_
Detectors_x000D_
Unified modeling language_x000D_
Model-driven Evaluation_x000D_
model driven architecture_x000D_
model quality</t>
  </si>
  <si>
    <t>10.1109/CSEET.2009.8</t>
  </si>
  <si>
    <t>DP industry_x000D_
computer science education_x000D_
educational courses_x000D_
intelligence module_x000D_
software Industry_x000D_
software business demand_x000D_
software educational institution_x000D_
software engineering education curriculum_x000D_
software organization_x000D_
Collaborative software_x000D_
Collaborative work_x000D_
Computer architecture_x000D_
Computer industry_x000D_
Educational institutions_x000D_
Educational products_x000D_
Industrial training_x000D_
Software engineering_x000D_
Technological innovation</t>
  </si>
  <si>
    <t>M. Suleiman; R. Agrawal; C. Seay; W. Grosky</t>
  </si>
  <si>
    <t>10.1109/SECON.2014.6950652</t>
  </si>
  <si>
    <t>data mining_x000D_
health care_x000D_
medical administrative data processing_x000D_
security of data_x000D_
IT healthcare system_x000D_
US government_x000D_
data driven implementation_x000D_
fraudulent Medicaid application detection_x000D_
fraudulent application detection_x000D_
health record maintenance_x000D_
healthcare service providers_x000D_
patients_x000D_
private databases_x000D_
public databases_x000D_
Computer architecture_x000D_
Databases_x000D_
Government_x000D_
Medical services_x000D_
Vehicles_x000D_
Data Driven_x000D_
Fraud Detection_x000D_
Healthcare_x000D_
Heterogenous Database_x000D_
Mediciad_x000D_
Scoring Model</t>
  </si>
  <si>
    <t>J. Sun; Y. Chen</t>
  </si>
  <si>
    <t>10.1109/ICMSS.2010.5577437</t>
  </si>
  <si>
    <t>bank data processing_x000D_
TOGAF 9 framework_x000D_
Zachman framework_x000D_
bank IT lifecycle management_x000D_
enterprise technical architecture_x000D_
technical component patterns_x000D_
unified IT environment_x000D_
universal bank_x000D_
Banking_x000D_
Business_x000D_
Computer architecture_x000D_
Humans_x000D_
Portals_x000D_
Security_x000D_
Standards organizations</t>
  </si>
  <si>
    <t>C. T. Sungur; T. Binz; U. Breitenbücher; F. Leymann</t>
  </si>
  <si>
    <t>10.1109/EDOC.2014.35</t>
  </si>
  <si>
    <t>business data processing_x000D_
executable informal process model_x000D_
execution steps_x000D_
informal process essentials_x000D_
resource-centric approach_x000D_
Collaboration_x000D_
Context_x000D_
Data models_x000D_
Maintenance engineering_x000D_
Organizations_x000D_
Software_x000D_
ad-hoc enactment_x000D_
informal processes_x000D_
resource-centric processes</t>
  </si>
  <si>
    <t>S. Sunkle; D. Kholkar; H. Rathod; V. Kulkarni</t>
  </si>
  <si>
    <t>10.1109/EDOCW.2014.17</t>
  </si>
  <si>
    <t>business data processing_x000D_
conformance testing_x000D_
corporate modelling_x000D_
bottom-up traceability_x000D_
business rules_x000D_
compliance checking_x000D_
directives operationalization_x000D_
enterprise TO-BE architecture_x000D_
extended enterprise architecture-based models_x000D_
model-based solution_x000D_
top-down traceability_x000D_
Analytical models_x000D_
Business_x000D_
Computational modeling_x000D_
Computer architecture_x000D_
Context_x000D_
Context modeling_x000D_
Visualization_x000D_
Directives_x000D_
Enterprise Modeling_x000D_
Intentional Modeling_x000D_
Policies_x000D_
Rules</t>
  </si>
  <si>
    <t>S. Sunkle; H. Rathod</t>
  </si>
  <si>
    <t>10.1109/EDOCW.2014.36</t>
  </si>
  <si>
    <t>application program interfaces_x000D_
business data processing_x000D_
decision making_x000D_
ontologies (artificial intelligence)_x000D_
AS-IS state_x000D_
TO-BE states_x000D_
enterprise decision making model_x000D_
operationalization model_x000D_
programmable analysis_x000D_
proprietary metamodeling framework_x000D_
visual modeling_x000D_
Analytical models_x000D_
Business_x000D_
Computer architecture_x000D_
Context_x000D_
Context modeling_x000D_
Ontologies_x000D_
Visualization_x000D_
Adex_x000D_
Analysis_x000D_
ArchiMate_x000D_
Enterprise Modeling_x000D_
Intentional Modeling_x000D_
Metamodeling Framework_x000D_
OpenOME</t>
  </si>
  <si>
    <t>S. Sunkle; H. Rathod; V. Kulkarni</t>
  </si>
  <si>
    <t>Course of Action_x000D_
Goal Modeling_x000D_
Organizational Hierarchy_x000D_
Strategy Making_x000D_
Artificial intelligence_x000D_
Bioinformatics_x000D_
Problem statement_x000D_
Data mining</t>
  </si>
  <si>
    <t>K. Surendro; Aradea; I. Supriana</t>
  </si>
  <si>
    <t>1-17</t>
  </si>
  <si>
    <t>Adaptive model_x000D_
Capability maturity model_x000D_
Cloud computing_x000D_
Goal-oriented_x000D_
Requirements engineering</t>
  </si>
  <si>
    <t>D. Sutherland; D. S. Hovorka</t>
  </si>
  <si>
    <t>Enterprise architecture_x000D_
IT organisational alignment_x000D_
Natural resources_x000D_
Sustainability_x000D_
Information systems_x000D_
Exploratory research_x000D_
Information technology strategy_x000D_
IT contributions_x000D_
Organisational_x000D_
Resource extraction_x000D_
Sustainability objectives_x000D_
Sustainable development</t>
  </si>
  <si>
    <t>E. O. Svee; J. Zdravkovic</t>
  </si>
  <si>
    <t>10.1109/RCIS.2016.7549323</t>
  </si>
  <si>
    <t>consumer behaviour_x000D_
natural language processing_x000D_
social networking (online)_x000D_
American airlines_x000D_
CPMM_x000D_
NLP_x000D_
Twitter_x000D_
consumer choice_x000D_
consumer preference capturing_x000D_
consumer preference meta-model_x000D_
crowdsourcing_x000D_
information system-services_x000D_
model-based linkage_x000D_
product assumptions_x000D_
service assumptions_x000D_
short texts_x000D_
Big data_x000D_
Business_x000D_
Computers_x000D_
Context_x000D_
consumer preference_x000D_
consumer value_x000D_
goal modeling_x000D_
model-based requirements_x000D_
value</t>
  </si>
  <si>
    <t>10.15439/2015F44</t>
  </si>
  <si>
    <t>business data processing_x000D_
formal specification_x000D_
formal verification_x000D_
ArchiMate business process_x000D_
ArchiMate language_x000D_
CTL_x000D_
NuSMV model checker_x000D_
NuSMV symbolic model checker_x000D_
artificial process models_x000D_
automated business process verification_x000D_
behavioral elements_x000D_
complex business process specification verification_x000D_
fully-automated translation_x000D_
interactive verification tool_x000D_
model checking techniques_x000D_
state space explosion_x000D_
time efficiency_x000D_
Analytical models_x000D_
Business_x000D_
Computational modeling_x000D_
Computer architecture_x000D_
Junctions_x000D_
Model checking_x000D_
Petri nets_x000D_
ArchiMate_x000D_
NuSMV_x000D_
business process verification</t>
  </si>
  <si>
    <t>K. Takahashi; Y. Ogata; Y. Nonaka</t>
  </si>
  <si>
    <t>10.1109/COASE.2017.8256228</t>
  </si>
  <si>
    <t>Analytical models_x000D_
NIST_x000D_
Solid modeling</t>
  </si>
  <si>
    <t>E. Tambouris; E. Kaliva; M. Liaros; K. Tarabanis</t>
  </si>
  <si>
    <t>10.1007/s10270-012-0303-7</t>
  </si>
  <si>
    <t>ArchiMate_x000D_
E-government_x000D_
Enterprise architecture_x000D_
Public service provision_x000D_
Requirements engineering_x000D_
Government data processing_x000D_
Electronic government_x000D_
Online public services_x000D_
Public service provisions_x000D_
Software development costs_x000D_
Systematic literature review_x000D_
Industry</t>
  </si>
  <si>
    <t>W. Tan; J. Xue; J. Wang</t>
  </si>
  <si>
    <t>10.1109/ICEBE.2006.13</t>
  </si>
  <si>
    <t>goods distribution_x000D_
information systems_x000D_
manufacturing systems_x000D_
software architecture_x000D_
tobacco industry_x000D_
virtual enterprises_x000D_
Chinese tobacco industrial contemporary integration manufacturing system_x000D_
Chinese tobacco industrial sector_x000D_
application classification_x000D_
enterprise business classification_x000D_
service-oriented virtual enterprise architecture_x000D_
tobacco distribution system_x000D_
tobacco industrial information system_x000D_
Business_x000D_
Computer architecture_x000D_
Computer networks_x000D_
Construction industry_x000D_
Electronic mail_x000D_
ISO standards_x000D_
Manufacturing industries_x000D_
Monopoly</t>
  </si>
  <si>
    <t>A. Tang; J. Han; P. Chen</t>
  </si>
  <si>
    <t>10.1109/APSEC.2004.2</t>
  </si>
  <si>
    <t>risk analysis_x000D_
software architecture_x000D_
software cost estimation_x000D_
software architecture framework_x000D_
software architecture modeling_x000D_
software cost analysis_x000D_
software engineering_x000D_
Computer architecture_x000D_
Cost benefit analysis_x000D_
Electronic mail_x000D_
Information analysis_x000D_
Information systems_x000D_
Information technology_x000D_
Software algorithms</t>
  </si>
  <si>
    <t>A. Tang; Y. Jin; J. Han</t>
  </si>
  <si>
    <t>80</t>
  </si>
  <si>
    <t>https://doi.org/10.1016/j.jss.2006.08.040</t>
  </si>
  <si>
    <t>Design rationale_x000D_
Architecture design_x000D_
Traceability</t>
  </si>
  <si>
    <t>A. Tang; M. F. Lau</t>
  </si>
  <si>
    <t>88</t>
  </si>
  <si>
    <t>https://doi.org/10.1016/j.jss.2013.09.044</t>
  </si>
  <si>
    <t>Software architecture review_x000D_
Design reasoning_x000D_
Verification of software architecture</t>
  </si>
  <si>
    <t>X. L. Tao; Y. Wei; Y. Wang</t>
  </si>
  <si>
    <t>10.3969/j.issn.1001-0548.2016.02.018</t>
  </si>
  <si>
    <t>Knowledge reasoning_x000D_
MapReduce_x000D_
Network traffic classification_x000D_
Ontology_x000D_
Parallelization_x000D_
Algorithms_x000D_
Classification (of information)_x000D_
Computer networks_x000D_
Data mining_x000D_
Decision trees_x000D_
Efficiency_x000D_
Inference engines_x000D_
Network layers_x000D_
Telecommunication traffic_x000D_
Trees (mathematics)_x000D_
Classification efficiency_x000D_
Classification models_x000D_
Decision-tree algorithm_x000D_
Map-reduce_x000D_
Parallelizations_x000D_
Statistical features_x000D_
Information management</t>
  </si>
  <si>
    <t>G. Tapandjieva; M. Filipponi; A. Wegmann</t>
  </si>
  <si>
    <t>10.1109/SOCA.2017.11</t>
  </si>
  <si>
    <t>Companies_x000D_
Fires_x000D_
Maintenance engineering_x000D_
Security_x000D_
Tools_x000D_
Unified modeling language_x000D_
Leon_x000D_
SEAM_x000D_
Scala_x000D_
alignment verification_x000D_
service design_x000D_
service design specification_x000D_
service modeling</t>
  </si>
  <si>
    <t>G. Tapandjieva; A. Gopal; M. Grossan; A. Wegmann</t>
  </si>
  <si>
    <t>10.1109/EDOCW.2014.56</t>
  </si>
  <si>
    <t>business data processing_x000D_
object-oriented methods_x000D_
organisational aspects_x000D_
EPFL_x000D_
SEAM_x000D_
Swiss Federal Institute of Technology_x000D_
data linking technology_x000D_
design patterns_x000D_
process linking technology_x000D_
requisite service abstraction_x000D_
service interface_x000D_
systemic enterprise architecture methodology_x000D_
value-added services_x000D_
Documentation_x000D_
Educational institutions_x000D_
Joining processes_x000D_
Organizations_x000D_
Portals_x000D_
Proposals_x000D_
Standards organizations_x000D_
business and IT alignment_x000D_
process modeling_x000D_
service_x000D_
service modeling</t>
  </si>
  <si>
    <t>R. S. Tapia; M. Daneva; P. v. Eck; R. Wieringa</t>
  </si>
  <si>
    <t>10.1109/EDOCW.2008.59</t>
  </si>
  <si>
    <t>business data processing_x000D_
groupware_x000D_
business-IT aligned maturity model_x000D_
centralized decision-making process_x000D_
collaborative networked organization_x000D_
economic process_x000D_
Application software_x000D_
Business communication_x000D_
Collaboration_x000D_
Collaborative work_x000D_
Communication system software_x000D_
Decision making_x000D_
Enterprise resource planning_x000D_
Information systems_x000D_
Operating systems_x000D_
Software systems</t>
  </si>
  <si>
    <t>D. Tchoffa; N. Figay; P. Ghodous; E. Exposito; L. Kermad; T. Vosgien; A. El Mhamedi</t>
  </si>
  <si>
    <t>https://doi.org/10.1016/j.datak.2016.02.004</t>
  </si>
  <si>
    <t>Interoperability_x000D_
Dynamic manufacturing network_x000D_
Product lifecycle management_x000D_
Open standards_x000D_
Model-based enterprise platform engineering</t>
  </si>
  <si>
    <t>A. Teka; N. Condori-Fernández; I. Kurtev; D. Quartel; W. Engelsman</t>
  </si>
  <si>
    <t>10.1109/MoDRE.2012.6360075</t>
  </si>
  <si>
    <t>DP industry_x000D_
business data processing_x000D_
formal specification_x000D_
fuzzy logic_x000D_
management of change_x000D_
Archimate_x000D_
EA goal analysis_x000D_
EA modeling languages_x000D_
IT systems_x000D_
NFR framework_x000D_
TROPOS framework_x000D_
adaptable stakeholder goal management_x000D_
adaptable stakeholder requirements management_x000D_
business goals_x000D_
business processes_x000D_
change impact analysis_x000D_
enterprise architecture models_x000D_
fuzzy logic based approaches_x000D_
goal change management techniques_x000D_
goal modeling language_x000D_
indirect goal relations_x000D_
requirements engineering_x000D_
requirements modeling language_x000D_
software engineering industry_x000D_
system development activities_x000D_
the open group architecture framework_x000D_
Analytical models_x000D_
Business_x000D_
Cognition_x000D_
Computer architecture_x000D_
Context_x000D_
Fuzzy sets_x000D_
enterprise architecture_x000D_
goal change management_x000D_
goal reasoning_x000D_
indirect influence relations</t>
  </si>
  <si>
    <t>F. Tekiner; J. A. Keane</t>
  </si>
  <si>
    <t>10.1109/SMC.2013.258</t>
  </si>
  <si>
    <t>Big Data_x000D_
SQL_x000D_
competitive intelligence_x000D_
data integration_x000D_
Big Data application division_x000D_
Big Data framework_x000D_
computational resources_x000D_
data interaction_x000D_
data processing_x000D_
data-driven decision making_x000D_
modular blocks_x000D_
organizational aspects_x000D_
storage resources_x000D_
strategic decision making_x000D_
Data handling_x000D_
Data models_x000D_
Data storage systems_x000D_
Decision making_x000D_
Information management_x000D_
Organizations_x000D_
analytics_x000D_
business intelligence_x000D_
data scientist_x000D_
hadoop_x000D_
strategy</t>
  </si>
  <si>
    <t>P. Thomas; S. Veli</t>
  </si>
  <si>
    <t>350</t>
  </si>
  <si>
    <t>10.1002/9780470594025.ch6</t>
  </si>
  <si>
    <t>&lt;P&gt;This chapter contains sections titled: &lt;L ID=l1" TYPE="LABELLED"&gt; &lt;LI&gt; &lt;P&gt;Introduction&lt;/P&gt; &lt;/LI&gt; &lt;LI&gt; &lt;P&gt;Why Are Standards Important to OSS Architecture?&lt;/P&gt; &lt;/LI&gt; &lt;LI&gt; &lt;P&gt;The TeleManagement Forum (TM Forum) for OSS Architecture&lt;/P&gt; &lt;/LI&gt; &lt;LI&gt; &lt;P&gt;Other Standards Bodies&lt;/P&gt; &lt;/LI&gt; &lt;LI&gt; &lt;P&gt;TM Forum's Enhanced Telecommunications Operations Map (eTOM)&lt;/P&gt; &lt;/LI&gt; &lt;LI&gt; &lt;P&gt;Information Framework&lt;/P&gt; &lt;/LI&gt; &lt;LI&gt; &lt;P&gt;DMTF CIM (Distributed Task Force Management)&lt;/P&gt; &lt;/LI&gt; &lt;LI&gt; &lt;P&gt;TIP (TM Forum's Interface Program)&lt;/P&gt; &lt;/LI&gt; &lt;LI&gt; &lt;P&gt;NGOSS Contracts (aka Business Services)&lt;/P&gt; &lt;/LI&gt; &lt;LI&gt; &lt;P&gt;MTOSI Case Study&lt;/P&gt; &lt;/LI&gt; &lt;LI&gt; &lt;P&gt;Representational State Transfer (REST)¿¿-¿¿A Silver Bullet?&lt;/P&gt; &lt;/LI&gt; &lt;LI&gt; &lt;P&gt;Real Network Implementation of a Standard&lt;/P&gt; &lt;/LI&gt; &lt;LI&gt; &lt;P&gt;Business Benefit&lt;/P&gt; &lt;/LI&gt; &lt;LI&gt; &lt;P&gt;OSS Transition Strategies&lt;/P&gt; &lt;/LI&gt; &lt;LI&gt; &lt;P&gt;ETSI TISPAN and 3GPP IMS&lt;/P&gt; &lt;/LI&gt; &lt;LI&gt; &lt;P&gt;OSS Interaction with IMS and Subscriber Management (SuM)&lt;/P&gt; &lt;/LI&gt; &lt;LI&gt; &lt;P&gt;NGN OSS Function/Information View Reference Model&lt;/P&gt; &lt;/LI&gt; &lt;LI&gt; &lt;P&gt;Designing Technology-Neutral Architectures&lt;/P&gt; &lt;/LI&gt; &lt;LI&gt; &lt;P&gt;UML and Domain Specific Languages (DSLs)&lt;/P&gt; &lt;/LI&gt; &lt;LI&gt; &lt;P&gt;An Emerging Solution: The Domain Specific Language&lt;/P&gt; &lt;/LI&gt; &lt;LI&gt; &lt;P&gt;From Model-Driven Architecture to Model-Driven Software Design&lt;/P&gt; &lt;/LI&gt; &lt;LI&gt; &lt;P&gt;Other Standards Models (DMTF CIM, 3GPP, and TISPAN)&lt;/P&gt; &lt;/LI&gt; &lt;LI&gt; &lt;P&gt;Putting Things Together: Business Services in Depth&lt;/P&gt; &lt;/LI&gt; &lt;LI&gt; &lt;P&gt;Building a DSL-Based Solution&lt;/P&gt; &lt;/LI&gt; &lt;LI&gt; &lt;P&gt;Final Thought&lt;/P&gt; &lt;/LI&gt; &lt;LI&gt; &lt;P&gt;Bibliography&lt;/P&gt; &lt;/LI&gt; &lt;/L&gt; &lt;/P&gt;"</t>
  </si>
  <si>
    <t>C. Tommaso; C. Marco; V. Agostino</t>
  </si>
  <si>
    <t>34</t>
  </si>
  <si>
    <t>https://doi.org/10.1016/S1474-6670(17)33260-3</t>
  </si>
  <si>
    <t>Negotiation Support Systems_x000D_
Supply-chain management</t>
  </si>
  <si>
    <t>Y. Tong; J. Zhang; T. Qin; M. D. Xu</t>
  </si>
  <si>
    <t>10.1109/CSA.2015.73</t>
  </si>
  <si>
    <t>DoDAF_x000D_
Framework design_x000D_
Mobile agents_x000D_
Network security_x000D_
Monitoring_x000D_
Network architecture_x000D_
Application architecture_x000D_
Business architecture_x000D_
Framework designs_x000D_
In-network management_x000D_
Security and monitoring_x000D_
Security monitoring_x000D_
Technology architectures</t>
  </si>
  <si>
    <t>Y. Tong; J. Zhang; M. D. Xu; T. Qin</t>
  </si>
  <si>
    <t>computer network management_x000D_
computer network security_x000D_
computerised monitoring_x000D_
mobile agents_x000D_
DM2_x000D_
DOD architecture framework_x000D_
DoDAF meta data_x000D_
FIPA_x000D_
MASIF_x000D_
TOGAF_x000D_
application architecture_x000D_
business architecture_x000D_
data architecture_x000D_
foundation for intelligent physical agents_x000D_
mobile agent system interoperability facility_x000D_
network management system_x000D_
network security monitoring-defense system framework design_x000D_
technology architecture_x000D_
the open group architecture framework_x000D_
Business_x000D_
Communication networks_x000D_
Internet_x000D_
Monitoring_x000D_
Security_x000D_
Standards_x000D_
DoDAF_x000D_
Framework Design_x000D_
Network Security</t>
  </si>
  <si>
    <t>A. Trad; D. Kalpić</t>
  </si>
  <si>
    <t>10.1109/CIVEMSA.2017.7995318</t>
  </si>
  <si>
    <t>business data processing_x000D_
neural net architecture_x000D_
AIE_x000D_
ATP_x000D_
BTP_x000D_
CSF sets_x000D_
NNEA_x000D_
RDP_x000D_
action research_x000D_
action research reasoning approach_x000D_
agnostic implementation environment_x000D_
architecture transformation projects_x000D_
brain-like neural networks business infrastructure_x000D_
business analysts_x000D_
business transformation patterns_x000D_
business transformation projects_x000D_
critical success factors_x000D_
heuristic algorithms_x000D_
human brain structure_x000D_
intelligent neural networks_x000D_
interactive atomic service actions_x000D_
mixed research method_x000D_
neural networks agnostic implementation environment_x000D_
neural networks and enterprise architecture_x000D_
neural networks portable implementation environment_x000D_
research and development project_x000D_
services-based business transformation projects_x000D_
Architecture_x000D_
Artificial neural networks_x000D_
Biological neural networks_x000D_
Computer architecture_x000D_
Decision making_x000D_
Architecture implementation_x000D_
Basic structure_x000D_
Business engineering_x000D_
Business transformation project_x000D_
Enterprise architecture</t>
  </si>
  <si>
    <t>J. Trefke; C. Dänekas</t>
  </si>
  <si>
    <t>10.1109/SG-TEP.2012.6642394</t>
  </si>
  <si>
    <t>smart power grids_x000D_
SGEAD-method_x000D_
business economics_x000D_
economic aspects_x000D_
electrical engineering_x000D_
information technology_x000D_
legal aspects_x000D_
regulatory aspects_x000D_
smart grid related enterprise architecture development_x000D_
Architecture_x000D_
Business_x000D_
Computer architecture_x000D_
Context_x000D_
IEC standards_x000D_
Smart grids_x000D_
Unified modeling language</t>
  </si>
  <si>
    <t>J. Trefke; C. Dänekas; S. Rohjans; J. M. G. Vázquez</t>
  </si>
  <si>
    <t>10.1109/ISGTEurope.2012.6465697</t>
  </si>
  <si>
    <t>information technology_x000D_
open systems_x000D_
power engineering computing_x000D_
power system security_x000D_
smart power grids_x000D_
European smart grid mandate M-490_x000D_
SGAM_x000D_
adaptive architecture development_x000D_
enterprise context_x000D_
enterprise-specific smart grid ICT-architecture development_x000D_
high-level reference architecture_x000D_
integrated building block_x000D_
interoperability layer structure_x000D_
security_x000D_
Architecture_x000D_
Business_x000D_
Context_x000D_
Interoperability_x000D_
Smart grids_x000D_
Standards_x000D_
Enterprise-Architecture_x000D_
ICT-Architecture Development_x000D_
Requirements Management_x000D_
Systems Engineering</t>
  </si>
  <si>
    <t>J. Tribolet; J. Pombinho; D. Aveiro</t>
  </si>
  <si>
    <t>10.1057/9781137351579</t>
  </si>
  <si>
    <t>A. Trigo; F. Belfo; R. P. Estébanez</t>
  </si>
  <si>
    <t>https://doi.org/10.1016/j.protcy.2014.10.075</t>
  </si>
  <si>
    <t>management information systems_x000D_
accounting information systems_x000D_
real-time reporting_x000D_
real-time accounting.</t>
  </si>
  <si>
    <t>H. Trovão; H. S. Mamede; M. M. d. Silva</t>
  </si>
  <si>
    <t>10.23919/CISTI.2017.7975880</t>
  </si>
  <si>
    <t>business data processing_x000D_
enterprise resource planning_x000D_
recruitment_x000D_
small-to-medium enterprises_x000D_
SME information system_x000D_
business opportunities_x000D_
digital transformation process_x000D_
distributed SME_x000D_
distributed companies_x000D_
distributed team_x000D_
human resources_x000D_
lightweight TOGAF-based methodology_x000D_
resource recruitment_x000D_
Cloud computing_x000D_
Companies_x000D_
IP networks_x000D_
Information systems_x000D_
Linux_x000D_
Servers_x000D_
Tools_x000D_
Computer-Supported Cooperative Work_x000D_
Digital Transformation_x000D_
Enterprise Architecture</t>
  </si>
  <si>
    <t>10.1109/EDOC.2017.18</t>
  </si>
  <si>
    <t>C. Tsotskas; M. Louta</t>
  </si>
  <si>
    <t>10.1109/IISA.2016.7785390</t>
  </si>
  <si>
    <t>decision making_x000D_
optimisation_x000D_
telecommunication computing_x000D_
intelligent mobility problems_x000D_
multicriteria decision making_x000D_
multiobjective optimisation_x000D_
Biological system modeling_x000D_
Data models_x000D_
Optimization_x000D_
Software packages_x000D_
Urban areas_x000D_
Vehicles</t>
  </si>
  <si>
    <t>S. Tully; Y. Mohanraj</t>
  </si>
  <si>
    <t>5-55</t>
  </si>
  <si>
    <t>https://doi.org/10.1016/B978-0-12-804629-6.00002-X</t>
  </si>
  <si>
    <t>Mobile device_x000D_
Mobile security_x000D_
Smartphone_x000D_
Tablets_x000D_
Privacy_x000D_
Encryption_x000D_
Forensics_x000D_
Individuals_x000D_
Organizations_x000D_
Sociology</t>
  </si>
  <si>
    <t>https://doi.org/10.1016/B978-0-12-385126-0.00018-8</t>
  </si>
  <si>
    <t>P. Turner; P. Bernus</t>
  </si>
  <si>
    <t>10.1109/ITMC.2009.7461397</t>
  </si>
  <si>
    <t>decision making_x000D_
investment_x000D_
organisational aspects_x000D_
core assets_x000D_
decision support_x000D_
enterprise architecture_x000D_
firm architecture_x000D_
horizontally aligned organizations_x000D_
information asymmetry_x000D_
interoperability_x000D_
investment decisions_x000D_
management practice_x000D_
optimized investment_x000D_
organizational business direction_x000D_
post global crisis world economy_x000D_
senior decision makers_x000D_
shared cost structure_x000D_
shared infrastructure_x000D_
vertically aligned organizations_x000D_
Finance_x000D_
Logistics_x000D_
Ports (Computers)_x000D_
Enterprise Architecture Maturity_x000D_
Next Generation Enterprise Architecture</t>
  </si>
  <si>
    <t>J. Ullberg; R. Lagerström; M. Ekstedt</t>
  </si>
  <si>
    <t>10.1109/EDOCW.2008.5</t>
  </si>
  <si>
    <t>open systems_x000D_
semantic Web_x000D_
software architecture_x000D_
IT decision making_x000D_
architecture models_x000D_
interoperability analysis_x000D_
Decision making_x000D_
Electrical equipment industry_x000D_
Formal specifications_x000D_
Information analysis_x000D_
Information systems_x000D_
Management information systems_x000D_
Ontologies_x000D_
Performance analysis_x000D_
Service oriented architecture</t>
  </si>
  <si>
    <t>J. Ullberg; R. Lagerström; P. Johnson</t>
  </si>
  <si>
    <t>10.1109/SCC.2008.20</t>
  </si>
  <si>
    <t>business data processing_x000D_
decision making_x000D_
open systems_x000D_
software architecture_x000D_
IT decision making_x000D_
IT management_x000D_
enterprise architecture models_x000D_
service interoperability analysis_x000D_
Availability_x000D_
Computer architecture_x000D_
Computer industry_x000D_
Electrical equipment industry_x000D_
Formal specifications_x000D_
Industrial control_x000D_
Information analysis_x000D_
Management information systems_x000D_
Performance analysis_x000D_
Enterprise Architecure_x000D_
Framework_x000D_
Metamodel_x000D_
Servcie Interoperability Analysis</t>
  </si>
  <si>
    <t>B. Unhelkar; A. Ginige</t>
  </si>
  <si>
    <t>business data processing_x000D_
organisational aspects_x000D_
small-to-medium enterprises_x000D_
software architecture_x000D_
AelMS Research Group_x000D_
SME sector_x000D_
University of Western Sydney_x000D_
electronic transformation_x000D_
enterprise architecture_x000D_
holistic business transformation process_x000D_
meta model_x000D_
organisational aspect_x000D_
small and medium enterprise_x000D_
Collaboration_x000D_
Mobile communication_x000D_
Organizations_x000D_
Synchronization_x000D_
Transforms_x000D_
Activities and Deliverables in Business Transformation_x000D_
Business Transformation_x000D_
Framework for Business Transformation_x000D_
Roles_x000D_
Small and Medium Enterprises (SME)</t>
  </si>
  <si>
    <t>10.1109/ISIE.2014.6864596</t>
  </si>
  <si>
    <t>business data processing_x000D_
service-oriented architecture_x000D_
SOA_x000D_
business direction_x000D_
business management_x000D_
business services_x000D_
enterprise architecture_x000D_
enterprise service bus_x000D_
enterprise service delegation pattern_x000D_
hardware services_x000D_
information technology_x000D_
service oriented architecture_x000D_
software design pattern_x000D_
software services_x000D_
Architecture_x000D_
Computer architecture_x000D_
Organizations_x000D_
Simple object access protocol</t>
  </si>
  <si>
    <t>W. Utz; R. Woitsch; D. Karagiannis</t>
  </si>
  <si>
    <t>10.1109/COMPSACW.2011.89</t>
  </si>
  <si>
    <t>information technology_x000D_
service-oriented architecture_x000D_
hybrid service modeling framework_x000D_
hybrid service models_x000D_
information and communication technologies_x000D_
metamodelling concepts_x000D_
model-driven approach_x000D_
open models approach_x000D_
services engineering_x000D_
Adaptation models_x000D_
Analytical models_x000D_
Business_x000D_
Computational modeling_x000D_
Context modeling_x000D_
Semantics_x000D_
Unified modeling language_x000D_
Hybrid Modeling Framework_x000D_
Metamodeling_x000D_
Service Lifecycle_x000D_
Service Modeling</t>
  </si>
  <si>
    <t>Engineering of services using a model-driven approach became a prominent field in the research and commercial world in recent years. Looking at Information and Communication Technologies (ICT) related publications, the term Service modeling" has a multitude of perspectives and aspects. In order to make the results tangible a grouping of observation from literature has been performed allowing the identification of research challenges for a Hybrid Service Modeling framework. As a realization proposal the Hybrid Modeling Approach for Services is introduced. The approach builds upon metamodelling concepts resulting in six axioms for combining modeling perspectives/aspects in an open environment."</t>
  </si>
  <si>
    <t>M. P. Uysal; A. Halici; A. E. Mergen</t>
  </si>
  <si>
    <t>10.15439/2017F17</t>
  </si>
  <si>
    <t>Information systems_x000D_
Business Process_x000D_
Comprehensive method_x000D_
Design and Development_x000D_
Design-science researches_x000D_
Enterprise Architecture_x000D_
Process Modeling_x000D_
Research efforts_x000D_
Technical infrastructure_x000D_
Reengineering</t>
  </si>
  <si>
    <t>M. P. Uysal; M. Karakaya</t>
  </si>
  <si>
    <t>10.1109/UKRCON.2017.8100351</t>
  </si>
  <si>
    <t>business data processing_x000D_
ontologies (artificial intelligence)_x000D_
open systems_x000D_
EA evaluation_x000D_
computational inferences_x000D_
enterprise architecture analysis_x000D_
evaluation techniques_x000D_
integrated information_x000D_
interoperability_x000D_
ontology-supported process model_x000D_
Analytical models_x000D_
Business_x000D_
Computational modeling_x000D_
Computer architecture_x000D_
Conferences_x000D_
OWL_x000D_
Ontologies_x000D_
Enterprise Architecture_x000D_
Ontology_x000D_
System Analysis</t>
  </si>
  <si>
    <t>E. Valentine; G. Stewart</t>
  </si>
  <si>
    <t>10.1109/HICSS.2015.539</t>
  </si>
  <si>
    <t>business data processing_x000D_
human resource management_x000D_
personnel_x000D_
profitability_x000D_
EBTG competencies_x000D_
board digital leadership capability_x000D_
board of director competence_x000D_
competent leadership_x000D_
digital transformation_x000D_
enterprise business technology governance_x000D_
multimethod approach_x000D_
profit_x000D_
returns_x000D_
revenue_x000D_
Board of Directors_x000D_
Industries_x000D_
Law_x000D_
Organizations_x000D_
Standards organizations_x000D_
Board competencies_x000D_
Digital Directors_x000D_
Digital Leadership</t>
  </si>
  <si>
    <t>M. Välja; R. Lagerström; M. Ekstedt; M. Korman</t>
  </si>
  <si>
    <t>10.1109/EDOCW.2015.33</t>
  </si>
  <si>
    <t>business data processing_x000D_
data handling_x000D_
EA approach_x000D_
cyber security modeling language_x000D_
data processing methods_x000D_
data quality_x000D_
data source_x000D_
enterprise IT architecture modeling_x000D_
information technology_x000D_
requirements based approach_x000D_
Adaptation models_x000D_
Analytical models_x000D_
Automation_x000D_
Data collection_x000D_
Data models_x000D_
Data structures_x000D_
Unified modeling language_x000D_
automatic data collection_x000D_
enterprise architecture_x000D_
model quality</t>
  </si>
  <si>
    <t>K. Valtonen; I. Korhonen; R. Rekonen; M. Leppanen</t>
  </si>
  <si>
    <t>10.1109/HICSS.2010.166</t>
  </si>
  <si>
    <t>grid computing_x000D_
local government_x000D_
management of change_x000D_
multi-agent systems_x000D_
Gea grid adaptation model_x000D_
change management_x000D_
coherency management_x000D_
complex multiagent system_x000D_
government enterprise architecture method_x000D_
new public management related operation model_x000D_
Adaptation model_x000D_
Cities and towns_x000D_
Conference management_x000D_
Corporate acquisitions_x000D_
Financial management_x000D_
Merging_x000D_
Multiagent systems_x000D_
Strategic planning_x000D_
Usability</t>
  </si>
  <si>
    <t>D. Van Der Linden; H. A. Proper</t>
  </si>
  <si>
    <t>1023</t>
  </si>
  <si>
    <t>Conceptual distinction_x000D_
Conceptual understanding_x000D_
Enterprise modeling_x000D_
Modeling languages_x000D_
Computational linguistics_x000D_
Data mining_x000D_
Common models_x000D_
Conceptual modeling languages_x000D_
Explicit modeling_x000D_
Modeling concepts_x000D_
Specific languages</t>
  </si>
  <si>
    <t>Common models_x000D_
Conceptual modeling languages_x000D_
Enterprise modeling_x000D_
Explicit modeling_x000D_
Model languages_x000D_
Modeling concepts_x000D_
Specific languages_x000D_
Data mining</t>
  </si>
  <si>
    <t>D. J. T. Van Der Linden; S. J. B. A. Hoppenbrouwers; A. Lartseva; H. A. Proper</t>
  </si>
  <si>
    <t>10.1007/978-3-642-21759-3_38</t>
  </si>
  <si>
    <t>enterprise architecture_x000D_
integration_x000D_
model_x000D_
ontology_x000D_
Architecture_x000D_
Systems analysis_x000D_
Conceptual model_x000D_
Ontological structures_x000D_
Prototype structures_x000D_
Industry</t>
  </si>
  <si>
    <t>10.1007/978-3-319-59536-8_16</t>
  </si>
  <si>
    <t>D. Van Nuffel; M. De Backer</t>
  </si>
  <si>
    <t>https://doi.org/10.1016/j.compind.2011.12.001</t>
  </si>
  <si>
    <t>Business process modeling_x000D_
Abstraction layers_x000D_
Multiple business process views_x000D_
BPMN</t>
  </si>
  <si>
    <t>Business models_x000D_
Goal modelling_x000D_
Information systems_x000D_
Model-driven development_x000D_
Sustainable development_x000D_
Value modelling_x000D_
Business modeling_x000D_
Design community_x000D_
Finding solutions_x000D_
Market opportunities_x000D_
Model driven development_x000D_
Sustainability issues_x000D_
Planning_x000D_
Software design_x000D_
Systems engineering</t>
  </si>
  <si>
    <t>M. Vanauer; C. Böhle; B. Hellingrath</t>
  </si>
  <si>
    <t>10.1109/HICSS.2015.113</t>
  </si>
  <si>
    <t>Big Data_x000D_
business data processing_x000D_
organisational aspects_x000D_
supply chain management_x000D_
Big Data idea generation_x000D_
IT value theory_x000D_
business model generation techniques_x000D_
business-driven ideation_x000D_
data-driven ideation_x000D_
enterprise architecture management-based implementation_x000D_
idea assessment_x000D_
implementation management_x000D_
organization_x000D_
workgroup ideation_x000D_
Analytical models_x000D_
Data models_x000D_
Object recognition_x000D_
Organizations_x000D_
Technological innovation_x000D_
Big Data Introduction Methodology_x000D_
Business Model Canvas_x000D_
Enterprise Architecture Management</t>
  </si>
  <si>
    <t>A. Vargas; A. Boza; S. Patel; D. Patel; L. Cuenca; A. Ortiz</t>
  </si>
  <si>
    <t>5-22</t>
  </si>
  <si>
    <t>https://doi.org/10.1016/j.datak.2015.10.002</t>
  </si>
  <si>
    <t>Inter-enterprise architecture_x000D_
Decision-making_x000D_
Hierarchical production planning_x000D_
Collaborative networks_x000D_
Unexpected events</t>
  </si>
  <si>
    <t>A. Vargas; L. Cuenca; A. Boza; I. Sacala; M. Moisescu</t>
  </si>
  <si>
    <t>10.1007/s10845-014-0901-z</t>
  </si>
  <si>
    <t>Collaborative networks_x000D_
Digital business ecosystems_x000D_
Future internet_x000D_
Inter-enterprise architecture_x000D_
Modeling languages_x000D_
Collaborative network_x000D_
Collaborative organizations_x000D_
Conceptual levels_x000D_
Enterprise Architecture_x000D_
Inter-Enterprise_x000D_
Inter-relationships_x000D_
Network architecture</t>
  </si>
  <si>
    <t>V. P. Velikov; I. K. Kamenarov</t>
  </si>
  <si>
    <t>10.1109/ITHET.2014.7155668</t>
  </si>
  <si>
    <t>software tools_x000D_
system documentation_x000D_
automated software creation_x000D_
automated software generation_x000D_
software development aid systems_x000D_
software documentation_x000D_
Analytical models_x000D_
Documentation_x000D_
Java_x000D_
Portals_x000D_
Security_x000D_
Servers_x000D_
Unified modeling language_x000D_
Computer Science_x000D_
program generation_x000D_
software generation</t>
  </si>
  <si>
    <t>R. K. M. Veneberg; M. E. Iacob; M. J. v. Sinderen; L. Bodenstaff</t>
  </si>
  <si>
    <t>10.1109/EDOC.2014.14</t>
  </si>
  <si>
    <t>business data processing_x000D_
competitive intelligence_x000D_
meta data_x000D_
business analytics_x000D_
enterprise architecture intelligence_x000D_
enterprise architecture metadata_x000D_
enterprise architecture model_x000D_
model-based architecture_x000D_
operational data_x000D_
raw data interpretation_x000D_
raw data retrieval_x000D_
warehouse data model_x000D_
Bismuth_x000D_
Business_x000D_
Computer architecture_x000D_
Data models_x000D_
Data visualization_x000D_
Measurement_x000D_
Servers_x000D_
business intelligence_x000D_
database_x000D_
enterprise architecture_x000D_
model_x000D_
quantitative analysis</t>
  </si>
  <si>
    <t>R. K. M. Veneberg; M. E. Iacob; M. J. Van Sinderen; L. Bodenstaff</t>
  </si>
  <si>
    <t>25</t>
  </si>
  <si>
    <t>10.1142/S0218843016500076</t>
  </si>
  <si>
    <t>business intelligence_x000D_
Enterprise architecture_x000D_
operational data_x000D_
quantitative analysis</t>
  </si>
  <si>
    <t>M. Vicente; N. Gama; M. M. d. Silva</t>
  </si>
  <si>
    <t>10.1109/CBI.2013.45</t>
  </si>
  <si>
    <t>corporate modelling_x000D_
ontologies (artificial intelligence)_x000D_
organisational aspects_x000D_
ArchiMate modeling language_x000D_
IT service management_x000D_
ITIL discussion_x000D_
ITIL metamodel_x000D_
ITIL projects_x000D_
Wand ontological method_x000D_
Weber ontological method_x000D_
enterprise architecture_x000D_
governance approaches_x000D_
knowledge sharing_x000D_
stakeholder communication_x000D_
Best practices_x000D_
Databases_x000D_
Interviews_x000D_
Organizations_x000D_
Standards organizations_x000D_
Unified modeling language_x000D_
ArchiMate_x000D_
ITIL_x000D_
Modeling</t>
  </si>
  <si>
    <t>10.1109/EDOC.2013.24</t>
  </si>
  <si>
    <t>organisational aspects_x000D_
virtual enterprises_x000D_
IT service management_x000D_
ITIL value_x000D_
ITSM_x000D_
architecture-based approach_x000D_
complementary IT governance approach_x000D_
enterprise architecture_x000D_
organizational perspectives_x000D_
Computer architecture_x000D_
Cost accounting_x000D_
Information systems_x000D_
Organizations_x000D_
Portfolios_x000D_
Standards organizations_x000D_
ArchiMate_x000D_
ITIL_x000D_
value</t>
  </si>
  <si>
    <t>R. Vieira; E. Cardoso; C. Becker</t>
  </si>
  <si>
    <t>10.1109/EDOCW.2014.44</t>
  </si>
  <si>
    <t>SQL_x000D_
business data processing_x000D_
program diagnostics_x000D_
software architecture_x000D_
IT governance frameworks_x000D_
SCAMPI_x000D_
SPARQL queries_x000D_
business process modelling_x000D_
efficient traceability mechanisms_x000D_
enterprise architecture modelling_x000D_
traceable maturity assessment method_x000D_
Capability maturity model_x000D_
Computer architecture_x000D_
ISO standards_x000D_
Organizations_x000D_
Standards organizations_x000D_
Unified modeling language_x000D_
Business Process Modeling_x000D_
Enterprise Architecture_x000D_
Maturity Assessment Method</t>
  </si>
  <si>
    <t>M. d. Vries; A. v. d. Merwe; A. Gerber</t>
  </si>
  <si>
    <t>10.1109/ES.2013.6690078</t>
  </si>
  <si>
    <t>enterprise resource planning_x000D_
BIAM_x000D_
EECM_x000D_
ICT subsystem_x000D_
alignment approach_x000D_
business organisation subsystem_x000D_
business-IT alignment approaches_x000D_
business-IT alignment knowledge-base_x000D_
business-IT alignment model_x000D_
consistency-of-contextualisation_x000D_
design approach_x000D_
enterprise component coherence_x000D_
enterprise component consistency_x000D_
enterprise component piece-meal design_x000D_
enterprise engineering_x000D_
enterprise evolution contextualisation model_x000D_
enterprise system_x000D_
environmental system_x000D_
governance approach_x000D_
impaired knowledge reuse_x000D_
Biological system modeling_x000D_
Context modeling_x000D_
Educational institutions_x000D_
Organizational aspects_x000D_
System analysis and design_x000D_
enterpriese architecture_x000D_
enterprise alignment_x000D_
enterprise design_x000D_
enterprise goverance</t>
  </si>
  <si>
    <t>H. T. Wagner; J. Meshtaf</t>
  </si>
  <si>
    <t>10.1109/HICSS.2016.610</t>
  </si>
  <si>
    <t>business data processing_x000D_
information technology_x000D_
software architecture_x000D_
IT business value generation_x000D_
IT governance_x000D_
business process support_x000D_
business-IT alignment_x000D_
sustainable enterprise architecture_x000D_
work experience_x000D_
Companies_x000D_
Computer architecture_x000D_
Decision making_x000D_
Investment_x000D_
Standards organizations</t>
  </si>
  <si>
    <t>R. Wagter; H. A. Proper; D. Witte</t>
  </si>
  <si>
    <t>10.1109/CBI.2013.25</t>
  </si>
  <si>
    <t>government policies_x000D_
law administration_x000D_
public administration_x000D_
DJI case_x000D_
Dienst Justitiee&amp;#x0308_x000D_
le Inrichtingen_x000D_
Dutch Ministry of Security and Justice_x000D_
Dutch public sector_x000D_
GEA method_x000D_
conditional realease_x000D_
custodial institutions agency_x000D_
custodial measures_x000D_
enterprise coherence governance_x000D_
fines_x000D_
general enterprise architecting method_x000D_
Coherence_x000D_
Conferences_x000D_
Government_x000D_
Security_x000D_
Standards organizations_x000D_
enterprise architecture_x000D_
enterprise coherence_x000D_
enterprise transformation</t>
  </si>
  <si>
    <t>S. Wang; L. Li; K. Wang; J. D. Jones</t>
  </si>
  <si>
    <t>10.1007/s10799-012-0119-8</t>
  </si>
  <si>
    <t>e-Business systems_x000D_
Enterprise architecture_x000D_
Enterprise integration_x000D_
Enterprise systems_x000D_
Industrial Information Integration Engineering (IIIE)_x000D_
Systems engineering_x000D_
Systems science_x000D_
Warfield version of systems science (WSS)</t>
  </si>
  <si>
    <t>10.1109/ICGEC.2010.145</t>
  </si>
  <si>
    <t>enterprise resource planning_x000D_
information management_x000D_
organisational aspects_x000D_
resource allocation_x000D_
software architecture_x000D_
Chinese enterprises_x000D_
ILEA_x000D_
IRM_x000D_
IRP theory_x000D_
complex management_x000D_
complex technology_x000D_
enterprise architecture_x000D_
enterprise information resources management_x000D_
enterprise information resources planning_x000D_
enterprise informationization_x000D_
information lifecycle_x000D_
information resources allocation_x000D_
methodology innovation_x000D_
organization_x000D_
Architecture_x000D_
Business_x000D_
Information architecture_x000D_
Information services_x000D_
Planning_x000D_
Security_x000D_
architecture development method</t>
  </si>
  <si>
    <t>Z. Wang; Q. Dong; H. Hongyue; F. Fengke</t>
  </si>
  <si>
    <t>10.1109/ICIST.2011.5765205</t>
  </si>
  <si>
    <t>Unified Modeling Language_x000D_
fuzzy set theory_x000D_
military computing_x000D_
software architecture_x000D_
systems analysis_x000D_
C4ISR DSL_x000D_
C4ISR capability requirements analysis_x000D_
C4ISR domain-specific modeling language_x000D_
CMCF_x000D_
DoDAF_x000D_
capability meta concept framework_x000D_
domain knowledge elicitation_x000D_
fuzzy-UML_x000D_
meta model_x000D_
Analytical models_x000D_
Atmospheric modeling_x000D_
Coordinate measuring machines_x000D_
DSL_x000D_
Knowledge engineering_x000D_
Semantics</t>
  </si>
  <si>
    <t>A. Wegmann; G. Regev; I. Rychkova; L. S. Le; P. Julia</t>
  </si>
  <si>
    <t>10.1109/EDOC.2007.54</t>
  </si>
  <si>
    <t>business data processing_x000D_
IT system_x000D_
SEAM_x000D_
enterprise architecture_x000D_
hiring process_x000D_
Application software_x000D_
Business communication_x000D_
Companies_x000D_
Computer architecture_x000D_
Computer science_x000D_
Design engineering_x000D_
Distributed computing_x000D_
Gas insulated transmission lines_x000D_
Programming_x000D_
Software systems</t>
  </si>
  <si>
    <t>K. Wehling; D. Wille; C. Seidl; I. Schaefer</t>
  </si>
  <si>
    <t>10.1109/ICSAW.2017.47</t>
  </si>
  <si>
    <t>data reduction_x000D_
decision making_x000D_
decision support systems_x000D_
iterative methods_x000D_
software architecture_x000D_
AA_x000D_
IT architectures_x000D_
IT complexity reduction_x000D_
application architectures_x000D_
decision support_x000D_
industrial data_x000D_
iterative decision process_x000D_
software systems architectures_x000D_
Companies_x000D_
Complexity theory_x000D_
Computer architecture_x000D_
Data mining_x000D_
Software systems_x000D_
IT architecture_x000D_
application architecture_x000D_
unnecessary IT complexity_x000D_
unnecessary variability_x000D_
variability mining</t>
  </si>
  <si>
    <t>B. Weinert; M. Uslar; A. Hahn</t>
  </si>
  <si>
    <t>10.23919/ELMAR.2017.8124474</t>
  </si>
  <si>
    <t>marine power systems_x000D_
power engineering computing_x000D_
smart power grids_x000D_
software architecture_x000D_
Smart Grid_x000D_
critical infrastructures_x000D_
design principles_x000D_
maritime characteristics_x000D_
maritime domain_x000D_
maritime system architectures_x000D_
socio-technical system-of-systems environment_x000D_
system-of-system engineering_x000D_
Complexity theory_x000D_
IEC Standards_x000D_
Information and communication technology_x000D_
Interoperability_x000D_
Smart grids_x000D_
Stakeholders_x000D_
Systems architecture_x000D_
MAF_x000D_
SGAM_x000D_
e-Navigation</t>
  </si>
  <si>
    <t>R. Weinreich; G. Buchgeher</t>
  </si>
  <si>
    <t>https://doi.org/10.1016/j.jss.2011.05.036</t>
  </si>
  <si>
    <t>Software architecture_x000D_
Software architecture life cycle_x000D_
Software architecture model_x000D_
Software architecture tools_x000D_
Software architecture analysis_x000D_
Software architecture evaluation_x000D_
Software architecture design_x000D_
Software architecture knowledge management</t>
  </si>
  <si>
    <t>J. Werewka; A. Spiechowicz</t>
  </si>
  <si>
    <t>10.15439/2017F96</t>
  </si>
  <si>
    <t>business data processing_x000D_
software architecture_x000D_
software development management_x000D_
software engineering_x000D_
software prototyping_x000D_
team working_x000D_
SCRUM process_x000D_
enterprise architecture approach_x000D_
enterprise architecture models_x000D_
holistic approach_x000D_
software development companies_x000D_
sprint retrospective example_x000D_
team members_x000D_
Companies_x000D_
Computer architecture_x000D_
Product development_x000D_
Project management_x000D_
Software_x000D_
Stakeholders_x000D_
ArchiMate_x000D_
Scrum_x000D_
agile_x000D_
enterprise architecture_x000D_
retrospective_x000D_
team work</t>
  </si>
  <si>
    <t>10.1145/3106195.3106202</t>
  </si>
  <si>
    <t>Enterprise architecture_x000D_
Technical architecture_x000D_
Variability mining_x000D_
Computer applications_x000D_
Computer programming_x000D_
Computing infrastructures_x000D_
Hardware and software components_x000D_
Industrial case study_x000D_
Maintenance decisions_x000D_
Software Product Line_x000D_
Variability information_x000D_
Computer software</t>
  </si>
  <si>
    <t>R. Winter; S. Aier</t>
  </si>
  <si>
    <t>10.1109/EDOCW.2011.27</t>
  </si>
  <si>
    <t>business data processing_x000D_
EA modeling_x000D_
German company_x000D_
IT strategy_x000D_
Swiss company_x000D_
business alignment_x000D_
business architecture principle_x000D_
enterprise architecture artifact_x000D_
enterprise architecture design principle_x000D_
information technology_x000D_
stakeholder involvement_x000D_
Companies_x000D_
Computer architecture_x000D_
Guidelines_x000D_
Software_x000D_
Standards organizations_x000D_
design principles_x000D_
enterprise architecture_x000D_
survey</t>
  </si>
  <si>
    <t>R. Winter; R. Fischer</t>
  </si>
  <si>
    <t>10.1109/EDOCW.2006.33</t>
  </si>
  <si>
    <t>Business continuity_x000D_
Computer architecture_x000D_
Context-aware services_x000D_
Government_x000D_
Information management_x000D_
Information systems_x000D_
Management information systems_x000D_
Multilevel systems_x000D_
Risk analysis_x000D_
Software architecture</t>
  </si>
  <si>
    <t>M. Wißotzki; K. Sandkuhl</t>
  </si>
  <si>
    <t>229</t>
  </si>
  <si>
    <t>10.1007/978-3-319-21915-8_6</t>
  </si>
  <si>
    <t>Business capabilities_x000D_
Business-IT alignment_x000D_
Capability engineering_x000D_
Capability management_x000D_
Enterprise architecture management_x000D_
Information science_x000D_
Architectural levels_x000D_
Business - IT alignments_x000D_
Core elements_x000D_
Enterprise Architecture_x000D_
Enterprise architecture managements_x000D_
Inter-dependencies_x000D_
Life-cycle process_x000D_
Information management</t>
  </si>
  <si>
    <t>R. Woitsch; W. Utz</t>
  </si>
  <si>
    <t>10.1109/ES.2015.19</t>
  </si>
  <si>
    <t>business data processing_x000D_
cloud computing_x000D_
small-to-medium enterprises_x000D_
BPaaS_x000D_
CloudSocket_x000D_
H2020 project_x000D_
IT-competence_x000D_
SME_x000D_
architectural building blocks_x000D_
business process as a service_x000D_
cloud deployed workflows_x000D_
cloud offering_x000D_
cloud usage_x000D_
enterprises_x000D_
flexible IT solutions_x000D_
model based business-IT cloud alignment_x000D_
Biological system modeling_x000D_
Companies_x000D_
Computational modeling_x000D_
Transforms_x000D_
Business Processes in the Cloud_x000D_
Business and IT Alignment_x000D_
Meta Modelling and Semantic</t>
  </si>
  <si>
    <t>R. Woitsch; W. Utz; D. Karagiannis</t>
  </si>
  <si>
    <t>10.1109/ComputationWorld.2009.106</t>
  </si>
  <si>
    <t>commerce_x000D_
economics_x000D_
knowledge management_x000D_
EU project plugIT_x000D_
IT alignment_x000D_
IT infrastructure_x000D_
IT-socket modeling framework_x000D_
complex systems_x000D_
distributed systems_x000D_
economy_x000D_
model-based business_x000D_
model-driven approach_x000D_
next generation modeling framework_x000D_
semantic kernel_x000D_
virtual organization_x000D_
Asset management_x000D_
Business_x000D_
Certification_x000D_
Computer industry_x000D_
Context modeling_x000D_
Context-aware services_x000D_
Intelligent agent_x000D_
Kernel_x000D_
Knowledge engineering_x000D_
IT-Governance_x000D_
IT-Socket_x000D_
Semantics_x000D_
Virtual Organisation</t>
  </si>
  <si>
    <t>Web services_x000D_
cloud computing_x000D_
public domain software_x000D_
security of data_x000D_
software engineering_x000D_
ubiquitous computing_x000D_
EU Project pluglT_x000D_
IT Socket_x000D_
Internet_x000D_
Internet of Service_x000D_
business models_x000D_
meta model_x000D_
open model initiative_x000D_
open model paradigm_x000D_
open service model_x000D_
open source community_x000D_
pervasive infrastructure_x000D_
security aspects_x000D_
service science aspects_x000D_
software design_x000D_
Adaptation model_x000D_
Business_x000D_
Data models_x000D_
Ontologies_x000D_
Semantics</t>
  </si>
  <si>
    <t>10.1109/ICSM.2015.7332493</t>
  </si>
  <si>
    <t>benchmark testing_x000D_
decision making_x000D_
outsourcing_x000D_
software maintenance_x000D_
software metrics_x000D_
software performance evaluation_x000D_
software quality_x000D_
source code (software)_x000D_
benchmark-based metrics analysis_x000D_
benchmark-based metrics threshold analysis_x000D_
code changes_x000D_
decision-making_x000D_
expert assessment_x000D_
international logistics company_x000D_
software product development_x000D_
software product maintenance_x000D_
software quality assessments_x000D_
software quality evaluation process_x000D_
software visualization_x000D_
source code_x000D_
suppliers_x000D_
Companies_x000D_
Databases_x000D_
Measurement_x000D_
Benchmark based assessments_x000D_
COTS analysis_x000D_
Metrics threshold analysis_x000D_
Software quality evaluations_x000D_
Source code analysis</t>
  </si>
  <si>
    <t>Y. Yang; E. Lewis; J. Newmarch</t>
  </si>
  <si>
    <t>10.1109/ISTAS.2010.5514629</t>
  </si>
  <si>
    <t>business data processing_x000D_
security of data_x000D_
data matching_x000D_
enterprise architectural approach_x000D_
identity crime_x000D_
identity fraud_x000D_
profile-based digital identity management_x000D_
Australia_x000D_
Business_x000D_
Data privacy_x000D_
Data security_x000D_
Government_x000D_
Identity management systems_x000D_
Law_x000D_
Legal factors_x000D_
Protection_x000D_
Technology management</t>
  </si>
  <si>
    <t>A. P. Yanuarifiani; K. A. Laksitowening; Y. F. A. Wibowo</t>
  </si>
  <si>
    <t>10.1109/ICSITech.2015.7407786</t>
  </si>
  <si>
    <t>corporate modelling_x000D_
CIF implementation_x000D_
IS_x000D_
corporate information factory_x000D_
data communication tools_x000D_
enterprise architecture framework_x000D_
information system implementation_x000D_
Decision making_x000D_
Information systems_x000D_
Information technology_x000D_
Organizations_x000D_
Production facilities_x000D_
Taxonomy_x000D_
enterprise architecture_x000D_
framework_x000D_
methodology</t>
  </si>
  <si>
    <t>Y. Yokote; T. Nagayama</t>
  </si>
  <si>
    <t>10.1109/ISSREW.2013.6688859</t>
  </si>
  <si>
    <t>cloud computing_x000D_
open systems_x000D_
software maintenance_x000D_
software reliability_x000D_
IT systems_x000D_
business objectives_x000D_
cloud-based services_x000D_
dependability maintenance_x000D_
open system dependability_x000D_
performance requirements_x000D_
Business_x000D_
Databases_x000D_
Educational institutions_x000D_
Industries_x000D_
Safety_x000D_
Standards</t>
  </si>
  <si>
    <t>L. You; G. Motta; N. Sfondrini</t>
  </si>
  <si>
    <t>10.1109/SCC.2015.92</t>
  </si>
  <si>
    <t>cloud computing_x000D_
contracts_x000D_
outsourcing_x000D_
quality of service_x000D_
CSC_x000D_
CSP_x000D_
QoS_x000D_
SLM-as-a-service_x000D_
cloud SLM_x000D_
cloud computing environments_x000D_
cloud service consumers_x000D_
cloud service providers_x000D_
easy-to-deploy easy-to-use approach_x000D_
quality-of-services_x000D_
reference framework_x000D_
service discovery_x000D_
service management_x000D_
service selection_x000D_
third-party SLM framework_x000D_
third-party service_x000D_
Engines_x000D_
Monitoring_x000D_
SLM as a Service_x000D_
Service Level Management (SLM)_x000D_
Service level agreement (SLA)_x000D_
Third party SLM framework</t>
  </si>
  <si>
    <t>E. Yu; S. Deng; D. Sasmal</t>
  </si>
  <si>
    <t>10.1007/978-3-642-34163-2_9</t>
  </si>
  <si>
    <t>adaptive_x000D_
business intelligence_x000D_
enterprise architecture_x000D_
goal-oriented requirements engineering_x000D_
modeling_x000D_
social actors_x000D_
system dynamics_x000D_
Competitive intelligence_x000D_
Digital storage_x000D_
Models_x000D_
Requirements engineering_x000D_
Research_x000D_
System theory_x000D_
Industry</t>
  </si>
  <si>
    <t>E. Yu; M. Strohmaier; X. Deng</t>
  </si>
  <si>
    <t>10.1109/EDOCW.2006.36</t>
  </si>
  <si>
    <t>Computer architecture_x000D_
Computer science_x000D_
Conducting materials_x000D_
Context modeling_x000D_
Feedback_x000D_
Government_x000D_
Information analysis_x000D_
Information systems_x000D_
Management information systems_x000D_
Unified modeling language</t>
  </si>
  <si>
    <t>An enterprise architecture is intended to be a comprehensive blueprint describing the key components and relationships for an enterprise from strategies to business processes to information systems and technologies. Enterprise architectures have become essential for managing change in complex organizations. While motivation" has been recognized since Zachman 0 as an important element of enterprise architecture, yet to date, most enterprise architecture modeling only deals with structure, function, and behaviour, neglecting the intentional dimension of motivations, rationales, and goals. The contribution at hand explores this challenge and aims to illustrate the potentials of intentional modeling in the context of enterprise architecture. After introducing two intentional modeling languages and their potential relation to an enterprise architecture construction process, we report on an explorative case study that aimed to investigate the practical implications of intentional modeling and analysis for enterprise architectures. Finally, we present key observations from interviews that were conducted with practitioners to obtain feedback regarding the material developed in the case study."</t>
  </si>
  <si>
    <t>10.4018/978-1-4666-4494-6.ch003</t>
  </si>
  <si>
    <t>Software engineering_x000D_
Analysis and design models_x000D_
Development process_x000D_
Enterprise Architecture_x000D_
Enterprise engineering_x000D_
Enterprise modeling_x000D_
Evolutionary models_x000D_
Model-driven Engineering_x000D_
Object orientation_x000D_
Software design</t>
  </si>
  <si>
    <t>R. Yuliana; B. Rahardjo; Ieee</t>
  </si>
  <si>
    <t>M. Zacarias; P. V. Martins</t>
  </si>
  <si>
    <t>https://doi.org/10.1016/j.protcy.2012.09.026</t>
  </si>
  <si>
    <t>10.4018/irmj.2014010101</t>
  </si>
  <si>
    <t>Business Alignment Methodology (BAM)_x000D_
Business Process Discovery_x000D_
Business process modeling_x000D_
Methodology_x000D_
Work practices_x000D_
Systems engineering_x000D_
Business Process_x000D_
Business process model_x000D_
Organizational setting_x000D_
Three phasis_x000D_
Two-dimension_x000D_
Process engineering</t>
  </si>
  <si>
    <t>M. Zacarias; H. S. Pinto; R. Magalhães; J. Tribolet</t>
  </si>
  <si>
    <t>https://doi.org/10.1016/j.is.2009.03.014</t>
  </si>
  <si>
    <t>Enterprise modeling_x000D_
Agent modeling_x000D_
Context modeling_x000D_
Work practice modeling_x000D_
Multitasking modeling_x000D_
Alignment</t>
  </si>
  <si>
    <t>M. E. Zadeh; E. Lewis; G. Millar; Y. Yang; C. Thorne</t>
  </si>
  <si>
    <t>10.1109/SMC.2014.6974047</t>
  </si>
  <si>
    <t>business data processing_x000D_
cloud computing_x000D_
enterprise resource planning_x000D_
Australian government department_x000D_
EAPs_x000D_
VSM_x000D_
cybernetics_x000D_
enterprise architecture principles_x000D_
viable system model_x000D_
Computer architecture_x000D_
Guidelines_x000D_
Monitoring_x000D_
Organizations_x000D_
Enterprise Architecture (EA)_x000D_
Policy_x000D_
Principles_x000D_
Viable System Model (VSM)</t>
  </si>
  <si>
    <t>E. Zambon; D. Bolzoni; S. Etalle; M. Salvato</t>
  </si>
  <si>
    <t>10.1109/ICIMP.2007.4</t>
  </si>
  <si>
    <t>auditing_x000D_
business continuity_x000D_
information systems_x000D_
risk management_x000D_
COBIT-based risk assessment_x000D_
business continuity auditing_x000D_
business continuity planning_x000D_
Guidelines_x000D_
Measurement standards_x000D_
Personnel_x000D_
Process planning_x000D_
Standards development_x000D_
Standards organizations_x000D_
Standards publication</t>
  </si>
  <si>
    <t>10.1109/BDIM.2007.375014</t>
  </si>
  <si>
    <t>DP management_x000D_
business data processing_x000D_
organisational aspects_x000D_
risk management_x000D_
IT infrastructure_x000D_
modern organizations_x000D_
risk assessment_x000D_
risk mitigation_x000D_
standard business continuity plan_x000D_
Availability_x000D_
Business continuity_x000D_
Convergence_x000D_
ISO standards_x000D_
Information security_x000D_
Legislation_x000D_
Management information systems_x000D_
Measurement standards_x000D_
Standards organizations</t>
  </si>
  <si>
    <t>M. v. Zee; G. Plataniotis; D. v. d. Linden; D. Marosin</t>
  </si>
  <si>
    <t>10.1109/CBI.2014.27</t>
  </si>
  <si>
    <t>decision making_x000D_
enterprise resource planning_x000D_
consistency checks_x000D_
decision capturing_x000D_
enterprise architecture decision model formalization_x000D_
enterprise architecture design decisions_x000D_
formal framework_x000D_
impact analysis_x000D_
insurance sector_x000D_
integrity constraints_x000D_
logic-based framework_x000D_
what-if analysis_x000D_
Biological system modeling_x000D_
Educational institutions_x000D_
Graph theory_x000D_
Insurance_x000D_
Knowledge engineering_x000D_
Consistency check support_x000D_
Decision graphs_x000D_
Enterprise architecture</t>
  </si>
  <si>
    <t>J. Zhang; B. Ahmad; D. Vera; R. Harrison</t>
  </si>
  <si>
    <t>10.1109/INDIN.2016.7819328</t>
  </si>
  <si>
    <t>manufacturing systems_x000D_
ontologies (artificial intelligence)_x000D_
production engineering computing_x000D_
integrated automation systems design_x000D_
knowledge reuse approach_x000D_
ontology based semantic-predictive model_x000D_
ontology representations_x000D_
predictive algorithms_x000D_
reconfigurable automation systems_x000D_
reconfigurable manufacturing system_x000D_
robust semantic-predictive model_x000D_
software tools_x000D_
Data models_x000D_
Ontologies_x000D_
Predictive models_x000D_
Production facilities_x000D_
Semantics_x000D_
Solid modeling_x000D_
knowledge-based system_x000D_
reconfigurable manufacturing systems_x000D_
semantic technology</t>
  </si>
  <si>
    <t>X. z. Zhang; X. z. Zhao; X. Cai</t>
  </si>
  <si>
    <t>10.1109/ICIEEM.2010.5646117</t>
  </si>
  <si>
    <t>business process re-engineering_x000D_
corporate modelling_x000D_
optimisation_x000D_
enterprise modeling integration architecture_x000D_
enterprise modeling method_x000D_
enterprise reference system models_x000D_
panoramic time space_x000D_
Computer integrated manufacturing_x000D_
ISO_x000D_
Enterprise modeling_x000D_
enterprise modeling methods_x000D_
integration architecture</t>
  </si>
  <si>
    <t>X. Zhao; Y. Zou</t>
  </si>
  <si>
    <t>10.1109/QSIC.2010.8</t>
  </si>
  <si>
    <t>Business process_x000D_
Clustering algorithms_x000D_
Software architecture generation_x000D_
Automated support_x000D_
Business applications_x000D_
Business objectives_x000D_
Business operation_x000D_
Business requirement_x000D_
Clustering analysis_x000D_
Design approaches_x000D_
Industrial settings_x000D_
Software architects_x000D_
Software component_x000D_
Cluster analysis_x000D_
Computer software selection and evaluation_x000D_
Software architecture</t>
  </si>
  <si>
    <t>41</t>
  </si>
  <si>
    <t>10.1002/spe.1068</t>
  </si>
  <si>
    <t>business process_x000D_
clustering algorithms_x000D_
software architecture generation_x000D_
Automated support_x000D_
Business applications_x000D_
Business objectives_x000D_
Business operation_x000D_
Business requirement_x000D_
Dependent tasks_x000D_
Design approaches_x000D_
Industrial settings_x000D_
Modular structures_x000D_
Open source development_x000D_
Process-driven_x000D_
Software architects_x000D_
Software component_x000D_
Software modules_x000D_
Cluster analysis_x000D_
Structure (composition)_x000D_
Software architecture</t>
  </si>
  <si>
    <t>E. Zimeo; G. Oliva; F. Baldi; A. Caracciolo</t>
  </si>
  <si>
    <t>446</t>
  </si>
  <si>
    <t>10.1007/978-3-642-32524-3-12</t>
  </si>
  <si>
    <t>Architectural Pattern_x000D_
E-Commerce_x000D_
Enterprise Systems_x000D_
Intelligent Systems_x000D_
Software Systems Design</t>
  </si>
  <si>
    <t>10.12694/scpe.v14i2.845</t>
  </si>
  <si>
    <t>Architectural pattern_x000D_
eCommerce_x000D_
Enterprise systems_x000D_
Intelligent systems_x000D_
Scalability_x000D_
Software systems design_x000D_
E-Commerce applications_x000D_
Enterprise system_x000D_
Functional properties_x000D_
Intelligent enterprise_x000D_
Knowledge extraction_x000D_
Software systems designs_x000D_
Web 2.0 Technologies_x000D_
Batch data processing_x000D_
Computer software_x000D_
Semantics_x000D_
Electronic commerce</t>
  </si>
  <si>
    <t>A. Zimmermann; H. Buckow; H. J. Groß; O. F. Nandico; G. Piller; K. Prott</t>
  </si>
  <si>
    <t>10.1109/SCC.2011.103</t>
  </si>
  <si>
    <t>Capability Maturity Model_x000D_
data models_x000D_
meta data_x000D_
optimisation_x000D_
service-oriented architecture_x000D_
SOA_x000D_
enterprise service architectures_x000D_
metamodel_x000D_
optimization_x000D_
pattern language_x000D_
software architecture reference model_x000D_
sparse reference model_x000D_
Business_x000D_
Computer architecture_x000D_
Information services_x000D_
Service oriented architecture_x000D_
Software_x000D_
Software architecture_x000D_
Technological innovation_x000D_
Architecture Quality Diagnostics_x000D_
ESA-Patterns_x000D_
ESARC_x000D_
Enterprise-Software-Architecture-Reference-Model_x000D_
Evaluation_x000D_
SOA Vendor Platforms_x000D_
SOAMMI_x000D_
Validition</t>
  </si>
  <si>
    <t>A. Zimmermann; B. Gonen; R. Schmidt; E. El-Sheikh; S. Bagui; N. Wilde</t>
  </si>
  <si>
    <t>10.1109/EDOCW.2014.52</t>
  </si>
  <si>
    <t>Big Data_x000D_
Web services_x000D_
ecology_x000D_
environmental science computing_x000D_
ontologies (artificial intelligence)_x000D_
service-oriented architecture_x000D_
user centred design_x000D_
ESARC_x000D_
SmartLife ecosystem_x000D_
adaptable enterprise architectures_x000D_
big data management_x000D_
biological metaphors_x000D_
cloud computing_x000D_
enterprise services architecture reference cube_x000D_
flexible metamodels_x000D_
intelligent adaptable business services_x000D_
intelligent user-centered system_x000D_
knowledge modeling_x000D_
open group SOA ontology_x000D_
semantic browser_x000D_
semantic technologies_x000D_
service-oriented ecosystems development_x000D_
service-oriented enterprise architectures_x000D_
software evolution_x000D_
Architecture_x000D_
Business_x000D_
Computational modeling_x000D_
Computer architecture_x000D_
Ontologies_x000D_
Adaptive Enterprise Reference Architecture_x000D_
Architecture Integration Method_x000D_
Digital Ecosystems_x000D_
Ontology_x000D_
Semantic Search</t>
  </si>
  <si>
    <t>A. Zimmermann; D. Jugel; K. Sandkuhl; R. Schmidt; J. Bogner; S. Kehrer</t>
  </si>
  <si>
    <t>10.1109/EDOCW.2016.7584378</t>
  </si>
  <si>
    <t>Big Data_x000D_
Internet of Things_x000D_
business data processing_x000D_
information systems_x000D_
social networking (online)_x000D_
Big Data analytics_x000D_
adaptive case management_x000D_
cloud environments_x000D_
decision analytics_x000D_
distributed information systems_x000D_
enterprise social networks_x000D_
microgranular architectures_x000D_
mobility systems_x000D_
multiperspective architectural decision management_x000D_
original enterprise architecture reference models_x000D_
self-optimizing intelligent business services_x000D_
service-oriented digitization architectures_x000D_
Business_x000D_
Cloud computing_x000D_
Computer architecture_x000D_
Context</t>
  </si>
  <si>
    <t>A. Zimmermann; D. Jugel; R. Schmidt; C. Schweda; M. Möhring</t>
  </si>
  <si>
    <t>1420</t>
  </si>
  <si>
    <t>Architectural engineering and transformation_x000D_
Collaboration_x000D_
Decision support_x000D_
Digital enterprise architecture_x000D_
Agile manufacturing systems_x000D_
Information science_x000D_
Agile transformations_x000D_
Architectural decision_x000D_
Architectural engineering_x000D_
Architecture reference models_x000D_
Collaborative decisions_x000D_
Decision supports_x000D_
Digital enterprise_x000D_
Decision support systems</t>
  </si>
  <si>
    <t>A. Zimmermann; M. Pretz; G. Zimmermann; D. G. Firesmith; I. Petrov</t>
  </si>
  <si>
    <t>10.1109/EDOCW.2013.21</t>
  </si>
  <si>
    <t>Big Data_x000D_
Web services_x000D_
cloud computing_x000D_
knowledge based systems_x000D_
service-oriented architecture_x000D_
Big Data management_x000D_
ESARC_x000D_
MFESA_x000D_
architecture reference model_x000D_
enterprise services architecture reference cube_x000D_
enterprise services computing_x000D_
knowledge-based system_x000D_
large-scale information system_x000D_
method framework for engineering system architecture_x000D_
program comprehension_x000D_
semantic analysis_x000D_
service-oriented big data application_x000D_
service-oriented cloud-based enterprise system_x000D_
service-oriented enterprise architecture classification_x000D_
software engineering method_x000D_
Estimation_x000D_
Image color analysis_x000D_
Image segmentation_x000D_
Mathematical model_x000D_
Principal component analysis_x000D_
Reflection_x000D_
Transforms_x000D_
Big Data Applications_x000D_
Cloud Services Architecture_x000D_
Enterprise Systems Architecture_x000D_
Service-oriented Enterprise Architectures</t>
  </si>
  <si>
    <t>A. Zimmermann; R. Schmidt; K. Sandkuhl; E. El-Sheikh; D. Jugel; C. Schweda; M. Möhring; M. Wißotzki; B. Lantow</t>
  </si>
  <si>
    <t>10.1007/978-3-319-40564-3_6</t>
  </si>
  <si>
    <t>A. Zimmermann; R. Schmidt; K. Sandkuhl; M. Wißotzki; D. Jugel; M. Möhring</t>
  </si>
  <si>
    <t>10.1109/EDOCW.2015.16</t>
  </si>
  <si>
    <t>Internet of Things_x000D_
business data processing_x000D_
cloud computing_x000D_
information systems_x000D_
knowledge based systems_x000D_
ontologies (artificial intelligence)_x000D_
software architecture_x000D_
Big Data management_x000D_
IT changes_x000D_
Internet of Things architectures_x000D_
Internet of Things components_x000D_
Internet of Things infrastructures_x000D_
Internet of Things technologies_x000D_
IoT-objects_x000D_
architectural capabilities_x000D_
architectural objects_x000D_
architecture engineering_x000D_
business applications_x000D_
business categories_x000D_
business information systems_x000D_
business infrastructures_x000D_
business models_x000D_
business platforms_x000D_
business processes_x000D_
business services_x000D_
business value_x000D_
collaboration networks_x000D_
complex business/IT environments_x000D_
digital enterprise architecture_x000D_
digital strategies_x000D_
digital transformation_x000D_
information systems management_x000D_
knowledge-based systems_x000D_
metamodel-based approach_x000D_
mobility_x000D_
ontologies_x000D_
products organizations_x000D_
semantic-based decision support_x000D_
Business_x000D_
Computational modeling_x000D_
Computer architecture_x000D_
Security_x000D_
Digital</t>
  </si>
  <si>
    <t>O. Zimmermann; C. Miksovic; J. M. Küster</t>
  </si>
  <si>
    <t>https://doi.org/10.1016/j.jss.2012.05.003</t>
  </si>
  <si>
    <t>Architectural decisions_x000D_
Architectural principles_x000D_
DSL_x000D_
Knowledge management_x000D_
Model-driven engineering_x000D_
Outsourcing_x000D_
SOA_x000D_
Workflow</t>
  </si>
  <si>
    <t>R. D. Zota; A. Fratila</t>
  </si>
  <si>
    <t>10.1109/RoEduNet.2013.6511753</t>
  </si>
  <si>
    <t>business data processing_x000D_
business process re-engineering_x000D_
cloud computing_x000D_
software architecture_x000D_
PEAF_x000D_
TOGAF_x000D_
business environment_x000D_
business model reengineering_x000D_
capacity constraint_x000D_
cloud environment_x000D_
economic climate_x000D_
enterprise architecture framework_x000D_
enterprise architecture model_x000D_
information system architecture_x000D_
information system management_x000D_
scalability constrain_x000D_
Computational modeling_x000D_
Computer architecture_x000D_
Economics_x000D_
Organizations_x000D_
Standards organizations_x000D_
business model_x000D_
enterprise architecture</t>
  </si>
  <si>
    <t>R. D. Zota; L. A. Fratila</t>
  </si>
  <si>
    <t>10.1109/RoEduNet.2013.6714198</t>
  </si>
  <si>
    <t>business data processing_x000D_
cloud computing_x000D_
business application framework_x000D_
cloud architecture_x000D_
cloud implementation standardization_x000D_
governance framework_x000D_
Biological system modeling_x000D_
Computer architecture_x000D_
Organizations_x000D_
Standards organizations_x000D_
business models_x000D_
cloud_x000D_
cloud reference architecture_x000D_
enterprise architecture framework</t>
  </si>
  <si>
    <t>Reference Type</t>
  </si>
  <si>
    <t>Secondary Title</t>
  </si>
  <si>
    <t>Volume</t>
  </si>
  <si>
    <t>Number</t>
  </si>
  <si>
    <t>Pages</t>
  </si>
  <si>
    <t>URL</t>
  </si>
  <si>
    <t>DOI</t>
  </si>
  <si>
    <t>Keywords</t>
  </si>
  <si>
    <t>Place Published</t>
  </si>
  <si>
    <t>Architectural patterns are a helpful means for designing IT architectures, as they facilitate re-using proven knowledge (good practices) from previous exercises. Furthermore referencing a pattern in an architecture model helps improving the understandability of the model, as it directs to a comprehensive description of the pattern, but does not require to include the full description into the model. In this paper we describe how patterns can be woven into architecture models, focusing on deployment views of the IT infrastructure. Two different modeling approaches, Fundamental Modeling Concepts (FMC) and ArchiMate, are compared based on a real-world case concerning the infrastructure architecture of a large data center. This paper provides practical insights for IT architects from the industry by discussing the practical case and comparing both modeling approaches. Furthermore, it is supposed to intensify the exchange between industry experts and scientific researchers and it should motivate pursuing further research concerning patterns and IT infrastructure models.</t>
  </si>
  <si>
    <t>The huge amount of information managed by Critical Infrastructure (CI) argues for the support of SCADA systems which behave as very complex and sophisticated tools. These latter support CI operators in monitoring and governing the system security by elaborating the operational policies amongst the architecture components. In [1] and [2] we have exploited enterprise architecture management tool to construct an integrated SCADA metamodel dedicated to these components' artefacts and structured according to (1) three layers of abstraction, namely: Organization, Application, and Technical layer and (2) two semantically consistent types of policies: the Permissive Policy and the Cognitive Policy. The results of the SCADA modelling and policy engineering approach constitute, as illustrated through the CockpitCI project case study, a global analytical tool for the SCADA operators which may rely on a rational and unified component security based architecture to continuously monitor and manipulate the policy attributes acknowledging their impact on the whole CI system. In this poster, we illustrate how the metamodel for SCADA components is used together with the method for policy scheme identification to support automatic reaction strategy.</t>
  </si>
  <si>
    <t>This paper investigates whether the ArchiMate modelling language can be used to model the most commonly used strategy models and concepts. This can be considered as an important step into closing the gap between Business and IT. By having a better understanding of what is needed to model strategy, we can analyse if the current version of the ArchiMate modelling language is sufficient or what additions need to be made. Also by knowing how the strategic concepts are used in the context of business we hope to improve the way they are modelled with ArchiMate. In order to do this, we start by taking a look at the strategic planning process and identify its main concepts. It starts by presenting the strategic planning process and its corresponding concepts and strategy models. This is followed by an analysis of the suitability of ArchiMate in which we argue that resource and capability concepts are concepts that should be included in the next versions of the language. Lastly, we demonstrate how strategy can be modelled with the help of a case study.</t>
  </si>
  <si>
    <t>ArchiMate is a Domain Specific Language to model an enterprise from a holistic perspective, showing not only the IT infrastructure of an organization, but also how this IT infrastructure supports business processes, and contributes to the realization of products and (commercial) services. Yet, ArchiMate lacks the capability to capture the design decisions behind the models. Capturing such decisions is important to improve the design teaching and communication after the design process. This is what we refer to as EA Anamnesis. People who can benefit from EA Anamnesis are e.g. persons that are foreign to a given architecture, such as external Enterprise architects. In this paper, we introduce an approach to capture design decisions. For the moment we target our approach primarily on capturing design decisions in the context of ArchiMate models. Specifically, we (1) introduce a meta-model for capturing architectural design decisions. This meta-model is grounded in DSLs for capturing rationales in software engineering. (2) Finally, we provide a use case scenario for the insurance industry to illustrate the use of our approach.</t>
  </si>
  <si>
    <t>Applying a foundational ontology to analyze means-end links in the i* framework</t>
  </si>
  <si>
    <t>In the software industry there are new major technology trends - i.e. Service Oriented Architecture (SOA), Business Process Management (BPM) and Enterprise Architecture - that had already gained enough popularity and adoption to have a stance on their own in the community of practice, but that have not been successfully incorporated into the standard set of software development practices. This creates a window of opportunity for the Software Engineering (SE) researchers to evaluate the inclusion of these new concepts into the existing software development process. This paper introduces the idea of an integrated framework with the aim of supporting the inclusion of SOA, BPM and EA into the Rational Unified Process (RUP). We expect that the current work will support future researchers in finding the proper path to achieve consensus for the inclusion of the mentioned topics into a common framework.</t>
  </si>
  <si>
    <t>Type of publication</t>
  </si>
  <si>
    <t>Source IS artifacts</t>
  </si>
  <si>
    <t>EA concerns</t>
  </si>
  <si>
    <t>Mining Techniques</t>
  </si>
  <si>
    <t>Type of research</t>
  </si>
  <si>
    <t>Evaluation research</t>
  </si>
  <si>
    <t>Proposal of solution</t>
  </si>
  <si>
    <t>Validation research</t>
  </si>
  <si>
    <t>Philosophical papers</t>
  </si>
  <si>
    <t>Opinion papers</t>
  </si>
  <si>
    <t>Personal experience papers</t>
  </si>
  <si>
    <t>Scale</t>
  </si>
  <si>
    <t>Type of Publication</t>
  </si>
  <si>
    <t>Type of Research</t>
  </si>
  <si>
    <t>Mining techniques</t>
  </si>
  <si>
    <t>EA concern</t>
  </si>
  <si>
    <t>EV5</t>
  </si>
  <si>
    <t>Selected</t>
  </si>
  <si>
    <t>Aplication</t>
  </si>
  <si>
    <t>SOA/services</t>
  </si>
  <si>
    <t>Micro-services</t>
  </si>
  <si>
    <t>SysMeth</t>
  </si>
  <si>
    <t>tool</t>
  </si>
  <si>
    <t>empirical</t>
  </si>
  <si>
    <t>replicated</t>
  </si>
  <si>
    <t>EA Framework/Methodology</t>
  </si>
  <si>
    <t>Score</t>
  </si>
  <si>
    <t>expert information</t>
  </si>
  <si>
    <t>application</t>
  </si>
  <si>
    <t>mision/vision/objectives</t>
  </si>
  <si>
    <t>MOF</t>
  </si>
  <si>
    <t>processes</t>
  </si>
  <si>
    <t>all</t>
  </si>
  <si>
    <t>Language</t>
  </si>
  <si>
    <t>Framework/Methodology</t>
  </si>
  <si>
    <t>Agnostic</t>
  </si>
  <si>
    <t>EA Model annotation</t>
  </si>
  <si>
    <t>code</t>
  </si>
  <si>
    <t>EA Maintenance</t>
  </si>
  <si>
    <t>EA Analysis</t>
  </si>
  <si>
    <t>SoS</t>
  </si>
  <si>
    <t>capabilities</t>
  </si>
  <si>
    <t>SysML/SoaML</t>
  </si>
  <si>
    <t>architecture execution</t>
  </si>
  <si>
    <t>Workshop paper</t>
  </si>
  <si>
    <t>UML/OCL</t>
  </si>
  <si>
    <t>IT documentation</t>
  </si>
  <si>
    <t>Data collection/Data mapping</t>
  </si>
  <si>
    <t>ADaPPT</t>
  </si>
  <si>
    <t>UPDM (UML)</t>
  </si>
  <si>
    <t xml:space="preserve"> MODAF and DoDAF</t>
  </si>
  <si>
    <t>MDE &amp; Data collection/Data mapping</t>
  </si>
  <si>
    <t>UML/OWL</t>
  </si>
  <si>
    <t>TOGAF+extension</t>
  </si>
  <si>
    <t>process mining</t>
  </si>
  <si>
    <t>sensor/actuator event logs</t>
  </si>
  <si>
    <t>PetriNet</t>
  </si>
  <si>
    <t>Cyber-Physical Systems</t>
  </si>
  <si>
    <t>Management Data Repository (MDR).</t>
  </si>
  <si>
    <t>CODEK</t>
  </si>
  <si>
    <t>applications networks</t>
  </si>
  <si>
    <t>social network analaysis</t>
  </si>
  <si>
    <t>social network analaysis+expert knowledge</t>
  </si>
  <si>
    <t>expert knowledge (interview)</t>
  </si>
  <si>
    <t>DSL/ontology/data collection/query</t>
  </si>
  <si>
    <t>ArquiMEO</t>
  </si>
  <si>
    <t>ArquiMEO/OWL/Sparql</t>
  </si>
  <si>
    <t>Business/IT alignment</t>
  </si>
  <si>
    <t xml:space="preserve"> </t>
  </si>
  <si>
    <t>applications</t>
  </si>
  <si>
    <t>complexity meassure / variability mining/ clustering</t>
  </si>
  <si>
    <t>application architecture</t>
  </si>
  <si>
    <t>Use cases / business goals</t>
  </si>
  <si>
    <t>SPEM / Three-dimension cube</t>
  </si>
  <si>
    <t>Business Model Canvas definition / EA Maintenance</t>
  </si>
  <si>
    <t>EMF/Java / Fusion</t>
  </si>
  <si>
    <t>MDE/Data collection/Data mapping - Model Weaving</t>
  </si>
  <si>
    <t>RDBMS / ESB (Enterp. Serv. Bus)/ ESB BPEL Logs / BPMN models / ArchiMate models / human</t>
  </si>
  <si>
    <t>data entities</t>
  </si>
  <si>
    <t>ER/EMF/GMF</t>
  </si>
  <si>
    <t>process logs / application invocation logs</t>
  </si>
  <si>
    <t>correlation between the business and application layers</t>
  </si>
  <si>
    <t>data collection / data mapping / Frequent Closed Sequential Pattern</t>
  </si>
  <si>
    <t>ISO/IEC/IEEE 42010</t>
  </si>
  <si>
    <t>ISO/IEC/IEEE 42010 / MEGAF</t>
  </si>
  <si>
    <t>EMF/GMF/OCL</t>
  </si>
  <si>
    <t>Serious games</t>
  </si>
  <si>
    <t>process logs / IT infras / expert info.</t>
  </si>
  <si>
    <t>process logs / expert info.</t>
  </si>
  <si>
    <t>ArquiMate/BPMN</t>
  </si>
  <si>
    <t>process mining / process re-engineering</t>
  </si>
  <si>
    <t>operational data (datawarehouse)</t>
  </si>
  <si>
    <t>business intelligence</t>
  </si>
  <si>
    <t>crowd social software</t>
  </si>
  <si>
    <t>Draft elements management</t>
  </si>
  <si>
    <t>Social Media</t>
  </si>
  <si>
    <t>Social Media Info / EA Model</t>
  </si>
  <si>
    <t>Web data mining / data mapping</t>
  </si>
  <si>
    <t>IBM Component Business Model (CBM)</t>
  </si>
  <si>
    <t>Dynamic Analysis / Monitoring</t>
  </si>
  <si>
    <t>server dynamic info (CPU/ bandwidth / traffic) / Microservices calls / process logs</t>
  </si>
  <si>
    <t>EDEMF (TOGAF based)</t>
  </si>
  <si>
    <t>Event  Driven Architecture  (EDA)</t>
  </si>
  <si>
    <t>event</t>
  </si>
  <si>
    <t>ESB / data / events</t>
  </si>
  <si>
    <t>ArchiMate extension</t>
  </si>
  <si>
    <t>services / expert inforamation</t>
  </si>
  <si>
    <t>ArquiMate / UML /OWL</t>
  </si>
  <si>
    <t>process logs</t>
  </si>
  <si>
    <t>applications / RDBMS / IT infrastructure / business groups</t>
  </si>
  <si>
    <t>Design  Structure  Matrices / Data Collection / Data Mapping</t>
  </si>
  <si>
    <t>Data collection / pattern matching</t>
  </si>
  <si>
    <t>Fundamental
Modeling Concepts (FMC) / ArchiMate</t>
  </si>
  <si>
    <t>IT operational data</t>
  </si>
  <si>
    <t>Columna1</t>
  </si>
  <si>
    <t>N. Rosasco</t>
  </si>
  <si>
    <t>J. Dehlinger</t>
  </si>
  <si>
    <t>S. Buckl</t>
  </si>
  <si>
    <t>M. Buschle</t>
  </si>
  <si>
    <t>P. Johnson</t>
  </si>
  <si>
    <t>F. Matthes</t>
  </si>
  <si>
    <t>C. M. Schweda</t>
  </si>
  <si>
    <t>W. Pasquazzo</t>
  </si>
  <si>
    <t>R. Breu</t>
  </si>
  <si>
    <t>K. Voges</t>
  </si>
  <si>
    <t>I. Hanschke</t>
  </si>
  <si>
    <t>J. Hu</t>
  </si>
  <si>
    <t>L. Huang</t>
  </si>
  <si>
    <t>X. Chang</t>
  </si>
  <si>
    <t>B. Cao</t>
  </si>
  <si>
    <t>B. Ge</t>
  </si>
  <si>
    <t>K. W. Hipel</t>
  </si>
  <si>
    <t>K. Yang</t>
  </si>
  <si>
    <t>Y. Chen</t>
  </si>
  <si>
    <t>M. Välja</t>
  </si>
  <si>
    <t>R. Lagerström</t>
  </si>
  <si>
    <t>M. Ekstedt</t>
  </si>
  <si>
    <t>M. Korman</t>
  </si>
  <si>
    <t>M. Postina</t>
  </si>
  <si>
    <t>J. Trefke</t>
  </si>
  <si>
    <t>U. Steffens</t>
  </si>
  <si>
    <t>D. Repta</t>
  </si>
  <si>
    <t>M. A. Moisescu</t>
  </si>
  <si>
    <t>I. S. Sacala</t>
  </si>
  <si>
    <t>A. M. Stanescu</t>
  </si>
  <si>
    <t>G. Neagu</t>
  </si>
  <si>
    <t>B. Agreiter</t>
  </si>
  <si>
    <t>S. Ryll</t>
  </si>
  <si>
    <t>P. Loucopoulos</t>
  </si>
  <si>
    <t>E. Kavakli</t>
  </si>
  <si>
    <t>L. Kapraali</t>
  </si>
  <si>
    <t>A. Santana</t>
  </si>
  <si>
    <t>D. Simon</t>
  </si>
  <si>
    <t>K. Fischbach</t>
  </si>
  <si>
    <t>H. d. Moura</t>
  </si>
  <si>
    <t>K. Hinkelmann</t>
  </si>
  <si>
    <t>M. Maise</t>
  </si>
  <si>
    <t>B. Thönssen</t>
  </si>
  <si>
    <t>L. De Silva</t>
  </si>
  <si>
    <t>D. Balasubramaniam</t>
  </si>
  <si>
    <t>K. Wehling</t>
  </si>
  <si>
    <t>D. Wille</t>
  </si>
  <si>
    <t>C. Seidl</t>
  </si>
  <si>
    <t>I. Schaefer</t>
  </si>
  <si>
    <t>R. Schmidt</t>
  </si>
  <si>
    <t>M. Möhring</t>
  </si>
  <si>
    <t>M. Hauder</t>
  </si>
  <si>
    <t>S. Roth</t>
  </si>
  <si>
    <t>C. E. Salgado</t>
  </si>
  <si>
    <t>R. J. Machado</t>
  </si>
  <si>
    <t>R. S. P. Maciel</t>
  </si>
  <si>
    <t>M. Sánchez</t>
  </si>
  <si>
    <t>J. C. Reyes</t>
  </si>
  <si>
    <t>J. Villalobos</t>
  </si>
  <si>
    <t>G. Motta</t>
  </si>
  <si>
    <t>G. Pignatelli</t>
  </si>
  <si>
    <t>A. Saraswati</t>
  </si>
  <si>
    <t>C. F. Chang</t>
  </si>
  <si>
    <t>A. Ghose</t>
  </si>
  <si>
    <t>H. K. Dam</t>
  </si>
  <si>
    <t>R. Hilliard</t>
  </si>
  <si>
    <t>I. Malavolta</t>
  </si>
  <si>
    <t>H. Muccini</t>
  </si>
  <si>
    <t>P. Pelliccione</t>
  </si>
  <si>
    <t>J. Groenewegen</t>
  </si>
  <si>
    <t>S. Hoppenbrouwers</t>
  </si>
  <si>
    <t>E. Proper</t>
  </si>
  <si>
    <t>J. Binder</t>
  </si>
  <si>
    <t>S. Strodl</t>
  </si>
  <si>
    <t>A. Rauber</t>
  </si>
  <si>
    <t>M. P. Uysal</t>
  </si>
  <si>
    <t>A. Halici</t>
  </si>
  <si>
    <t>A. E. Mergen</t>
  </si>
  <si>
    <t>T. M. Truong</t>
  </si>
  <si>
    <t>L. P. Tôn</t>
  </si>
  <si>
    <t>R. K. M. Veneberg</t>
  </si>
  <si>
    <t>M. E. Iacob</t>
  </si>
  <si>
    <t>M. J. Van Sinderen</t>
  </si>
  <si>
    <t>L. Bodenstaff</t>
  </si>
  <si>
    <t>A. Morkevičius</t>
  </si>
  <si>
    <t>S. Gudas</t>
  </si>
  <si>
    <t>D. Silingas</t>
  </si>
  <si>
    <t>A. Zimmermann</t>
  </si>
  <si>
    <t>D. Jugel</t>
  </si>
  <si>
    <t>F. Bär</t>
  </si>
  <si>
    <t>H. Florez</t>
  </si>
  <si>
    <t>S. Glissman</t>
  </si>
  <si>
    <t>I. Terrizzano</t>
  </si>
  <si>
    <t>A. Lelescu</t>
  </si>
  <si>
    <t>J. Sanz</t>
  </si>
  <si>
    <t>M. Kleehaus</t>
  </si>
  <si>
    <t>Ö. Uludaǧ</t>
  </si>
  <si>
    <t>H. Kim</t>
  </si>
  <si>
    <t>S. Oussena</t>
  </si>
  <si>
    <t>J. Essien</t>
  </si>
  <si>
    <t>P. Komisarczuk</t>
  </si>
  <si>
    <t>J. Bogner</t>
  </si>
  <si>
    <t>R. Van Langerak</t>
  </si>
  <si>
    <t>J. M. E. M. Van Der Werf</t>
  </si>
  <si>
    <t>S. Brinkkemper</t>
  </si>
  <si>
    <t>M. Pluchator</t>
  </si>
  <si>
    <t>C. Baldwin</t>
  </si>
  <si>
    <t>A. MacCormack</t>
  </si>
  <si>
    <t>D. Dreyfus</t>
  </si>
  <si>
    <t>F. J. Frey</t>
  </si>
  <si>
    <t>R. Bijvank</t>
  </si>
  <si>
    <t>M. Pöttker</t>
  </si>
  <si>
    <t># papers</t>
  </si>
  <si>
    <t>Country</t>
  </si>
  <si>
    <t>Austria</t>
  </si>
  <si>
    <t>Germany</t>
  </si>
  <si>
    <t>USA</t>
  </si>
  <si>
    <t>Romania</t>
  </si>
  <si>
    <t>Lithuania</t>
  </si>
  <si>
    <t>Italy</t>
  </si>
  <si>
    <t>Canada</t>
  </si>
  <si>
    <t>UK</t>
  </si>
  <si>
    <t>Greece</t>
  </si>
  <si>
    <t>China</t>
  </si>
  <si>
    <t>Finland</t>
  </si>
  <si>
    <t>Brazil</t>
  </si>
  <si>
    <t>Switzerland</t>
  </si>
  <si>
    <t>Portugal</t>
  </si>
  <si>
    <t>Colombia</t>
  </si>
  <si>
    <t>Australia</t>
  </si>
  <si>
    <t>Sweden</t>
  </si>
  <si>
    <t>Netherlands</t>
  </si>
  <si>
    <t>Turkey</t>
  </si>
  <si>
    <t>Vietnam</t>
  </si>
  <si>
    <t>#papers</t>
  </si>
  <si>
    <t>Academia</t>
  </si>
  <si>
    <t>Industry</t>
  </si>
  <si>
    <t>USA/Sweden</t>
  </si>
  <si>
    <t>A</t>
  </si>
  <si>
    <t>I</t>
  </si>
  <si>
    <t>F</t>
  </si>
  <si>
    <t>Luxemburg/Netherlands</t>
  </si>
  <si>
    <t>L.S. Lê</t>
  </si>
  <si>
    <t>Freelance</t>
  </si>
  <si>
    <t>#Authors</t>
  </si>
  <si>
    <t>#Authors from Industry</t>
  </si>
  <si>
    <t>Luxembourg</t>
  </si>
  <si>
    <t>EEUU</t>
  </si>
  <si>
    <t>ID</t>
  </si>
  <si>
    <t>Conference paper</t>
  </si>
  <si>
    <t>Book chapter</t>
  </si>
  <si>
    <t>Journal article</t>
  </si>
  <si>
    <t>Global Id</t>
  </si>
  <si>
    <t>cited by (*Scopus)</t>
  </si>
  <si>
    <t>Citations</t>
  </si>
  <si>
    <t>Source artifacts</t>
  </si>
  <si>
    <t>application networks</t>
  </si>
  <si>
    <t>Use cases</t>
  </si>
  <si>
    <t>business goals</t>
  </si>
  <si>
    <t>RDBMS</t>
  </si>
  <si>
    <t>ESB (Enterp. Serv. Bus)</t>
  </si>
  <si>
    <t>BPEL Logs</t>
  </si>
  <si>
    <t>ArchiMate models</t>
  </si>
  <si>
    <t>human</t>
  </si>
  <si>
    <t>application invocation logs</t>
  </si>
  <si>
    <t>IT infras</t>
  </si>
  <si>
    <t>expert info.</t>
  </si>
  <si>
    <t>operational data</t>
  </si>
  <si>
    <t>EA Model</t>
  </si>
  <si>
    <t>server dynamic info</t>
  </si>
  <si>
    <t>Microservices</t>
  </si>
  <si>
    <t>ESB</t>
  </si>
  <si>
    <t>events</t>
  </si>
  <si>
    <t>business groups</t>
  </si>
  <si>
    <t>DB</t>
  </si>
  <si>
    <t>Database</t>
  </si>
  <si>
    <t>expert knowledge</t>
  </si>
  <si>
    <t>expert's knowledge</t>
  </si>
  <si>
    <t>services / ESB</t>
  </si>
  <si>
    <t>IT knowledge and operational data</t>
  </si>
  <si>
    <t>application info</t>
  </si>
  <si>
    <t>business knowledge / requirements</t>
  </si>
  <si>
    <t>ESB / DB / events</t>
  </si>
  <si>
    <t>Data collection</t>
  </si>
  <si>
    <t>Data mapping</t>
  </si>
  <si>
    <t>Frequent Closed Sequential Pattern</t>
  </si>
  <si>
    <t>Web data mining</t>
  </si>
  <si>
    <t>Design  Structure  Matrices</t>
  </si>
  <si>
    <t>pattern matching</t>
  </si>
  <si>
    <t>MDE / Model transformations</t>
  </si>
  <si>
    <t>EA Model annotations</t>
  </si>
  <si>
    <t>business intelligence /pattern matching</t>
  </si>
  <si>
    <t>Runtime/Temporal Analysis</t>
  </si>
  <si>
    <t>expert interview / serious game</t>
  </si>
  <si>
    <t>holistic</t>
  </si>
  <si>
    <t>Holistic</t>
  </si>
  <si>
    <t>Service</t>
  </si>
  <si>
    <t>Application</t>
  </si>
  <si>
    <t>Business</t>
  </si>
  <si>
    <t>infrastrcture</t>
  </si>
  <si>
    <t>infrastructure/application/processes</t>
  </si>
  <si>
    <t>MODAF</t>
  </si>
  <si>
    <t>ISO 42010</t>
  </si>
  <si>
    <t>OCL</t>
  </si>
  <si>
    <t>Sparql</t>
  </si>
  <si>
    <t>SPEM</t>
  </si>
  <si>
    <t>EMF</t>
  </si>
  <si>
    <t>OWL/Sparql</t>
  </si>
  <si>
    <t>SOA / micro-services</t>
  </si>
  <si>
    <t>IT Infrastructure</t>
  </si>
  <si>
    <t>QUALIS</t>
  </si>
  <si>
    <t>JCR</t>
  </si>
  <si>
    <t>-</t>
  </si>
  <si>
    <t>#</t>
  </si>
  <si>
    <t>B3</t>
  </si>
  <si>
    <t>B</t>
  </si>
  <si>
    <t>B4</t>
  </si>
  <si>
    <t>C</t>
  </si>
  <si>
    <t>A2</t>
  </si>
  <si>
    <t>Q-JCR</t>
  </si>
  <si>
    <t>ERA</t>
  </si>
  <si>
    <t>B1</t>
  </si>
  <si>
    <t>B5</t>
  </si>
  <si>
    <t>Relevance of Conference/Journal</t>
  </si>
  <si>
    <t>Level</t>
  </si>
  <si>
    <t>Q-cited</t>
  </si>
  <si>
    <t>EQ1. Is a systematic method?</t>
  </si>
  <si>
    <t>EQ2. Is tool-supported?</t>
  </si>
  <si>
    <t>EQ3. Empirical validation?</t>
  </si>
  <si>
    <t>EQ4. could be replicated?</t>
  </si>
  <si>
    <t>EQ5. Is the study cited?</t>
  </si>
  <si>
    <t>EQ6. published in a relevant journal / conference?</t>
  </si>
  <si>
    <t>Retrieved</t>
  </si>
  <si>
    <t>selected (1st iteration)</t>
  </si>
  <si>
    <t>F. J. Frey; R. Bijvank; M. Pöttker</t>
  </si>
  <si>
    <t>Industry/Academia</t>
  </si>
  <si>
    <t>Industry / Academia</t>
  </si>
  <si>
    <t>Expert's knowledge</t>
  </si>
  <si>
    <t>Process logs</t>
  </si>
  <si>
    <t>Application info</t>
  </si>
  <si>
    <t>Business knowledge / requirements</t>
  </si>
  <si>
    <t>Services / Enterprise Service Bus</t>
  </si>
  <si>
    <t>Expert interview / serious game</t>
  </si>
  <si>
    <t>Social network analaysis</t>
  </si>
  <si>
    <t>Business intelligence /pattern matching</t>
  </si>
  <si>
    <t>Process mining</t>
  </si>
  <si>
    <t>Application concern</t>
  </si>
  <si>
    <t>Technique</t>
  </si>
  <si>
    <t>Input/Output</t>
  </si>
  <si>
    <t>EQ1</t>
  </si>
  <si>
    <t>Evaluation Question</t>
  </si>
  <si>
    <t>Average</t>
  </si>
  <si>
    <t>Standard deviation</t>
  </si>
  <si>
    <t>EQ2</t>
  </si>
  <si>
    <t>EQ3</t>
  </si>
  <si>
    <t>EQ4</t>
  </si>
  <si>
    <t>EQ5</t>
  </si>
  <si>
    <t>EQ6</t>
  </si>
  <si>
    <t>Mode</t>
  </si>
  <si>
    <t>Median</t>
  </si>
  <si>
    <t>Social network analysis</t>
  </si>
  <si>
    <t>Meta-Information</t>
  </si>
  <si>
    <t>Classification</t>
  </si>
  <si>
    <t>Quality Assessment</t>
  </si>
  <si>
    <t>AQ1</t>
  </si>
  <si>
    <t>AQ2</t>
  </si>
  <si>
    <t>AQ3</t>
  </si>
  <si>
    <t>AQ4</t>
  </si>
  <si>
    <t>AQ5</t>
  </si>
  <si>
    <t>AQ6</t>
  </si>
  <si>
    <t>RQ1</t>
  </si>
  <si>
    <t>RQ2</t>
  </si>
  <si>
    <t>RQ3</t>
  </si>
  <si>
    <t>RQ4</t>
  </si>
  <si>
    <t>RQ5</t>
  </si>
  <si>
    <t>RQ6</t>
  </si>
  <si>
    <t>Journal and conference relevance / citations</t>
  </si>
  <si>
    <t>…</t>
  </si>
  <si>
    <t>Tracking information about the selection of primary studies</t>
  </si>
  <si>
    <t>Conference/Journal</t>
  </si>
  <si>
    <t>Experts' knowledge</t>
  </si>
  <si>
    <t>Interviews with experts / serious games</t>
  </si>
  <si>
    <t>Modeling and Analyzing Digital Business Ecosystems: An Approach and Evaluation</t>
  </si>
  <si>
    <t>A. Aldea; M. C. Kusumaningrum; M. E. Iacob; M. Daneva</t>
  </si>
  <si>
    <t>2018 IEEE 20th Conference on Business Informatics (CBI)</t>
  </si>
  <si>
    <t>Analytical models_x000D_
Biological system modeling_x000D_
Companies_x000D_
Ecosystems_x000D_
Standards organizations_x000D_
digital business ecosystem, ArchiMate modelling, AHP, linear programming, empirical research method</t>
  </si>
  <si>
    <t>Joint actions with other businesses are key to the survival of many companies today. Advanced collaboration technologies support companies in synchronizing their joint actions by forming digital business ecosystems (DBE). While such technologies are beneficial to companies, their use might also be potentially detrimental due to the increased complexity they add to the management of the BDE partners' collaboration and due to the partners' lack of knowledge in coping with this complexity. For companies to deal with the complexities in their dynamic environments, they need approaches for mapping out and analyzing their DBEs. Due to the newness of the DBE concept, how to model and analyze DBEs is hardly known. Yet, this is necessary, as partners in a DBEs want to know if their DBEs promotes or prohibits profit. This article proposes an approach to modelling and analyzing DBEs, based on the complimentary use of ArchiMate standards and quantitative methods such as the Analytical Hierarchy Process and linear programming. We carried out a first evaluation of the proposed approach by using an expert panel of practitioners. Our results indicate that the approach is easy to use from practitioner's perspective and that it can assist practitioners in executing their modelling and analysis tasks. However, more empirical evaluation research is needed in order to improve the approach's applicability in supporting companies in making DBE-related decisions.</t>
  </si>
  <si>
    <t>Enterprise Architecture 4.0 – A Vision, an Approach and Software Tool Support</t>
  </si>
  <si>
    <t>A. Aldea; M. Iacob; A. Wombacher; M. Hiralal; T. Franck</t>
  </si>
  <si>
    <t>2018 IEEE 22nd International Enterprise Distributed Object Computing Conference (EDOC)</t>
  </si>
  <si>
    <t>Big Data_x000D_
Internet of Things_x000D_
manufacturing systems_x000D_
production engineering computing_x000D_
software tools_x000D_
supply chain management_x000D_
operational data_x000D_
IT-driven design approaches_x000D_
model management_x000D_
analytics software platform_x000D_
software tool support_x000D_
physical machines_x000D_
sensors_x000D_
organizations_x000D_
enterprise architecture approach_x000D_
enterprise architecture 4.0_x000D_
Industry 4.0_x000D_
supply chain_x000D_
husbandry sector_x000D_
industrial Internet of Things_x000D_
ArchiMate_x000D_
Computer architecture_x000D_
Data models_x000D_
Analytical models_x000D_
Standards organizations_x000D_
Industries_x000D_
Advanced analytics_x000D_
Manufacturing_x000D_
Software tool</t>
  </si>
  <si>
    <t>Industry 4.0 has begun to shape the way organizations operate by emphasizing the need for a duality between physical machines and sensors, and the (big) data they generate, exchange and use. Manufacturing is one of several industries which is expected to be impacted by this technological revolution. Increasing the information flows and integration of systems within organizations, and along the supply chain is considered one of the main challenges that needs to be addressed by these organizations. One approach for addressing this challenge is to investigate how this abundance of (big) operational data can be used in combination with IT-driven design approaches, such as Enterprise Architecture. Therefore, in this paper we propose our vision for Enterprise Architecture 4.0, i.e. an extended Enterprise Architecture approach for the context of Industry 4.0, and we give an account of our (work-in-progress) efforts to design a model management and analytics software platform supporting this vision. The usage of the software tool is exemplified with the help of a case study with an organization that develops IT and automation systems for the husbandry sector.</t>
  </si>
  <si>
    <t>Toward Modeling Strategic Plans: Requirements &amp;amp; Language Design Considerations</t>
  </si>
  <si>
    <t>A. Bergmann; S. Strecker</t>
  </si>
  <si>
    <t>Strategic planning_x000D_
Analytical models_x000D_
Task analysis_x000D_
Organizations_x000D_
Visualization_x000D_
enterprise modeling_x000D_
strategic plan_x000D_
domain specific modeling language</t>
  </si>
  <si>
    <t>Strategic planning constitutes an essential managerial task. The existence of a coherent and a consistent strategic plan is considered a prerequisite for strategy implementation and execution. As a task, strategic planning requires a profound understanding of a firms competitive environment, organizational context and business operations. We investigate whether a domain-specific modeling method extending existing enterprise modeling methods can address essential requirements of the domain of strategic planning. As part of an on-going, multi-year design science research project, the present work motivates and justifies domain-specific requirements a method in support of strategic planning should satisfy, and identifies essential domain-specific concepts. Integration points with existing modeling languages are discussed, and initial drafts of concepts of a domain-specific modeling language (DSML) for strategic planning are outlined.</t>
  </si>
  <si>
    <t>Hospital enterprise Architecture Framework (Study of Iranian University Hospital Organization)</t>
  </si>
  <si>
    <t>A. Haghighathoseini; H. Bobarshad; F. Saghafi; M. S. Rezaei; N. Bagherzadeh</t>
  </si>
  <si>
    <t>Int J Med Inform</t>
  </si>
  <si>
    <t>https://www.ncbi.nlm.nih.gov/pubmed/29673609</t>
  </si>
  <si>
    <t>Enterprise architecture_x000D_
Hospital organization_x000D_
Information system architecture_x000D_
TOGAF architecture</t>
  </si>
  <si>
    <t>BACKGROUNDS: Nowadays developing smart and fast services for patients and transforming hospitals to modern hospitals is considered a necessity. Living in the world inundated with information systems, designing services based on information technology entails a suitable architecture framework. OBJECTIVES: This paper aims to present a localized enterprise architecture framework for the Iranian university hospital. METHODS AND RESULTS: Using two dimensions of implementation and having appropriate characteristics, the best 17 enterprises frameworks were chosen. As part of this effort, five criteria were selected according to experts' inputs. According to these criteria, five frameworks which had the highest rank were chosen. Then 44 general characteristics were extracted from the existing 17 frameworks after careful studying. Then a questionnaire was written accordingly to distinguish the necessity of those characteristics using expert's opinions and Delphi method. The result showed eight important criteria. In the next step, using AHP method, TOGAF was chosen regarding having appropriate characteristics and the ability to be implemented among reference formats. In the next step, enterprise architecture framework was designed by TOGAF in a conceptual model and its layers. For determining architecture framework parts, a questionnaire with 145 questions was written based on literature review and expert's opinions. The results showed during localization of TOGAF for Iran, 111 of 145 parts were chosen and certified to be used in the hospital. CONCLUSION: The results showed that TOGAF could be suitable for use in the hospital. So, a localized Hospital Enterprise Architecture Modelling is developed by customizing TOGAF for an Iranian hospital at eight levels and 11 parts. This new model could be used to be performed in other Iranian hospitals.</t>
  </si>
  <si>
    <t>Enterprise architecture of mobile healthcare for large crowd events</t>
  </si>
  <si>
    <t>A. I. E. S. Eldein; H. H. Ammar; D. G. Dzielski</t>
  </si>
  <si>
    <t>https://www.scopus.com/inward/record.uri?eid=2-s2.0-85051016534&amp;doi=10.1109%2fICTA.2017.8336022&amp;partnerID=40&amp;md5=5a51b48b511b196f112337089a506b0a</t>
  </si>
  <si>
    <t>Business architecture_x000D_
Cloud computing_x000D_
Enterprise Architecture_x000D_
Healthcare events_x000D_
ICT &amp;IOT_x000D_
Smart Mobile_x000D_
Computer architecture_x000D_
Diagnosis_x000D_
Electronic document exchange_x000D_
Emergency services_x000D_
mHealth_x000D_
Mobile devices_x000D_
Telemedicine_x000D_
Emergency medical services_x000D_
Healthcare organizations_x000D_
Information and Communication Technologies_x000D_
Internet of Things (IOT)_x000D_
World Health Organization_x000D_
Mobile cloud computing</t>
  </si>
  <si>
    <t>The role of Information and Communication Technology (ICT) for large crowd events in smart cities will continue grow with the growing service demands. An important service is Healthcare's use of smart mobile technologies for patients' profiles. Medical staff in health care organizations can benefit from ICT &amp; Internet of Things (IOT) solutions to access and gather data from patient's records. This paper presents enterprise architecture models for 'Mobile Healthcare Events System' (MHES). The system supports and delivers quality healthcare information for patients. Enterprise healthcare uses mobile and cloud computing to address the challenges that face the enterprise health care system architecture. These models combine the technologies of mobile cloud health information and analysis and describe their development for enterprise solutions. They provide services for online access to health records for specific patients and support medical procedures that diagnose the patients crowded in large events such religious or sporting events that last for several weeks. Using mobile devices and cloud technologies the proposed system will evolve and transform traditional health care processes utilizing a mobile device to provide a public event health service. In addition, the system supports medical health care staff and professionals for better patient diagnosis, checking patient history records, and collaborating with other enterprises such as the patient's physician offices, Emergency Medical Services (EMS) and the World Health Organizations. © 2017 IEEE.</t>
  </si>
  <si>
    <t>Smart Collaborating Hubs and a Smart Global Village - An Alternative Perspective on Smart Cities</t>
  </si>
  <si>
    <t>A. Umar</t>
  </si>
  <si>
    <t>2018 IEEE Technology and Engineering Management Conference (TEMSCON)</t>
  </si>
  <si>
    <t>groupware_x000D_
public administration_x000D_
smart cities_x000D_
town and country planning_x000D_
public welfare_x000D_
smart collaborating hubs_x000D_
Smart Global Village_x000D_
smart city solutions_x000D_
health services_x000D_
education services_x000D_
public safety_x000D_
United Nations Partnership_x000D_
computer aided methodology_x000D_
Sociology_x000D_
Statistics_x000D_
Planning_x000D_
Urban areas_x000D_
Education_x000D_
Collaboration_x000D_
Tools_x000D_
Computer Aided Strategic Planning_x000D_
Smart Enterprises_x000D_
Small Islands_x000D_
UN SDGs</t>
  </si>
  <si>
    <t>Most of the prevalent smart city solutions that focus on large metropolitan areas are irrelevant to almost half of the world population that lives in rural areas, small towns, islands and isolated communities. This paper presents an alternate perspective that is based on Smart Collaborating Hubs and a Smart Global Village to serve smaller communities. These hubs provide inexpensive and highly specialized services in health, education, public safety, public welfare and other vital sectors for the underserved populations around the globe. An extensive computer aided methodology is presented that is being used to plan, engineer and manage the smart collaborating hubs for a United Nations Partnership. Key results and examples are used to illustrate the main points.</t>
  </si>
  <si>
    <t>Requirements engineering approaches to derive enterprise information systems from business process management: A systematic literature review</t>
  </si>
  <si>
    <t>A. Unger; M. Spinola; M. Pessôa</t>
  </si>
  <si>
    <t>https://www.scopus.com/inward/record.uri?eid=2-s2.0-85044392412&amp;partnerID=40&amp;md5=61bc88b239aeed1fa63508e2724340ae</t>
  </si>
  <si>
    <t>Business process management_x000D_
Enterprise information systems_x000D_
Requirements engineering_x000D_
Administrative data processing_x000D_
Enterprise resource management_x000D_
Information management_x000D_
Information use_x000D_
Software design_x000D_
Adaptive information systems_x000D_
Business process model_x000D_
Development degree_x000D_
Enterprise information system_x000D_
Software requirements_x000D_
Strategic alignment_x000D_
Systematic literature review_x000D_
Information systems</t>
  </si>
  <si>
    <t>The advent of Business Process Management offered a new approach to improve business and IT strategic alignment in organizations throughout development of process-aware Enterprise Information Systems. For that matter, extracting software requirements from business process models leverages engineering of adaptive information systems, which are able to adjust to changes in operation as of process redesign. This study describes a systematic literature review in Requirements Engineering approaches to derive Enterprise Information Systems from Business Process Management, aiming to provide the state-of-the-art academic overview on this research topic. Results reveal six different approach types, with variations on software development degree of automation, suggesting diverse strategies for process-oriented information systems adoption. © 2018 CEUR-WS. All rights reserved.</t>
  </si>
  <si>
    <t>Evolution of Enterprise Architecture for Digital Transformation</t>
  </si>
  <si>
    <t>A. Zimmermann; R. Schmidt; K. Sandkuhl; D. Jugel; J. Bogner; M. Möhring</t>
  </si>
  <si>
    <t>2018 IEEE 22nd International Enterprise Distributed Object Computing Workshop (EDOCW)</t>
  </si>
  <si>
    <t>Big Data_x000D_
business data processing_x000D_
cloud computing_x000D_
groupware_x000D_
information systems_x000D_
service-oriented architecture_x000D_
digital services_x000D_
adaptable distributed systems_x000D_
digital transformation_x000D_
digital strategies_x000D_
digital business models_x000D_
Internet of Things_x000D_
mobile services_x000D_
services computing_x000D_
mobile systems_x000D_
intelligent business services_x000D_
adaptable distributed information systems_x000D_
service-oriented enterprise architectures_x000D_
IT systems_x000D_
microservices_x000D_
collaboration networks_x000D_
biological metaphors_x000D_
closed-world modeling_x000D_
flexible open-world composition_x000D_
digital enterprise architecture_x000D_
value-oriented mappings_x000D_
Computer architecture_x000D_
Business_x000D_
Software_x000D_
Adaptation models_x000D_
Digital Transformation, Value Perspective, Digital Strategy and Service Modeling, Digital Enterprise Composition Architecture, Architectural Evolution</t>
  </si>
  <si>
    <t>The digital transformation of our life changes the way we work, learn, communicate, and collaborate. Enterprises are presently transforming their strategy, culture, processes, and their information systems to become digital. The digital transformation deeply disrupts existing enterprises and economies. Digitization fosters the development of IT systems with many rather small and distributed structures, like Internet of Things, Microservices and mobile services. Since years a lot of new business opportunities appear using the potential of services computing, Internet of Things, mobile systems, big data with analytics, cloud computing, collaboration networks, and decision support. Biological metaphors of living and adaptable ecosystems provide the logical foundation for self-optimizing and resilient run-time environments for intelligent business services and adaptable distributed information systems with service-oriented enterprise architectures. This has a strong impact for architecting digital services and products following both a value-oriented and a service perspective. The change from a closed-world modeling world to a more flexible open-world composition and evolution of enterprise architectures defines the moving context for adaptable and high distributed systems, which are essential to enable the digital transformation. The present research paper investigates the evolution of Enterprise Architecture considering new defined value-oriented mappings between digital strategies, digital business models and an improved digital enterprise architecture.</t>
  </si>
  <si>
    <t>Enterprise modelling in the age of digital transformation</t>
  </si>
  <si>
    <t>B. van Gils; H. A. Proper</t>
  </si>
  <si>
    <t>https://www.scopus.com/inward/record.uri?eid=2-s2.0-85056480141&amp;doi=10.1007%2f978-3-030-02302-7_16&amp;partnerID=40&amp;md5=d739a5027f4625f67646019c5754e8fe</t>
  </si>
  <si>
    <t>ArchiMate_x000D_
Digital transformation_x000D_
Enterprise modelling_x000D_
Economic and social effects_x000D_
Enterprise resource planning_x000D_
Enterprise transformation_x000D_
Industry standards_x000D_
Practical experience_x000D_
Service-dominant Logic_x000D_
Shared understanding_x000D_
Modeling languages</t>
  </si>
  <si>
    <t>The digital transformation forces enterprises to change. In addition, the notion of economic exchange, core to the economy, has shifted from following a goods-dominant logic to a service-dominant logic, putting the focus on continuous value co-creation between providers and consumers. These trends drive enterprises to transform continuously. During enterprise transformations, coordination among the stakeholders involved is key. Shared understanding, agreement, and commitment, is needed on topics such as: the overall strategy of the enterprise, the current affairs of the enterprise and its context, as well as the ideal future affairs.Models, and ultimately enterprise modelling languages and frameworks, are generally seen as an effective way to enable such (informed) coordination. To this end, different languages and frameworks have been developed, including ArchiMate. ArchiMate, which has evolved to become a widely accepted industry standard, was developed at a time where the digital transformation was not yet that noticeable. At that the time, the focus was more on consolidation and optimisation. As such, it is logical to expect that the existing ArchiMate language may require some “updates” to be ready for digital transformations. The objective of this paper is therefore threefold: (1) posit, based on practical experiences and insights, key challenges which the digital transformation puts on enterprise (architecture) modelling languages, (2) assess to what extent ArchiMate meets these challenges, and (3) provide suggestions on how to possibly improve ArchiMate to better meet these challenges. © IFIP International Federation for Information Processing 2018.</t>
  </si>
  <si>
    <t>Study of p-ICN defined performance measurement Enterprise Architecture</t>
  </si>
  <si>
    <t>B. Yoon; K. Kim; P. D. Lam; P. T. Dat; V. V. Vu; D. H. Quan; D. N. Toan</t>
  </si>
  <si>
    <t>2018 20th International Conference on Advanced Communication Technology (ICACT)</t>
  </si>
  <si>
    <t>business data processing_x000D_
decision making_x000D_
organisational aspects_x000D_
international organization_x000D_
e-Government projects_x000D_
long term project plan_x000D_
p-ICN defined performance measurement enterprise architecture_x000D_
information control nets_x000D_
UN_x000D_
Airports_x000D_
Real-time systems_x000D_
Atmospheric modeling_x000D_
Organizations_x000D_
Time measurement_x000D_
EA_x000D_
BPM_x000D_
TOGAF_x000D_
ICN_x000D_
s-ICN_x000D_
p-ICN</t>
  </si>
  <si>
    <t>In this paper we propose the performance evaluation based Information Control Nets (p-ICN) to achieve the full compliance with the international organization UN recommendation to get the performance evaluation all over the e-Government projects due to its nature of huge scale and long term project plan of IT investment. However, current real world there is not enough suitable and tangible method for decision makers to make sure rationality of such a huge IT investment. Thus, we studied and defined new method so called as the p-ICN to provide them suitable capability to evaluate the performance of any Enterprise Architectures. Moreover, proved its effectiveness to achieve a solution of the defined problem with well-known applied enterprise architecture as simple as possible.</t>
  </si>
  <si>
    <t>Towards a security and privacy co-creation method</t>
  </si>
  <si>
    <t>https://www.scopus.com/inward/record.uri?eid=2-s2.0-85044445288&amp;doi=10.23919%2fICITST.2017.8356351&amp;partnerID=40&amp;md5=77c3f8bfc90edd76057b31d9badb8337</t>
  </si>
  <si>
    <t>enterprise collaboration_x000D_
method_x000D_
privacy_x000D_
privacy co-creation_x000D_
Security_x000D_
security co-creation_x000D_
value co-creation_x000D_
Data privacy_x000D_
Co-creation_x000D_
Value co creations_x000D_
Supply chains</t>
  </si>
  <si>
    <t>Cyber collaboration supports and increases the expansion of value co-creation amongst companies and customers by defining innovative business models and by exploiting new types of infrastructures like those dedicated to social media, collaborative workspaces, or e-supply chains for instance. This proliferation of new types of collaboration generates new types of security and privacy threats to be handled by the companies. The deployment of the appropriate controls to cope with the latter is of great value for the continuity of the day to day business. Therefore, in this paper, we investigate how security and privacy may be regarded as types of value and how they may be considered, in collaborative environments, through the lens of value co-creation. Acknowledging the similarities between security, privacy, and value, we afterwards propose a method to co-create security and privacy and we illustrate how the latter may be deployed in the frame of a financial case-study. © 2017 Infonomics Society.</t>
  </si>
  <si>
    <t>Towards a Language to Support Value Cocreation: An Extension to the ArchiMate Modeling Framework</t>
  </si>
  <si>
    <t>C. Feltus; E. H. Proper; K. Haki</t>
  </si>
  <si>
    <t>2018 Federated Conference on Computer Science and Information Systems (FedCSIS)</t>
  </si>
  <si>
    <t>business data processing_x000D_
ArchiMate modeling framework_x000D_
network-centric business activities_x000D_
ValCoLa proj ect_x000D_
Value Cocreation Language_x000D_
value cocreation metamodel_x000D_
dedicated modeling language_x000D_
business logic_x000D_
Organizations_x000D_
Security_x000D_
Information systems_x000D_
Stakeholders_x000D_
Data privacy_x000D_
Semantics</t>
  </si>
  <si>
    <t>Value cocreation is gaining momentum as organizations' underlying business logic and encompasses tools and techniques for discovering new valuable and necessary artefacts to support inter-organizational and network-centric business activities. To cocreate value, organizations must talk to each other using a clear and easy to use language. In the course of the ValCoLa (Value Cocreation Language) proj ect, we aim at elaborating such language. To that end, in previous work, we developed a value cocreation metamodel based on three dimensions: the nature of the value, the object concerned by the value and the method to cocreate value. In this paper, we first extend ArchiMate to the domain of value cocreation to provide our metamodel with a dedicated modeling language. Second, we illustrate the language with a case study from the financial sector.</t>
  </si>
  <si>
    <t>On Systems of Systems Engineering: A Requirements Engineering Perspective and Research Agenda</t>
  </si>
  <si>
    <t>C. Ncube; S. L. Lim</t>
  </si>
  <si>
    <t>2018 IEEE 26th International Requirements Engineering Conference (RE)</t>
  </si>
  <si>
    <t>cyber-physical systems_x000D_
formal specification_x000D_
socio-economic effects_x000D_
systems analysis_x000D_
systems engineering_x000D_
social activity_x000D_
functional complexity_x000D_
emergent properties_x000D_
spanning Cyber-Physical Systems_x000D_
SoSE_x000D_
global RE community_x000D_
requirements engineering complexities_x000D_
requirements engineering perspective_x000D_
energy-water-food nexus_x000D_
population demographics_x000D_
global climate_x000D_
RE techniques_x000D_
security activity_x000D_
Systems of Systems_x000D_
Systems of Systems Engineering_x000D_
systems engineering projects_x000D_
Requirements engineering_x000D_
System of systems_x000D_
Complexity theory_x000D_
Stakeholders_x000D_
Complex systems_x000D_
Smart cities_x000D_
Research Agenda_x000D_
The Fourth Industrial Revolution</t>
  </si>
  <si>
    <t>The emergence of Systems of Systems (SoSs) and Systems of Systems Engineering (SoSE) is largely driven by global societal needs including energy-water-food nexus, population demographics, global climate, integrated transport, security and social activity. However, due to their scale, structural and functional complexity and emergent properties, these global spanning Cyber-Physical Systems of Systems are becoming increasingly complex and more difficult for current requirements engineering (RE) practices to handle. In this paper, we firstly introduce SoSE as an emerging discipline and key characteristics of SoSs. We then highlight the challenges that the RE discipline must respond to. We discuss some weaknesses of current RE techniques and approaches to cope with the complexity of SoSs. We then argue that there is a need for the global RE community to evolve current RE approaches and to develop new ways of thinking, new RE capabilities and possibly a new RE science as a key mechanism for addressing requirements engineering complexities posed by Systems of Systems. We then outline a requirements engineering perspective and research agenda that identifies 'top-10' research themes informed by a cluster of four Systems of Systems Engineering projects funded by the European Commission's Horizon 2020 research programme.</t>
  </si>
  <si>
    <t>Metamodel-based analysis of domain-specific conceptual modeling methods</t>
  </si>
  <si>
    <t>D. Bork</t>
  </si>
  <si>
    <t>https://www.scopus.com/inward/record.uri?eid=2-s2.0-85056484117&amp;doi=10.1007%2f978-3-030-02302-7_11&amp;partnerID=40&amp;md5=cad7e12a57122b4fe31643ff12854b9a</t>
  </si>
  <si>
    <t>Analysis_x000D_
Conceptual modeling_x000D_
Domain-specific modeling_x000D_
Metamodel_x000D_
Metrics_x000D_
OMiLAB_x000D_
Data mining_x000D_
Conceptual model_x000D_
Domain specific modeling_x000D_
Meta model_x000D_
Modeling languages</t>
  </si>
  <si>
    <t>Metamodels play a pivotal role in conceptual modeling as they manifest the abstraction level applied when creating conceptual models. Consequently, design decisions made by the metamodel developer determine utility, capabilities, and expressiveness of the conceptual modeling language - and eventually the created models. However, only limited research defines and applies metrics for analyzing the structure and capabilities of a metamodel, and eventually support the development of new metamodels. This not only concerns general-purpose modeling languages, but also domain-specific ones, which usually undergo shorter update cycles. The paper at hand introduces a generic analysis framework to syntactically analyze modeling languages. The framework is applied to 40 metamodels of domain-specific conceptual modeling languages (DSML). This research establishes a foundation to support metamodel development in the future. The contribution of this paper is threefold: (i) an analysis framework for conceptual modeling method metamodels is proposed, (ii) results from applying this framework to 40 ADOxx-based DSML metamodels are presented, and (iii) a human-based reasoning after comparison of these results with Ecore-based metamodels is conducted. © IFIP International Federation for Information Processing 2018.</t>
  </si>
  <si>
    <t>Enterprise architecture for public administration</t>
  </si>
  <si>
    <t>D. Jovičić; R. Barišić</t>
  </si>
  <si>
    <t>2018 41st International Convention on Information and Communication Technology, Electronics and Microelectronics (MIPRO)</t>
  </si>
  <si>
    <t>business data processing_x000D_
government data processing_x000D_
information systems_x000D_
organisational aspects_x000D_
public administration_x000D_
enterprise architecture_x000D_
public administration bodies_x000D_
long-term process_x000D_
public administration information systems_x000D_
intertwined architecture_x000D_
linked business processes_x000D_
common IT platform_x000D_
informatization of the public administration_x000D_
common platform_x000D_
consolidation_x000D_
information exchange</t>
  </si>
  <si>
    <t>Informatization of public administration is a complex and long-term process that needs systematic approach. The aim is to reduce the costs and increase the quality of services to citizens and the economy. The current status of public administration information systems is intertwined architecture with many isolated parts that are not interconnected. Strategic guidelines at the state level are the basis for achieving the goals for all public administration bodies to work on a common IT platform, along with the linked business processes and services. The concept of enterprise architecture for public administration bodies can serve as a vision of the desired state and as an impulse for launching activities aimed at consolidating and modernizing the system. Since enterprise architecture serves as a link between business and technology, it can be the basis for linking separate business units of public administration bodies into a single system, while accelerating information sharing and raising the level of availability of the required data.</t>
  </si>
  <si>
    <t>Using enterprise architecture model analysis and description logics for maturity assessment</t>
  </si>
  <si>
    <t>D. Proença; J. Borbinha</t>
  </si>
  <si>
    <t>Proceedings of the 33rd Annual ACM Symposium on Applied Computing - SAC '18</t>
  </si>
  <si>
    <t>A Systematic Literature Review of Applications of the Physics of Notation</t>
  </si>
  <si>
    <t>D. Van Der Linden; I. Hadar</t>
  </si>
  <si>
    <t>IEEE Transactions on Software Engineering</t>
  </si>
  <si>
    <t>Visualization_x000D_
Unified modeling language_x000D_
Semantics_x000D_
Complexity theory_x000D_
Physics_x000D_
systematic literature review_x000D_
physics of notations_x000D_
visual notations_x000D_
cognitive effectiveness_x000D_
design rationale</t>
  </si>
  <si>
    <t>INTRODUCTION: The Physics of Notations (PoN) is a theory for the design of cognitively effective visual notations, emphasizing the need for design grounded in objective and verifiable rationale. Although increasingly applied, no systematic analysis of PoN applications has yet been performed to assess the theory&amp;amp;#x0027;s efficacy in practice. OBJECTIVES: Our primary objective was to assess the scope and verifiability of PoN applications. METHOD: We performed a systematic literature review (SLR) of peer-reviewed PoN applications. We analyzed what visual notations have been evaluated and designed using the PoN, for what reasons, to what degree applications consider requirements of their notation&amp;amp;#x0027;s users, and how verifiable these applications are. RESULTS: Seventy PoN applications were analyzed. We found major differences between applications evaluating existing notations and applications designing new notations. Particularly, in the case of new notations, we found that most applications adopted the PoN with little critical thought towards it, rarely considered its suitability for a particular context, and typically treated and discussed the PoN with few, if any, verifiable details and data. CONCLUSION: The results warrant consideration for those applying the PoN to do so carefully, and show the need for additional means to guide designers in systematically applying the PoN.</t>
  </si>
  <si>
    <t>Specification of a Software Architecture for an Industry 4.0 Environment</t>
  </si>
  <si>
    <t>E. Kavakli; J. Buenabad-Chavez; V. Tountopoulos; P. Loucopoulos; R. Sakellariou</t>
  </si>
  <si>
    <t>2018 Sixth International Conference on Enterprise Systems (ES)</t>
  </si>
  <si>
    <t>decision making_x000D_
decision support systems_x000D_
manufacturing systems_x000D_
production engineering computing_x000D_
software architecture_x000D_
smart system_x000D_
viewpoint-oriented approach_x000D_
manufacturing ecosystem_x000D_
Industry 4.0_x000D_
vertical-horizontal integration_x000D_
Computer architecture_x000D_
Unified modeling language_x000D_
Software_x000D_
Smart manufacturing_x000D_
Information systems</t>
  </si>
  <si>
    <t>Data-driven decision making is at the core of Industry 4.0. This paper describes the specification of a conceptual architecture of a smart system for supporting decision making in the context of disruptive events in manufacturing operations. Following a viewpoint-oriented approach, the proposed architecture identifies the functional components that facilitate decision making and establishes the interfaces between them, demonstrates the information flow within the manufacturing ecosystem for vertical/horizontal integration and establishes the mapping of the functional components to different software containers, execution environments and physical devices.</t>
  </si>
  <si>
    <t>Visual Representation of the TOGAF Requirements Management Process</t>
  </si>
  <si>
    <t>E. Kornyshova; J. Barrios</t>
  </si>
  <si>
    <t>https://www.scopus.com/inward/record.uri?eid=2-s2.0-85055448086&amp;doi=10.1007%2f978-3-030-01391-2_29&amp;partnerID=40&amp;md5=cf3858bc1de0268f6647c85c4d8a6c7c</t>
  </si>
  <si>
    <t>ADM-TOGAF_x000D_
Industrial experience_x000D_
Process model_x000D_
Requirements management_x000D_
Visual notation_x000D_
Data mining_x000D_
Business process model and notation (BPMN)_x000D_
Enterprise architecture managements_x000D_
Process Modeling_x000D_
Sequential interactions_x000D_
Visual notations_x000D_
Visual representations_x000D_
Requirements engineering</t>
  </si>
  <si>
    <t>TOGAF Architecture Development Method (ADM) covers different aspects of Enterprise Architecture (EA) management as well as it provides textual guidelines to adapt and perform EA processes including the requirements management (RM) process. We observed that adopting ADM following these guidelines is an intricate task because the effort required to define a sequential interaction between related activities is meticulous and hard. During a real case experience we have formalized the ADM-TOGAF Requirements Management textual guidelines with the Business Process Model and Notation (BPMN) to facilitate its comprehension and usage. Afterwards, the usefulness of the proposed process models has been qualified with a group of engineering and master students. © 2018, Springer Nature Switzerland AG.</t>
  </si>
  <si>
    <t>Enterprise Architecture Planning in the Context of Industry 4.0 Transformations</t>
  </si>
  <si>
    <t>E. Nowakowski; M. Farwick; T. Trojer; M. Haeusler; J. Kessler; R. Breu</t>
  </si>
  <si>
    <t>information technology_x000D_
logistics_x000D_
manufacturing industries_x000D_
manufacturing systems_x000D_
organisational aspects_x000D_
production engineering computing_x000D_
project management_x000D_
risk management_x000D_
Industry 4.0 transformations_x000D_
manufacturing industry_x000D_
logistics cycle_x000D_
enterprise architecture transformation planning_x000D_
IT transformation projects_x000D_
sales cycle_x000D_
production cycle_x000D_
design artifacts_x000D_
manufacturing system_x000D_
Industries_x000D_
Planning_x000D_
Companies_x000D_
Computer architecture_x000D_
Interviews_x000D_
Production_x000D_
Enterprise Architecture Management_x000D_
Enterprise Architecture Planning_x000D_
Industry 4.0_x000D_
Industrial Internet of Things_x000D_
Transformation_x000D_
Modeling</t>
  </si>
  <si>
    <t>Industry 4.0 has become an increasing driver of change in the manufacturing industry. However, companies are struggling with the often risky and expensive IT transformation projects that are needed to reach full automation of the sales, production and logistics cycle. We observed a lack of research on the practice of modeling and planning IT transformations towards Industry 4.0. To form the basis of research in this area, we conducted a series of expert interviews on the topic of enterprise architecture transformation planning in the context of Industry 4.0. As a result, we identified several pressing challenges that need to be addressed by organizations to successfully model, plan, and execute such IT transformations. This paper contributes to theory by identifying problems and potential design artifacts that are able to mitigate these problems.</t>
  </si>
  <si>
    <t>Analysis of Enterprise Architecture Tool Support for Industry 4.0 Transformation Planning</t>
  </si>
  <si>
    <t>E. Nowakowski; M. Häusler; R. Breu</t>
  </si>
  <si>
    <t>business data processing_x000D_
enterprise resource planning_x000D_
manufacturing industries_x000D_
production engineering computing_x000D_
software architecture_x000D_
enterprise architecture tool support_x000D_
Industry 4.0 transformation planning_x000D_
manufacturing industry_x000D_
tool survey_x000D_
IT transformation projects_x000D_
EA tools_x000D_
Tools_x000D_
Planning_x000D_
Interviews_x000D_
Industries_x000D_
Companies_x000D_
Encoding_x000D_
Enterprise Architecture Management_x000D_
Enterprise Architecture Planning_x000D_
Industry 4.0_x000D_
Industrial Internet of Things_x000D_
Transformation_x000D_
Modeling</t>
  </si>
  <si>
    <t>Industry 4.0 has become an important concept in the manufacturing industry that increasingly drives change. However, the implementation of this concept is associated to business critical and expensive IT transformation projects, with which companies are currently struggling. We observed a lack of research on the practice of planning IT transformation projects towards Industry 4.0 and its modeling support within currently available EA tools. To investigate this gap, we conducted a series of expert interviews and a tool survey. As a result, we identified several drawbacks of EA tools that need to be addressed in order to be able to efficiently support the modeling and planning of such IT transformations.</t>
  </si>
  <si>
    <t>Evaluation of the Cognitive Effectiveness of the CORAS Modelling Language</t>
  </si>
  <si>
    <t>E. Zehnder; N. Mayer; G. Gronier</t>
  </si>
  <si>
    <t>https://www.scopus.com/inward/record.uri?eid=2-s2.0-85055415812&amp;doi=10.1007%2f978-3-030-01391-2_21&amp;partnerID=40&amp;md5=44ee26ecf515a05ea9164e2eb209f76c</t>
  </si>
  <si>
    <t>Physics of notations_x000D_
Risk management_x000D_
Security_x000D_
Visual syntax_x000D_
Data mining_x000D_
Information management_x000D_
Risk assessment_x000D_
Security of data_x000D_
Syntactics_x000D_
Visual languages_x000D_
Conceptual model_x000D_
CORAS modelling language_x000D_
Research topics_x000D_
Security risks_x000D_
Security strategies_x000D_
Visual syntaxes_x000D_
Modeling languages</t>
  </si>
  <si>
    <t>Nowadays, Information System (IS) security and Risk Management (RM) are required for every organization that wishes to survive in this networked and open world. Thus, more and more organizations tend to implement a security strategy based on an ISSRM (IS security RM) approach. However, the difficulty of dealing efficiently with ISSRM is currently growing, because of the complexity of current IS coming with the increasing number of risks organizations need to face. To use conceptual models to deal with RM issues, especially in the information security domain, is today an active research topic, and many modelling languages have been proposed in this way. However, a current challenge remains the cognitive effectiveness of the visual syntax of these languages, i.e. the effectiveness to convey information. Security risk managers are indeed not used to use modelling languages in their daily work, making this aspect of cognitive effectiveness a must-have for these modelling languages. Instead of starting defining a new cognitive effective modelling language, our objective is rather to assess and benchmark existing ones from the literature. The aim of this paper is thus to assess the cognitive effectiveness of CORAS, a modelling language focused on ISSRM. © 2018, Springer Nature Switzerland AG.</t>
  </si>
  <si>
    <t>Towards an extended enterprise architecture meta-model for big data - A literature-based approach</t>
  </si>
  <si>
    <t>F. Burmeister; P. Drews; I. Schirmer</t>
  </si>
  <si>
    <t>https://www.scopus.com/inward/record.uri?eid=2-s2.0-85054257324&amp;partnerID=40&amp;md5=b7856f2728e0503df66d699c9ca96701</t>
  </si>
  <si>
    <t>Big data_x000D_
Challenges_x000D_
Concerns_x000D_
Enterprise architecture_x000D_
Meta-model_x000D_
Information systems_x000D_
Information use_x000D_
Project management_x000D_
Extended enterprise_x000D_
Literature reviews_x000D_
Management challenges_x000D_
Meta model_x000D_
Strategy development</t>
  </si>
  <si>
    <t>The big data digital trend revolutionizes how enterprises conduct their business. Big data transforms how business models are created, services and products are provided, processes are optimized and IT landscapes are designed. Today, enterprise architecture (EA) models are used in many organizations to capture the complex interplay between business, organizational and IT elements in order to support strategy development, transformation and project management. Based on a literature review on big data challenges, this paper outlines necessary extensions for EA models. Following an incremental research approach, exemplary stakeholder concerns and relevant modeling elements are derived from (1) data, (2) process and (3) management challenges. On this basis, an extended EA meta-model for big data is developed. © 2018 Association for Information Systems. All rights reserved.</t>
  </si>
  <si>
    <t>Past, current and future trends in enterprise architecture—A view beyond the horizon</t>
  </si>
  <si>
    <t>F. Gampfer; A. Jürgens; M. Müller; R. Buchkremer</t>
  </si>
  <si>
    <t>http://www.sciencedirect.com/science/article/pii/S0166361517306723</t>
  </si>
  <si>
    <t>Enterprise architecture_x000D_
Systematic review_x000D_
Trend analysis_x000D_
Text mining</t>
  </si>
  <si>
    <t>Since its introduction in the late nineteen eighties, the discipline of Enterprise Architecture (EA) has evolved into a well-known practice of managing information systems in alignment with business interests. The evolution of the discipline is reflected in the many available scientific publications. Within a timeframe of three decades, we identify approximately 4000 journal articles and conference papers of which enterprise architecture is a major topic. We conduct a holistic, systematic literature review using artificial intelligence technologies such as information retrieval, text mining and supervised learning, side-by-side with manually reading of many relevant articles. For the first time, we present a holistic historical overview of the scientific development of the discipline. We describe the current focus of enterprise architecture and make suggestions for future publications and conferences using predictive analytics. As a major result of our analysis, we find that the focus of EA research has shifted from understanding EA in the early years to managing EA today. Furthermore, we identify and investigate several current EA trend topics: We find Cloud Computing to be the trend with the strongest impact on EA and predict that this will be the case until 2020. According to our forecast, the Internet of Things will be the trend with the strongest growth in its impact on EA. Moreover, based on a comparison with the Gartner Hype Cycle, we observe a discrepancy between EA trends in academic work versus practical experiences, which presents a starting point for future research.</t>
  </si>
  <si>
    <t>TOGAF Hierarchical Iterative Modeling Approach for SOA Agile Architectures</t>
  </si>
  <si>
    <t>F. Ni</t>
  </si>
  <si>
    <t>Shanghai Ligong Daxue Xuebao/Journal of University of Shanghai for Science and Technology</t>
  </si>
  <si>
    <t>https://www.scopus.com/inward/record.uri?eid=2-s2.0-85058853472&amp;doi=10.13255%2fj.cnki.jusst.2018.04.010&amp;partnerID=40&amp;md5=967655a1f03facd86a10dfd6c0b74157</t>
  </si>
  <si>
    <t>Agile iterative development_x000D_
Enterprise architecture_x000D_
Service oriented architecture_x000D_
TOGAF</t>
  </si>
  <si>
    <t>Motivated by the short evolution period as well as business &amp; IT alignment requirement of SOA agile architectures, a hierarchical iterative modeling approach based on the open group architecture framework (TOGAF) was proposed. For outer layer iterations, an agile evolution closed loop was defined to ensure the periodical update be agilely implemented and consist with the architecture vision. For inner layer iterations, a 3-dimensional iterative modeling matrix was designed as a mechanism for the alignment of architecture models in three aspects: requirement, semantics and granularity. Furthermore, practical modeling guidelines and typical modeling process concerning the semantical alignment for business architectures, information system architectures and technical architectures based on BPM + SOA were discussed, which provides an iterative, phase delivered and business &amp; IT aligned solution for SOA agile architectures. © 2018, Editorial Board of Journal of USST. All right reserved.</t>
  </si>
  <si>
    <t>Hierarchical iterative modeling approach for agile SOA</t>
  </si>
  <si>
    <t>F. Ni; R. Li</t>
  </si>
  <si>
    <t>https://www.scopus.com/inward/record.uri?eid=2-s2.0-85046660471&amp;doi=10.1109%2fITNEC.2017.8285101&amp;partnerID=40&amp;md5=27dc529e5b27ff2ca5caa69810286803</t>
  </si>
  <si>
    <t>Agile iterative development_x000D_
Enterprise architecture_x000D_
Service oriented architecture_x000D_
TOGAF_x000D_
Information services_x000D_
Semantics_x000D_
Agile enterprise_x000D_
Architecture models_x000D_
Iterative development_x000D_
Open group architecture frameworks_x000D_
Outer iteration_x000D_
Periodical Update_x000D_
Service oriented architecture (SOA)</t>
  </si>
  <si>
    <t>Motivated by the 2 objectives as agile evolution and business &amp; IT alignment for agile enterprise architecture development in the pattern of Service Oriented Architecture (SOA), a hierarchical iterative modeling approach based on The Open Group Architecture Framework (TOGAF) is proposed to bridge the gap between strategy and implementation. For inner iterations, a 3-dimensional iterative modeling matrix is designed as the mechanism for alignment of architecture models in three aspects: requirement, semantics and granularity. For outer iterations, a closed-loop iterative evolution is defined to ensure that periodical update can be agilely implemented and consists with the architecture vision. © 2017 IEEE.</t>
  </si>
  <si>
    <t>Reporting from the Implementation of a Business Capability Map as Business-IT Alignment Tool</t>
  </si>
  <si>
    <t>G. Bondel; A. Faber; F. Matthes</t>
  </si>
  <si>
    <t>business data processing_x000D_
human resource management_x000D_
project management_x000D_
business units_x000D_
business-IT alignment tool_x000D_
business capability map implementation_x000D_
business leadership_x000D_
enterprise architecture management tool_x000D_
medium-sized_x000D_
state-controlled organization_x000D_
Organizations_x000D_
Tools_x000D_
Visualization_x000D_
Stakeholders_x000D_
Decision making_x000D_
Informatics_x000D_
business capability map_x000D_
business-IT alignment_x000D_
enterprise architecture management_x000D_
strategy management_x000D_
case study_x000D_
lessons learned</t>
  </si>
  <si>
    <t>The new era of digitization increases the impact of IT on the overall success of organizations. Even though the business generally recognizes the importance of IT, business-IT alignment is still considered a major challenge by IT executives. A widely adapted Enterprise Architecture Management tool addressing this challenge is the business capability map. However, there are only few approaches specifying the creation of business capability maps. This paper presents a case study describing the initiation of a business capability map at a medium-sized, state-controlled organization following an approach to business capability map implementation presented by The Open Group. Based on the case study, we detail each phase of the approach presenting necessary activities and resulting artifacts. Additionally, lessons learned are presented with the major finding being that an involvement of the whole business leadership leads to a better business-IT alignment, a common language, and a better understanding between all business units. Furthermore, a business capability map provides a suitable tool for structuring strategy development.</t>
  </si>
  <si>
    <t>The Simple Enterprise Architecture Framework: Giving Alignment to IT Decisions</t>
  </si>
  <si>
    <t>G. Giachetti; B. Marín; E. Serral</t>
  </si>
  <si>
    <t>https://www.scopus.com/inward/record.uri?eid=2-s2.0-85055411513&amp;doi=10.1007%2f978-3-030-01391-2_23&amp;partnerID=40&amp;md5=b4e8ae7a8102cc4ce582763d22639c4f</t>
  </si>
  <si>
    <t>Enterprise architecture_x000D_
Framework_x000D_
Information technology_x000D_
IT decisions_x000D_
Lessons learned_x000D_
Teaching_x000D_
Concretes_x000D_
Data mining_x000D_
Concrete process_x000D_
Information and technologies_x000D_
Methodological frameworks_x000D_
Teaching systems_x000D_
E-learning</t>
  </si>
  <si>
    <t>Context: Enterprise Architecture seeks to align organizational objectives with decisions associated to people, processes, information and technology. Different frameworks have been proposed for designing an enterprise architecture, such as TOGAF or Zachman. However, defining an enterprise architecture following these frameworks is not an easy task since it requires the alignment of organizational needs with technological decisions. Goal: This paper presents a methodological framework, called Simple Enterprise Architecture (SEA), that eases the definition of an enterprise architecture and provides concrete proof of the alignment between IT decisions and organizational needs. Method: The SEA framework has been developed by integrating components from existing ones in order to generate a concrete process that guides analysts in the correct definition of an enterprise architecture. Results: This framework has been used in teaching system architecture master courses for 5 years with positive results. © 2018, Springer Nature Switzerland AG.</t>
  </si>
  <si>
    <t>Intertwining E-Learning Technologies and Pedagogies at the System Design Stage</t>
  </si>
  <si>
    <t>G. Weichhart; C. Stary</t>
  </si>
  <si>
    <t>Innovative Methods, User-Friendly Tools, Coding, and Design Approaches in People-Oriented Programming</t>
  </si>
  <si>
    <t>https://www.scopus.com/inward/record.uri?eid=2-s2.0-85049494028&amp;doi=10.4018%2f978-1-5225-5969-6.ch011&amp;partnerID=40&amp;md5=ce4ed2df4ca8d454de8dadcfff741d8a</t>
  </si>
  <si>
    <t>Although a large number of e-learning systems for individual learning support exist today, many of them still deal with pedagogical issues in an isolated way. In contrast, intertwining interactive system features with educational concepts allows pedagogical designs that may be considered according to their educational rationale. However, pedagogical approaches also do not provide requirements for technologies; they rather consider tools and features as predefined design parameters. Taking an interoperability point of view allowsfocus on the interaction between the pedagogical and the technological systems. By interpreting technology and didactic approaches as systems and ensuring their interoperability, educators are able to adapt learning experiences and technological features in a way that the overall learning system becomes personalized. A key element of the described work is an architecture that captures the design elements from both progressive education focusing on individual learning support, and the enabling web-based e-learning technologies. © 2018 by IGI Global. All rights reserved.</t>
  </si>
  <si>
    <t>Enterprise Architecture Modelling: Purpose, Requirements and Language</t>
  </si>
  <si>
    <t>H. A. Proper; M. Bjeković; B. v. Gils; S. d. Kinderen</t>
  </si>
  <si>
    <t>business data processing_x000D_
corporate modelling_x000D_
formal specification_x000D_
formal verification_x000D_
software architecture_x000D_
specification languages_x000D_
enterprise architecture modelling_x000D_
modelling languages engineering_x000D_
quality criteria_x000D_
ArchiMate standard_x000D_
language requirements engineering_x000D_
Unified modeling language_x000D_
Context modeling_x000D_
Analytical models_x000D_
Requirements engineering_x000D_
Stakeholders_x000D_
Standards_x000D_
enterprise modelling_x000D_
enterprise architecture_x000D_
modelling language engineering</t>
  </si>
  <si>
    <t>This paper is concerned with the engineering of modelling languages, and the engineering of modelling languages for enterprise architecture in particular. In line with this, this paper aims to provide two key contributions. Firstly, it aims to contribute to the field of (enterprise) modelling language engineering by refining an existing approach for the engineering of requirements on modelling languages. It will do so, by suggesting specific classes of purpose and quality criteria for models and their creation. The second contribution involves an initial application of the latter approach, in terms of a critical reflection on the language requirements as formulated for the ArchiMate standard.</t>
  </si>
  <si>
    <t>Analyzing Systems Engineering Concerns in Architecture Frameworks – A Survey Study</t>
  </si>
  <si>
    <t>H. G. Gurbuz; B. Tekinerdogan</t>
  </si>
  <si>
    <t>2018 IEEE International Systems Engineering Symposium (ISSE)</t>
  </si>
  <si>
    <t>software architecture_x000D_
systems engineering_x000D_
architecture views_x000D_
system engineering_x000D_
reported architecture frameworks_x000D_
selected architecture frameworks_x000D_
architecture design_x000D_
systems engineering lifecycle_x000D_
system architecture_x000D_
enterprise architecture_x000D_
architecture frameworks_x000D_
system engineering concerns_x000D_
Computer architecture_x000D_
Software_x000D_
Hardware_x000D_
Systems architecture_x000D_
Feature extraction</t>
  </si>
  <si>
    <t>The architecture design is one of the earliest artefacts in the systems engineering lifecycle that has the largest impact on the subsequent phases. For designing the system architecture usually, architecture frameworks are adopted that define a coherent set of viewpoints to represent the different concerns. Several architecture frameworks have been proposed in the literature that covers enterprise architecture, system architecture, and software architecture. Each of these frameworks can be used to model the architecture views of a system. On the other hand, each of these architecture frameworks also addresses concerns of different disciplines. For the system engineering who has to cope with different application domains, it is important to select the proper architecture framework that addresses the concerns of the related disciplines. To this end, we have adopted a domain analysis approach to identify the reported architecture frameworks in the literature and explicitly describe the disciplines in the selected architecture frameworks.</t>
  </si>
  <si>
    <t>Conceptualizing resources and claims in consensual economic exchanges</t>
  </si>
  <si>
    <t>I. Blums; H. Weigand; A. Blums</t>
  </si>
  <si>
    <t>https://www.scopus.com/inward/record.uri?eid=2-s2.0-85056812927&amp;partnerID=40&amp;md5=f91ab136e8c5ea896a2c6a488567499a</t>
  </si>
  <si>
    <t>Accounting Information System_x000D_
COFRIS_x000D_
UFO_x000D_
Information systems_x000D_
Information use_x000D_
Accounting Information Systems_x000D_
Conceptual frameworks_x000D_
Economic resources_x000D_
Financial reporting_x000D_
Reporting standards_x000D_
Understandability_x000D_
Unified foundational ontologies (UFO)_x000D_
Ontology</t>
  </si>
  <si>
    <t>The Core Ontology for Financial Reporting Information Systems (COFRIS) is grounded on Unified Foundational Ontology (UFO). In this paper, we build on COFRIS and attempt to detail the concepts of Economic Resources and Claims found in accounting frameworks, and to extract their features which are common to accounting and reporting standards. Economic Resources (Claims) are conceptualized as extensions of Complex Social and Legal Relators of UFO, within the consensual transaction-centric model. The application of this conceptualization and COFRIS in general aims to assist with standard-setting and the development of information systems, to facilitate understandability and reuse. The conceptualization is illustrated by examples presented in an ontology-inspired Event Table and is used to analyze the revised IASB® Conceptual Framework for Financial Reporting. © 2018 CEUR-WS. All rights reserved.</t>
  </si>
  <si>
    <t>Behaviour Modelling in the Design of Systems of Systems</t>
  </si>
  <si>
    <t>J. C. Wrigley</t>
  </si>
  <si>
    <t>2018 13th Annual Conference on System of Systems Engineering (SoSE)</t>
  </si>
  <si>
    <t>fault diagnosis_x000D_
multiprocessing programs_x000D_
software architecture_x000D_
software fault tolerance_x000D_
systems engineering_x000D_
system components_x000D_
functional requirements_x000D_
systems of systems_x000D_
architectural method_x000D_
modelling method_x000D_
Cascading style sheets_x000D_
Barium_x000D_
Modeling_x000D_
Resource management_x000D_
System analysis and design_x000D_
Tools_x000D_
MBSE_x000D_
Architecture_x000D_
System Design</t>
  </si>
  <si>
    <t>An important element of Systems Engineering is the allocation of requirements to system components. This is currently not handled consistently by architectural and modelling methods. In this paper we review the current situation and identify part of the the problem as a difference in the treatment of requirements. We propose an outline approach to improving the situation based on treating functional requirements as “behaviours” modelled in a semi-formal way.</t>
  </si>
  <si>
    <t>Estimating the importance of consumer purchasing criteria in digital ecosystems</t>
  </si>
  <si>
    <t>J. I. Peláez; F. E. Cabrera; L. G. Vargas</t>
  </si>
  <si>
    <t>Knowledge-Based Systems</t>
  </si>
  <si>
    <t>http://www.sciencedirect.com/science/article/pii/S0950705118303745</t>
  </si>
  <si>
    <t>Marketing_x000D_
Sentiment analysis_x000D_
Aggregation operators_x000D_
Synergy criteria_x000D_
Choquet integral</t>
  </si>
  <si>
    <t>The purchasing process consists of multiple, non-isolated phases that describe the interactions between consumers and products. One of these phases is the evaluation of alternatives, in which the consumer compares the benefits that will be obtained from each product or service depending on a set of criteria. Recently, the rise of online ecosystems has fueled the development of new purchasing-decision prediction models (PDPM) based on the shared opinions, concerns, and expectations of customers. Commonly, these PDPMs are constructed as multiple criteria decision analysis (MCDA) methods, where experts ascertain the consumer's purchasing criteria, as well as the importance of them, by means of surveys and their own experience. Although relying on experts may be appropriate for identifying criteria, this approach is not suitable for assessing the importance of said criteria due to the large volume of information available on the Web. Furthermore, the preferences of consumers in online ecosystems evolve constantly. In this regard, we consider that the information about purchase-criteria importance should be derived exclusively from the opinions of consumers. However, the attitude and thought-process leading to purchases contain inherent relationships that consumers are not able to express explicitly; consequently, we explore the possibility to make use of the synergies between criteria along user preferences. This paper proposes a new PDPM that estimates the importance of the criteria and values the alternatives by only considering the opinions expressed by consumers in digital ecosystems, while using an expert-defined set of criteria. The proposed approach extracts the weights of both criteria and alternatives and determines the implicit synergies within them without the need of additional input. Lastly, it uses the Choquet integral for weight and valuation aggregation and determines a purchase ranking. This model has been tested in real examples, obtaining satisfactory results.</t>
  </si>
  <si>
    <t>Managing Regulatory System with Megamodelling</t>
  </si>
  <si>
    <t>J. Sottet; E. Grandry; M. Bjekovic</t>
  </si>
  <si>
    <t>Regulators_x000D_
Organizational aspects_x000D_
Complexity theory_x000D_
Risk management_x000D_
Adaptation models_x000D_
Biological system modeling_x000D_
Megamodelling_x000D_
Regulatory System_x000D_
Regulation Management_x000D_
Model Driven Engineering</t>
  </si>
  <si>
    <t>Digital transformation accelerates the development of business ecosystems, and leads to increasing cross-domain and cross-sectoral business interconnections. While the regulatory environment is traditionally managed within fragmented sectoral silos, integrating those increasing business interconnections causes the introduction of cross-market domain regulations and multi-sectoral obligations to regulate such ecosystems. The above-mentioned developments challenge already established regulatory practices and create necessity to manage the emergence of cross-market systemic risks and control their propagation and more importantly help regulatory bodies in their policy making. Managing interconnected risks requires to break regulation silos while integrating the perspectives of all actors. In this paper, we propose an approach and an architecture to support risk-based policy cycle within regulatory system. The approach is centred on the principles of megamodelling, and in particular the concept of Regulatory megamodel. While megamodel is intended to allow for and manage a macroscopic view over the regulatory system, with all its complexities, it also accommodates individual actors to gain insight into locally relevant concerns, however not ignoring cross-domain and cross-market implications and dependencies. This is expected to facilitate compliance reporting, control processes and monitoring for the actors involved. In particular, we believe the major potential of such an approach lies in allowing regulator(s) to gain insights when it comes to cost-effective policy making, and to optimising the entire policy cycle.</t>
  </si>
  <si>
    <t>Towards a Continuous Feedback Loop for Service-Oriented Environments</t>
  </si>
  <si>
    <t>K. Martin; U. Ömer; M. Florian</t>
  </si>
  <si>
    <t>2018 11th International Conference on the Quality of Information and Communications Technology (QUATIC)</t>
  </si>
  <si>
    <t>Computer architecture_x000D_
Software_x000D_
Production_x000D_
Pipelines_x000D_
Monitoring_x000D_
Databases_x000D_
Business_x000D_
devops, feedback loop, continuous delivery, continuous delivery pipeline, continuous deployment, microservice, monitoring, architecture discovery, service discovery, distributed tracing, application performance monitoring</t>
  </si>
  <si>
    <t>Agile software engineering practices aim at unifying software development (Dev) and software operation (Ops) in order to quickly release new software and gather feedback on new features in the latest version. The feedback loop gets closed mostly after new releases are deployed to production. During development, engineers do not receive feedback whether their changes are still aligned with the requirements and the formalized concept. This increases the risk of removing implemented code and decreases productivity. In this paper, we propose a tool for closing the feedback loop after each continuous deployment stage i.e. development, test and production. The continuous feedback is provided via a dependency model that represents the current software architecture on early stages. Hereby, each deployment phase and final release are compared against each other in order to uncover inconsistencies in regard to the predefined requirements.</t>
  </si>
  <si>
    <t>Towards an enterprise architecture controlling framework</t>
  </si>
  <si>
    <t>L. Arriola; A. Markham</t>
  </si>
  <si>
    <t>Proceedings of the 12th European Conference on Software Architecture Companion Proceedings - ECSA '18</t>
  </si>
  <si>
    <t>Derivation of a Semantic Cancer Care Information Architecture from Riva-based Business Process Architecture using the BPAOntoEIA Framework</t>
  </si>
  <si>
    <t>M. Ahmad; M. Odeh; S. Green</t>
  </si>
  <si>
    <t>2018 1st International Conference on Cancer Care Informatics (CCI)</t>
  </si>
  <si>
    <t>Business_x000D_
Ontologies_x000D_
Semantics_x000D_
Cancer_x000D_
Computer architecture_x000D_
Design methodology_x000D_
Information architecture_x000D_
Semantic EIA Derivation_x000D_
Business Process Architecture_x000D_
Enterprise Information Architecture_x000D_
Semantic Information Architecture_x000D_
Enterprise Architecture_x000D_
Cancer Care Informatics.</t>
  </si>
  <si>
    <t>Contemporary Enterprise Information Architecture (EIA) design methods lack the knowledge of business process in an enterprise. The object-based business process architecture (BPA) design methods generate useful information of business entities and process that can assist in deriving a business process-aware EIA in a semi-automatic manner. This paper reports on the impact of applying the BPAOntoEIA framework to a Cancer Care &amp;amp; Registration actual case study in order to derive a semantic EIA from its associated Riva-based BPA semantic model. The benefit of this framework manifests itself in the knowledge of business processes, their orchestration and models of the cancer care organisation while inter-connecting the business processes with information categories, and thus enhancing the business-IT alignment of the given cancer care &amp;amp; Registration process architecture. An automation of 80% of the semantic EIA derivation is reported and EIA quality metrics were developed that have informed the evaluation of the automated derivation of a corresponding Cancer Care and Registration EIA.</t>
  </si>
  <si>
    <t>Executable business model blueprints</t>
  </si>
  <si>
    <t>M. C. Romero; M. Sánchez; J. Villalobos</t>
  </si>
  <si>
    <t>https://www.scopus.com/inward/record.uri?eid=2-s2.0-85054251135&amp;partnerID=40&amp;md5=26bd15720b31fb725ae6d92ccfcde342</t>
  </si>
  <si>
    <t>Business model_x000D_
Dynamic analysis_x000D_
Model driven architecture_x000D_
Information systems_x000D_
Information use_x000D_
Software architecture_x000D_
Software design_x000D_
Business architecture_x000D_
Business modeling_x000D_
Enterprise Architecture_x000D_
In-depth analysis_x000D_
Model driven architectures_x000D_
Operational aspects_x000D_
Operational dimensions_x000D_
Simulation technique_x000D_
Memory architecture</t>
  </si>
  <si>
    <t>The business architecture shapes the Enterprise Architecture as it describes the enterprise in both its intentional and operational aspects. While the operational dimension can be perceived in the enterprise's daily activities, intentional aspects are more abstract and difficult to understand. One of these aspects is the business model, which defines how an enterprise generates value. Therefore, this model is crucial to understand the other components in an enterprise architecture, from the business strategy to the operational model. In spite of this, most approaches to analyze a business model focus on static aspects, providing a disconnected view of its components and making it difficult to perform in-depth analysis. To address this situation, this paper proposes an executable business model blueprint to represent the business' structural and dynamic aspects. This enables dynamic analyses based on simulation techniques to reveal hidden business' dynamics and gain a further understanding of the overall business behavior. © 2018 Association for Information Systems. All rights reserved.</t>
  </si>
  <si>
    <t>Applying a Lightweight Enterprise Architecture Framework for Parcel Data Entry Optimization</t>
  </si>
  <si>
    <t>M. Falcão; G. Guerra; M. Neves; I. Sena; S. Santos</t>
  </si>
  <si>
    <t>business data processing_x000D_
information systems_x000D_
logistics_x000D_
transportation_x000D_
parcel data entry optimization_x000D_
logistics businesses_x000D_
transportation costs_x000D_
operational cost_x000D_
IT systems_x000D_
logistics company system_x000D_
business chain_x000D_
Zachman Framework_x000D_
business processes_x000D_
lightweight enterprise architecture framework_x000D_
Companies_x000D_
Architecture_x000D_
Informatics_x000D_
Software_x000D_
Pharmaceuticals_x000D_
Enterprise Architecture, Zachman Framework, Data cleansing, Logistics Company</t>
  </si>
  <si>
    <t>Transportation and logistics businesses strive to certify that the right conditions are in place for keeping products on the move. Reducing transportation costs makes the top of the list as far as concerns for this industry, however, other measures such as improving existing business processes may also impact on operational cost by decreasing error rates. Implementing new IT systems is often viewed as a solution, but poor alignment between IT, business processes and regulatory compliance can create nonobvious pain-points. This study identified the need for corrective measures for recording parcel data in a logistics company system, but dug deeper on the business chain so as to develop a lightweight Enterprise Architecture based on Zachman Framework to better understand the context, map each stakeholder's role and clarify the relationship between them.</t>
  </si>
  <si>
    <t>Representing and Analyzing Enterprise Capabilities as Specialized Actors - A BPM Example</t>
  </si>
  <si>
    <t>M. H. Danesh; E. Yu</t>
  </si>
  <si>
    <t>https://www.scopus.com/inward/record.uri?eid=2-s2.0-85055411625&amp;doi=10.1007%2f978-3-030-01391-2_27&amp;partnerID=40&amp;md5=ea00e1c395cc360f4d7d07a1cfcd33e2</t>
  </si>
  <si>
    <t>Agent-oriented modeling_x000D_
Dynamic capability_x000D_
Enterprise capability_x000D_
Enterprise modeling_x000D_
i* framework_x000D_
Data mining_x000D_
Decision making_x000D_
Dynamic capabilities_x000D_
Enterprise capabilities_x000D_
Goal driven_x000D_
Social characteristics_x000D_
Strategic management_x000D_
Technical design_x000D_
Software agents</t>
  </si>
  <si>
    <t>The notion of capability is used by practitioners and researchers alike to enable better understanding of business trajectories and the role of IT in achieving them. Building on the origins of the concept from strategic management, this paper lays out the requirements for capturing enterprise-specific and social characteristics of capabilities. The paper proposes adoption of a goal-driven agent-oriented modeling approach to satisfy the requirements. The ability of such an approach to explicate social and technical design alternatives and enable decision making on their tradeoffs is illustrated on a BPM capability. © 2018, Springer Nature Switzerland AG.</t>
  </si>
  <si>
    <t>Modeling in support of multi-perspective valuation of smart grid initiatives</t>
  </si>
  <si>
    <t>M. Kaczmarek-Heß; Q. Ma; I. S. Razo-Zapata</t>
  </si>
  <si>
    <t>2018 12th International Conference on Research Challenges in Information Science (RCIS)</t>
  </si>
  <si>
    <t>smart power grids_x000D_
multiperspective valuation_x000D_
energy grid_x000D_
notable benefits_x000D_
economic value_x000D_
environmental value_x000D_
value proposition_x000D_
technically feasible smart grid initiative_x000D_
modeling languages_x000D_
process model_x000D_
blockchain-based initiative_x000D_
social value_x000D_
energy sector_x000D_
Smart grids_x000D_
Cost accounting_x000D_
Economics_x000D_
Stakeholders_x000D_
Government_x000D_
Smart meters_x000D_
Instruments_x000D_
model-driven analysis_x000D_
valuation_x000D_
smart grid</t>
  </si>
  <si>
    <t>Digitalization of the energy grid, leading to a so-called smart grid, offers notable benefits to the electricity system itself, and creates economic, social, and environmental value for different parties. Nevertheless, there is still a lack of understanding the value proposition underlying a technically feasible smart grid initiative. In this paper we identify requirements towards an approach for understanding the value proposition of a smart grid initiative, and propose a first step towards such an approach in the form of a landscape of modeling languages complemented by a process model for valuation. We evaluate the proposed approach, among others, by applying it to a blockchain-based initiative in the energy sector.</t>
  </si>
  <si>
    <t>MICROLYZE: A framework for recovering the software architecture in microservice-based environments</t>
  </si>
  <si>
    <t>M. Kleehaus; Ö. Uludağ; P. Schäfer; F. Matthes</t>
  </si>
  <si>
    <t>https://www.scopus.com/inward/record.uri?eid=2-s2.0-85048639297&amp;doi=10.1007%2f978-3-319-92901-9_14&amp;partnerID=40&amp;md5=5e2ca3ac3e579767353f1e0aeaf28036</t>
  </si>
  <si>
    <t>Information systems_x000D_
Information use_x000D_
Recovery_x000D_
Application layers_x000D_
Architecture recovery_x000D_
Architecture styles_x000D_
Business activities_x000D_
Distributed systems_x000D_
Enterprise Architecture_x000D_
Operation and maintenance_x000D_
Time information_x000D_
Big data</t>
  </si>
  <si>
    <t>Microservices are an approach to distributed systems that promote the use of finely grained services with their own lifecycles. This architecture style encourages high decoupling, independent deployment, operation and maintenance. However, those benefits also leave a certain aftertaste, especially in continuous documentation of the overall architecture. It is fundamental to keep track of how microservices emerge over time. This knowledge is documented manually in Enterprise Architecture (EA) tools, which leads to an obsolete status. For that reason, we present a novel multi-layer microservice architecture recovery approach called MICROLYZE that recovers the infrastructure in realtime based on the EA model involving the business, application, hardware layer and the corresponding relationship between each other. It leverages existing monitoring tools and combines the run-time data with static built-time information. Hereby, MICROLYZE provide tool support for mapping the business activities with technical transactions in order to recover the correlation between the business and application layer. © Springer International Publishing AG, part of Springer Nature 2018.</t>
  </si>
  <si>
    <t>Effects of GWEA Implementation on ICT Standardisation Across SA Government Departments</t>
  </si>
  <si>
    <t>M. L. Makovhololo</t>
  </si>
  <si>
    <t>2018 Open Innovations Conference (OI)</t>
  </si>
  <si>
    <t>business data processing_x000D_
government_x000D_
government data processing_x000D_
information technology_x000D_
innovation management_x000D_
organisational aspects_x000D_
optimal organisational strategies_x000D_
industrial competitive advantage_x000D_
business strategies_x000D_
South African government departments_x000D_
GWEA implementation_x000D_
ICT standardisation_x000D_
government wide enterprise architecture_x000D_
SA government departments_x000D_
diffusion of innovation_x000D_
DOI_x000D_
Technological innovation_x000D_
Standards_x000D_
Complexity theory_x000D_
Interviews_x000D_
Information and communication technology_x000D_
enterprise architecture_x000D_
GWEA_x000D_
diffusion of innovations</t>
  </si>
  <si>
    <t>Efficiency with the standardisation of ICT plans is critical to the alignment of optimal organisational strategies and in further assisting an organisation in obtaining the industrial competitive advantage. By contrast, the alignment of business and ICT has proven to be a challenging exercise in many organisations, and even more so in government departments. Most of these challenges have arisen because of the limited, or rather, lack of proper formalised approaches such as enterprise architecture (EA) that can assist the organisation in the standardisation of ICT plans which can be comfortably aligned with business strategies. Moreover, these deficiencies manifest in complexities and inconsistencies, affecting organisational goals. Therefore, to achieve the objective of this study, qualitative research was employed to uncover the complexities around the effects of Government Wide Enterprise Architecture (GWEA) implementation in South African government departments. An innovation decision process from the perspective of the diffusion of innovation (DOI) theory was used as a lens to guide the analysis of the qualitative data. Based on the findings, a solution of a model of conceptual factors for determining the success of GWEA implementation was developed and proposed through a framework from this study.</t>
  </si>
  <si>
    <t>A Model-Based Method for the Evaluation of Project Proposal Compliance within EA Planning</t>
  </si>
  <si>
    <t>M. Langermeier; B. Bauer</t>
  </si>
  <si>
    <t>business data processing_x000D_
DP industry_x000D_
organisational aspects_x000D_
project management_x000D_
software architecture_x000D_
business model_x000D_
organizations_x000D_
EA planning_x000D_
project planning_x000D_
digital transformation_x000D_
enterprise architecture planning_x000D_
generic analysis architecture_x000D_
IT infrastructure_x000D_
microservices_x000D_
architecture execution environment_x000D_
A2E_x000D_
software product company_x000D_
Planning_x000D_
Computer architecture_x000D_
Proposals_x000D_
Adaptation models_x000D_
Analytical models_x000D_
Architecture Analysis, Architecture Evaluation, Enterprise Architecture, Enterprise Architecture Planning</t>
  </si>
  <si>
    <t>The business model and IT infrastructure of organizations is continually changing. Trends like microservices and digital transformation demand an adaption of the business models and IT infrastructure in order to stay competitive. It is important to ensure the compliance of these new projects with the current goals and principles. The discipline of Enterprise Architecture Planning provides methods for the structured development of the business and IT of an organization. In this paper we propose a tool-supported method for EA planning to evaluate to the project compliance based on established models. Different analyses are used to support the architect during project planning. Gap and impact analysis are used to ensure the change consistency. The compliance with the current strategy is finally evaluated with view generation and metric calculation. Foundation of the method is a generic generic analysis architecture execution environment (A2E), that provides us with the required flexibility to adapt to different needs and meta models. The method and the proposed analyses are evaluated within a case study from a medium-sized software product company.</t>
  </si>
  <si>
    <t>Ordering stakeholder viewpoint concerns for holistic enterprise architecture</t>
  </si>
  <si>
    <t>M. Sultan; A. Miranskyy</t>
  </si>
  <si>
    <t>A Systematic Review of Business-IT Alignment Research With Enterprise Architecture</t>
  </si>
  <si>
    <t>M. Zhang; H. Chen; A. Luo</t>
  </si>
  <si>
    <t>IEEE Access</t>
  </si>
  <si>
    <t>business data processing_x000D_
organisational aspects_x000D_
reviews_x000D_
enterprise architecture_x000D_
systematic literature review_x000D_
BITA research_x000D_
future research directions_x000D_
multiple viewpoints_x000D_
business-IT alignment research_x000D_
dynamic environments_x000D_
EA_x000D_
Organizations_x000D_
Conferences_x000D_
Bibliographies_x000D_
Computer architecture_x000D_
Market research_x000D_
Collaboration_x000D_
Business-IT alignment_x000D_
5W1H_x000D_
review</t>
  </si>
  <si>
    <t>Because of the dynamic environments of business and IT, achieving any alignment between the two fields has become challenging. In view of its multiple viewpoints and artifacts, the discipline of enterprise architecture (EA) is often regarded as an effective methodology to deal with business-IT alignment (BITA) issues, and thus has attracted plenty of research. This article conducts a systematic literature review of BITA research using EA. Six questions are answered through 5W1H (When, Who, What, Why, Where, How) analysis; these questions aim to acquire a thorough understanding of BITA from the perspective of EA, to discover weak points in the status quo, and to identify future research directions.</t>
  </si>
  <si>
    <t>Evolvement of Business-IT Alignment: A Conceptual Model and Intervening Changes From Resource Allocation</t>
  </si>
  <si>
    <t>M. Zhang; H. Chen; X. Li; K. Lyytinen</t>
  </si>
  <si>
    <t>business data processing_x000D_
resource allocation_x000D_
business functions_x000D_
dynamic resource allocation algorithm_x000D_
dynamic BITA_x000D_
conceptual BITA evolvement model_x000D_
enterprise architecture_x000D_
BITA maturity framework_x000D_
sustainable BITA factor_x000D_
dynamic business-IT alignment_x000D_
Resource management_x000D_
Dynamic scheduling_x000D_
Heuristic algorithms_x000D_
Organizations_x000D_
Time measurement_x000D_
Modeling_x000D_
Business-IT alignment (BITA)_x000D_
enterprise architecture (EA)_x000D_
applications</t>
  </si>
  <si>
    <t>Recently, dynamic business-IT alignment (BITA) has attracted increasing attentions. However, the description and the governance of dynamic BITA are insufficient in the literature. To address this gap, a conceptual BITA evolvement model is proposed combining enterprise architecture with the BITA maturity framework, and a sustainable BITA factor on dynamic resource allocation is introduced in this evolvement model. To discuss the sustainable factor in a comprehensive way, we explored a series of possible changes and corresponding resource influences within the alignment of business functions and applications. A dynamic resource allocation algorithm is proposed, and an illustrative case study is presented to verify the algorithm's efficiency.</t>
  </si>
  <si>
    <t>Mobile security assurance for automotive software through archimate</t>
  </si>
  <si>
    <t>N. Kobayashi; S. Morisaki; S. Yamamoto</t>
  </si>
  <si>
    <t>https://www.scopus.com/inward/record.uri?eid=2-s2.0-85041702403&amp;doi=10.1007%2f978-981-10-7850-7_2&amp;partnerID=40&amp;md5=997f5d18c55c6b5ddae2939c31f89eb5</t>
  </si>
  <si>
    <t>ArchiMate_x000D_
Automotive_x000D_
Enterprise architecture_x000D_
Mobile architecture_x000D_
Mobile security_x000D_
Mobile devices_x000D_
Mobile telecommunication systems_x000D_
Software design_x000D_
Automotive software_x000D_
Security Architecture_x000D_
Security assurance_x000D_
Technology architectures</t>
  </si>
  <si>
    <t>ArchiMate is used to describe Business, Application and Technology Architectures models for Enterprise Architecture. Although the effectiveness of creating security case method in ArchiMate has been shown for mobile services, the applicability of the method was not discussed for the automotive mobile software development. In this paper, the method of creating security cases for mobile architecture models in ArchiMate is applied to an automotive mobile service and evaluated. The result shows the applicability of the method for various mobile security architecture domains. © Springer Nature Singapore Pte Ltd. 2018.</t>
  </si>
  <si>
    <t>Aligning Enterprise Systems Capabilities with Business Strategy: An extension of the Strategic Alignment Model (SAM) using Enterprise Architecture</t>
  </si>
  <si>
    <t>http://www.sciencedirect.com/science/article/pii/S1877050918317332</t>
  </si>
  <si>
    <t>Enterprise Architecture_x000D_
Strategic Alignment_x000D_
Enterprise Systems</t>
  </si>
  <si>
    <t>In the last decade, Enterprise Architecture (EA) has been proposed to have the potential to improve and support strategic alignment between business and IT. This paper reviews the literature on cross-domain strategic alignment, as well as on Enterprise Architecture, and presents a new model to depict strategic alignment between business and IT by augmenting the widely cited Strategic Alignment Model (SAM) with an Enterprise Architecture framework, The Open Group Architecture Framework (TOGAF). The contribution of this paper is that it intends to present a holistic, generic model by synthesizing the SAM with the constructs of TOGAF to present a more comprehensive technique of modelling strategic alignment of business and IT. Also, the model illustrates this using Enterprise Systems as the chosen IT platform. Subsequently, the proposed model will be tested using empirical data from case studies and the results will be presented in another paper.</t>
  </si>
  <si>
    <t>Optimal Countermeasures Selection Against Cyber Attacks: A Comprehensive Survey on Reaction Frameworks</t>
  </si>
  <si>
    <t>P. Nespoli; D. Papamartzivanos; F. G. Marmol; G. Kambourakis</t>
  </si>
  <si>
    <t>IEEE Communications Surveys &amp; Tutorials</t>
  </si>
  <si>
    <t>security of data_x000D_
near-optimal reaction_x000D_
full-fledged frameworks_x000D_
endless arm race_x000D_
reaction frameworks_x000D_
comprehensive survey_x000D_
cyber attacks_x000D_
optimal countermeasures selection_x000D_
time 5.0 year_x000D_
Tutorials_x000D_
Electronic mail_x000D_
Monitoring_x000D_
Risk management_x000D_
Cyber attack countermeasures_x000D_
security risk assessment_x000D_
intrusion prevention and response systems_x000D_
decision support systems_x000D_
optimal countermeasure strategy_x000D_
dynamic reaction selection</t>
  </si>
  <si>
    <t>It is without doubt that today the volume and sophistication of cyber attacks keeps consistently growing, militating an endless arm race between attackers and defenders. In this context, full-fledged frameworks, methodologies, or strategies that are able to offer optimal or near-optimal reaction in terms of countermeasure selection, preferably in a fully or semiautomated way, are of high demand. This is reflected in the literature, which encompasses a significant number of major works on this topic spanning over a time period of 5 years, that is, from 2012 to 2016. The survey at hand has a dual aim, namely, first, to critically analyze all the pertinent works in this field, and second to offer an in-depth discussion and side-by-side comparison among them based on seven common criteria. Also, a quite extensive discussion is offered to highlight on the shortcomings and future research challenges and directions in this timely area.</t>
  </si>
  <si>
    <t>A Detailed Analysis of NoSQL and NewSQL Databases for Bigdata Analytics and Distributed Computing</t>
  </si>
  <si>
    <t>P. Raj</t>
  </si>
  <si>
    <t>A Deep Dive into NoSQL Databases: The Use Cases and Applications</t>
  </si>
  <si>
    <t>http://www.sciencedirect.com/science/article/pii/S0065245818300020</t>
  </si>
  <si>
    <t>Big data analytics_x000D_
Hadoop_x000D_
Spark_x000D_
In-memory computing_x000D_
NoSQL databases_x000D_
NewSQL databases_x000D_
HBase</t>
  </si>
  <si>
    <t>In the recent past, different database management systems are emerging and evolving fast in order to systematically and spontaneously tackle the growing varieties and vagaries of data structures, schemas, sizes, speeds, and scopes. That is, all kinds of data have to be carefully and consciously collected, cleansed, and crunched in order to squeeze out actionable and timely insights out of exponentially exploding data heaps. Data is turning out be a strategic asset for any growing and glowing organization across the world in order to devise perfect and precise strategies and roll out correct activities in time with all the clarity, continuity, and confidence. The noteworthy point here is that you cannot throw out any data (internal as well as external) as data can potentially emit viable and venerable information and insights when subjected to decisive and deeper investigations. Not only for data transformation, ingestion, mining, processing, and analytics but also for effective data engineering, management, governance, representation, exchange, persistence, and science, we need efficient technologies, tools, and tips. As we are heading toward the dreamt knowledge era, the role and responsibility of new-generation database systems are bound to escalate in the days ahead. This chapter is primarily prepared to tell all about the various NoSQL and NewSQL databases and how they come handy in augmenting, accelerating, and automating the highly complicated phenomenon of next-generation data analytics.</t>
  </si>
  <si>
    <t>http://www.sciencedirect.com/science/article/pii/S0065245817300475</t>
  </si>
  <si>
    <t>There are several interesting and inspiring trends and transitions succulently happening in the business as well as IT spaces. One noteworthy factor and fact is that there are fresh data sources emerging and pouring out a lot of usable and reusable data. With the number of different, distributed, and decentralized data sources is consistently on the rise, the resulting data scope, size, structure, schema, and speed are greatly changing and challenging too. The other dominant and prominent aspects include polyglot microservices are solidifying deeply as the new building and deployment/execution block in the software world toward the much-needed accelerated software design, development, deployment, and delivery. The device ecosystem expands frenetically with the arrival of trendy and handy, slim and sleek, disappearing and disposable gadgets, gizmos thereby ubiquitous (anywhere, anytime, and any device) access, and usage of web-scale information, content, and services get fructified. Finally, all sorts of casually found and cheap articles in our everyday environments (homes, hotels, hospitals, etc.) are being systematically digitized and service enabled in order to exhibit a kind of real-world smartness and sagacity in their individual as well as collective actions and reactions. Thus trillions of digitized objects, billions of connected devices, and millions of polyglot software services are bound to interact insightfully with one another over locally as well as with remote ones over any networks purposefully. And hence the amount of transactional, operational, analytical, commercial, social, personal, and professional data created through a growing array of interactions and collaborations is growing very rapidly. Now if the data getting collected, processed, and stocked are not subjected to deeper, deft, and decisive investigations, then the tactically as well as strategically sound knowledge (the beneficial patterns, tips, techniques, associations, alerts, risk factors, fresh opportunities, possibilities, etc.) hidden inside the data heaps goes unused literally. For collecting, stocking, and processing such a large amount of multistructured data, the traditional databases, analytics platforms, the ETL tools, etc., are found insufficient. Hence the Apache Hadoop ecosystem technologies and tools are being touted as the best way forward to squeeze out the right and relevant knowledge. In this chapter, you can find the details about the emerging technologies and platforms for spearheading the big data movement.</t>
  </si>
  <si>
    <t>An exploration of the many ways to approach the discipline of enterprise architecture</t>
  </si>
  <si>
    <t>International Journal of Engineering Business Management</t>
  </si>
  <si>
    <t>https://www.scopus.com/inward/record.uri?eid=2-s2.0-85056581692&amp;doi=10.1177%2f1847979018807383&amp;partnerID=40&amp;md5=a2048f0a7366c91d1a13019c06b0b9c0</t>
  </si>
  <si>
    <t>agreed definition_x000D_
common terminology_x000D_
common understanding_x000D_
Enterprise architecture_x000D_
systematic mapping study</t>
  </si>
  <si>
    <t>Despite growing interest in enterprise architecture (EA) around the world in recent years, a lack of common understanding is frequently described by EA researchers/practitioners. We conducted a systematic mapping study and it revealed that the extent to which the authors/researchers are focused on EA, the sectors in which they are working, the academic disciplines in which they have studied, the countries where their affiliated organizations are located, the subject areas of the journals/publishers of their publications and the way they have approached EA and its practitioners are some major elements that might influence the existing uniformity in EA. In addition, this study demonstrates how important it is to pay attention to the definition of ‘enterprise architecture’ itself. The contribution of this study is the organization of the EA literature according to three major questions concerning ‘who’ have been published in the literature, ‘where’ they have been located and ‘what’ their publications are about. This helps to better identify sources of variety which could be on the basis of the lack of common understanding in EA and provides practitioners and stakeholders a better understanding of this challenge. This also provides relevant directions for future studies. © The Author(s) 2018.</t>
  </si>
  <si>
    <t>Dynamic Organization's Representation. Linking Project Management with Enterprise Architecture</t>
  </si>
  <si>
    <t>P. Sousa; M. Carvalho</t>
  </si>
  <si>
    <t>business data processing_x000D_
investment_x000D_
organisational aspects_x000D_
project management_x000D_
software architecture_x000D_
sustainable development_x000D_
dynamic organization_x000D_
linking project management_x000D_
enterprise architecture_x000D_
business sustainability_x000D_
organizations_x000D_
business decisions_x000D_
transformation initiatives_x000D_
effort consuming activity_x000D_
portfolio management_x000D_
information sources_x000D_
architectural views_x000D_
ongoing projects_x000D_
IT architecture representations_x000D_
business architecture representations_x000D_
Standards organizations_x000D_
Portfolios_x000D_
Planning_x000D_
Tools_x000D_
Enterprise Architecture, Enterprise Cartography, Project</t>
  </si>
  <si>
    <t>The business sustainability of the organizations requires a representation of their business and IT architecture to sustain business decisions as well as to plan transformation initiatives necessary for competitiveness in the market. However, with current approaches and tools, keeping updated and reliable architectures of business and IT has been proven to be a major effort consuming activity. The paper presents an approach to use project and portfolio management processes as information sources to update automatically organization's business and IT architecture representations. Such architectural views has a major impact on the capacity that organizations have to plan new projects as well as to better execute ongoing projects.</t>
  </si>
  <si>
    <t>A Model for Assessing COBIT 5 and ISO 27001 Simultaneously</t>
  </si>
  <si>
    <t>R. Almeida; R. Lourinho; M. M. d. Silva; R. Pereira</t>
  </si>
  <si>
    <t>ISO Standards_x000D_
Organizations_x000D_
Unified modeling language_x000D_
IEC Standards_x000D_
Complexity theory_x000D_
Standards organizations_x000D_
ArchiMate_x000D_
COBIT 5_x000D_
Enterprise Architecture_x000D_
Field Study_x000D_
ISO 27001_x000D_
ISO/IEC TS 33052_x000D_
ISO/IEC TS 33072_x000D_
Process Capability Assessment</t>
  </si>
  <si>
    <t>The assessment of Enterprise Governance of IT (EGIT) frameworks and standards such as COBIT 5 and ISO 27001, when adopted simultaneously, implies an unreasonable effort because each framework and standard defines its own scope, definitions, and terminologies. Using these frameworks and standards independently prevents organizations from achieving the full benefits of EGIT since there are limitations on their application to specific Information Technology (IT) areas. Also, as these frameworks and standards overlap, at a time when organizations strive to be efficient and effective, it seems counterintuitive to be wasting resources by having different organizational departments handling both approaches independently. Thus, the primary goal of this paper is to facilitate the COBIT 5 and ISO 27001 simultaneous assessment. To reach this goal, an Enterprise Architecture (EA) metamodel representation of ISO 27001 and its mapping to COBIT 5 is proposed using ArchiMate as the EA modeling language. The ISO 27001 metamodel is also extended with ISO/IEC Technical Specification (TS) 33052 and ISO/IEC TS 33072 because these standards propose a Process Reference Model and a Process Assessment Model for Information Security management, which are essential models to assess ISO 27001 and COBIT 5 simultaneously. A field study was conducted in the Portuguese Navy regarding the COBIT 5 Manage Service Requests and Incidents process and its corresponding controls in ISO 27001 through the mapped ISO/ IEC TS 33052 processes.</t>
  </si>
  <si>
    <t>Big data analytics: Computational intelligence techniques and application areas</t>
  </si>
  <si>
    <t>Technological Forecasting and Social Change</t>
  </si>
  <si>
    <t>http://www.sciencedirect.com/science/article/pii/S0040162517318498</t>
  </si>
  <si>
    <t>Smart city_x000D_
Big data_x000D_
Big data analytics_x000D_
Computational intelligence_x000D_
CI applications</t>
  </si>
  <si>
    <t>Big Data has significant impact in developing functional smart cities and supporting modern societies. In this paper, we investigate the importance of Big Data in modern life and economy, and discuss challenges arising from Big Data utilization. Different computational intelligence techniques have been considered as tools for Big Data analytics. We also explore the powerful combination of Big Data and Computational Intelligence (CI) and identify a number of areas, where novel applications in real world smart city problems can be developed by utilizing these powerful tools and techniques. We present a case study for intelligent transportation in the context of a smart city, and a novel data modelling methodology based on a biologically inspired universal generative modelling approach called Hierarchical Spatial-Temporal State Machine (HSTSM). We further discuss various implications of policy, protection, valuation and commercialization related to Big Data, its applications and deployment.</t>
  </si>
  <si>
    <t>Analysis Using the Business Support Matrix: Elaborating Potential for Improving Application Landscapes in Logistics</t>
  </si>
  <si>
    <t>R. Schlör; J. Jung</t>
  </si>
  <si>
    <t>business data processing_x000D_
logistics_x000D_
BSM_x000D_
business-related abstractions_x000D_
business processes_x000D_
supporting software applications_x000D_
improving application landscapes_x000D_
relevant IT support_x000D_
central tools_x000D_
business support matrix_x000D_
enterprise architecture management discipline_x000D_
German logistics company_x000D_
key performance indicators_x000D_
KPI_x000D_
Tools_x000D_
Companies_x000D_
Standards organizations_x000D_
enterprise architecture_x000D_
business function</t>
  </si>
  <si>
    <t>The Enterprise Architecture Management (EAM) discipline aims at deriving relevant IT support for a company from its strategy and business architecture. It, therefore, provides an extensive set of tools for describing and analyzing architecture for a given organization. One of the central tools bridging the gap between business and IT is the Business Support Matrix (BSM). It provides a high-level overview on business-related abstractions (e.g. business processes or functions) and their supporting software applications. The paper at hand presents and approach basing on the BSM for determining optimization potential in the application landscape of a large logistics company in Germany. This approach includes some basic key performance indicators (KPI) as well as a categorization of software applications in a corporate environment based on business support. It has been developed and evaluated in a German logistics company and is still evolving.</t>
  </si>
  <si>
    <t>Dynamic Capabilities of Decision-oriented Service Systems</t>
  </si>
  <si>
    <t>R. Schmidt; M. Möhring; A. Zimmerman</t>
  </si>
  <si>
    <t>https://www.scopus.com/inward/record.uri?eid=2-s2.0-85048437531&amp;doi=10.4018%2fIJISSS.2018070103&amp;partnerID=40&amp;md5=9e751eda23850f820d589055a51a9e5d</t>
  </si>
  <si>
    <t>Big Data_x000D_
Decision Management_x000D_
Dynamic Capability_x000D_
Service System Cloud Computing_x000D_
Abstracting_x000D_
Cloud computing_x000D_
Enterprise resource management_x000D_
Information management_x000D_
Product design_x000D_
Business Process_x000D_
Cloud computing environments_x000D_
Dynamic capabilities_x000D_
Information system architecture_x000D_
Service systems_x000D_
Synergetic effect_x000D_
Technological capability_x000D_
Service oriented architecture (SOA)</t>
  </si>
  <si>
    <t>A new class of information system architecture, decision-oriented service systems, is spreading more and more. Decision-oriented service systems provide services that support decisions in business processes and products based on the capabilities of cloud-computing environments. To pave the way for the creation of design methods of business processes and products based on decision-oriented service systems, this article introduces a capability-oriented approach. Starting from technological capabilities, more abstract operational and dynamic capabilities are created. The framework created is based on an integrated conceptualization of decision-oriented service systems that allows capturing synergetic effects. By creating the framework, the gap between the technological capabilities of technologies and the strategic goals of enterprises shall be narrowed. Copyright © 2018, IGI Global.</t>
  </si>
  <si>
    <t>Architecture of human resource management system at universities</t>
  </si>
  <si>
    <t>R. Setiawan</t>
  </si>
  <si>
    <t>https://www.scopus.com/inward/record.uri?eid=2-s2.0-85058297818&amp;doi=10.1088%2f1757-899X%2f434%2f1%2f012258&amp;partnerID=40&amp;md5=7737d79c3c5f6c29f36fc2aa59c6de0c</t>
  </si>
  <si>
    <t>Computer architecture_x000D_
Computer resource management_x000D_
Decision making_x000D_
Human resource management_x000D_
Natural resources management_x000D_
Network architecture_x000D_
Resource allocation_x000D_
Human resource management systems_x000D_
Open group architecture frameworks_x000D_
Quality information_x000D_
Resource management_x000D_
Strategic objectives_x000D_
Technology infrastructure_x000D_
Information management</t>
  </si>
  <si>
    <t>In carrying out the duties and functions of an agency, human resources are the most important part. The main function of human resource management is to ensure that the strategic objectives of the organization can be achieved and can meet the needs of institutions both in quantity and quality. This article discusses the design of human resource management information system architecture in a university which is integrated into a computer network that is capable of producing quality information to support decision making. The methodology used is The Open Group Architecture Framework (TOGAF) 9.1 which in this article is limited to the architectural stage of technology. The results of this study are in the form of blueprint list of application needs and technology infrastructure needed to support the employment function at the university. © Published under licence by IOP Publishing Ltd.</t>
  </si>
  <si>
    <t>Towards a Visual Modeling Approach to Manage the Impact of Digital Transformation on Information Systems</t>
  </si>
  <si>
    <t>S. Assar; M. Hafsi</t>
  </si>
  <si>
    <t>Unified modeling language_x000D_
Object oriented modeling_x000D_
Visualization_x000D_
Information systems_x000D_
Organizations_x000D_
Context modeling_x000D_
Digital transformation_x000D_
Enterprise modeling_x000D_
Information systems flexibility_x000D_
Information systems visualization</t>
  </si>
  <si>
    <t>Nowadays, CEOs from most of the industries investigate digitalization opportunities. Customer preferences and behavior are driving enterprise technology choices, and internal organizational change is essential to maintain focus on the customer in today's digital world. In this complex endeavor, organizations need to operate in changing environments is addressed by proposing models that help to comprehend the depth and disruptive nature of the underlying changes. In this paper, we put forward a visual model that takes into account the properties of digital transformation. Our model is based on the Archimate metamodel; it contributes to higher information system flexibility by providing multiple decoupling concepts for business and IS designs. The focus on simplified visualization within the model aids in quickly illustrating the common ground held by the specific parties involved in digital transformation context. Its use has been validated in three industrial case studies as part of an ongoing collaboration project, whereas one case is instantiated and presented in this paper. Issues related to the use of our model and tool support are also discussed within an evaluation done with Enterprise Architects.</t>
  </si>
  <si>
    <t>An Overview of Semantic Interoperability Ontologies and Frameworks for IoT</t>
  </si>
  <si>
    <t>S. D. Nagowah; H. B. Sta; B. Gobin-Rahimbux</t>
  </si>
  <si>
    <t>Internet of Things_x000D_
ontologies (artificial intelligence)_x000D_
open systems_x000D_
IoT_x000D_
unambiguous access_x000D_
semantic interoperability ontologies_x000D_
Interoperability_x000D_
Semantics_x000D_
Ontologies_x000D_
Medical services_x000D_
Stakeholders_x000D_
Electronic learning_x000D_
semantic interoperability</t>
  </si>
  <si>
    <t>Interoperability is one of the key challenges that needs to be addressed to realize the vision of the Internet of Things (IoT). Achieving interoperability in IoT will allow billions of devices to communicate and exchange information to perform jobs. Formalized ways are required to express needs and capabilities of these devices as well as services to be offered by the devices and these can be achieved by using semantics. Semantic interoperability is thus defined as unambiguous access and interpretation of data by different stakeholders. The paper presents the challenges and current solutions of semantic interoperability. It also discusses the limitations of the current solutions in IoT and recommends a way forward.</t>
  </si>
  <si>
    <t>A Probabilistic Enterprise Architecture Model Evolution</t>
  </si>
  <si>
    <t>S. Hacks; H. Lichter</t>
  </si>
  <si>
    <t>business data processing_x000D_
graph theory_x000D_
time series_x000D_
Unified Modeling Language_x000D_
contradictory data_x000D_
EA models_x000D_
UML-OCL notation_x000D_
enterprise architecture model_x000D_
predictive-probabilistic architecture modeling framework_x000D_
P2AMF_x000D_
graph presentation_x000D_
Uncertainty_x000D_
Probabilistic logic_x000D_
Computer architecture_x000D_
Estimation_x000D_
Databases_x000D_
Organizations_x000D_
Enterprise Architecture Management_x000D_
Probabilistic Modelling_x000D_
Quality Management</t>
  </si>
  <si>
    <t>Enterprise Architecture (EA) is a widely accepted means to ease the alignment of IS projects with enterprise-wide objectives. One central artifact of EA are EA models, which provide a holistic view on the organization and support EA's stakeholder to create added value. As EA collects its data from different sources, the data can be contradictory. This work contributes to existing research by proposing a novel approach to deal with contradictory data without solving the thereby caused conflicts. In order to achieve this objective, we refine the Predictive, Probabilistic Architecture Modeling Framework (P&lt;sup&gt;2&lt;/sup&gt;AMF) introduced by Johnson et al., which already incorporates a way to represent uncertainty regarding the existence of modelled entities. To make our technique usable, we generalize P&lt;sup&gt;2&lt;/sup&gt;AMF from its UML/OCL notation to a graph presentation in order to apply it to EA models notated in arbitrary notations like ArchiMate. Furthermore, we add alternative scenarios in different versions along a time series to meet the requirements of a distributed EA evolution. To show the applicability of our approach, we developed a proof of concept prototype by implementing the proposed calculations and guidelines on a Neo4j graph database. Last, we argue that our approach meets the stated requirements of a distributed EA evolution.</t>
  </si>
  <si>
    <t>Enterprise Architecture Driven and User-Friendly SaaS Service Selection</t>
  </si>
  <si>
    <t>S. Kurjakovic; K. Hinkelmann</t>
  </si>
  <si>
    <t>business data processing_x000D_
cloud computing_x000D_
corporate modelling_x000D_
requirements elicitation_x000D_
cloud services_x000D_
enterprise architecture modeling_x000D_
cloud service selection_x000D_
functional requirements_x000D_
vertical SaaS services_x000D_
user-friendly SaaS service selection_x000D_
enterprise architecture_x000D_
Software as a service_x000D_
Stakeholders_x000D_
Ontologies_x000D_
Biological system modeling_x000D_
Computer architecture_x000D_
enterprise ontologies_x000D_
business IT alignment_x000D_
SaaS service selection</t>
  </si>
  <si>
    <t>In the last decade the number of cloud services has grown significantly, and its nature challenges the traditional process of requirements elicitation for software solutions. Most of the conducted cloud research address non-functional requirements, such as payment strategies, performance or security. Methods are required which provide an appropriate level of abstraction for describing the functional aspects of cloud services. We suggest an approach which exploits the potential of enterprise architecture modeling for cloud service selection. This study contributes to cloud service selection in two ways. First, we suggest a concept for the description of functional requirements for vertical SaaS services. Second, we provide a method that enables various kinds of stakeholders to describe their requirements considering their individual knowledge level.</t>
  </si>
  <si>
    <t>Designing complex socio-technical process systems – the airport example</t>
  </si>
  <si>
    <t>S. Mazhar; P. P.-Y. Wu; M. Rosemann</t>
  </si>
  <si>
    <t>Business Process Management Journal</t>
  </si>
  <si>
    <t>https://www.scopus.com/inward/record.uri?eid=2-s2.0-85056997011&amp;doi=10.1108%2fBPMJ-09-2017-0241&amp;partnerID=40&amp;md5=0ecccced794b3842f939e3b1a61222aa</t>
  </si>
  <si>
    <t>Airport passenger facilitation/flow_x000D_
BPMN_x000D_
Business Process Management_x000D_
Configurable reference model_x000D_
Contextual factors_x000D_
Process configuration_x000D_
Process merging_x000D_
Space-sensitive process model</t>
  </si>
  <si>
    <t>Purpose: A configurable reference model can be used to assist in the development and management of business processes in complex, multi-stakeholder environments. The purpose of this paper is to demonstrate a process design in such environments via configurable process reference modelling, using airports as an example. Design/methodology/approach: Existing reference modelling methods around process modelling, merging and configuration are extended to include contextual and spatial factors using the design science methodology. The approach is empirically based on a set of business process management notation (BPMN) models for international passenger departures, consolidated from five Australian airport case studies via document analysis, interviews and observation. Findings: The use of contextual factors and operational scenarios, structured using the proposed approach, facilitated efficient cross-organisational comparison for configuring processes to suit the needs of a target organisation. The resulting configurable model integrates the perspectives of organisational stakeholder groups with that of the customer in a transparent and unambiguous graphical representation. It is a reusable tool with low data collection needs for each use. Research limitations/implications: Future research should include: version management; how to keep the model current; configurability via modelling objects other than gateways; and cross-discipline application (e.g. as a foundation for quantitative decision-making models). Originality/value: This is the first reported application of configurable reference modelling to airport passenger facilitation. Methodological contributions include the addition of space-sensitive process elements and notation to BPMN; guidelines for systematically deriving contextual factors associated with process variants across similar organisations; and overall normative guidelines for inductively developing a configurable process reference model. © 2018, Emerald Publishing Limited.</t>
  </si>
  <si>
    <t>The agile way</t>
  </si>
  <si>
    <t>S. V. Zykov</t>
  </si>
  <si>
    <t>Smart Innovation, Systems and Technologies</t>
  </si>
  <si>
    <t>https://www.scopus.com/inward/record.uri?eid=2-s2.0-85045852814&amp;doi=10.1007%2f978-3-319-77917-1_1&amp;partnerID=40&amp;md5=7d0e21eb98470194992e4fe317628077</t>
  </si>
  <si>
    <t>Agility_x000D_
Architecture_x000D_
Blockchain_x000D_
Crisis resistance_x000D_
Decentralized application_x000D_
Construction industry_x000D_
Sentiment analysis_x000D_
Bridge constructions_x000D_
Crisis management_x000D_
Depth evaluations_x000D_
Enterprise agility_x000D_
Enterprise Architecture_x000D_
Mission critical systems_x000D_
Technology application_x000D_
Bridges</t>
  </si>
  <si>
    <t>This chapter gives an overview of the concept of enterprise agility and how this gives organizations more flexibility. This includes an in-depth evaluation of modern enterprises and a few case studies on how organizations failed to adopt agile principles which led to disastrous consequences, and ways to avoid their mistakes based on the research in this field. Another key area of this chapter deals with crisis resistant strategies and their links to enterprise architectures. Discussion of mission-critical systems is included in this chapter to allow further understanding of how to increase scalability and avoid potential design errors. Case studies in the bridge construction sector illustrate crisis management and agility improvement. The chapter also focuses on digital art integrity and blockchain technology application to secure voting. The other areas we discuss include decentralized applications and human-related sentiment analysis. © Springer International Publishing AG, part of Springer Nature 2018.</t>
  </si>
  <si>
    <t>Towards precision fishery</t>
  </si>
  <si>
    <t>S. Walderhaug; P. G. Auran; A. J. Berre</t>
  </si>
  <si>
    <t>Ontological foundations of competition</t>
  </si>
  <si>
    <t>T. P. Sales; D. Porello; N. Guarino; G. Guizzardi; J. Mylopoulos</t>
  </si>
  <si>
    <t>https://www.scopus.com/inward/record.uri?eid=2-s2.0-85053864810&amp;doi=10.3233%2f978-1-61499-910-2-96&amp;partnerID=40&amp;md5=65c3164394152c73df229300ffa04a01</t>
  </si>
  <si>
    <t>Business Ontologies_x000D_
Competition_x000D_
Enterprise Modeling_x000D_
Ontological Analysis_x000D_
OntoUML_x000D_
Unified Foundational Ontology_x000D_
Commerce_x000D_
Information systems_x000D_
Information use_x000D_
Ontology_x000D_
Business environments_x000D_
Foundational ontologies_x000D_
Ontological foundation_x000D_
Strategic management_x000D_
Unified foundational ontologies (UFO)</t>
  </si>
  <si>
    <t>It is widely recognized that accurately identifying and classifying competitors is a challenge for many companies and entrepreneurs. Nonetheless, it is a paramount activity which provide valuable insights that affect a wide range of strategic decisions. One of the main challenges in competitor identification lies in the complex nature of the competitive relationships that arise in business environments. These have been extensively investigate over the years, which lead to a plethora of competition theories and frameworks. Still, the concept of competition remains conceptually complex, as none of these approaches properly formalized their assumptions. In this paper, we address this issue by means of an ontological analysis on the notion of competition in general, and of business competition, in particular, leveraging theories from various fields, including Marketing, Strategic Management, Ecology, Psychology and Cognitive Sciences. Our analysis, the first of its kind in the literature, is grounded on the Unified Foundational Ontology (UFO) and allows us to formally characterize why competition arises, as well as to distinguish between three types of business competitive relationships, namely market-level, firm-level and potential competition. © 2018 The authors and IOS Press. This article is published online with Open Access by IOS Press and distributed under the terms of the Creative Commons Attribution Non-Commercial License 4.0 (CC BY-NC 4.0).</t>
  </si>
  <si>
    <t>Ontological Analysis and Redesign of Risk Modeling in ArchiMate</t>
  </si>
  <si>
    <t>T. P. Sales; J. P. A. Almeida; S. Santini; F. Baião; G. Guizzardi</t>
  </si>
  <si>
    <t>ontologies (artificial intelligence)_x000D_
risk analysis_x000D_
security of data_x000D_
strategic planning_x000D_
ontological analysis_x000D_
systems operation_x000D_
modeling languages_x000D_
semantic limitations_x000D_
risk modeling_x000D_
enterprise architecture frameworks_x000D_
IT systems operation_x000D_
ArchiMate risk and security overlay_x000D_
RSO_x000D_
Security_x000D_
Organizations_x000D_
Ontologies_x000D_
Risk management_x000D_
Analytical models_x000D_
Semantics_x000D_
Enterprise Architecture_x000D_
ArchiMate_x000D_
Unified Foundational Ontology</t>
  </si>
  <si>
    <t>Risk analysis is a complex and critical activity in various contexts, ranging from strategic planning to IT systems operation. Given its complexity, several Enterprise Architecture (EA) frameworks and modeling languages have been developed to help analysts in representing and analyzing risks. Yet, the notion of risk remains overloaded and conceptually unclear in most of them. In this paper, we investigate the real-world semantics underlying risk-related constructs in one of such approaches, namely ArchiMate's Risk and Security Overlay (RSO). We perform this investigation by means of ontological analysis to reveal semantic limitations in the overlay, such as ambiguity and missing constructs. Building on the results of this analysis, we propose a well-founded redesign of the risk modeling aspects of the RSO.</t>
  </si>
  <si>
    <t>Business process compliance and business process change: An approach to analyze the interactions</t>
  </si>
  <si>
    <t>T. Seyffarth; S. Kuehnel; S. Sackmann</t>
  </si>
  <si>
    <t>https://www.scopus.com/inward/record.uri?eid=2-s2.0-85050600264&amp;doi=10.1007%2f978-3-319-93931-5_13&amp;partnerID=40&amp;md5=e27146d32f553ed64188e2d32c9449a2</t>
  </si>
  <si>
    <t>Business process change_x000D_
Business process compliance_x000D_
Compliance process_x000D_
Information technology_x000D_
Information systems_x000D_
Business Process_x000D_
Business process compliances_x000D_
Design-science researches_x000D_
Information use</t>
  </si>
  <si>
    <t>The adherence of business process compliance (BPC) is crucial for many companies. In addition, business processes may be supported by IT components, which can also be affected by compliance requirements. Due to business process change and the avoidance of compliance violations, companies must analyze, among other things, the interactions between business process change and BPC. Following the design science research paradigm, we developed and prototypically implemented a method that is able to analyze interactions between BPC and business process change considering supporting IT components and compliance processes. The method takes the business process change patterns “replace” and “delete” into account. © Springer International Publishing AG, part of Springer Nature 2018.</t>
  </si>
  <si>
    <t>Simulation based business processes analysis in higher education institutions</t>
  </si>
  <si>
    <t>V. B. Vukšić; K. Tomicic-Pupek; M. P. Bach</t>
  </si>
  <si>
    <t>business data processing_x000D_
discrete event simulation_x000D_
educational institutions_x000D_
further education_x000D_
process design_x000D_
higher education institutions_x000D_
business process management_x000D_
BPM_x000D_
simulation modelling_x000D_
DES_x000D_
process design phase_x000D_
business processes analysis_x000D_
HEI_x000D_
Education_x000D_
Analytical models_x000D_
case study_x000D_
Croatia</t>
  </si>
  <si>
    <t>Business process management (BPM) based on the usage of simulation modelling allows organizations to sustain and improve their operational performance. Discrete event simulation (DES) can help identify resource's bottlenecks, such as staffing, estimate process execution or delay times, test improvement suggestions in the process design phase, and overall assist in understanding how processes might impact performance in various scenarios. While many research papers report on the industry applications of BPM and DES, we focus to higher educational institutions (HEIS). Goals of the paper are: (1) to review the research of BPM and DES in HEIs, and (2) to discuss the impact of BPM and DES to process performance in one Croatian HEI. The case study methodology has been used in order to shed some light on the issue of applying discrete event simulation in BPM in the HEIs, especially for the purpose of collaboration improvement and impact assessment.</t>
  </si>
  <si>
    <t>Designing Optimal Enterprise Architecture for Digital Industry: State and Prospects</t>
  </si>
  <si>
    <t>V. V. Martynov; D. N. Shavaleeva; A. I. Salimova</t>
  </si>
  <si>
    <t>2018 Global Smart Industry Conference (GloSIC)</t>
  </si>
  <si>
    <t>business data processing_x000D_
business process re-engineering_x000D_
corporate modelling_x000D_
software architecture_x000D_
software tools_x000D_
digital industry_x000D_
modern digital world_x000D_
architectural representations_x000D_
architectural models_x000D_
architecture repositories_x000D_
rational enterprise architecture_x000D_
optimal enterprise architecture design_x000D_
Industries_x000D_
Measurement_x000D_
Companies_x000D_
Biological system modeling_x000D_
Standards_x000D_
Industry 4.0_x000D_
Enterprise Architecture_x000D_
EA_x000D_
enterprise information architecture_x000D_
metrics_x000D_
design_x000D_
representation_x000D_
business processes_x000D_
business systems_x000D_
architectural views</t>
  </si>
  <si>
    <t>This article discusses the formation of a rational Enterprise Architecture (EA) of the digital industry. The aim of the article is to draw the attention of the scientific community to the issue of using EA in the Industry 4.0 concept. The relevance of the article is that the use of a rational AP will help to effectively transfer the enterprise to the digital industry. Increasing the efficiency of the enterprise in the modern digital world is achieved through the use of “cross-cutting” indicators, which will be contained in several architectural representations. A set of metrics is proposed to represent the formalization and mathematical measurement of EA. The enterprise architecture is a process of collecting and disseminating information about how an organization uses and should use IT in its activities. The application of architectural models, in particular the Zachman' model, allows implementing a systematic approach in the field of solving the enterprise's problems from the point of view of information technologies in the digital industry. With the help of the set theory, EA is represented as a tuple of 8 elements, which contains sets of requirements, business processes, business systems, data elements, applications, technologies, constraints and business rules, as well as a corresponding set of indicators and their meanings. A set of main components of the EA is determined and the indicators of their measurement are given. In this paper, it is shown that there is a need for a variety of proposals for architectural representations, and this article is one of such representations that can contribute to the formation of “standards” of EA, including the attributes of architecture, their definition and measurement of value, ie metric form and scale. In the digital industry, there is a need for “architecture repositories” that use the same set of standards for organizing, storing, and extracting knowledge of architecture.</t>
  </si>
  <si>
    <t>A Language and Repository for Cyber Security of Smart Grids</t>
  </si>
  <si>
    <t>Y. Jiang; M. Jeusfeld; Y. Atif; J. Ding; C. Brax; E. Nero</t>
  </si>
  <si>
    <t>critical infrastructures_x000D_
power engineering computing_x000D_
power grids_x000D_
security of data_x000D_
smart power grids_x000D_
power grid_x000D_
central critical infrastructure_x000D_
power supply_x000D_
sophisticated cyber attacks_x000D_
Smart grids_x000D_
Taxonomy_x000D_
Monitoring_x000D_
Tools_x000D_
Computer architecture_x000D_
Security_x000D_
cyber security_x000D_
enterprise architecture_x000D_
domain specific language</t>
  </si>
  <si>
    <t>Power grids form the central critical infrastructure in all developed economies. Disruptions of power supply can cause major effects on the economy and the livelihood of citizens. At the same time, power grids are being targeted by sophisticated cyber attacks. To counter these threats, we propose a domain-specific language and a repository to represent power grids and related IT components that control the power grid. We apply our tool to a standard example used in the literature to assess its expressiveness.</t>
  </si>
  <si>
    <t>Functionality evaluation of system of systems architecture based on extended influence diagrams</t>
  </si>
  <si>
    <t>Z. Mengmeng; C. Honghui; Z. Xiaoxue; L. Aimin; L. Junxian</t>
  </si>
  <si>
    <t>Journal of Systems Engineering and Electronics</t>
  </si>
  <si>
    <t>military computing_x000D_
missiles_x000D_
open systems_x000D_
probability_x000D_
security of data_x000D_
software architecture_x000D_
extended influence diagram_x000D_
abstractness_x000D_
SoSA evaluation_x000D_
SoSA functionality_x000D_
anti-missile architecture case_x000D_
architecture design_x000D_
system of systems architecture_x000D_
simulation method_x000D_
EID simulation_x000D_
EID development_x000D_
System of systems_x000D_
Analytical models_x000D_
Tools_x000D_
Data models_x000D_
Interoperability_x000D_
system of systems architecture (SoSA)_x000D_
functionality evaluation_x000D_
extended influence diagram (EID)_x000D_
anti-missile architecture_x000D_
simulation</t>
  </si>
  <si>
    <t>System of systems architecture (SoSA) has received increasing emphasis by scholars since Zachman ignited its flame in 1987. Given its complexity and abstractness, it is critical to validate and evaluate SoSA to ensure requirements have been met. Multiple qualities are discussed in the literature of SoSA evaluation, while research on functionality is scarce. In order to assess SoSA functionality, an extended influence diagram (EID) is developed in this paper. Meanwhile, a simulation method is proposed to elicit the conditional probabilities in EID through designing and executing SoSA. An illustrative anti-missile architecture case is introduced for EID development, architecture design, and simulation.</t>
  </si>
  <si>
    <t>Proceedings of the Federated Conference on Computer Science and Information Systems</t>
  </si>
  <si>
    <t>business data processing_x000D_
formal specification_x000D_
Internet of Things_x000D_
organisational aspects_x000D_
Web services_x000D_
service-oriented architecture_x000D_
security of data_x000D_
production engineering computing_x000D_
data mining_x000D_
software prototyping</t>
  </si>
  <si>
    <t>The following topics are dealt with: business data processing; Web services; formal specification; organisational aspects; Internet of Things; service-oriented architecture; security of data; production engineering computing; data mining; software prototyping.</t>
  </si>
  <si>
    <t>IEEE Draft Guide for Cloud Portability and Interoperability Profiles (CPIP)</t>
  </si>
  <si>
    <t>IEEE P2301/D13, October 2018</t>
  </si>
  <si>
    <t>IEEE Standards_x000D_
Cloud computing_x000D_
Interoperability_x000D_
Cloud management_x000D_
Cloud profiles_x000D_
Cloud customers_x000D_
Cloud service providers_x000D_
Security_x000D_
Privacy_x000D_
Data Portability_x000D_
Consent interoperability</t>
  </si>
  <si>
    <t>This standard advises cloud computing ecosystem participants (cloud vendors, service providers, and users) of standards-based choices in areas such as application interfaces, portability interfaces, management interfaces, interoperability interfaces, file formats, and operation conventions. This guide groups these choices into multiple logical profiles, which are organized to address different cloud personalities.</t>
  </si>
  <si>
    <t>IEEE Standard for Information Technology--Portable Operating System Interface (POSIX(R)) Base Specifications, Issue 7</t>
  </si>
  <si>
    <t>IEEE Std 1003.1-2017 (Revision of IEEE Std 1003.1-2008)</t>
  </si>
  <si>
    <t>IEEE Standards_x000D_
Operating systems_x000D_
Access control_x000D_
Information technology_x000D_
Utility programs_x000D_
Synchronization_x000D_
Batch production systems_x000D_
Application programming interfaces_x000D_
application program interface (API)_x000D_
argument_x000D_
asynchronous_x000D_
basic regular expression (BRE)_x000D_
batch job_x000D_
batch system_x000D_
built-in utility_x000D_
byte_x000D_
child_x000D_
command language interpreter_x000D_
CPU_x000D_
extended regular expression (ERE)_x000D_
FIFO_x000D_
file access control mechanism_x000D_
IEEE 1003.1(TM)_x000D_
input/output (I/O)_x000D_
job control_x000D_
network_x000D_
parent_x000D_
portable operating system interface (POSIX(R))_x000D_
shell_x000D_
stream_x000D_
string_x000D_
synchronous_x000D_
system_x000D_
thread_x000D_
X/Open System Interface (XSI)</t>
  </si>
  <si>
    <t>POSIX.1-2017 is simultaneously IEEE Std 1003.1(TM)-2017 and The Open Group Standard Base Specifications, Issue 7.POSIX.1-2017 defines a standard operating system interface and environment, including a command interpreter (or shell ), and common utility programs to support applications portability at the source code level. POSIX.1-2017 is intended to be used by both application developers and system implementors and comprises four major components (each in an associated volume): General terms, concepts, and interfaces common to all volumes of this standard, including utility conventions and C-language header definitions, are included in the Base Definitions volume. Definitions for system service functions and subroutines, language-specific system services for the C programming language, function issues, including portability, error handling, and error recovery, are included in the System Interfaces volume. Definitions for a standard source code-level interface to command interpretation services (a shell ) and common utility programs for application programs are included in the Shell and Utilities volume. Extended rationale that did not fit well into the rest of the document structure, which contains historical information concerning the contents of POSIX.1-201x and why features were included or discarded by the standard developers, is included in the Rationale (Informative) volume.The following areas are outside the scope of POSIX.1-201x: Graphics interfaces Database management system interfaces Record I/O considerations Object or binary code portability System configuration and resource availability POSIX.1-2017 describes the external characteristics and facilities that are of importance to application developers, rather than the internal construction techniques employed to achieve these capabilities. Special emphasis is placed on those functions and facilities that are needed in a wide variety of commercial applications.</t>
  </si>
  <si>
    <t>IEEE Draft Standard for Adoption of OpenFog Reference Architecture for Fog Computing</t>
  </si>
  <si>
    <t>IEEE P1934/D1.0, February 2018</t>
  </si>
  <si>
    <t>IEEE Standards_x000D_
Edge computing_x000D_
Communication technology_x000D_
Information technology_x000D_
adoption_x000D_
communication technology IEEE 1934™_x000D_
OpenFog_x000D_
operational technology</t>
  </si>
  <si>
    <t>OpenFog Consortium--OpenFog Reference Architecture for Fog Computing is adopted by this standard. OpenFog Reference Architecture [OPFRA001.020817] is a structural and functional prescription of an open, interoperable, horizontal system architecture for distributing computing, storage, control and networking functions closer to the users along a cloud-to-thing continuum of communicating, computing, sensing and actuating entities. It encompasses various approaches to disperse Information Technology (IT), Communication Technology (CT) and Operational Technology (OT) Services through information messaging infrastructure as well as legacy and emerging multi-access networking technologies</t>
  </si>
  <si>
    <t>IEEE Approved Draft Standard for Adoption of OpenFog Reference Architecture for Fog Computing</t>
  </si>
  <si>
    <t>IEEE P1934/D2.0, April 2018</t>
  </si>
  <si>
    <t>IEEE Standards_x000D_
Edge computing_x000D_
Computer architecture_x000D_
Information technology_x000D_
adoption_x000D_
communication technology IEEE 1934™_x000D_
OpenFog_x000D_
operational technology</t>
  </si>
  <si>
    <t>37th International Conference on Conceptual Modeling, ER 2018 Workshops Emp-ER, MoBiD, MREBA, QMMQ, SCME</t>
  </si>
  <si>
    <t>https://www.scopus.com/inward/record.uri?eid=2-s2.0-85055422699&amp;partnerID=40&amp;md5=3f7373adac5970e1aaf47595c68d9744</t>
  </si>
  <si>
    <t>The proceedings contain 37 papers. The special focus in this conference is on Conceptual Modeling. The topics include: A Prototype for Generating Meaningful Layout of iStar Models; MDBF: A Tool for Monitoring Database Files; cusFinder: An Interactive Customer Ranking Query System; multiple Data Quality Evaluation and Data Cleaning on Imprecise Temporal Data; an Active Workflow Method for Entity-Oriented Data Collection; visual Non-verbal Social Cues Data Modeling; dependency-Based Query/View Synchronization upon Schema Evolutions; knowledge Graph Embedding via Relation Paths and Dynamic Mapping Matrix; expressiveness of Temporal Constraints for Process Models; SEED V3: Entity-Oriented Exploratory Search in Knowledge Graphs on Tablets; thoroughly Modern Accounting: Shifting to a De Re Conceptual Pattern for Debits and Credits; Evaluation of the Cognitive Effectiveness of the CORAS Modelling Language; teaching Physical Database Design; The Simple Enterprise Architecture Framework: Giving Alignment to IT Decisions; towards an Empirical Evaluation of Imperative and Declarative Process Mining; artifact Sampling in Experimental Conceptual Modeling Research; design of an Empirical Study for Evaluating an Automatic Layout Tool; Representing and Analyzing Enterprise Capabilities as Specialized Actors - A BPM Example; an Approach Toward the Economic Assessment of Business Process Compliance; Visual Representation of the TOGAF Requirements Management Process; mobiDis: Relationship Discovery of Mobile Users from Spatial-Temporal Trajectories; Technology-Transfer Requirements Engineering (TTRE) – on the Value of Conceptualizing Alternatives; conceptual Modeling to Support Pivoting – An Example from Twitter; SQL or NoSQL? Which Is the Best Choice for Storing Big Spatio-Temporal Climate Data?; UDBMS: Road to Unification for Multi-model Data Management.</t>
  </si>
  <si>
    <t>project management info</t>
  </si>
  <si>
    <t>X</t>
  </si>
  <si>
    <t>Language-Independent</t>
  </si>
  <si>
    <t>applications networks / app portfolio</t>
  </si>
  <si>
    <t>B2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</si>
</sst>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0.000000000"/>
  </numFmts>
  <fonts count="10" x14ac:knownFonts="1">
    <font>
      <sz val="11"/>
      <color theme="1"/>
      <name val="Calibri"/>
      <family val="2"/>
      <scheme val="minor"/>
    </font>
    <font>
      <b/>
      <sz val="11"/>
      <color theme="1"/>
      <name val="Calibri"/>
      <family val="2"/>
      <scheme val="minor"/>
    </font>
    <font>
      <sz val="11"/>
      <color theme="1"/>
      <name val="Calibri"/>
      <family val="2"/>
      <scheme val="minor"/>
    </font>
    <font>
      <sz val="11"/>
      <color rgb="FFFF0000"/>
      <name val="Calibri"/>
      <family val="2"/>
      <scheme val="minor"/>
    </font>
    <font>
      <b/>
      <sz val="11"/>
      <color rgb="FFFF0000"/>
      <name val="Calibri"/>
      <family val="2"/>
      <scheme val="minor"/>
    </font>
    <font>
      <b/>
      <sz val="11"/>
      <name val="Calibri"/>
      <family val="2"/>
      <scheme val="minor"/>
    </font>
    <font>
      <sz val="9"/>
      <color indexed="81"/>
      <name val="Tahoma"/>
      <family val="2"/>
    </font>
    <font>
      <b/>
      <sz val="9"/>
      <color indexed="81"/>
      <name val="Tahoma"/>
      <family val="2"/>
    </font>
    <font>
      <sz val="11"/>
      <name val="Calibri"/>
      <family val="2"/>
      <scheme val="minor"/>
    </font>
    <font>
      <sz val="1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9" tint="0.79998168889431442"/>
        <bgColor theme="9" tint="0.79998168889431442"/>
      </patternFill>
    </fill>
  </fills>
  <borders count="10">
    <border>
      <left/>
      <right/>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top/>
      <bottom style="thin">
        <color theme="9" tint="0.39997558519241921"/>
      </bottom>
      <diagonal/>
    </border>
    <border>
      <left/>
      <right/>
      <top style="thin">
        <color theme="9" tint="0.39997558519241921"/>
      </top>
      <bottom/>
      <diagonal/>
    </border>
    <border>
      <left style="thin">
        <color indexed="64"/>
      </left>
      <right/>
      <top/>
      <bottom/>
      <diagonal/>
    </border>
    <border>
      <left style="thin">
        <color indexed="64"/>
      </left>
      <right/>
      <top/>
      <bottom style="thin">
        <color theme="9" tint="0.39997558519241921"/>
      </bottom>
      <diagonal/>
    </border>
    <border>
      <left style="thin">
        <color indexed="64"/>
      </left>
      <right/>
      <top style="thin">
        <color theme="9" tint="0.39997558519241921"/>
      </top>
      <bottom style="thin">
        <color theme="9" tint="0.39997558519241921"/>
      </bottom>
      <diagonal/>
    </border>
    <border>
      <left style="thin">
        <color indexed="64"/>
      </left>
      <right/>
      <top style="thin">
        <color theme="9" tint="0.39997558519241921"/>
      </top>
      <bottom/>
      <diagonal/>
    </border>
    <border>
      <left style="thin">
        <color theme="9" tint="0.39997558519241921"/>
      </left>
      <right/>
      <top style="thin">
        <color theme="9" tint="0.39997558519241921"/>
      </top>
      <bottom/>
      <diagonal/>
    </border>
  </borders>
  <cellStyleXfs count="2">
    <xf numFmtId="0" fontId="0" fillId="0" borderId="0"/>
    <xf numFmtId="9" fontId="2" fillId="0" borderId="0" applyFont="0" applyFill="0" applyBorder="0" applyAlignment="0" applyProtection="0"/>
  </cellStyleXfs>
  <cellXfs count="58">
    <xf numFmtId="0" fontId="0" fillId="0" borderId="0" xfId="0"/>
    <xf numFmtId="0" fontId="0" fillId="0" borderId="0" xfId="0" applyNumberFormat="1"/>
    <xf numFmtId="0" fontId="0" fillId="0" borderId="0" xfId="0" applyAlignment="1"/>
    <xf numFmtId="0" fontId="0" fillId="0" borderId="0" xfId="0" applyNumberFormat="1" applyAlignment="1"/>
    <xf numFmtId="0" fontId="1" fillId="0" borderId="0" xfId="0" applyFont="1"/>
    <xf numFmtId="0" fontId="0" fillId="2" borderId="0" xfId="0" applyNumberFormat="1" applyFill="1"/>
    <xf numFmtId="0" fontId="0" fillId="0" borderId="0" xfId="0" applyNumberFormat="1" applyFill="1"/>
    <xf numFmtId="0" fontId="3" fillId="0" borderId="0" xfId="0" applyNumberFormat="1" applyFont="1"/>
    <xf numFmtId="0" fontId="0" fillId="3" borderId="0" xfId="0" applyNumberFormat="1" applyFill="1"/>
    <xf numFmtId="0" fontId="4" fillId="2" borderId="0" xfId="0" applyNumberFormat="1" applyFont="1" applyFill="1"/>
    <xf numFmtId="0" fontId="5" fillId="3" borderId="0" xfId="0" applyNumberFormat="1" applyFont="1" applyFill="1"/>
    <xf numFmtId="9" fontId="0" fillId="0" borderId="0" xfId="1" applyFont="1"/>
    <xf numFmtId="0" fontId="0" fillId="0" borderId="0" xfId="0" applyBorder="1"/>
    <xf numFmtId="0" fontId="8" fillId="0" borderId="1" xfId="0" applyNumberFormat="1" applyFont="1" applyFill="1" applyBorder="1"/>
    <xf numFmtId="0" fontId="8" fillId="0" borderId="2" xfId="0" applyNumberFormat="1" applyFont="1" applyFill="1" applyBorder="1"/>
    <xf numFmtId="0" fontId="8" fillId="0" borderId="2" xfId="0" applyFont="1" applyFill="1" applyBorder="1"/>
    <xf numFmtId="0" fontId="8" fillId="0" borderId="4" xfId="0" applyNumberFormat="1" applyFont="1" applyFill="1" applyBorder="1"/>
    <xf numFmtId="0" fontId="8" fillId="0" borderId="4" xfId="0" applyFont="1" applyFill="1" applyBorder="1"/>
    <xf numFmtId="0" fontId="8" fillId="0" borderId="3" xfId="0" applyNumberFormat="1" applyFont="1" applyFill="1" applyBorder="1" applyAlignment="1">
      <alignment horizontal="center" vertical="center"/>
    </xf>
    <xf numFmtId="0" fontId="8" fillId="0" borderId="2" xfId="0" applyNumberFormat="1" applyFont="1" applyFill="1" applyBorder="1" applyAlignment="1">
      <alignment horizontal="center" vertical="center"/>
    </xf>
    <xf numFmtId="0" fontId="8" fillId="0" borderId="4" xfId="0" applyNumberFormat="1" applyFont="1" applyFill="1" applyBorder="1" applyAlignment="1">
      <alignment horizontal="center" vertical="center"/>
    </xf>
    <xf numFmtId="0" fontId="0" fillId="0" borderId="0" xfId="0" applyAlignment="1">
      <alignment horizontal="center" vertical="center"/>
    </xf>
    <xf numFmtId="0" fontId="8" fillId="0" borderId="6" xfId="0" applyNumberFormat="1" applyFont="1" applyFill="1" applyBorder="1" applyAlignment="1">
      <alignment horizontal="center" vertical="center"/>
    </xf>
    <xf numFmtId="0" fontId="8" fillId="0" borderId="7" xfId="0" applyNumberFormat="1" applyFont="1" applyFill="1" applyBorder="1" applyAlignment="1">
      <alignment horizontal="center" vertical="center"/>
    </xf>
    <xf numFmtId="0" fontId="8" fillId="0" borderId="8" xfId="0" applyNumberFormat="1" applyFont="1" applyFill="1" applyBorder="1" applyAlignment="1">
      <alignment horizontal="center" vertical="center"/>
    </xf>
    <xf numFmtId="0" fontId="0" fillId="0" borderId="5" xfId="0" applyBorder="1" applyAlignment="1">
      <alignment horizontal="center" vertical="center"/>
    </xf>
    <xf numFmtId="0" fontId="8" fillId="0" borderId="0" xfId="0" applyNumberFormat="1" applyFont="1" applyFill="1" applyBorder="1" applyAlignment="1">
      <alignment horizontal="center" vertical="center"/>
    </xf>
    <xf numFmtId="0" fontId="8" fillId="0" borderId="5" xfId="0" applyNumberFormat="1" applyFont="1" applyFill="1" applyBorder="1" applyAlignment="1">
      <alignment horizontal="center" vertical="center"/>
    </xf>
    <xf numFmtId="1" fontId="8" fillId="0" borderId="2" xfId="0" applyNumberFormat="1" applyFont="1" applyFill="1" applyBorder="1"/>
    <xf numFmtId="1" fontId="8" fillId="0" borderId="4" xfId="0" applyNumberFormat="1" applyFont="1" applyFill="1" applyBorder="1"/>
    <xf numFmtId="0" fontId="8" fillId="0" borderId="1" xfId="0" applyFont="1" applyFill="1" applyBorder="1" applyAlignment="1">
      <alignment horizontal="center" vertical="center" textRotation="90"/>
    </xf>
    <xf numFmtId="0" fontId="8" fillId="0" borderId="3" xfId="0" applyFont="1" applyFill="1" applyBorder="1" applyAlignment="1">
      <alignment horizontal="center" vertical="center" textRotation="90"/>
    </xf>
    <xf numFmtId="0" fontId="8" fillId="0" borderId="0" xfId="0" applyFont="1" applyFill="1" applyAlignment="1">
      <alignment horizontal="center" vertical="center" textRotation="90"/>
    </xf>
    <xf numFmtId="0" fontId="8" fillId="0" borderId="5" xfId="0" applyFont="1" applyFill="1" applyBorder="1" applyAlignment="1">
      <alignment horizontal="center" vertical="center" textRotation="90"/>
    </xf>
    <xf numFmtId="0" fontId="5" fillId="0" borderId="5" xfId="0" applyFont="1" applyBorder="1" applyAlignment="1">
      <alignment horizontal="center" vertical="center" textRotation="90"/>
    </xf>
    <xf numFmtId="0" fontId="5" fillId="0" borderId="0" xfId="0" applyFont="1" applyBorder="1" applyAlignment="1">
      <alignment horizontal="center" vertical="center" textRotation="90"/>
    </xf>
    <xf numFmtId="0" fontId="5" fillId="0" borderId="0" xfId="0" applyFont="1" applyAlignment="1">
      <alignment horizontal="center" vertical="center" textRotation="90"/>
    </xf>
    <xf numFmtId="0" fontId="1" fillId="0" borderId="0" xfId="0" applyFont="1" applyAlignment="1">
      <alignment wrapText="1"/>
    </xf>
    <xf numFmtId="0" fontId="0" fillId="0" borderId="0" xfId="0" applyAlignment="1">
      <alignment wrapText="1"/>
    </xf>
    <xf numFmtId="0" fontId="0" fillId="4" borderId="1" xfId="0" applyFont="1" applyFill="1" applyBorder="1"/>
    <xf numFmtId="0" fontId="0" fillId="0" borderId="1" xfId="0" applyFont="1" applyBorder="1"/>
    <xf numFmtId="0" fontId="0" fillId="0" borderId="0" xfId="0" applyBorder="1" applyAlignment="1">
      <alignment horizontal="center" vertical="center"/>
    </xf>
    <xf numFmtId="0" fontId="0" fillId="0" borderId="5" xfId="0" applyBorder="1" applyAlignment="1">
      <alignment horizontal="center"/>
    </xf>
    <xf numFmtId="0" fontId="8" fillId="0" borderId="6" xfId="0" applyNumberFormat="1" applyFont="1" applyFill="1" applyBorder="1" applyAlignment="1">
      <alignment horizontal="center"/>
    </xf>
    <xf numFmtId="0" fontId="8" fillId="0" borderId="5" xfId="0" applyNumberFormat="1" applyFont="1" applyFill="1" applyBorder="1" applyAlignment="1">
      <alignment horizontal="center"/>
    </xf>
    <xf numFmtId="0" fontId="0" fillId="0" borderId="0" xfId="0" applyBorder="1" applyAlignment="1">
      <alignment horizontal="center"/>
    </xf>
    <xf numFmtId="2" fontId="0" fillId="0" borderId="0" xfId="0" applyNumberFormat="1"/>
    <xf numFmtId="0" fontId="0" fillId="0" borderId="0" xfId="0" applyNumberFormat="1" applyAlignment="1">
      <alignment wrapText="1"/>
    </xf>
    <xf numFmtId="0" fontId="9" fillId="0" borderId="9" xfId="0" applyNumberFormat="1" applyFont="1" applyFill="1" applyBorder="1"/>
    <xf numFmtId="0" fontId="9" fillId="0" borderId="4" xfId="0" applyNumberFormat="1" applyFont="1" applyFill="1" applyBorder="1"/>
    <xf numFmtId="0" fontId="9" fillId="0" borderId="4" xfId="0" applyFont="1" applyFill="1" applyBorder="1"/>
    <xf numFmtId="1" fontId="9" fillId="0" borderId="4" xfId="0" applyNumberFormat="1" applyFont="1" applyFill="1" applyBorder="1"/>
    <xf numFmtId="0" fontId="9" fillId="0" borderId="4" xfId="0" applyNumberFormat="1" applyFont="1" applyFill="1" applyBorder="1" applyAlignment="1">
      <alignment horizontal="center" vertical="center"/>
    </xf>
    <xf numFmtId="0" fontId="9" fillId="0" borderId="8" xfId="0" applyNumberFormat="1" applyFont="1" applyFill="1" applyBorder="1" applyAlignment="1">
      <alignment horizontal="center" vertical="center"/>
    </xf>
    <xf numFmtId="1" fontId="0" fillId="0" borderId="0" xfId="0" applyNumberFormat="1"/>
    <xf numFmtId="165" fontId="0" fillId="0" borderId="0" xfId="0" applyNumberFormat="1"/>
    <xf numFmtId="0" fontId="0" fillId="0" borderId="0" xfId="0" applyNumberFormat="1" applyBorder="1"/>
    <xf numFmtId="0" fontId="0" fillId="0" borderId="0" xfId="0" applyNumberFormat="1" applyBorder="1" applyAlignment="1"/>
  </cellXfs>
  <cellStyles count="2">
    <cellStyle name="Normal" xfId="0" builtinId="0"/>
    <cellStyle name="Porcentaje" xfId="1" builtinId="5"/>
  </cellStyles>
  <dxfs count="131">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border diagonalUp="0" diagonalDown="0" outline="0">
        <left/>
        <right/>
        <top style="thin">
          <color theme="9" tint="0.39997558519241921"/>
        </top>
        <bottom style="thin">
          <color theme="9" tint="0.39997558519241921"/>
        </bottom>
      </border>
    </dxf>
    <dxf>
      <numFmt numFmtId="0" formatCode="General"/>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theme="9" tint="0.39997558519241921"/>
        </top>
        <bottom style="thin">
          <color theme="9" tint="0.39997558519241921"/>
        </bottom>
        <vertic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wrapText="0" indent="0" justifyLastLine="0" shrinkToFit="0" readingOrder="0"/>
      <border diagonalUp="0" diagonalDown="0" outline="0">
        <left style="thin">
          <color indexed="64"/>
        </left>
        <right/>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border diagonalUp="0" diagonalDown="0" outline="0">
        <left style="thin">
          <color theme="9" tint="0.39997558519241921"/>
        </left>
        <right/>
        <top style="thin">
          <color theme="9" tint="0.39997558519241921"/>
        </top>
        <bottom style="thin">
          <color theme="9" tint="0.39997558519241921"/>
        </bottom>
      </border>
    </dxf>
    <dxf>
      <border outline="0">
        <top style="thin">
          <color theme="9" tint="0.39997558519241921"/>
        </top>
      </border>
    </dxf>
    <dxf>
      <border outline="0">
        <top style="thin">
          <color theme="9" tint="0.39997558519241921"/>
        </top>
        <bottom style="thin">
          <color theme="9"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bottom style="thin">
          <color theme="9"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mn-cs"/>
              </a:defRPr>
            </a:pPr>
            <a:r>
              <a:rPr lang="en-GB" sz="1200"/>
              <a:t>Distribution of primary studies by year</a:t>
            </a:r>
          </a:p>
        </c:rich>
      </c:tx>
      <c:overlay val="0"/>
      <c:spPr>
        <a:noFill/>
        <a:ln>
          <a:noFill/>
        </a:ln>
        <a:effectLst/>
      </c:spPr>
    </c:title>
    <c:autoTitleDeleted val="0"/>
    <c:plotArea>
      <c:layout/>
      <c:barChart>
        <c:barDir val="col"/>
        <c:grouping val="clustered"/>
        <c:varyColors val="0"/>
        <c:ser>
          <c:idx val="0"/>
          <c:order val="0"/>
          <c:tx>
            <c:strRef>
              <c:f>Year!$B$1</c:f>
              <c:strCache>
                <c:ptCount val="1"/>
                <c:pt idx="0">
                  <c:v>Retrieved</c:v>
                </c:pt>
              </c:strCache>
            </c:strRef>
          </c:tx>
          <c:spPr>
            <a:solidFill>
              <a:schemeClr val="accent1">
                <a:tint val="65000"/>
              </a:schemeClr>
            </a:solidFill>
            <a:ln>
              <a:noFill/>
            </a:ln>
            <a:effectLst/>
          </c:spPr>
          <c:invertIfNegative val="0"/>
          <c:cat>
            <c:numRef>
              <c:f>Year!$A$2:$A$19</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Year!$B$2:$B$19</c:f>
              <c:numCache>
                <c:formatCode>General</c:formatCode>
                <c:ptCount val="18"/>
                <c:pt idx="0">
                  <c:v>1</c:v>
                </c:pt>
                <c:pt idx="1">
                  <c:v>0</c:v>
                </c:pt>
                <c:pt idx="2">
                  <c:v>2</c:v>
                </c:pt>
                <c:pt idx="3">
                  <c:v>5</c:v>
                </c:pt>
                <c:pt idx="4">
                  <c:v>7</c:v>
                </c:pt>
                <c:pt idx="5">
                  <c:v>16</c:v>
                </c:pt>
                <c:pt idx="6">
                  <c:v>14</c:v>
                </c:pt>
                <c:pt idx="7">
                  <c:v>28</c:v>
                </c:pt>
                <c:pt idx="8">
                  <c:v>39</c:v>
                </c:pt>
                <c:pt idx="9">
                  <c:v>48</c:v>
                </c:pt>
                <c:pt idx="10">
                  <c:v>50</c:v>
                </c:pt>
                <c:pt idx="11">
                  <c:v>41</c:v>
                </c:pt>
                <c:pt idx="12">
                  <c:v>79</c:v>
                </c:pt>
                <c:pt idx="13">
                  <c:v>90</c:v>
                </c:pt>
                <c:pt idx="14">
                  <c:v>74</c:v>
                </c:pt>
                <c:pt idx="15">
                  <c:v>80</c:v>
                </c:pt>
                <c:pt idx="16">
                  <c:v>75</c:v>
                </c:pt>
                <c:pt idx="17">
                  <c:v>81</c:v>
                </c:pt>
              </c:numCache>
            </c:numRef>
          </c:val>
          <c:extLst>
            <c:ext xmlns:c16="http://schemas.microsoft.com/office/drawing/2014/chart" uri="{C3380CC4-5D6E-409C-BE32-E72D297353CC}">
              <c16:uniqueId val="{00000000-C682-46A3-ADC0-B0F461AD0716}"/>
            </c:ext>
          </c:extLst>
        </c:ser>
        <c:ser>
          <c:idx val="1"/>
          <c:order val="1"/>
          <c:tx>
            <c:strRef>
              <c:f>Year!$C$1</c:f>
              <c:strCache>
                <c:ptCount val="1"/>
                <c:pt idx="0">
                  <c:v>selected (1st iteration)</c:v>
                </c:pt>
              </c:strCache>
            </c:strRef>
          </c:tx>
          <c:spPr>
            <a:solidFill>
              <a:schemeClr val="accent1"/>
            </a:solidFill>
            <a:ln>
              <a:noFill/>
            </a:ln>
            <a:effectLst/>
          </c:spPr>
          <c:invertIfNegative val="0"/>
          <c:cat>
            <c:numRef>
              <c:f>Year!$A$2:$A$19</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Year!$C$2:$C$19</c:f>
              <c:numCache>
                <c:formatCode>General</c:formatCode>
                <c:ptCount val="18"/>
                <c:pt idx="0">
                  <c:v>0</c:v>
                </c:pt>
                <c:pt idx="1">
                  <c:v>0</c:v>
                </c:pt>
                <c:pt idx="2">
                  <c:v>0</c:v>
                </c:pt>
                <c:pt idx="3">
                  <c:v>0</c:v>
                </c:pt>
                <c:pt idx="4">
                  <c:v>0</c:v>
                </c:pt>
                <c:pt idx="5">
                  <c:v>0</c:v>
                </c:pt>
                <c:pt idx="6">
                  <c:v>0</c:v>
                </c:pt>
                <c:pt idx="7">
                  <c:v>0</c:v>
                </c:pt>
                <c:pt idx="8">
                  <c:v>0</c:v>
                </c:pt>
                <c:pt idx="9">
                  <c:v>7</c:v>
                </c:pt>
                <c:pt idx="10">
                  <c:v>13</c:v>
                </c:pt>
                <c:pt idx="11">
                  <c:v>9</c:v>
                </c:pt>
                <c:pt idx="12">
                  <c:v>13</c:v>
                </c:pt>
                <c:pt idx="13">
                  <c:v>13</c:v>
                </c:pt>
                <c:pt idx="14">
                  <c:v>14</c:v>
                </c:pt>
                <c:pt idx="15">
                  <c:v>13</c:v>
                </c:pt>
                <c:pt idx="16">
                  <c:v>11</c:v>
                </c:pt>
                <c:pt idx="17">
                  <c:v>13</c:v>
                </c:pt>
              </c:numCache>
            </c:numRef>
          </c:val>
          <c:extLst>
            <c:ext xmlns:c16="http://schemas.microsoft.com/office/drawing/2014/chart" uri="{C3380CC4-5D6E-409C-BE32-E72D297353CC}">
              <c16:uniqueId val="{00000001-C682-46A3-ADC0-B0F461AD0716}"/>
            </c:ext>
          </c:extLst>
        </c:ser>
        <c:ser>
          <c:idx val="2"/>
          <c:order val="2"/>
          <c:tx>
            <c:strRef>
              <c:f>Year!$D$1</c:f>
              <c:strCache>
                <c:ptCount val="1"/>
                <c:pt idx="0">
                  <c:v>Selected</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Year!$A$2:$A$19</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Year!$D$2:$D$19</c:f>
              <c:numCache>
                <c:formatCode>General</c:formatCode>
                <c:ptCount val="18"/>
                <c:pt idx="9">
                  <c:v>2</c:v>
                </c:pt>
                <c:pt idx="10">
                  <c:v>4</c:v>
                </c:pt>
                <c:pt idx="11">
                  <c:v>4</c:v>
                </c:pt>
                <c:pt idx="12">
                  <c:v>6</c:v>
                </c:pt>
                <c:pt idx="13">
                  <c:v>5</c:v>
                </c:pt>
                <c:pt idx="14">
                  <c:v>8</c:v>
                </c:pt>
                <c:pt idx="15">
                  <c:v>5</c:v>
                </c:pt>
                <c:pt idx="16">
                  <c:v>6</c:v>
                </c:pt>
                <c:pt idx="17">
                  <c:v>5</c:v>
                </c:pt>
              </c:numCache>
            </c:numRef>
          </c:val>
          <c:extLst>
            <c:ext xmlns:c16="http://schemas.microsoft.com/office/drawing/2014/chart" uri="{C3380CC4-5D6E-409C-BE32-E72D297353CC}">
              <c16:uniqueId val="{00000002-C682-46A3-ADC0-B0F461AD0716}"/>
            </c:ext>
          </c:extLst>
        </c:ser>
        <c:dLbls>
          <c:showLegendKey val="0"/>
          <c:showVal val="0"/>
          <c:showCatName val="0"/>
          <c:showSerName val="0"/>
          <c:showPercent val="0"/>
          <c:showBubbleSize val="0"/>
        </c:dLbls>
        <c:gapWidth val="219"/>
        <c:overlap val="-27"/>
        <c:axId val="1084328256"/>
        <c:axId val="1084329896"/>
      </c:barChart>
      <c:catAx>
        <c:axId val="1084328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084329896"/>
        <c:crosses val="autoZero"/>
        <c:auto val="1"/>
        <c:lblAlgn val="ctr"/>
        <c:lblOffset val="100"/>
        <c:noMultiLvlLbl val="0"/>
      </c:catAx>
      <c:valAx>
        <c:axId val="1084329896"/>
        <c:scaling>
          <c:orientation val="minMax"/>
          <c:max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084328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95000"/>
                    <a:lumOff val="5000"/>
                  </a:schemeClr>
                </a:solidFill>
                <a:latin typeface="+mn-lt"/>
                <a:ea typeface="+mn-ea"/>
                <a:cs typeface="+mn-cs"/>
              </a:defRPr>
            </a:pPr>
            <a:r>
              <a:rPr lang="en-US" sz="1100" b="1"/>
              <a:t>RQ2. Mining  techniques</a:t>
            </a:r>
          </a:p>
        </c:rich>
      </c:tx>
      <c:layout>
        <c:manualLayout>
          <c:xMode val="edge"/>
          <c:yMode val="edge"/>
          <c:x val="0.36231587301587304"/>
          <c:y val="1.119929453262786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95000"/>
                  <a:lumOff val="5000"/>
                </a:schemeClr>
              </a:solidFill>
              <a:latin typeface="+mn-lt"/>
              <a:ea typeface="+mn-ea"/>
              <a:cs typeface="+mn-cs"/>
            </a:defRPr>
          </a:pPr>
          <a:endParaRPr lang="en-US"/>
        </a:p>
      </c:txPr>
    </c:title>
    <c:autoTitleDeleted val="0"/>
    <c:plotArea>
      <c:layout>
        <c:manualLayout>
          <c:layoutTarget val="inner"/>
          <c:xMode val="edge"/>
          <c:yMode val="edge"/>
          <c:x val="0.44499563492063493"/>
          <c:y val="0.13679938271604938"/>
          <c:w val="0.51451051587301588"/>
          <c:h val="0.72292019400352747"/>
        </c:manualLayout>
      </c:layout>
      <c:barChart>
        <c:barDir val="bar"/>
        <c:grouping val="clustered"/>
        <c:varyColors val="0"/>
        <c:ser>
          <c:idx val="0"/>
          <c:order val="0"/>
          <c:tx>
            <c:v>Techniques</c:v>
          </c:tx>
          <c:spPr>
            <a:solidFill>
              <a:schemeClr val="accent1"/>
            </a:solidFill>
            <a:ln>
              <a:noFill/>
            </a:ln>
            <a:effectLst/>
          </c:spPr>
          <c:invertIfNegative val="0"/>
          <c:cat>
            <c:strRef>
              <c:f>Techniques!$D$2:$K$2</c:f>
              <c:strCache>
                <c:ptCount val="8"/>
                <c:pt idx="0">
                  <c:v>Business intelligence /pattern matching</c:v>
                </c:pt>
                <c:pt idx="1">
                  <c:v>Runtime/Temporal Analysis</c:v>
                </c:pt>
                <c:pt idx="2">
                  <c:v>Social network analysis</c:v>
                </c:pt>
                <c:pt idx="3">
                  <c:v>EA Model annotations</c:v>
                </c:pt>
                <c:pt idx="4">
                  <c:v>Process mining</c:v>
                </c:pt>
                <c:pt idx="5">
                  <c:v>Interviews with experts / serious games</c:v>
                </c:pt>
                <c:pt idx="6">
                  <c:v>MDE / Model transformations</c:v>
                </c:pt>
                <c:pt idx="7">
                  <c:v>Data collection/Data mapping</c:v>
                </c:pt>
              </c:strCache>
            </c:strRef>
          </c:cat>
          <c:val>
            <c:numRef>
              <c:f>Techniques!$D$1:$K$1</c:f>
              <c:numCache>
                <c:formatCode>General</c:formatCode>
                <c:ptCount val="8"/>
                <c:pt idx="0">
                  <c:v>2</c:v>
                </c:pt>
                <c:pt idx="1">
                  <c:v>3</c:v>
                </c:pt>
                <c:pt idx="2">
                  <c:v>3</c:v>
                </c:pt>
                <c:pt idx="3">
                  <c:v>4</c:v>
                </c:pt>
                <c:pt idx="4">
                  <c:v>5</c:v>
                </c:pt>
                <c:pt idx="5">
                  <c:v>7</c:v>
                </c:pt>
                <c:pt idx="6">
                  <c:v>8</c:v>
                </c:pt>
                <c:pt idx="7">
                  <c:v>21</c:v>
                </c:pt>
              </c:numCache>
            </c:numRef>
          </c:val>
          <c:extLst>
            <c:ext xmlns:c16="http://schemas.microsoft.com/office/drawing/2014/chart" uri="{C3380CC4-5D6E-409C-BE32-E72D297353CC}">
              <c16:uniqueId val="{00000000-0A15-4DAA-B01E-BA0E0BD4A089}"/>
            </c:ext>
          </c:extLst>
        </c:ser>
        <c:dLbls>
          <c:showLegendKey val="0"/>
          <c:showVal val="0"/>
          <c:showCatName val="0"/>
          <c:showSerName val="0"/>
          <c:showPercent val="0"/>
          <c:showBubbleSize val="0"/>
        </c:dLbls>
        <c:gapWidth val="182"/>
        <c:axId val="959060592"/>
        <c:axId val="959063872"/>
      </c:barChart>
      <c:catAx>
        <c:axId val="959060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en-US"/>
          </a:p>
        </c:txPr>
        <c:crossAx val="959063872"/>
        <c:crosses val="autoZero"/>
        <c:auto val="1"/>
        <c:lblAlgn val="ctr"/>
        <c:lblOffset val="100"/>
        <c:noMultiLvlLbl val="0"/>
      </c:catAx>
      <c:valAx>
        <c:axId val="959063872"/>
        <c:scaling>
          <c:orientation val="minMax"/>
          <c:max val="18"/>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en-US"/>
          </a:p>
        </c:txPr>
        <c:crossAx val="959060592"/>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lumMod val="95000"/>
              <a:lumOff val="5000"/>
            </a:schemeClr>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95000"/>
                    <a:lumOff val="5000"/>
                  </a:schemeClr>
                </a:solidFill>
                <a:latin typeface="+mn-lt"/>
                <a:ea typeface="+mn-ea"/>
                <a:cs typeface="+mn-cs"/>
              </a:defRPr>
            </a:pPr>
            <a:r>
              <a:rPr lang="en-US" sz="1200" b="1"/>
              <a:t>Q2. Mining techniques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95000"/>
                  <a:lumOff val="5000"/>
                </a:schemeClr>
              </a:solidFill>
              <a:latin typeface="+mn-lt"/>
              <a:ea typeface="+mn-ea"/>
              <a:cs typeface="+mn-cs"/>
            </a:defRPr>
          </a:pPr>
          <a:endParaRPr lang="en-US"/>
        </a:p>
      </c:txPr>
    </c:title>
    <c:autoTitleDeleted val="0"/>
    <c:plotArea>
      <c:layout/>
      <c:barChart>
        <c:barDir val="bar"/>
        <c:grouping val="clustered"/>
        <c:varyColors val="0"/>
        <c:ser>
          <c:idx val="0"/>
          <c:order val="0"/>
          <c:tx>
            <c:v>Techniques</c:v>
          </c:tx>
          <c:spPr>
            <a:solidFill>
              <a:schemeClr val="accent1"/>
            </a:solidFill>
            <a:ln>
              <a:noFill/>
            </a:ln>
            <a:effectLst/>
          </c:spPr>
          <c:invertIfNegative val="0"/>
          <c:cat>
            <c:strRef>
              <c:f>Techniques!$D$2:$K$2</c:f>
              <c:strCache>
                <c:ptCount val="8"/>
                <c:pt idx="0">
                  <c:v>Business intelligence /pattern matching</c:v>
                </c:pt>
                <c:pt idx="1">
                  <c:v>Runtime/Temporal Analysis</c:v>
                </c:pt>
                <c:pt idx="2">
                  <c:v>Social network analysis</c:v>
                </c:pt>
                <c:pt idx="3">
                  <c:v>EA Model annotations</c:v>
                </c:pt>
                <c:pt idx="4">
                  <c:v>Process mining</c:v>
                </c:pt>
                <c:pt idx="5">
                  <c:v>Interviews with experts / serious games</c:v>
                </c:pt>
                <c:pt idx="6">
                  <c:v>MDE / Model transformations</c:v>
                </c:pt>
                <c:pt idx="7">
                  <c:v>Data collection/Data mapping</c:v>
                </c:pt>
              </c:strCache>
            </c:strRef>
          </c:cat>
          <c:val>
            <c:numRef>
              <c:f>Techniques!$D$1:$K$1</c:f>
              <c:numCache>
                <c:formatCode>General</c:formatCode>
                <c:ptCount val="8"/>
                <c:pt idx="0">
                  <c:v>2</c:v>
                </c:pt>
                <c:pt idx="1">
                  <c:v>3</c:v>
                </c:pt>
                <c:pt idx="2">
                  <c:v>3</c:v>
                </c:pt>
                <c:pt idx="3">
                  <c:v>4</c:v>
                </c:pt>
                <c:pt idx="4">
                  <c:v>5</c:v>
                </c:pt>
                <c:pt idx="5">
                  <c:v>7</c:v>
                </c:pt>
                <c:pt idx="6">
                  <c:v>8</c:v>
                </c:pt>
                <c:pt idx="7">
                  <c:v>21</c:v>
                </c:pt>
              </c:numCache>
            </c:numRef>
          </c:val>
          <c:extLst>
            <c:ext xmlns:c16="http://schemas.microsoft.com/office/drawing/2014/chart" uri="{C3380CC4-5D6E-409C-BE32-E72D297353CC}">
              <c16:uniqueId val="{00000000-B681-4B7B-A92E-0647794D0C98}"/>
            </c:ext>
          </c:extLst>
        </c:ser>
        <c:dLbls>
          <c:showLegendKey val="0"/>
          <c:showVal val="0"/>
          <c:showCatName val="0"/>
          <c:showSerName val="0"/>
          <c:showPercent val="0"/>
          <c:showBubbleSize val="0"/>
        </c:dLbls>
        <c:gapWidth val="182"/>
        <c:axId val="959060592"/>
        <c:axId val="959063872"/>
      </c:barChart>
      <c:catAx>
        <c:axId val="959060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en-US"/>
          </a:p>
        </c:txPr>
        <c:crossAx val="959063872"/>
        <c:crosses val="autoZero"/>
        <c:auto val="1"/>
        <c:lblAlgn val="ctr"/>
        <c:lblOffset val="100"/>
        <c:noMultiLvlLbl val="0"/>
      </c:catAx>
      <c:valAx>
        <c:axId val="959063872"/>
        <c:scaling>
          <c:orientation val="minMax"/>
          <c:max val="18"/>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en-US"/>
          </a:p>
        </c:txPr>
        <c:crossAx val="959060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lumMod val="95000"/>
              <a:lumOff val="5000"/>
            </a:schemeClr>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95000"/>
                    <a:lumOff val="5000"/>
                  </a:schemeClr>
                </a:solidFill>
                <a:latin typeface="+mn-lt"/>
                <a:ea typeface="+mn-ea"/>
                <a:cs typeface="+mn-cs"/>
              </a:defRPr>
            </a:pPr>
            <a:r>
              <a:rPr lang="en-US" sz="1200" b="1"/>
              <a:t>Q3. EA</a:t>
            </a:r>
            <a:r>
              <a:rPr lang="en-US" sz="1200" b="1" baseline="0"/>
              <a:t> concern / viewpoint</a:t>
            </a:r>
            <a:endParaRPr lang="en-US"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95000"/>
                  <a:lumOff val="5000"/>
                </a:schemeClr>
              </a:solidFill>
              <a:latin typeface="+mn-lt"/>
              <a:ea typeface="+mn-ea"/>
              <a:cs typeface="+mn-cs"/>
            </a:defRPr>
          </a:pPr>
          <a:endParaRPr lang="en-US"/>
        </a:p>
      </c:txPr>
    </c:title>
    <c:autoTitleDeleted val="0"/>
    <c:plotArea>
      <c:layout/>
      <c:barChart>
        <c:barDir val="bar"/>
        <c:grouping val="clustered"/>
        <c:varyColors val="0"/>
        <c:ser>
          <c:idx val="0"/>
          <c:order val="0"/>
          <c:tx>
            <c:v>EA Concern</c:v>
          </c:tx>
          <c:spPr>
            <a:solidFill>
              <a:schemeClr val="accent1"/>
            </a:solidFill>
            <a:ln>
              <a:noFill/>
            </a:ln>
            <a:effectLst/>
          </c:spPr>
          <c:invertIfNegative val="0"/>
          <c:cat>
            <c:strRef>
              <c:f>'EA Concern'!$D$2:$I$2</c:f>
              <c:strCache>
                <c:ptCount val="6"/>
                <c:pt idx="0">
                  <c:v>Business</c:v>
                </c:pt>
                <c:pt idx="1">
                  <c:v>Service</c:v>
                </c:pt>
                <c:pt idx="2">
                  <c:v>IT Infrastructure</c:v>
                </c:pt>
                <c:pt idx="3">
                  <c:v>Process</c:v>
                </c:pt>
                <c:pt idx="4">
                  <c:v>Application</c:v>
                </c:pt>
                <c:pt idx="5">
                  <c:v>Holistic</c:v>
                </c:pt>
              </c:strCache>
            </c:strRef>
          </c:cat>
          <c:val>
            <c:numRef>
              <c:f>'EA Concern'!$D$1:$I$1</c:f>
              <c:numCache>
                <c:formatCode>General</c:formatCode>
                <c:ptCount val="6"/>
                <c:pt idx="0">
                  <c:v>3</c:v>
                </c:pt>
                <c:pt idx="1">
                  <c:v>4</c:v>
                </c:pt>
                <c:pt idx="2">
                  <c:v>5</c:v>
                </c:pt>
                <c:pt idx="3">
                  <c:v>8</c:v>
                </c:pt>
                <c:pt idx="4">
                  <c:v>11</c:v>
                </c:pt>
                <c:pt idx="5">
                  <c:v>17</c:v>
                </c:pt>
              </c:numCache>
            </c:numRef>
          </c:val>
          <c:extLst>
            <c:ext xmlns:c16="http://schemas.microsoft.com/office/drawing/2014/chart" uri="{C3380CC4-5D6E-409C-BE32-E72D297353CC}">
              <c16:uniqueId val="{00000000-9E02-4C47-8A78-EF669CB04CB4}"/>
            </c:ext>
          </c:extLst>
        </c:ser>
        <c:dLbls>
          <c:showLegendKey val="0"/>
          <c:showVal val="0"/>
          <c:showCatName val="0"/>
          <c:showSerName val="0"/>
          <c:showPercent val="0"/>
          <c:showBubbleSize val="0"/>
        </c:dLbls>
        <c:gapWidth val="182"/>
        <c:axId val="959060592"/>
        <c:axId val="959063872"/>
      </c:barChart>
      <c:catAx>
        <c:axId val="959060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en-US"/>
          </a:p>
        </c:txPr>
        <c:crossAx val="959063872"/>
        <c:crosses val="autoZero"/>
        <c:auto val="1"/>
        <c:lblAlgn val="ctr"/>
        <c:lblOffset val="100"/>
        <c:noMultiLvlLbl val="0"/>
      </c:catAx>
      <c:valAx>
        <c:axId val="959063872"/>
        <c:scaling>
          <c:orientation val="minMax"/>
          <c:max val="18"/>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en-US"/>
          </a:p>
        </c:txPr>
        <c:crossAx val="959060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lumMod val="95000"/>
              <a:lumOff val="5000"/>
            </a:schemeClr>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95000"/>
                    <a:lumOff val="5000"/>
                  </a:schemeClr>
                </a:solidFill>
                <a:latin typeface="+mn-lt"/>
                <a:ea typeface="+mn-ea"/>
                <a:cs typeface="+mn-cs"/>
              </a:defRPr>
            </a:pPr>
            <a:r>
              <a:rPr lang="en-US" sz="1200" b="1"/>
              <a:t>Q4. EA</a:t>
            </a:r>
            <a:r>
              <a:rPr lang="en-US" sz="1200" b="1" baseline="0"/>
              <a:t> Framework</a:t>
            </a:r>
            <a:endParaRPr lang="en-US"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95000"/>
                  <a:lumOff val="5000"/>
                </a:schemeClr>
              </a:solidFill>
              <a:latin typeface="+mn-lt"/>
              <a:ea typeface="+mn-ea"/>
              <a:cs typeface="+mn-cs"/>
            </a:defRPr>
          </a:pPr>
          <a:endParaRPr lang="en-US"/>
        </a:p>
      </c:txPr>
    </c:title>
    <c:autoTitleDeleted val="0"/>
    <c:plotArea>
      <c:layout>
        <c:manualLayout>
          <c:layoutTarget val="inner"/>
          <c:xMode val="edge"/>
          <c:yMode val="edge"/>
          <c:x val="0.19720909886264218"/>
          <c:y val="0.20759269742428532"/>
          <c:w val="0.75177502812148489"/>
          <c:h val="0.64231955844891031"/>
        </c:manualLayout>
      </c:layout>
      <c:barChart>
        <c:barDir val="bar"/>
        <c:grouping val="clustered"/>
        <c:varyColors val="0"/>
        <c:ser>
          <c:idx val="0"/>
          <c:order val="0"/>
          <c:tx>
            <c:v>EA Framework</c:v>
          </c:tx>
          <c:spPr>
            <a:solidFill>
              <a:schemeClr val="accent1"/>
            </a:solidFill>
            <a:ln>
              <a:noFill/>
            </a:ln>
            <a:effectLst/>
          </c:spPr>
          <c:invertIfNegative val="0"/>
          <c:cat>
            <c:strRef>
              <c:f>'EA Framework'!$D$2:$J$2</c:f>
              <c:strCache>
                <c:ptCount val="7"/>
                <c:pt idx="0">
                  <c:v>MODAF</c:v>
                </c:pt>
                <c:pt idx="1">
                  <c:v>ISO 42010</c:v>
                </c:pt>
                <c:pt idx="2">
                  <c:v>Zachman</c:v>
                </c:pt>
                <c:pt idx="3">
                  <c:v>DoDAF</c:v>
                </c:pt>
                <c:pt idx="4">
                  <c:v>ESARC</c:v>
                </c:pt>
                <c:pt idx="5">
                  <c:v>TOGAF</c:v>
                </c:pt>
                <c:pt idx="6">
                  <c:v>Agnostic</c:v>
                </c:pt>
              </c:strCache>
            </c:strRef>
          </c:cat>
          <c:val>
            <c:numRef>
              <c:f>'EA Framework'!$D$1:$J$1</c:f>
              <c:numCache>
                <c:formatCode>General</c:formatCode>
                <c:ptCount val="7"/>
                <c:pt idx="0">
                  <c:v>1</c:v>
                </c:pt>
                <c:pt idx="1">
                  <c:v>1</c:v>
                </c:pt>
                <c:pt idx="2">
                  <c:v>1</c:v>
                </c:pt>
                <c:pt idx="3">
                  <c:v>2</c:v>
                </c:pt>
                <c:pt idx="4">
                  <c:v>2</c:v>
                </c:pt>
                <c:pt idx="5">
                  <c:v>11</c:v>
                </c:pt>
                <c:pt idx="6">
                  <c:v>28</c:v>
                </c:pt>
              </c:numCache>
            </c:numRef>
          </c:val>
          <c:extLst>
            <c:ext xmlns:c16="http://schemas.microsoft.com/office/drawing/2014/chart" uri="{C3380CC4-5D6E-409C-BE32-E72D297353CC}">
              <c16:uniqueId val="{00000000-095B-416C-B14C-BED510ABDD72}"/>
            </c:ext>
          </c:extLst>
        </c:ser>
        <c:dLbls>
          <c:showLegendKey val="0"/>
          <c:showVal val="0"/>
          <c:showCatName val="0"/>
          <c:showSerName val="0"/>
          <c:showPercent val="0"/>
          <c:showBubbleSize val="0"/>
        </c:dLbls>
        <c:gapWidth val="182"/>
        <c:axId val="959060592"/>
        <c:axId val="959063872"/>
      </c:barChart>
      <c:catAx>
        <c:axId val="959060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en-US"/>
          </a:p>
        </c:txPr>
        <c:crossAx val="959063872"/>
        <c:crosses val="autoZero"/>
        <c:auto val="1"/>
        <c:lblAlgn val="ctr"/>
        <c:lblOffset val="100"/>
        <c:noMultiLvlLbl val="0"/>
      </c:catAx>
      <c:valAx>
        <c:axId val="959063872"/>
        <c:scaling>
          <c:orientation val="minMax"/>
          <c:max val="24"/>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en-US"/>
          </a:p>
        </c:txPr>
        <c:crossAx val="959060592"/>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lumMod val="95000"/>
              <a:lumOff val="5000"/>
            </a:schemeClr>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95000"/>
                    <a:lumOff val="5000"/>
                  </a:schemeClr>
                </a:solidFill>
                <a:latin typeface="+mn-lt"/>
                <a:ea typeface="+mn-ea"/>
                <a:cs typeface="+mn-cs"/>
              </a:defRPr>
            </a:pPr>
            <a:r>
              <a:rPr lang="en-US" sz="1200" b="1"/>
              <a:t>Q5. EA</a:t>
            </a:r>
            <a:r>
              <a:rPr lang="en-US" sz="1200" b="1" baseline="0"/>
              <a:t> Modelling Language</a:t>
            </a:r>
            <a:endParaRPr lang="en-US" sz="1200" b="1"/>
          </a:p>
        </c:rich>
      </c:tx>
      <c:layout>
        <c:manualLayout>
          <c:xMode val="edge"/>
          <c:yMode val="edge"/>
          <c:x val="0.26806349206349206"/>
          <c:y val="4.1522476265345699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95000"/>
                  <a:lumOff val="5000"/>
                </a:schemeClr>
              </a:solidFill>
              <a:latin typeface="+mn-lt"/>
              <a:ea typeface="+mn-ea"/>
              <a:cs typeface="+mn-cs"/>
            </a:defRPr>
          </a:pPr>
          <a:endParaRPr lang="en-US"/>
        </a:p>
      </c:txPr>
    </c:title>
    <c:autoTitleDeleted val="0"/>
    <c:plotArea>
      <c:layout/>
      <c:barChart>
        <c:barDir val="bar"/>
        <c:grouping val="clustered"/>
        <c:varyColors val="0"/>
        <c:ser>
          <c:idx val="0"/>
          <c:order val="0"/>
          <c:tx>
            <c:v>Modelling Language</c:v>
          </c:tx>
          <c:spPr>
            <a:solidFill>
              <a:schemeClr val="accent1"/>
            </a:solidFill>
            <a:ln>
              <a:noFill/>
            </a:ln>
            <a:effectLst/>
          </c:spPr>
          <c:invertIfNegative val="0"/>
          <c:cat>
            <c:strRef>
              <c:f>'Modelling Language'!$D$2:$M$2</c:f>
              <c:strCache>
                <c:ptCount val="10"/>
                <c:pt idx="0">
                  <c:v>PetriNet</c:v>
                </c:pt>
                <c:pt idx="1">
                  <c:v>SoaML</c:v>
                </c:pt>
                <c:pt idx="2">
                  <c:v>SysML</c:v>
                </c:pt>
                <c:pt idx="3">
                  <c:v>SPEM</c:v>
                </c:pt>
                <c:pt idx="4">
                  <c:v>XML</c:v>
                </c:pt>
                <c:pt idx="5">
                  <c:v>BPMN</c:v>
                </c:pt>
                <c:pt idx="6">
                  <c:v>MOF</c:v>
                </c:pt>
                <c:pt idx="7">
                  <c:v>OWL/Sparql</c:v>
                </c:pt>
                <c:pt idx="8">
                  <c:v>UML/OCL</c:v>
                </c:pt>
                <c:pt idx="9">
                  <c:v>ArchiMate</c:v>
                </c:pt>
              </c:strCache>
            </c:strRef>
          </c:cat>
          <c:val>
            <c:numRef>
              <c:f>'Modelling Language'!$D$1:$M$1</c:f>
              <c:numCache>
                <c:formatCode>General</c:formatCode>
                <c:ptCount val="10"/>
                <c:pt idx="0">
                  <c:v>1</c:v>
                </c:pt>
                <c:pt idx="1">
                  <c:v>1</c:v>
                </c:pt>
                <c:pt idx="2">
                  <c:v>1</c:v>
                </c:pt>
                <c:pt idx="3">
                  <c:v>1</c:v>
                </c:pt>
                <c:pt idx="4">
                  <c:v>2</c:v>
                </c:pt>
                <c:pt idx="5">
                  <c:v>2</c:v>
                </c:pt>
                <c:pt idx="6">
                  <c:v>4</c:v>
                </c:pt>
                <c:pt idx="7">
                  <c:v>4</c:v>
                </c:pt>
                <c:pt idx="8">
                  <c:v>6</c:v>
                </c:pt>
                <c:pt idx="9">
                  <c:v>8</c:v>
                </c:pt>
              </c:numCache>
            </c:numRef>
          </c:val>
          <c:extLst>
            <c:ext xmlns:c16="http://schemas.microsoft.com/office/drawing/2014/chart" uri="{C3380CC4-5D6E-409C-BE32-E72D297353CC}">
              <c16:uniqueId val="{00000000-59A3-467E-8132-FD33B8AADA37}"/>
            </c:ext>
          </c:extLst>
        </c:ser>
        <c:dLbls>
          <c:showLegendKey val="0"/>
          <c:showVal val="0"/>
          <c:showCatName val="0"/>
          <c:showSerName val="0"/>
          <c:showPercent val="0"/>
          <c:showBubbleSize val="0"/>
        </c:dLbls>
        <c:gapWidth val="182"/>
        <c:axId val="959060592"/>
        <c:axId val="959063872"/>
      </c:barChart>
      <c:catAx>
        <c:axId val="959060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en-US"/>
          </a:p>
        </c:txPr>
        <c:crossAx val="959063872"/>
        <c:crosses val="autoZero"/>
        <c:auto val="1"/>
        <c:lblAlgn val="ctr"/>
        <c:lblOffset val="100"/>
        <c:noMultiLvlLbl val="0"/>
      </c:catAx>
      <c:valAx>
        <c:axId val="959063872"/>
        <c:scaling>
          <c:orientation val="minMax"/>
          <c:max val="8"/>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en-US"/>
          </a:p>
        </c:txPr>
        <c:crossAx val="959060592"/>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lumMod val="95000"/>
              <a:lumOff val="5000"/>
            </a:schemeClr>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95000"/>
                    <a:lumOff val="5000"/>
                  </a:schemeClr>
                </a:solidFill>
                <a:latin typeface="+mn-lt"/>
                <a:ea typeface="+mn-ea"/>
                <a:cs typeface="+mn-cs"/>
              </a:defRPr>
            </a:pPr>
            <a:r>
              <a:rPr lang="en-US" sz="1200" b="1"/>
              <a:t>Q5. EA</a:t>
            </a:r>
            <a:r>
              <a:rPr lang="en-US" sz="1200" b="1" baseline="0"/>
              <a:t> Modelling Language</a:t>
            </a:r>
            <a:endParaRPr lang="en-US"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95000"/>
                  <a:lumOff val="5000"/>
                </a:schemeClr>
              </a:solidFill>
              <a:latin typeface="+mn-lt"/>
              <a:ea typeface="+mn-ea"/>
              <a:cs typeface="+mn-cs"/>
            </a:defRPr>
          </a:pPr>
          <a:endParaRPr lang="en-US"/>
        </a:p>
      </c:txPr>
    </c:title>
    <c:autoTitleDeleted val="0"/>
    <c:plotArea>
      <c:layout/>
      <c:barChart>
        <c:barDir val="bar"/>
        <c:grouping val="clustered"/>
        <c:varyColors val="0"/>
        <c:ser>
          <c:idx val="0"/>
          <c:order val="0"/>
          <c:tx>
            <c:v>Modelling Language</c:v>
          </c:tx>
          <c:spPr>
            <a:solidFill>
              <a:schemeClr val="accent1"/>
            </a:solidFill>
            <a:ln>
              <a:noFill/>
            </a:ln>
            <a:effectLst/>
          </c:spPr>
          <c:invertIfNegative val="0"/>
          <c:cat>
            <c:strRef>
              <c:f>'Modelling Language'!$D$2:$M$2</c:f>
              <c:strCache>
                <c:ptCount val="10"/>
                <c:pt idx="0">
                  <c:v>PetriNet</c:v>
                </c:pt>
                <c:pt idx="1">
                  <c:v>SoaML</c:v>
                </c:pt>
                <c:pt idx="2">
                  <c:v>SysML</c:v>
                </c:pt>
                <c:pt idx="3">
                  <c:v>SPEM</c:v>
                </c:pt>
                <c:pt idx="4">
                  <c:v>XML</c:v>
                </c:pt>
                <c:pt idx="5">
                  <c:v>BPMN</c:v>
                </c:pt>
                <c:pt idx="6">
                  <c:v>MOF</c:v>
                </c:pt>
                <c:pt idx="7">
                  <c:v>OWL/Sparql</c:v>
                </c:pt>
                <c:pt idx="8">
                  <c:v>UML/OCL</c:v>
                </c:pt>
                <c:pt idx="9">
                  <c:v>ArchiMate</c:v>
                </c:pt>
              </c:strCache>
            </c:strRef>
          </c:cat>
          <c:val>
            <c:numRef>
              <c:f>'Modelling Language'!$D$1:$M$1</c:f>
              <c:numCache>
                <c:formatCode>General</c:formatCode>
                <c:ptCount val="10"/>
                <c:pt idx="0">
                  <c:v>1</c:v>
                </c:pt>
                <c:pt idx="1">
                  <c:v>1</c:v>
                </c:pt>
                <c:pt idx="2">
                  <c:v>1</c:v>
                </c:pt>
                <c:pt idx="3">
                  <c:v>1</c:v>
                </c:pt>
                <c:pt idx="4">
                  <c:v>2</c:v>
                </c:pt>
                <c:pt idx="5">
                  <c:v>2</c:v>
                </c:pt>
                <c:pt idx="6">
                  <c:v>4</c:v>
                </c:pt>
                <c:pt idx="7">
                  <c:v>4</c:v>
                </c:pt>
                <c:pt idx="8">
                  <c:v>6</c:v>
                </c:pt>
                <c:pt idx="9">
                  <c:v>8</c:v>
                </c:pt>
              </c:numCache>
            </c:numRef>
          </c:val>
          <c:extLst>
            <c:ext xmlns:c16="http://schemas.microsoft.com/office/drawing/2014/chart" uri="{C3380CC4-5D6E-409C-BE32-E72D297353CC}">
              <c16:uniqueId val="{00000000-2F9A-46E0-A1FF-078B66924BA5}"/>
            </c:ext>
          </c:extLst>
        </c:ser>
        <c:dLbls>
          <c:showLegendKey val="0"/>
          <c:showVal val="0"/>
          <c:showCatName val="0"/>
          <c:showSerName val="0"/>
          <c:showPercent val="0"/>
          <c:showBubbleSize val="0"/>
        </c:dLbls>
        <c:gapWidth val="182"/>
        <c:axId val="959060592"/>
        <c:axId val="959063872"/>
      </c:barChart>
      <c:catAx>
        <c:axId val="959060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en-US"/>
          </a:p>
        </c:txPr>
        <c:crossAx val="959063872"/>
        <c:crosses val="autoZero"/>
        <c:auto val="1"/>
        <c:lblAlgn val="ctr"/>
        <c:lblOffset val="100"/>
        <c:noMultiLvlLbl val="0"/>
      </c:catAx>
      <c:valAx>
        <c:axId val="959063872"/>
        <c:scaling>
          <c:orientation val="minMax"/>
          <c:max val="8"/>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en-US"/>
          </a:p>
        </c:txPr>
        <c:crossAx val="959060592"/>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lumMod val="95000"/>
              <a:lumOff val="5000"/>
            </a:schemeClr>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ysClr val="windowText" lastClr="000000"/>
                </a:solidFill>
                <a:latin typeface="+mn-lt"/>
                <a:ea typeface="+mn-ea"/>
                <a:cs typeface="+mn-cs"/>
              </a:defRPr>
            </a:pPr>
            <a:r>
              <a:rPr lang="en-US" b="1"/>
              <a:t>AQ1. Systematic method</a:t>
            </a:r>
          </a:p>
        </c:rich>
      </c:tx>
      <c:overlay val="0"/>
      <c:spPr>
        <a:noFill/>
        <a:ln>
          <a:noFill/>
        </a:ln>
        <a:effectLst/>
      </c:spPr>
      <c:txPr>
        <a:bodyPr rot="0" spcFirstLastPara="1" vertOverflow="ellipsis" vert="horz" wrap="square" anchor="ctr" anchorCtr="1"/>
        <a:lstStyle/>
        <a:p>
          <a:pPr>
            <a:defRPr sz="126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Quality!$B$1</c:f>
              <c:strCache>
                <c:ptCount val="1"/>
                <c:pt idx="0">
                  <c:v>EQ1. Is a systematic method?</c:v>
                </c:pt>
              </c:strCache>
            </c:strRef>
          </c:tx>
          <c:spPr>
            <a:solidFill>
              <a:schemeClr val="accent1"/>
            </a:solidFill>
            <a:ln>
              <a:noFill/>
            </a:ln>
            <a:effectLst/>
          </c:spPr>
          <c:invertIfNegative val="0"/>
          <c:val>
            <c:numRef>
              <c:f>Quality!$B$2:$B$6</c:f>
              <c:numCache>
                <c:formatCode>General</c:formatCode>
                <c:ptCount val="5"/>
                <c:pt idx="0">
                  <c:v>7</c:v>
                </c:pt>
                <c:pt idx="1">
                  <c:v>6</c:v>
                </c:pt>
                <c:pt idx="2">
                  <c:v>8</c:v>
                </c:pt>
                <c:pt idx="3">
                  <c:v>18</c:v>
                </c:pt>
                <c:pt idx="4">
                  <c:v>6</c:v>
                </c:pt>
              </c:numCache>
            </c:numRef>
          </c:val>
          <c:extLst>
            <c:ext xmlns:c16="http://schemas.microsoft.com/office/drawing/2014/chart" uri="{C3380CC4-5D6E-409C-BE32-E72D297353CC}">
              <c16:uniqueId val="{00000000-084F-4316-9B37-8FA681C44511}"/>
            </c:ext>
          </c:extLst>
        </c:ser>
        <c:dLbls>
          <c:showLegendKey val="0"/>
          <c:showVal val="0"/>
          <c:showCatName val="0"/>
          <c:showSerName val="0"/>
          <c:showPercent val="0"/>
          <c:showBubbleSize val="0"/>
        </c:dLbls>
        <c:gapWidth val="300"/>
        <c:axId val="975113496"/>
        <c:axId val="975111528"/>
      </c:barChart>
      <c:catAx>
        <c:axId val="9751134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75111528"/>
        <c:crosses val="autoZero"/>
        <c:auto val="1"/>
        <c:lblAlgn val="ctr"/>
        <c:lblOffset val="100"/>
        <c:noMultiLvlLbl val="0"/>
      </c:catAx>
      <c:valAx>
        <c:axId val="975111528"/>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975113496"/>
        <c:crosses val="autoZero"/>
        <c:crossBetween val="between"/>
        <c:majorUnit val="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solidFill>
            <a:sysClr val="windowText" lastClr="000000"/>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r>
              <a:rPr lang="en-US" b="1"/>
              <a:t>AQ2. Tool support</a:t>
            </a:r>
          </a:p>
        </c:rich>
      </c:tx>
      <c:overlay val="0"/>
      <c:spPr>
        <a:noFill/>
        <a:ln>
          <a:noFill/>
        </a:ln>
        <a:effectLst/>
      </c:spPr>
      <c:txPr>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Quality!$C$1</c:f>
              <c:strCache>
                <c:ptCount val="1"/>
                <c:pt idx="0">
                  <c:v>EQ2. Is tool-supported?</c:v>
                </c:pt>
              </c:strCache>
            </c:strRef>
          </c:tx>
          <c:spPr>
            <a:solidFill>
              <a:schemeClr val="accent1"/>
            </a:solidFill>
            <a:ln>
              <a:noFill/>
            </a:ln>
            <a:effectLst/>
          </c:spPr>
          <c:invertIfNegative val="0"/>
          <c:val>
            <c:numRef>
              <c:f>Quality!$C$2:$C$6</c:f>
              <c:numCache>
                <c:formatCode>General</c:formatCode>
                <c:ptCount val="5"/>
                <c:pt idx="0">
                  <c:v>17</c:v>
                </c:pt>
                <c:pt idx="1">
                  <c:v>8</c:v>
                </c:pt>
                <c:pt idx="2">
                  <c:v>6</c:v>
                </c:pt>
                <c:pt idx="3">
                  <c:v>9</c:v>
                </c:pt>
                <c:pt idx="4">
                  <c:v>5</c:v>
                </c:pt>
              </c:numCache>
            </c:numRef>
          </c:val>
          <c:extLst>
            <c:ext xmlns:c16="http://schemas.microsoft.com/office/drawing/2014/chart" uri="{C3380CC4-5D6E-409C-BE32-E72D297353CC}">
              <c16:uniqueId val="{00000000-800D-4BFE-9522-9D55EE0B1D8B}"/>
            </c:ext>
          </c:extLst>
        </c:ser>
        <c:dLbls>
          <c:showLegendKey val="0"/>
          <c:showVal val="0"/>
          <c:showCatName val="0"/>
          <c:showSerName val="0"/>
          <c:showPercent val="0"/>
          <c:showBubbleSize val="0"/>
        </c:dLbls>
        <c:gapWidth val="300"/>
        <c:axId val="896900368"/>
        <c:axId val="896901024"/>
      </c:barChart>
      <c:catAx>
        <c:axId val="8969003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96901024"/>
        <c:crosses val="autoZero"/>
        <c:auto val="1"/>
        <c:lblAlgn val="ctr"/>
        <c:lblOffset val="100"/>
        <c:noMultiLvlLbl val="0"/>
      </c:catAx>
      <c:valAx>
        <c:axId val="896901024"/>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96900368"/>
        <c:crosses val="autoZero"/>
        <c:crossBetween val="between"/>
        <c:majorUnit val="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r>
              <a:rPr lang="en-US" b="1"/>
              <a:t>AQ3. Empirical validation</a:t>
            </a:r>
          </a:p>
        </c:rich>
      </c:tx>
      <c:overlay val="0"/>
      <c:spPr>
        <a:noFill/>
        <a:ln>
          <a:noFill/>
        </a:ln>
        <a:effectLst/>
      </c:spPr>
      <c:txPr>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Quality!$D$1</c:f>
              <c:strCache>
                <c:ptCount val="1"/>
                <c:pt idx="0">
                  <c:v>EQ3. Empirical validation?</c:v>
                </c:pt>
              </c:strCache>
            </c:strRef>
          </c:tx>
          <c:spPr>
            <a:solidFill>
              <a:schemeClr val="accent1"/>
            </a:solidFill>
            <a:ln>
              <a:noFill/>
            </a:ln>
            <a:effectLst/>
          </c:spPr>
          <c:invertIfNegative val="0"/>
          <c:val>
            <c:numRef>
              <c:f>Quality!$D$2:$D$6</c:f>
              <c:numCache>
                <c:formatCode>General</c:formatCode>
                <c:ptCount val="5"/>
                <c:pt idx="0">
                  <c:v>15</c:v>
                </c:pt>
                <c:pt idx="1">
                  <c:v>12</c:v>
                </c:pt>
                <c:pt idx="2">
                  <c:v>15</c:v>
                </c:pt>
                <c:pt idx="3">
                  <c:v>2</c:v>
                </c:pt>
                <c:pt idx="4">
                  <c:v>1</c:v>
                </c:pt>
              </c:numCache>
            </c:numRef>
          </c:val>
          <c:extLst>
            <c:ext xmlns:c16="http://schemas.microsoft.com/office/drawing/2014/chart" uri="{C3380CC4-5D6E-409C-BE32-E72D297353CC}">
              <c16:uniqueId val="{00000000-BFD0-49AA-AD77-3385D0A28314}"/>
            </c:ext>
          </c:extLst>
        </c:ser>
        <c:dLbls>
          <c:showLegendKey val="0"/>
          <c:showVal val="0"/>
          <c:showCatName val="0"/>
          <c:showSerName val="0"/>
          <c:showPercent val="0"/>
          <c:showBubbleSize val="0"/>
        </c:dLbls>
        <c:gapWidth val="300"/>
        <c:axId val="1027113352"/>
        <c:axId val="1027113024"/>
      </c:barChart>
      <c:catAx>
        <c:axId val="10271133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027113024"/>
        <c:crosses val="autoZero"/>
        <c:auto val="1"/>
        <c:lblAlgn val="ctr"/>
        <c:lblOffset val="100"/>
        <c:noMultiLvlLbl val="0"/>
      </c:catAx>
      <c:valAx>
        <c:axId val="1027113024"/>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027113352"/>
        <c:crosses val="autoZero"/>
        <c:crossBetween val="between"/>
        <c:majorUnit val="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r>
              <a:rPr lang="en-US" b="1"/>
              <a:t>AQ4. replicability</a:t>
            </a:r>
          </a:p>
        </c:rich>
      </c:tx>
      <c:overlay val="0"/>
      <c:spPr>
        <a:noFill/>
        <a:ln>
          <a:noFill/>
        </a:ln>
        <a:effectLst/>
      </c:spPr>
      <c:txPr>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Quality!$E$1</c:f>
              <c:strCache>
                <c:ptCount val="1"/>
                <c:pt idx="0">
                  <c:v>EQ4. could be replicated?</c:v>
                </c:pt>
              </c:strCache>
            </c:strRef>
          </c:tx>
          <c:spPr>
            <a:solidFill>
              <a:schemeClr val="accent1"/>
            </a:solidFill>
            <a:ln>
              <a:noFill/>
            </a:ln>
            <a:effectLst/>
          </c:spPr>
          <c:invertIfNegative val="0"/>
          <c:val>
            <c:numRef>
              <c:f>Quality!$E$2:$E$6</c:f>
              <c:numCache>
                <c:formatCode>General</c:formatCode>
                <c:ptCount val="5"/>
                <c:pt idx="0">
                  <c:v>5</c:v>
                </c:pt>
                <c:pt idx="1">
                  <c:v>6</c:v>
                </c:pt>
                <c:pt idx="2">
                  <c:v>12</c:v>
                </c:pt>
                <c:pt idx="3">
                  <c:v>21</c:v>
                </c:pt>
                <c:pt idx="4">
                  <c:v>1</c:v>
                </c:pt>
              </c:numCache>
            </c:numRef>
          </c:val>
          <c:extLst>
            <c:ext xmlns:c16="http://schemas.microsoft.com/office/drawing/2014/chart" uri="{C3380CC4-5D6E-409C-BE32-E72D297353CC}">
              <c16:uniqueId val="{00000000-C500-42AF-A1B4-37C4D6E521AF}"/>
            </c:ext>
          </c:extLst>
        </c:ser>
        <c:dLbls>
          <c:showLegendKey val="0"/>
          <c:showVal val="0"/>
          <c:showCatName val="0"/>
          <c:showSerName val="0"/>
          <c:showPercent val="0"/>
          <c:showBubbleSize val="0"/>
        </c:dLbls>
        <c:gapWidth val="300"/>
        <c:axId val="973534184"/>
        <c:axId val="973534512"/>
      </c:barChart>
      <c:catAx>
        <c:axId val="9735341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73534512"/>
        <c:crosses val="autoZero"/>
        <c:auto val="1"/>
        <c:lblAlgn val="ctr"/>
        <c:lblOffset val="100"/>
        <c:noMultiLvlLbl val="0"/>
      </c:catAx>
      <c:valAx>
        <c:axId val="973534512"/>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73534184"/>
        <c:crosses val="autoZero"/>
        <c:crossBetween val="between"/>
        <c:majorUnit val="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Country!$B$1</c:f>
              <c:strCache>
                <c:ptCount val="1"/>
                <c:pt idx="0">
                  <c:v>#papers</c:v>
                </c:pt>
              </c:strCache>
            </c:strRef>
          </c:tx>
          <c:spPr>
            <a:solidFill>
              <a:schemeClr val="accent1"/>
            </a:solidFill>
            <a:ln>
              <a:noFill/>
            </a:ln>
            <a:effectLst/>
          </c:spPr>
          <c:invertIfNegative val="0"/>
          <c:cat>
            <c:strRef>
              <c:f>Country!$A$27:$A$48</c:f>
              <c:strCache>
                <c:ptCount val="22"/>
                <c:pt idx="0">
                  <c:v>Germany</c:v>
                </c:pt>
                <c:pt idx="1">
                  <c:v>Austria</c:v>
                </c:pt>
                <c:pt idx="2">
                  <c:v>USA</c:v>
                </c:pt>
                <c:pt idx="3">
                  <c:v>Netherlands</c:v>
                </c:pt>
                <c:pt idx="4">
                  <c:v>Sweden</c:v>
                </c:pt>
                <c:pt idx="5">
                  <c:v>China</c:v>
                </c:pt>
                <c:pt idx="6">
                  <c:v>Brazil</c:v>
                </c:pt>
                <c:pt idx="7">
                  <c:v>UK</c:v>
                </c:pt>
                <c:pt idx="8">
                  <c:v>Colombia</c:v>
                </c:pt>
                <c:pt idx="9">
                  <c:v>Italy</c:v>
                </c:pt>
                <c:pt idx="10">
                  <c:v>Romania</c:v>
                </c:pt>
                <c:pt idx="11">
                  <c:v>UK</c:v>
                </c:pt>
                <c:pt idx="12">
                  <c:v>Greece</c:v>
                </c:pt>
                <c:pt idx="13">
                  <c:v>Finland</c:v>
                </c:pt>
                <c:pt idx="14">
                  <c:v>Switzerland</c:v>
                </c:pt>
                <c:pt idx="15">
                  <c:v>Portugal</c:v>
                </c:pt>
                <c:pt idx="16">
                  <c:v>Australia</c:v>
                </c:pt>
                <c:pt idx="17">
                  <c:v>Canada</c:v>
                </c:pt>
                <c:pt idx="18">
                  <c:v>Luxembourg</c:v>
                </c:pt>
                <c:pt idx="19">
                  <c:v>Turkey</c:v>
                </c:pt>
                <c:pt idx="20">
                  <c:v>Vietnam</c:v>
                </c:pt>
                <c:pt idx="21">
                  <c:v>Lithuania</c:v>
                </c:pt>
              </c:strCache>
            </c:strRef>
          </c:cat>
          <c:val>
            <c:numRef>
              <c:f>Country!$B$2:$B$23</c:f>
              <c:numCache>
                <c:formatCode>General</c:formatCode>
                <c:ptCount val="22"/>
                <c:pt idx="0">
                  <c:v>15</c:v>
                </c:pt>
                <c:pt idx="1">
                  <c:v>6</c:v>
                </c:pt>
                <c:pt idx="2">
                  <c:v>5</c:v>
                </c:pt>
                <c:pt idx="3">
                  <c:v>4</c:v>
                </c:pt>
                <c:pt idx="4">
                  <c:v>4</c:v>
                </c:pt>
                <c:pt idx="5">
                  <c:v>3</c:v>
                </c:pt>
                <c:pt idx="6">
                  <c:v>2</c:v>
                </c:pt>
                <c:pt idx="7">
                  <c:v>2</c:v>
                </c:pt>
                <c:pt idx="8">
                  <c:v>2</c:v>
                </c:pt>
                <c:pt idx="9">
                  <c:v>2</c:v>
                </c:pt>
                <c:pt idx="10">
                  <c:v>2</c:v>
                </c:pt>
                <c:pt idx="11">
                  <c:v>2</c:v>
                </c:pt>
                <c:pt idx="12">
                  <c:v>1</c:v>
                </c:pt>
                <c:pt idx="13">
                  <c:v>1</c:v>
                </c:pt>
                <c:pt idx="14">
                  <c:v>1</c:v>
                </c:pt>
                <c:pt idx="15">
                  <c:v>1</c:v>
                </c:pt>
                <c:pt idx="16">
                  <c:v>1</c:v>
                </c:pt>
                <c:pt idx="17">
                  <c:v>1</c:v>
                </c:pt>
                <c:pt idx="18">
                  <c:v>1</c:v>
                </c:pt>
                <c:pt idx="19">
                  <c:v>1</c:v>
                </c:pt>
                <c:pt idx="20">
                  <c:v>1</c:v>
                </c:pt>
                <c:pt idx="21">
                  <c:v>1</c:v>
                </c:pt>
              </c:numCache>
            </c:numRef>
          </c:val>
          <c:extLst>
            <c:ext xmlns:c16="http://schemas.microsoft.com/office/drawing/2014/chart" uri="{C3380CC4-5D6E-409C-BE32-E72D297353CC}">
              <c16:uniqueId val="{00000000-E0B9-485A-96FC-38BB257D6DA4}"/>
            </c:ext>
          </c:extLst>
        </c:ser>
        <c:dLbls>
          <c:showLegendKey val="0"/>
          <c:showVal val="0"/>
          <c:showCatName val="0"/>
          <c:showSerName val="0"/>
          <c:showPercent val="0"/>
          <c:showBubbleSize val="0"/>
        </c:dLbls>
        <c:gapWidth val="219"/>
        <c:overlap val="-27"/>
        <c:axId val="1068839008"/>
        <c:axId val="1068831464"/>
      </c:barChart>
      <c:catAx>
        <c:axId val="1068839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068831464"/>
        <c:crosses val="autoZero"/>
        <c:auto val="1"/>
        <c:lblAlgn val="ctr"/>
        <c:lblOffset val="100"/>
        <c:noMultiLvlLbl val="0"/>
      </c:catAx>
      <c:valAx>
        <c:axId val="1068831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068839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r>
              <a:rPr lang="en-US" b="1"/>
              <a:t>AQ5. citations</a:t>
            </a:r>
          </a:p>
        </c:rich>
      </c:tx>
      <c:overlay val="0"/>
      <c:spPr>
        <a:noFill/>
        <a:ln>
          <a:noFill/>
        </a:ln>
        <a:effectLst/>
      </c:spPr>
      <c:txPr>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284062499999999"/>
          <c:y val="0.15537380952380953"/>
          <c:w val="0.8286524305555556"/>
          <c:h val="0.7089912698412697"/>
        </c:manualLayout>
      </c:layout>
      <c:barChart>
        <c:barDir val="col"/>
        <c:grouping val="clustered"/>
        <c:varyColors val="0"/>
        <c:ser>
          <c:idx val="0"/>
          <c:order val="0"/>
          <c:tx>
            <c:strRef>
              <c:f>Quality!$F$1</c:f>
              <c:strCache>
                <c:ptCount val="1"/>
                <c:pt idx="0">
                  <c:v>EQ5. Is the study cited?</c:v>
                </c:pt>
              </c:strCache>
            </c:strRef>
          </c:tx>
          <c:spPr>
            <a:solidFill>
              <a:schemeClr val="accent1"/>
            </a:solidFill>
            <a:ln>
              <a:noFill/>
            </a:ln>
            <a:effectLst/>
          </c:spPr>
          <c:invertIfNegative val="0"/>
          <c:val>
            <c:numRef>
              <c:f>Quality!$F$2:$F$6</c:f>
              <c:numCache>
                <c:formatCode>General</c:formatCode>
                <c:ptCount val="5"/>
                <c:pt idx="0">
                  <c:v>25</c:v>
                </c:pt>
                <c:pt idx="1">
                  <c:v>6</c:v>
                </c:pt>
                <c:pt idx="2">
                  <c:v>5</c:v>
                </c:pt>
                <c:pt idx="3">
                  <c:v>6</c:v>
                </c:pt>
                <c:pt idx="4">
                  <c:v>3</c:v>
                </c:pt>
              </c:numCache>
            </c:numRef>
          </c:val>
          <c:extLst>
            <c:ext xmlns:c16="http://schemas.microsoft.com/office/drawing/2014/chart" uri="{C3380CC4-5D6E-409C-BE32-E72D297353CC}">
              <c16:uniqueId val="{00000000-0890-422D-AB4F-1FF2D8BAB914}"/>
            </c:ext>
          </c:extLst>
        </c:ser>
        <c:dLbls>
          <c:showLegendKey val="0"/>
          <c:showVal val="0"/>
          <c:showCatName val="0"/>
          <c:showSerName val="0"/>
          <c:showPercent val="0"/>
          <c:showBubbleSize val="0"/>
        </c:dLbls>
        <c:gapWidth val="300"/>
        <c:axId val="230043632"/>
        <c:axId val="230044944"/>
      </c:barChart>
      <c:catAx>
        <c:axId val="2300436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230044944"/>
        <c:crosses val="autoZero"/>
        <c:auto val="1"/>
        <c:lblAlgn val="ctr"/>
        <c:lblOffset val="100"/>
        <c:noMultiLvlLbl val="0"/>
      </c:catAx>
      <c:valAx>
        <c:axId val="230044944"/>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230043632"/>
        <c:crosses val="autoZero"/>
        <c:crossBetween val="between"/>
        <c:majorUnit val="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r>
              <a:rPr lang="en-US" b="1"/>
              <a:t>AQ6. conf./journal relevance</a:t>
            </a:r>
          </a:p>
        </c:rich>
      </c:tx>
      <c:overlay val="0"/>
      <c:spPr>
        <a:noFill/>
        <a:ln>
          <a:noFill/>
        </a:ln>
        <a:effectLst/>
      </c:spPr>
      <c:txPr>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Quality!$G$1</c:f>
              <c:strCache>
                <c:ptCount val="1"/>
                <c:pt idx="0">
                  <c:v>EQ6. published in a relevant journal / conference?</c:v>
                </c:pt>
              </c:strCache>
            </c:strRef>
          </c:tx>
          <c:spPr>
            <a:solidFill>
              <a:schemeClr val="accent1"/>
            </a:solidFill>
            <a:ln>
              <a:noFill/>
            </a:ln>
            <a:effectLst/>
          </c:spPr>
          <c:invertIfNegative val="0"/>
          <c:val>
            <c:numRef>
              <c:f>Quality!$G$2:$G$6</c:f>
              <c:numCache>
                <c:formatCode>General</c:formatCode>
                <c:ptCount val="5"/>
                <c:pt idx="0">
                  <c:v>9</c:v>
                </c:pt>
                <c:pt idx="1">
                  <c:v>20</c:v>
                </c:pt>
                <c:pt idx="2">
                  <c:v>4</c:v>
                </c:pt>
                <c:pt idx="3">
                  <c:v>7</c:v>
                </c:pt>
                <c:pt idx="4">
                  <c:v>5</c:v>
                </c:pt>
              </c:numCache>
            </c:numRef>
          </c:val>
          <c:extLst>
            <c:ext xmlns:c16="http://schemas.microsoft.com/office/drawing/2014/chart" uri="{C3380CC4-5D6E-409C-BE32-E72D297353CC}">
              <c16:uniqueId val="{00000000-68F2-49A4-9816-423256904357}"/>
            </c:ext>
          </c:extLst>
        </c:ser>
        <c:dLbls>
          <c:showLegendKey val="0"/>
          <c:showVal val="0"/>
          <c:showCatName val="0"/>
          <c:showSerName val="0"/>
          <c:showPercent val="0"/>
          <c:showBubbleSize val="0"/>
        </c:dLbls>
        <c:gapWidth val="300"/>
        <c:axId val="976685552"/>
        <c:axId val="976684896"/>
      </c:barChart>
      <c:catAx>
        <c:axId val="9766855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76684896"/>
        <c:crosses val="autoZero"/>
        <c:auto val="1"/>
        <c:lblAlgn val="ctr"/>
        <c:lblOffset val="100"/>
        <c:noMultiLvlLbl val="0"/>
      </c:catAx>
      <c:valAx>
        <c:axId val="976684896"/>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76685552"/>
        <c:crosses val="autoZero"/>
        <c:crossBetween val="between"/>
        <c:majorUnit val="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spPr>
            <a:gradFill flip="none" rotWithShape="1">
              <a:gsLst>
                <a:gs pos="0">
                  <a:schemeClr val="accent1">
                    <a:lumMod val="5000"/>
                    <a:lumOff val="95000"/>
                    <a:alpha val="0"/>
                  </a:schemeClr>
                </a:gs>
                <a:gs pos="83000">
                  <a:schemeClr val="accent1">
                    <a:lumMod val="40000"/>
                    <a:lumOff val="60000"/>
                  </a:schemeClr>
                </a:gs>
                <a:gs pos="89000">
                  <a:schemeClr val="accent1">
                    <a:lumMod val="34000"/>
                    <a:lumOff val="66000"/>
                  </a:schemeClr>
                </a:gs>
                <a:gs pos="100000">
                  <a:schemeClr val="accent1">
                    <a:lumMod val="30000"/>
                    <a:lumOff val="70000"/>
                  </a:schemeClr>
                </a:gs>
              </a:gsLst>
              <a:path path="circle">
                <a:fillToRect l="50000" t="50000" r="50000" b="50000"/>
              </a:path>
              <a:tileRect/>
            </a:gradFill>
            <a:ln cap="rnd">
              <a:solidFill>
                <a:schemeClr val="accent1">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1"/>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Bubble!$B$2:$B$137</c:f>
              <c:numCache>
                <c:formatCode>General</c:formatCode>
                <c:ptCount val="136"/>
                <c:pt idx="0">
                  <c:v>1</c:v>
                </c:pt>
                <c:pt idx="1">
                  <c:v>1</c:v>
                </c:pt>
                <c:pt idx="2">
                  <c:v>1</c:v>
                </c:pt>
                <c:pt idx="3">
                  <c:v>1</c:v>
                </c:pt>
                <c:pt idx="4">
                  <c:v>1</c:v>
                </c:pt>
                <c:pt idx="5">
                  <c:v>1</c:v>
                </c:pt>
                <c:pt idx="6">
                  <c:v>1</c:v>
                </c:pt>
                <c:pt idx="7">
                  <c:v>1</c:v>
                </c:pt>
                <c:pt idx="8">
                  <c:v>2</c:v>
                </c:pt>
                <c:pt idx="9">
                  <c:v>2</c:v>
                </c:pt>
                <c:pt idx="10">
                  <c:v>2</c:v>
                </c:pt>
                <c:pt idx="11">
                  <c:v>2</c:v>
                </c:pt>
                <c:pt idx="12">
                  <c:v>2</c:v>
                </c:pt>
                <c:pt idx="13">
                  <c:v>2</c:v>
                </c:pt>
                <c:pt idx="14">
                  <c:v>2</c:v>
                </c:pt>
                <c:pt idx="15">
                  <c:v>2</c:v>
                </c:pt>
                <c:pt idx="16">
                  <c:v>3</c:v>
                </c:pt>
                <c:pt idx="17">
                  <c:v>3</c:v>
                </c:pt>
                <c:pt idx="18">
                  <c:v>3</c:v>
                </c:pt>
                <c:pt idx="19">
                  <c:v>3</c:v>
                </c:pt>
                <c:pt idx="20">
                  <c:v>3</c:v>
                </c:pt>
                <c:pt idx="21">
                  <c:v>3</c:v>
                </c:pt>
                <c:pt idx="22">
                  <c:v>3</c:v>
                </c:pt>
                <c:pt idx="23">
                  <c:v>3</c:v>
                </c:pt>
                <c:pt idx="24">
                  <c:v>4</c:v>
                </c:pt>
                <c:pt idx="25">
                  <c:v>4</c:v>
                </c:pt>
                <c:pt idx="26">
                  <c:v>4</c:v>
                </c:pt>
                <c:pt idx="27">
                  <c:v>4</c:v>
                </c:pt>
                <c:pt idx="28">
                  <c:v>4</c:v>
                </c:pt>
                <c:pt idx="29">
                  <c:v>4</c:v>
                </c:pt>
                <c:pt idx="30">
                  <c:v>4</c:v>
                </c:pt>
                <c:pt idx="31">
                  <c:v>4</c:v>
                </c:pt>
                <c:pt idx="32">
                  <c:v>5</c:v>
                </c:pt>
                <c:pt idx="33">
                  <c:v>5</c:v>
                </c:pt>
                <c:pt idx="34">
                  <c:v>5</c:v>
                </c:pt>
                <c:pt idx="35">
                  <c:v>5</c:v>
                </c:pt>
                <c:pt idx="36">
                  <c:v>5</c:v>
                </c:pt>
                <c:pt idx="37">
                  <c:v>5</c:v>
                </c:pt>
                <c:pt idx="38">
                  <c:v>5</c:v>
                </c:pt>
                <c:pt idx="39">
                  <c:v>5</c:v>
                </c:pt>
                <c:pt idx="40">
                  <c:v>6</c:v>
                </c:pt>
                <c:pt idx="41">
                  <c:v>6</c:v>
                </c:pt>
                <c:pt idx="42">
                  <c:v>6</c:v>
                </c:pt>
                <c:pt idx="43">
                  <c:v>6</c:v>
                </c:pt>
                <c:pt idx="44">
                  <c:v>6</c:v>
                </c:pt>
                <c:pt idx="45">
                  <c:v>6</c:v>
                </c:pt>
                <c:pt idx="46">
                  <c:v>6</c:v>
                </c:pt>
                <c:pt idx="47">
                  <c:v>6</c:v>
                </c:pt>
                <c:pt idx="48">
                  <c:v>7</c:v>
                </c:pt>
                <c:pt idx="49">
                  <c:v>7</c:v>
                </c:pt>
                <c:pt idx="50">
                  <c:v>7</c:v>
                </c:pt>
                <c:pt idx="51">
                  <c:v>7</c:v>
                </c:pt>
                <c:pt idx="52">
                  <c:v>7</c:v>
                </c:pt>
                <c:pt idx="53">
                  <c:v>7</c:v>
                </c:pt>
                <c:pt idx="54">
                  <c:v>7</c:v>
                </c:pt>
                <c:pt idx="55">
                  <c:v>7</c:v>
                </c:pt>
                <c:pt idx="56">
                  <c:v>8</c:v>
                </c:pt>
                <c:pt idx="57">
                  <c:v>8</c:v>
                </c:pt>
                <c:pt idx="58">
                  <c:v>8</c:v>
                </c:pt>
                <c:pt idx="59">
                  <c:v>8</c:v>
                </c:pt>
                <c:pt idx="60">
                  <c:v>8</c:v>
                </c:pt>
                <c:pt idx="61">
                  <c:v>8</c:v>
                </c:pt>
                <c:pt idx="62">
                  <c:v>8</c:v>
                </c:pt>
                <c:pt idx="63">
                  <c:v>8</c:v>
                </c:pt>
                <c:pt idx="64">
                  <c:v>9</c:v>
                </c:pt>
                <c:pt idx="65">
                  <c:v>9</c:v>
                </c:pt>
                <c:pt idx="66">
                  <c:v>9</c:v>
                </c:pt>
                <c:pt idx="67">
                  <c:v>9</c:v>
                </c:pt>
                <c:pt idx="68">
                  <c:v>9</c:v>
                </c:pt>
                <c:pt idx="69">
                  <c:v>9</c:v>
                </c:pt>
                <c:pt idx="70">
                  <c:v>9</c:v>
                </c:pt>
                <c:pt idx="71">
                  <c:v>9</c:v>
                </c:pt>
                <c:pt idx="72">
                  <c:v>10</c:v>
                </c:pt>
                <c:pt idx="73">
                  <c:v>10</c:v>
                </c:pt>
                <c:pt idx="74">
                  <c:v>10</c:v>
                </c:pt>
                <c:pt idx="75">
                  <c:v>10</c:v>
                </c:pt>
                <c:pt idx="76">
                  <c:v>10</c:v>
                </c:pt>
                <c:pt idx="77">
                  <c:v>10</c:v>
                </c:pt>
                <c:pt idx="78">
                  <c:v>10</c:v>
                </c:pt>
                <c:pt idx="79">
                  <c:v>10</c:v>
                </c:pt>
                <c:pt idx="80">
                  <c:v>11</c:v>
                </c:pt>
                <c:pt idx="81">
                  <c:v>11</c:v>
                </c:pt>
                <c:pt idx="82">
                  <c:v>11</c:v>
                </c:pt>
                <c:pt idx="83">
                  <c:v>11</c:v>
                </c:pt>
                <c:pt idx="84">
                  <c:v>11</c:v>
                </c:pt>
                <c:pt idx="85">
                  <c:v>11</c:v>
                </c:pt>
                <c:pt idx="86">
                  <c:v>11</c:v>
                </c:pt>
                <c:pt idx="87">
                  <c:v>11</c:v>
                </c:pt>
                <c:pt idx="88">
                  <c:v>12</c:v>
                </c:pt>
                <c:pt idx="89">
                  <c:v>12</c:v>
                </c:pt>
                <c:pt idx="90">
                  <c:v>12</c:v>
                </c:pt>
                <c:pt idx="91">
                  <c:v>12</c:v>
                </c:pt>
                <c:pt idx="92">
                  <c:v>12</c:v>
                </c:pt>
                <c:pt idx="93">
                  <c:v>12</c:v>
                </c:pt>
                <c:pt idx="94">
                  <c:v>12</c:v>
                </c:pt>
                <c:pt idx="95">
                  <c:v>12</c:v>
                </c:pt>
                <c:pt idx="96">
                  <c:v>13</c:v>
                </c:pt>
                <c:pt idx="97">
                  <c:v>13</c:v>
                </c:pt>
                <c:pt idx="98">
                  <c:v>13</c:v>
                </c:pt>
                <c:pt idx="99">
                  <c:v>13</c:v>
                </c:pt>
                <c:pt idx="100">
                  <c:v>13</c:v>
                </c:pt>
                <c:pt idx="101">
                  <c:v>13</c:v>
                </c:pt>
                <c:pt idx="102">
                  <c:v>13</c:v>
                </c:pt>
                <c:pt idx="103">
                  <c:v>13</c:v>
                </c:pt>
                <c:pt idx="104">
                  <c:v>14</c:v>
                </c:pt>
                <c:pt idx="105">
                  <c:v>14</c:v>
                </c:pt>
                <c:pt idx="106">
                  <c:v>14</c:v>
                </c:pt>
                <c:pt idx="107">
                  <c:v>14</c:v>
                </c:pt>
                <c:pt idx="108">
                  <c:v>14</c:v>
                </c:pt>
                <c:pt idx="109">
                  <c:v>14</c:v>
                </c:pt>
                <c:pt idx="110">
                  <c:v>14</c:v>
                </c:pt>
                <c:pt idx="111">
                  <c:v>14</c:v>
                </c:pt>
                <c:pt idx="112">
                  <c:v>15</c:v>
                </c:pt>
                <c:pt idx="113">
                  <c:v>15</c:v>
                </c:pt>
                <c:pt idx="114">
                  <c:v>15</c:v>
                </c:pt>
                <c:pt idx="115">
                  <c:v>15</c:v>
                </c:pt>
                <c:pt idx="116">
                  <c:v>15</c:v>
                </c:pt>
                <c:pt idx="117">
                  <c:v>15</c:v>
                </c:pt>
                <c:pt idx="118">
                  <c:v>15</c:v>
                </c:pt>
                <c:pt idx="119">
                  <c:v>15</c:v>
                </c:pt>
                <c:pt idx="120">
                  <c:v>16</c:v>
                </c:pt>
                <c:pt idx="121">
                  <c:v>16</c:v>
                </c:pt>
                <c:pt idx="122">
                  <c:v>16</c:v>
                </c:pt>
                <c:pt idx="123">
                  <c:v>16</c:v>
                </c:pt>
                <c:pt idx="124">
                  <c:v>16</c:v>
                </c:pt>
                <c:pt idx="125">
                  <c:v>16</c:v>
                </c:pt>
                <c:pt idx="126">
                  <c:v>16</c:v>
                </c:pt>
                <c:pt idx="127">
                  <c:v>16</c:v>
                </c:pt>
                <c:pt idx="128">
                  <c:v>17</c:v>
                </c:pt>
                <c:pt idx="129">
                  <c:v>17</c:v>
                </c:pt>
                <c:pt idx="130">
                  <c:v>17</c:v>
                </c:pt>
                <c:pt idx="131">
                  <c:v>17</c:v>
                </c:pt>
                <c:pt idx="132">
                  <c:v>17</c:v>
                </c:pt>
                <c:pt idx="133">
                  <c:v>17</c:v>
                </c:pt>
                <c:pt idx="134">
                  <c:v>17</c:v>
                </c:pt>
                <c:pt idx="135">
                  <c:v>17</c:v>
                </c:pt>
              </c:numCache>
            </c:numRef>
          </c:xVal>
          <c:yVal>
            <c:numRef>
              <c:f>Bubble!$A$2:$A$137</c:f>
              <c:numCache>
                <c:formatCode>General</c:formatCode>
                <c:ptCount val="136"/>
                <c:pt idx="0">
                  <c:v>1</c:v>
                </c:pt>
                <c:pt idx="1">
                  <c:v>2</c:v>
                </c:pt>
                <c:pt idx="2">
                  <c:v>3</c:v>
                </c:pt>
                <c:pt idx="3">
                  <c:v>4</c:v>
                </c:pt>
                <c:pt idx="4">
                  <c:v>5</c:v>
                </c:pt>
                <c:pt idx="5">
                  <c:v>6</c:v>
                </c:pt>
                <c:pt idx="6">
                  <c:v>7</c:v>
                </c:pt>
                <c:pt idx="7">
                  <c:v>8</c:v>
                </c:pt>
                <c:pt idx="8">
                  <c:v>1</c:v>
                </c:pt>
                <c:pt idx="9">
                  <c:v>2</c:v>
                </c:pt>
                <c:pt idx="10">
                  <c:v>3</c:v>
                </c:pt>
                <c:pt idx="11">
                  <c:v>4</c:v>
                </c:pt>
                <c:pt idx="12">
                  <c:v>5</c:v>
                </c:pt>
                <c:pt idx="13">
                  <c:v>6</c:v>
                </c:pt>
                <c:pt idx="14">
                  <c:v>7</c:v>
                </c:pt>
                <c:pt idx="15">
                  <c:v>8</c:v>
                </c:pt>
                <c:pt idx="16">
                  <c:v>1</c:v>
                </c:pt>
                <c:pt idx="17">
                  <c:v>2</c:v>
                </c:pt>
                <c:pt idx="18">
                  <c:v>3</c:v>
                </c:pt>
                <c:pt idx="19">
                  <c:v>4</c:v>
                </c:pt>
                <c:pt idx="20">
                  <c:v>5</c:v>
                </c:pt>
                <c:pt idx="21">
                  <c:v>6</c:v>
                </c:pt>
                <c:pt idx="22">
                  <c:v>7</c:v>
                </c:pt>
                <c:pt idx="23">
                  <c:v>8</c:v>
                </c:pt>
                <c:pt idx="24">
                  <c:v>1</c:v>
                </c:pt>
                <c:pt idx="25">
                  <c:v>2</c:v>
                </c:pt>
                <c:pt idx="26">
                  <c:v>3</c:v>
                </c:pt>
                <c:pt idx="27">
                  <c:v>4</c:v>
                </c:pt>
                <c:pt idx="28">
                  <c:v>5</c:v>
                </c:pt>
                <c:pt idx="29">
                  <c:v>6</c:v>
                </c:pt>
                <c:pt idx="30">
                  <c:v>7</c:v>
                </c:pt>
                <c:pt idx="31">
                  <c:v>8</c:v>
                </c:pt>
                <c:pt idx="32">
                  <c:v>1</c:v>
                </c:pt>
                <c:pt idx="33">
                  <c:v>2</c:v>
                </c:pt>
                <c:pt idx="34">
                  <c:v>3</c:v>
                </c:pt>
                <c:pt idx="35">
                  <c:v>4</c:v>
                </c:pt>
                <c:pt idx="36">
                  <c:v>5</c:v>
                </c:pt>
                <c:pt idx="37">
                  <c:v>6</c:v>
                </c:pt>
                <c:pt idx="38">
                  <c:v>7</c:v>
                </c:pt>
                <c:pt idx="39">
                  <c:v>8</c:v>
                </c:pt>
                <c:pt idx="40">
                  <c:v>1</c:v>
                </c:pt>
                <c:pt idx="41">
                  <c:v>2</c:v>
                </c:pt>
                <c:pt idx="42">
                  <c:v>3</c:v>
                </c:pt>
                <c:pt idx="43">
                  <c:v>4</c:v>
                </c:pt>
                <c:pt idx="44">
                  <c:v>5</c:v>
                </c:pt>
                <c:pt idx="45">
                  <c:v>6</c:v>
                </c:pt>
                <c:pt idx="46">
                  <c:v>7</c:v>
                </c:pt>
                <c:pt idx="47">
                  <c:v>8</c:v>
                </c:pt>
                <c:pt idx="48">
                  <c:v>1</c:v>
                </c:pt>
                <c:pt idx="49">
                  <c:v>2</c:v>
                </c:pt>
                <c:pt idx="50">
                  <c:v>3</c:v>
                </c:pt>
                <c:pt idx="51">
                  <c:v>4</c:v>
                </c:pt>
                <c:pt idx="52">
                  <c:v>5</c:v>
                </c:pt>
                <c:pt idx="53">
                  <c:v>6</c:v>
                </c:pt>
                <c:pt idx="54">
                  <c:v>7</c:v>
                </c:pt>
                <c:pt idx="55">
                  <c:v>8</c:v>
                </c:pt>
                <c:pt idx="56">
                  <c:v>1</c:v>
                </c:pt>
                <c:pt idx="57">
                  <c:v>2</c:v>
                </c:pt>
                <c:pt idx="58">
                  <c:v>3</c:v>
                </c:pt>
                <c:pt idx="59">
                  <c:v>4</c:v>
                </c:pt>
                <c:pt idx="60">
                  <c:v>5</c:v>
                </c:pt>
                <c:pt idx="61">
                  <c:v>6</c:v>
                </c:pt>
                <c:pt idx="62">
                  <c:v>7</c:v>
                </c:pt>
                <c:pt idx="63">
                  <c:v>8</c:v>
                </c:pt>
                <c:pt idx="64">
                  <c:v>1</c:v>
                </c:pt>
                <c:pt idx="65">
                  <c:v>2</c:v>
                </c:pt>
                <c:pt idx="66">
                  <c:v>3</c:v>
                </c:pt>
                <c:pt idx="67">
                  <c:v>4</c:v>
                </c:pt>
                <c:pt idx="68">
                  <c:v>5</c:v>
                </c:pt>
                <c:pt idx="69">
                  <c:v>6</c:v>
                </c:pt>
                <c:pt idx="70">
                  <c:v>7</c:v>
                </c:pt>
                <c:pt idx="71">
                  <c:v>8</c:v>
                </c:pt>
                <c:pt idx="72">
                  <c:v>1</c:v>
                </c:pt>
                <c:pt idx="73">
                  <c:v>2</c:v>
                </c:pt>
                <c:pt idx="74">
                  <c:v>3</c:v>
                </c:pt>
                <c:pt idx="75">
                  <c:v>4</c:v>
                </c:pt>
                <c:pt idx="76">
                  <c:v>5</c:v>
                </c:pt>
                <c:pt idx="77">
                  <c:v>6</c:v>
                </c:pt>
                <c:pt idx="78">
                  <c:v>7</c:v>
                </c:pt>
                <c:pt idx="79">
                  <c:v>8</c:v>
                </c:pt>
                <c:pt idx="80">
                  <c:v>1</c:v>
                </c:pt>
                <c:pt idx="81">
                  <c:v>2</c:v>
                </c:pt>
                <c:pt idx="82">
                  <c:v>3</c:v>
                </c:pt>
                <c:pt idx="83">
                  <c:v>4</c:v>
                </c:pt>
                <c:pt idx="84">
                  <c:v>5</c:v>
                </c:pt>
                <c:pt idx="85">
                  <c:v>6</c:v>
                </c:pt>
                <c:pt idx="86">
                  <c:v>7</c:v>
                </c:pt>
                <c:pt idx="87">
                  <c:v>8</c:v>
                </c:pt>
                <c:pt idx="88">
                  <c:v>1</c:v>
                </c:pt>
                <c:pt idx="89">
                  <c:v>2</c:v>
                </c:pt>
                <c:pt idx="90">
                  <c:v>3</c:v>
                </c:pt>
                <c:pt idx="91">
                  <c:v>4</c:v>
                </c:pt>
                <c:pt idx="92">
                  <c:v>5</c:v>
                </c:pt>
                <c:pt idx="93">
                  <c:v>6</c:v>
                </c:pt>
                <c:pt idx="94">
                  <c:v>7</c:v>
                </c:pt>
                <c:pt idx="95">
                  <c:v>8</c:v>
                </c:pt>
                <c:pt idx="96">
                  <c:v>1</c:v>
                </c:pt>
                <c:pt idx="97">
                  <c:v>2</c:v>
                </c:pt>
                <c:pt idx="98">
                  <c:v>3</c:v>
                </c:pt>
                <c:pt idx="99">
                  <c:v>4</c:v>
                </c:pt>
                <c:pt idx="100">
                  <c:v>5</c:v>
                </c:pt>
                <c:pt idx="101">
                  <c:v>6</c:v>
                </c:pt>
                <c:pt idx="102">
                  <c:v>7</c:v>
                </c:pt>
                <c:pt idx="103">
                  <c:v>8</c:v>
                </c:pt>
                <c:pt idx="104">
                  <c:v>1</c:v>
                </c:pt>
                <c:pt idx="105">
                  <c:v>2</c:v>
                </c:pt>
                <c:pt idx="106">
                  <c:v>3</c:v>
                </c:pt>
                <c:pt idx="107">
                  <c:v>4</c:v>
                </c:pt>
                <c:pt idx="108">
                  <c:v>5</c:v>
                </c:pt>
                <c:pt idx="109">
                  <c:v>6</c:v>
                </c:pt>
                <c:pt idx="110">
                  <c:v>7</c:v>
                </c:pt>
                <c:pt idx="111">
                  <c:v>8</c:v>
                </c:pt>
                <c:pt idx="112">
                  <c:v>1</c:v>
                </c:pt>
                <c:pt idx="113">
                  <c:v>2</c:v>
                </c:pt>
                <c:pt idx="114">
                  <c:v>3</c:v>
                </c:pt>
                <c:pt idx="115">
                  <c:v>4</c:v>
                </c:pt>
                <c:pt idx="116">
                  <c:v>5</c:v>
                </c:pt>
                <c:pt idx="117">
                  <c:v>6</c:v>
                </c:pt>
                <c:pt idx="118">
                  <c:v>7</c:v>
                </c:pt>
                <c:pt idx="119">
                  <c:v>8</c:v>
                </c:pt>
                <c:pt idx="120">
                  <c:v>1</c:v>
                </c:pt>
                <c:pt idx="121">
                  <c:v>2</c:v>
                </c:pt>
                <c:pt idx="122">
                  <c:v>3</c:v>
                </c:pt>
                <c:pt idx="123">
                  <c:v>4</c:v>
                </c:pt>
                <c:pt idx="124">
                  <c:v>5</c:v>
                </c:pt>
                <c:pt idx="125">
                  <c:v>6</c:v>
                </c:pt>
                <c:pt idx="126">
                  <c:v>7</c:v>
                </c:pt>
                <c:pt idx="127">
                  <c:v>8</c:v>
                </c:pt>
                <c:pt idx="128">
                  <c:v>1</c:v>
                </c:pt>
                <c:pt idx="129">
                  <c:v>2</c:v>
                </c:pt>
                <c:pt idx="130">
                  <c:v>3</c:v>
                </c:pt>
                <c:pt idx="131">
                  <c:v>4</c:v>
                </c:pt>
                <c:pt idx="132">
                  <c:v>5</c:v>
                </c:pt>
                <c:pt idx="133">
                  <c:v>6</c:v>
                </c:pt>
                <c:pt idx="134">
                  <c:v>7</c:v>
                </c:pt>
                <c:pt idx="135">
                  <c:v>8</c:v>
                </c:pt>
              </c:numCache>
            </c:numRef>
          </c:yVal>
          <c:bubbleSize>
            <c:numRef>
              <c:f>Bubble!$C$2:$C$137</c:f>
              <c:numCache>
                <c:formatCode>General</c:formatCode>
                <c:ptCount val="136"/>
                <c:pt idx="0">
                  <c:v>0</c:v>
                </c:pt>
                <c:pt idx="1">
                  <c:v>4</c:v>
                </c:pt>
                <c:pt idx="2">
                  <c:v>0</c:v>
                </c:pt>
                <c:pt idx="3">
                  <c:v>2</c:v>
                </c:pt>
                <c:pt idx="4">
                  <c:v>0</c:v>
                </c:pt>
                <c:pt idx="5">
                  <c:v>2</c:v>
                </c:pt>
                <c:pt idx="6">
                  <c:v>1</c:v>
                </c:pt>
                <c:pt idx="7">
                  <c:v>1</c:v>
                </c:pt>
                <c:pt idx="8">
                  <c:v>0</c:v>
                </c:pt>
                <c:pt idx="9">
                  <c:v>5</c:v>
                </c:pt>
                <c:pt idx="10">
                  <c:v>0</c:v>
                </c:pt>
                <c:pt idx="11">
                  <c:v>0</c:v>
                </c:pt>
                <c:pt idx="12">
                  <c:v>1</c:v>
                </c:pt>
                <c:pt idx="13">
                  <c:v>0</c:v>
                </c:pt>
                <c:pt idx="14">
                  <c:v>0</c:v>
                </c:pt>
                <c:pt idx="15">
                  <c:v>0</c:v>
                </c:pt>
                <c:pt idx="16">
                  <c:v>0</c:v>
                </c:pt>
                <c:pt idx="17">
                  <c:v>5</c:v>
                </c:pt>
                <c:pt idx="18">
                  <c:v>0</c:v>
                </c:pt>
                <c:pt idx="19">
                  <c:v>1</c:v>
                </c:pt>
                <c:pt idx="20">
                  <c:v>1</c:v>
                </c:pt>
                <c:pt idx="21">
                  <c:v>0</c:v>
                </c:pt>
                <c:pt idx="22">
                  <c:v>0</c:v>
                </c:pt>
                <c:pt idx="23">
                  <c:v>1</c:v>
                </c:pt>
                <c:pt idx="24">
                  <c:v>0</c:v>
                </c:pt>
                <c:pt idx="25">
                  <c:v>4</c:v>
                </c:pt>
                <c:pt idx="26">
                  <c:v>3</c:v>
                </c:pt>
                <c:pt idx="27">
                  <c:v>0</c:v>
                </c:pt>
                <c:pt idx="28">
                  <c:v>2</c:v>
                </c:pt>
                <c:pt idx="29">
                  <c:v>0</c:v>
                </c:pt>
                <c:pt idx="30">
                  <c:v>0</c:v>
                </c:pt>
                <c:pt idx="31">
                  <c:v>0</c:v>
                </c:pt>
                <c:pt idx="32">
                  <c:v>1</c:v>
                </c:pt>
                <c:pt idx="33">
                  <c:v>4</c:v>
                </c:pt>
                <c:pt idx="34">
                  <c:v>1</c:v>
                </c:pt>
                <c:pt idx="35">
                  <c:v>4</c:v>
                </c:pt>
                <c:pt idx="36">
                  <c:v>4</c:v>
                </c:pt>
                <c:pt idx="37">
                  <c:v>1</c:v>
                </c:pt>
                <c:pt idx="38">
                  <c:v>0</c:v>
                </c:pt>
                <c:pt idx="39">
                  <c:v>1</c:v>
                </c:pt>
                <c:pt idx="40">
                  <c:v>1</c:v>
                </c:pt>
                <c:pt idx="41">
                  <c:v>6</c:v>
                </c:pt>
                <c:pt idx="42">
                  <c:v>0</c:v>
                </c:pt>
                <c:pt idx="43">
                  <c:v>0</c:v>
                </c:pt>
                <c:pt idx="44">
                  <c:v>1</c:v>
                </c:pt>
                <c:pt idx="45">
                  <c:v>0</c:v>
                </c:pt>
                <c:pt idx="46">
                  <c:v>1</c:v>
                </c:pt>
                <c:pt idx="47">
                  <c:v>0</c:v>
                </c:pt>
                <c:pt idx="48">
                  <c:v>0</c:v>
                </c:pt>
                <c:pt idx="49">
                  <c:v>5</c:v>
                </c:pt>
                <c:pt idx="50">
                  <c:v>0</c:v>
                </c:pt>
                <c:pt idx="51">
                  <c:v>0</c:v>
                </c:pt>
                <c:pt idx="52">
                  <c:v>1</c:v>
                </c:pt>
                <c:pt idx="53">
                  <c:v>3</c:v>
                </c:pt>
                <c:pt idx="54">
                  <c:v>2</c:v>
                </c:pt>
                <c:pt idx="55">
                  <c:v>0</c:v>
                </c:pt>
                <c:pt idx="56">
                  <c:v>0</c:v>
                </c:pt>
                <c:pt idx="57">
                  <c:v>4</c:v>
                </c:pt>
                <c:pt idx="58">
                  <c:v>0</c:v>
                </c:pt>
                <c:pt idx="59">
                  <c:v>0</c:v>
                </c:pt>
                <c:pt idx="60">
                  <c:v>2</c:v>
                </c:pt>
                <c:pt idx="61">
                  <c:v>0</c:v>
                </c:pt>
                <c:pt idx="62">
                  <c:v>2</c:v>
                </c:pt>
                <c:pt idx="63">
                  <c:v>0</c:v>
                </c:pt>
                <c:pt idx="64">
                  <c:v>0</c:v>
                </c:pt>
                <c:pt idx="65">
                  <c:v>1</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5</c:v>
                </c:pt>
                <c:pt idx="90">
                  <c:v>0</c:v>
                </c:pt>
                <c:pt idx="91">
                  <c:v>2</c:v>
                </c:pt>
                <c:pt idx="92">
                  <c:v>1</c:v>
                </c:pt>
                <c:pt idx="93">
                  <c:v>2</c:v>
                </c:pt>
                <c:pt idx="94">
                  <c:v>3</c:v>
                </c:pt>
                <c:pt idx="95">
                  <c:v>1</c:v>
                </c:pt>
                <c:pt idx="96">
                  <c:v>0</c:v>
                </c:pt>
                <c:pt idx="97">
                  <c:v>1</c:v>
                </c:pt>
                <c:pt idx="98">
                  <c:v>0</c:v>
                </c:pt>
                <c:pt idx="99">
                  <c:v>1</c:v>
                </c:pt>
                <c:pt idx="100">
                  <c:v>0</c:v>
                </c:pt>
                <c:pt idx="101">
                  <c:v>0</c:v>
                </c:pt>
                <c:pt idx="102">
                  <c:v>2</c:v>
                </c:pt>
                <c:pt idx="103">
                  <c:v>0</c:v>
                </c:pt>
                <c:pt idx="104">
                  <c:v>1</c:v>
                </c:pt>
                <c:pt idx="105">
                  <c:v>7</c:v>
                </c:pt>
                <c:pt idx="106">
                  <c:v>3</c:v>
                </c:pt>
                <c:pt idx="107">
                  <c:v>3</c:v>
                </c:pt>
                <c:pt idx="108">
                  <c:v>3</c:v>
                </c:pt>
                <c:pt idx="109">
                  <c:v>0</c:v>
                </c:pt>
                <c:pt idx="110">
                  <c:v>0</c:v>
                </c:pt>
                <c:pt idx="111">
                  <c:v>2</c:v>
                </c:pt>
                <c:pt idx="112">
                  <c:v>1</c:v>
                </c:pt>
                <c:pt idx="113">
                  <c:v>3</c:v>
                </c:pt>
                <c:pt idx="114">
                  <c:v>1</c:v>
                </c:pt>
                <c:pt idx="115">
                  <c:v>0</c:v>
                </c:pt>
                <c:pt idx="116">
                  <c:v>0</c:v>
                </c:pt>
                <c:pt idx="117">
                  <c:v>0</c:v>
                </c:pt>
                <c:pt idx="118">
                  <c:v>1</c:v>
                </c:pt>
                <c:pt idx="119">
                  <c:v>0</c:v>
                </c:pt>
                <c:pt idx="120">
                  <c:v>0</c:v>
                </c:pt>
                <c:pt idx="121">
                  <c:v>4</c:v>
                </c:pt>
                <c:pt idx="122">
                  <c:v>0</c:v>
                </c:pt>
                <c:pt idx="123">
                  <c:v>0</c:v>
                </c:pt>
                <c:pt idx="124">
                  <c:v>0</c:v>
                </c:pt>
                <c:pt idx="125">
                  <c:v>3</c:v>
                </c:pt>
                <c:pt idx="126">
                  <c:v>1</c:v>
                </c:pt>
                <c:pt idx="127">
                  <c:v>0</c:v>
                </c:pt>
                <c:pt idx="128">
                  <c:v>0</c:v>
                </c:pt>
                <c:pt idx="129">
                  <c:v>2</c:v>
                </c:pt>
                <c:pt idx="130">
                  <c:v>0</c:v>
                </c:pt>
                <c:pt idx="131">
                  <c:v>0</c:v>
                </c:pt>
                <c:pt idx="132">
                  <c:v>4</c:v>
                </c:pt>
                <c:pt idx="133">
                  <c:v>0</c:v>
                </c:pt>
                <c:pt idx="134">
                  <c:v>0</c:v>
                </c:pt>
                <c:pt idx="135">
                  <c:v>0</c:v>
                </c:pt>
              </c:numCache>
            </c:numRef>
          </c:bubbleSize>
          <c:bubble3D val="0"/>
          <c:extLst>
            <c:ext xmlns:c16="http://schemas.microsoft.com/office/drawing/2014/chart" uri="{C3380CC4-5D6E-409C-BE32-E72D297353CC}">
              <c16:uniqueId val="{00000000-7D25-4670-AFED-FADCD4C164F3}"/>
            </c:ext>
          </c:extLst>
        </c:ser>
        <c:dLbls>
          <c:showLegendKey val="0"/>
          <c:showVal val="0"/>
          <c:showCatName val="0"/>
          <c:showSerName val="0"/>
          <c:showPercent val="0"/>
          <c:showBubbleSize val="0"/>
        </c:dLbls>
        <c:bubbleScale val="35"/>
        <c:showNegBubbles val="0"/>
        <c:axId val="958201944"/>
        <c:axId val="992401848"/>
      </c:bubbleChart>
      <c:valAx>
        <c:axId val="958201944"/>
        <c:scaling>
          <c:orientation val="minMax"/>
          <c:max val="18"/>
          <c:min val="0"/>
        </c:scaling>
        <c:delete val="0"/>
        <c:axPos val="b"/>
        <c:majorGridlines>
          <c:spPr>
            <a:ln w="9525" cap="flat" cmpd="sng" algn="ctr">
              <a:solidFill>
                <a:schemeClr val="tx1">
                  <a:lumMod val="15000"/>
                  <a:lumOff val="85000"/>
                </a:schemeClr>
              </a:solidFill>
              <a:round/>
            </a:ln>
            <a:effectLst/>
          </c:spPr>
        </c:majorGridlines>
        <c:numFmt formatCode="\ "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t"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992401848"/>
        <c:crosses val="autoZero"/>
        <c:crossBetween val="midCat"/>
        <c:majorUnit val="1"/>
      </c:valAx>
      <c:valAx>
        <c:axId val="992401848"/>
        <c:scaling>
          <c:orientation val="minMax"/>
          <c:max val="9"/>
          <c:min val="-2"/>
        </c:scaling>
        <c:delete val="0"/>
        <c:axPos val="l"/>
        <c:majorGridlines>
          <c:spPr>
            <a:ln w="9525" cap="flat" cmpd="sng" algn="ctr">
              <a:solidFill>
                <a:schemeClr val="tx1">
                  <a:lumMod val="15000"/>
                  <a:lumOff val="85000"/>
                </a:schemeClr>
              </a:solidFill>
              <a:round/>
            </a:ln>
            <a:effectLst/>
          </c:spPr>
        </c:majorGridlines>
        <c:numFmt formatCode="\ "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8201944"/>
        <c:crosses val="autoZero"/>
        <c:crossBetween val="midCat"/>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tx>
            <c:strRef>
              <c:f>Authors!$H$3</c:f>
              <c:strCache>
                <c:ptCount val="1"/>
                <c:pt idx="0">
                  <c:v>#Authors</c:v>
                </c:pt>
              </c:strCache>
            </c:strRef>
          </c:tx>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CCD6-4B4A-A382-C907CD47C4FB}"/>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CCD6-4B4A-A382-C907CD47C4FB}"/>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CCD6-4B4A-A382-C907CD47C4F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Authors!$G$4:$G$6</c:f>
              <c:strCache>
                <c:ptCount val="3"/>
                <c:pt idx="0">
                  <c:v>Academia</c:v>
                </c:pt>
                <c:pt idx="1">
                  <c:v>Industry</c:v>
                </c:pt>
                <c:pt idx="2">
                  <c:v>Freelance</c:v>
                </c:pt>
              </c:strCache>
            </c:strRef>
          </c:cat>
          <c:val>
            <c:numRef>
              <c:f>Authors!$H$4:$H$6</c:f>
              <c:numCache>
                <c:formatCode>General</c:formatCode>
                <c:ptCount val="3"/>
                <c:pt idx="0">
                  <c:v>98</c:v>
                </c:pt>
                <c:pt idx="1">
                  <c:v>16</c:v>
                </c:pt>
                <c:pt idx="2">
                  <c:v>2</c:v>
                </c:pt>
              </c:numCache>
            </c:numRef>
          </c:val>
          <c:extLst>
            <c:ext xmlns:c16="http://schemas.microsoft.com/office/drawing/2014/chart" uri="{C3380CC4-5D6E-409C-BE32-E72D297353CC}">
              <c16:uniqueId val="{00000000-4C2F-4915-92F2-647C62F80DA7}"/>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tx>
            <c:strRef>
              <c:f>Authors!$K$3</c:f>
              <c:strCache>
                <c:ptCount val="1"/>
                <c:pt idx="0">
                  <c:v>#Authors from Industry</c:v>
                </c:pt>
              </c:strCache>
            </c:strRef>
          </c:tx>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EDE5-42A6-85E6-27ECE7028D7A}"/>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EDE5-42A6-85E6-27ECE7028D7A}"/>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EDE5-42A6-85E6-27ECE7028D7A}"/>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EDE5-42A6-85E6-27ECE7028D7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Authors!$J$4:$J$7</c:f>
              <c:strCache>
                <c:ptCount val="4"/>
                <c:pt idx="0">
                  <c:v>Germany</c:v>
                </c:pt>
                <c:pt idx="1">
                  <c:v>USA</c:v>
                </c:pt>
                <c:pt idx="2">
                  <c:v>Netherlands</c:v>
                </c:pt>
                <c:pt idx="3">
                  <c:v>Finland</c:v>
                </c:pt>
              </c:strCache>
            </c:strRef>
          </c:cat>
          <c:val>
            <c:numRef>
              <c:f>Authors!$K$4:$K$7</c:f>
              <c:numCache>
                <c:formatCode>General</c:formatCode>
                <c:ptCount val="4"/>
                <c:pt idx="0">
                  <c:v>9</c:v>
                </c:pt>
                <c:pt idx="1">
                  <c:v>4</c:v>
                </c:pt>
                <c:pt idx="2">
                  <c:v>2</c:v>
                </c:pt>
                <c:pt idx="3">
                  <c:v>1</c:v>
                </c:pt>
              </c:numCache>
            </c:numRef>
          </c:val>
          <c:extLst>
            <c:ext xmlns:c16="http://schemas.microsoft.com/office/drawing/2014/chart" uri="{C3380CC4-5D6E-409C-BE32-E72D297353CC}">
              <c16:uniqueId val="{00000000-C9C8-4B77-822A-DAC6878AF95D}"/>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RQ6. Type of publication</a:t>
            </a:r>
          </a:p>
        </c:rich>
      </c:tx>
      <c:layout>
        <c:manualLayout>
          <c:xMode val="edge"/>
          <c:yMode val="edge"/>
          <c:x val="0.3171761111111111"/>
          <c:y val="4.166661520251144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6.2558055555555561E-2"/>
          <c:y val="0.15335753968253968"/>
          <c:w val="0.52914972222222223"/>
          <c:h val="0.75592817460317463"/>
        </c:manualLayout>
      </c:layout>
      <c:pieChart>
        <c:varyColors val="1"/>
        <c:ser>
          <c:idx val="0"/>
          <c:order val="0"/>
          <c:tx>
            <c:strRef>
              <c:f>Type!$B$1</c:f>
              <c:strCache>
                <c:ptCount val="1"/>
                <c:pt idx="0">
                  <c:v>Type of publication</c:v>
                </c:pt>
              </c:strCache>
            </c:strRef>
          </c:tx>
          <c:dPt>
            <c:idx val="0"/>
            <c:bubble3D val="0"/>
            <c:spPr>
              <a:solidFill>
                <a:schemeClr val="accent1">
                  <a:tint val="58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19D7-43A0-994A-7AACD2524575}"/>
              </c:ext>
            </c:extLst>
          </c:dPt>
          <c:dPt>
            <c:idx val="1"/>
            <c:bubble3D val="0"/>
            <c:spPr>
              <a:solidFill>
                <a:schemeClr val="accent1">
                  <a:tint val="86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19D7-43A0-994A-7AACD2524575}"/>
              </c:ext>
            </c:extLst>
          </c:dPt>
          <c:dPt>
            <c:idx val="2"/>
            <c:bubble3D val="0"/>
            <c:spPr>
              <a:solidFill>
                <a:schemeClr val="accent1">
                  <a:shade val="86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19D7-43A0-994A-7AACD2524575}"/>
              </c:ext>
            </c:extLst>
          </c:dPt>
          <c:dPt>
            <c:idx val="3"/>
            <c:bubble3D val="0"/>
            <c:spPr>
              <a:solidFill>
                <a:schemeClr val="accent1">
                  <a:shade val="58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19D7-43A0-994A-7AACD2524575}"/>
              </c:ext>
            </c:extLst>
          </c:dPt>
          <c:dLbls>
            <c:dLbl>
              <c:idx val="2"/>
              <c:spPr>
                <a:noFill/>
                <a:ln>
                  <a:noFill/>
                </a:ln>
                <a:effectLst/>
              </c:spPr>
              <c:txPr>
                <a:bodyPr rot="0" spcFirstLastPara="1" vertOverflow="ellipsis" vert="horz" wrap="square" anchor="ctr" anchorCtr="1"/>
                <a:lstStyle/>
                <a:p>
                  <a:pPr>
                    <a:defRPr sz="1100" b="1" i="0" u="none" strike="noStrike" kern="1200" baseline="0">
                      <a:solidFill>
                        <a:schemeClr val="bg1">
                          <a:lumMod val="95000"/>
                        </a:schemeClr>
                      </a:solidFill>
                      <a:latin typeface="+mn-lt"/>
                      <a:ea typeface="+mn-ea"/>
                      <a:cs typeface="+mn-cs"/>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5-19D7-43A0-994A-7AACD2524575}"/>
                </c:ext>
              </c:extLst>
            </c:dLbl>
            <c:dLbl>
              <c:idx val="3"/>
              <c:spPr>
                <a:noFill/>
                <a:ln>
                  <a:noFill/>
                </a:ln>
                <a:effectLst/>
              </c:spPr>
              <c:txPr>
                <a:bodyPr rot="0" spcFirstLastPara="1" vertOverflow="ellipsis" vert="horz" wrap="square" anchor="ctr" anchorCtr="1"/>
                <a:lstStyle/>
                <a:p>
                  <a:pPr>
                    <a:defRPr sz="1100" b="1" i="0" u="none" strike="noStrike" kern="1200" baseline="0">
                      <a:solidFill>
                        <a:schemeClr val="bg1">
                          <a:lumMod val="95000"/>
                        </a:schemeClr>
                      </a:solidFill>
                      <a:latin typeface="+mn-lt"/>
                      <a:ea typeface="+mn-ea"/>
                      <a:cs typeface="+mn-cs"/>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7-19D7-43A0-994A-7AACD2524575}"/>
                </c:ext>
              </c:extLst>
            </c:dLbl>
            <c:spPr>
              <a:noFill/>
              <a:ln>
                <a:noFill/>
              </a:ln>
              <a:effectLst/>
            </c:spPr>
            <c:txPr>
              <a:bodyPr rot="0" spcFirstLastPara="1" vertOverflow="ellipsis" vert="horz" wrap="square" anchor="ctr" anchorCtr="1"/>
              <a:lstStyle/>
              <a:p>
                <a:pPr>
                  <a:defRPr sz="1100" b="1" i="0" u="none" strike="noStrike" kern="1200" baseline="0">
                    <a:solidFill>
                      <a:schemeClr val="tx1">
                        <a:lumMod val="95000"/>
                        <a:lumOff val="5000"/>
                      </a:schemeClr>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Type!$B$2:$B$5</c:f>
              <c:strCache>
                <c:ptCount val="4"/>
                <c:pt idx="0">
                  <c:v>Conference paper</c:v>
                </c:pt>
                <c:pt idx="1">
                  <c:v>Workshop paper</c:v>
                </c:pt>
                <c:pt idx="2">
                  <c:v>Journal article</c:v>
                </c:pt>
                <c:pt idx="3">
                  <c:v>Book chapter</c:v>
                </c:pt>
              </c:strCache>
            </c:strRef>
          </c:cat>
          <c:val>
            <c:numRef>
              <c:f>Type!$C$2:$C$5</c:f>
              <c:numCache>
                <c:formatCode>General</c:formatCode>
                <c:ptCount val="4"/>
                <c:pt idx="0">
                  <c:v>26</c:v>
                </c:pt>
                <c:pt idx="1">
                  <c:v>9</c:v>
                </c:pt>
                <c:pt idx="2">
                  <c:v>6</c:v>
                </c:pt>
                <c:pt idx="3">
                  <c:v>4</c:v>
                </c:pt>
              </c:numCache>
            </c:numRef>
          </c:val>
          <c:extLst>
            <c:ext xmlns:c16="http://schemas.microsoft.com/office/drawing/2014/chart" uri="{C3380CC4-5D6E-409C-BE32-E72D297353CC}">
              <c16:uniqueId val="{00000008-19D7-43A0-994A-7AACD2524575}"/>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4015472222222225"/>
          <c:y val="0.32134136174154704"/>
          <c:w val="0.33162305555555555"/>
          <c:h val="0.39093819154958576"/>
        </c:manualLayout>
      </c:layout>
      <c:overlay val="0"/>
      <c:spPr>
        <a:solidFill>
          <a:schemeClr val="lt1">
            <a:alpha val="78000"/>
          </a:schemeClr>
        </a:solid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RQ5. Academia vs. Industry</a:t>
            </a:r>
          </a:p>
        </c:rich>
      </c:tx>
      <c:layout>
        <c:manualLayout>
          <c:xMode val="edge"/>
          <c:yMode val="edge"/>
          <c:x val="0.3207038888888889"/>
          <c:y val="4.166661520251144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6.2558055555555561E-2"/>
          <c:y val="0.15335753968253968"/>
          <c:w val="0.52914972222222223"/>
          <c:h val="0.75592817460317463"/>
        </c:manualLayout>
      </c:layout>
      <c:pieChart>
        <c:varyColors val="1"/>
        <c:ser>
          <c:idx val="0"/>
          <c:order val="0"/>
          <c:tx>
            <c:strRef>
              <c:f>Type!$B$31</c:f>
              <c:strCache>
                <c:ptCount val="1"/>
                <c:pt idx="0">
                  <c:v>Industry/Academia</c:v>
                </c:pt>
              </c:strCache>
            </c:strRef>
          </c:tx>
          <c:dPt>
            <c:idx val="0"/>
            <c:bubble3D val="0"/>
            <c:spPr>
              <a:solidFill>
                <a:schemeClr val="accent1">
                  <a:tint val="65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C339-493E-9061-DED88F63794F}"/>
              </c:ext>
            </c:extLst>
          </c:dPt>
          <c:dPt>
            <c:idx val="1"/>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C339-493E-9061-DED88F63794F}"/>
              </c:ext>
            </c:extLst>
          </c:dPt>
          <c:dPt>
            <c:idx val="2"/>
            <c:bubble3D val="0"/>
            <c:spPr>
              <a:solidFill>
                <a:schemeClr val="accent1">
                  <a:shade val="65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C339-493E-9061-DED88F63794F}"/>
              </c:ext>
            </c:extLst>
          </c:dPt>
          <c:dLbls>
            <c:dLbl>
              <c:idx val="2"/>
              <c:spPr>
                <a:noFill/>
                <a:ln>
                  <a:noFill/>
                </a:ln>
                <a:effectLst/>
              </c:spPr>
              <c:txPr>
                <a:bodyPr rot="0" spcFirstLastPara="1" vertOverflow="ellipsis" vert="horz" wrap="square" anchor="ctr" anchorCtr="1"/>
                <a:lstStyle/>
                <a:p>
                  <a:pPr>
                    <a:defRPr sz="1100" b="1" i="0" u="none" strike="noStrike" kern="1200" baseline="0">
                      <a:solidFill>
                        <a:schemeClr val="bg1">
                          <a:lumMod val="95000"/>
                        </a:schemeClr>
                      </a:solidFill>
                      <a:latin typeface="+mn-lt"/>
                      <a:ea typeface="+mn-ea"/>
                      <a:cs typeface="+mn-cs"/>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5-C339-493E-9061-DED88F63794F}"/>
                </c:ext>
              </c:extLst>
            </c:dLbl>
            <c:spPr>
              <a:noFill/>
              <a:ln>
                <a:noFill/>
              </a:ln>
              <a:effectLst/>
            </c:spPr>
            <c:txPr>
              <a:bodyPr rot="0" spcFirstLastPara="1" vertOverflow="ellipsis" vert="horz" wrap="square" anchor="ctr" anchorCtr="1"/>
              <a:lstStyle/>
              <a:p>
                <a:pPr>
                  <a:defRPr sz="1100" b="1" i="0" u="none" strike="noStrike" kern="1200" baseline="0">
                    <a:solidFill>
                      <a:schemeClr val="tx1">
                        <a:lumMod val="95000"/>
                        <a:lumOff val="5000"/>
                      </a:schemeClr>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Type!$B$32:$B$34</c:f>
              <c:strCache>
                <c:ptCount val="3"/>
                <c:pt idx="0">
                  <c:v>Academia</c:v>
                </c:pt>
                <c:pt idx="1">
                  <c:v>Industry</c:v>
                </c:pt>
                <c:pt idx="2">
                  <c:v>Freelance</c:v>
                </c:pt>
              </c:strCache>
            </c:strRef>
          </c:cat>
          <c:val>
            <c:numRef>
              <c:f>Type!$C$32:$C$34</c:f>
              <c:numCache>
                <c:formatCode>General</c:formatCode>
                <c:ptCount val="3"/>
                <c:pt idx="0">
                  <c:v>32</c:v>
                </c:pt>
                <c:pt idx="1">
                  <c:v>11</c:v>
                </c:pt>
                <c:pt idx="2">
                  <c:v>2</c:v>
                </c:pt>
              </c:numCache>
            </c:numRef>
          </c:val>
          <c:extLst>
            <c:ext xmlns:c16="http://schemas.microsoft.com/office/drawing/2014/chart" uri="{C3380CC4-5D6E-409C-BE32-E72D297353CC}">
              <c16:uniqueId val="{00000008-C339-493E-9061-DED88F63794F}"/>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3433499999999998"/>
          <c:y val="0.32314960629921258"/>
          <c:w val="0.21044277777777778"/>
          <c:h val="0.29320364366218926"/>
        </c:manualLayout>
      </c:layout>
      <c:overlay val="0"/>
      <c:spPr>
        <a:solidFill>
          <a:schemeClr val="lt1">
            <a:alpha val="78000"/>
          </a:schemeClr>
        </a:solid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RQ4. Nature of research</a:t>
            </a:r>
          </a:p>
        </c:rich>
      </c:tx>
      <c:layout>
        <c:manualLayout>
          <c:xMode val="edge"/>
          <c:yMode val="edge"/>
          <c:x val="0.3171761111111111"/>
          <c:y val="4.166661520251144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6.2558055555555561E-2"/>
          <c:y val="0.15335753968253968"/>
          <c:w val="0.52914972222222223"/>
          <c:h val="0.75592817460317463"/>
        </c:manualLayout>
      </c:layout>
      <c:pieChart>
        <c:varyColors val="1"/>
        <c:ser>
          <c:idx val="0"/>
          <c:order val="0"/>
          <c:tx>
            <c:strRef>
              <c:f>Type!$B$17</c:f>
              <c:strCache>
                <c:ptCount val="1"/>
                <c:pt idx="0">
                  <c:v>Type of research</c:v>
                </c:pt>
              </c:strCache>
            </c:strRef>
          </c:tx>
          <c:dPt>
            <c:idx val="0"/>
            <c:bubble3D val="0"/>
            <c:spPr>
              <a:solidFill>
                <a:schemeClr val="accent1">
                  <a:tint val="58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41A8-4F9F-A462-C69039143272}"/>
              </c:ext>
            </c:extLst>
          </c:dPt>
          <c:dPt>
            <c:idx val="1"/>
            <c:bubble3D val="0"/>
            <c:spPr>
              <a:solidFill>
                <a:schemeClr val="accent1">
                  <a:tint val="86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41A8-4F9F-A462-C69039143272}"/>
              </c:ext>
            </c:extLst>
          </c:dPt>
          <c:dPt>
            <c:idx val="2"/>
            <c:bubble3D val="0"/>
            <c:spPr>
              <a:solidFill>
                <a:schemeClr val="accent1">
                  <a:shade val="86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41A8-4F9F-A462-C69039143272}"/>
              </c:ext>
            </c:extLst>
          </c:dPt>
          <c:dPt>
            <c:idx val="3"/>
            <c:bubble3D val="0"/>
            <c:spPr>
              <a:solidFill>
                <a:schemeClr val="accent1">
                  <a:shade val="58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41A8-4F9F-A462-C69039143272}"/>
              </c:ext>
            </c:extLst>
          </c:dPt>
          <c:dLbls>
            <c:dLbl>
              <c:idx val="2"/>
              <c:spPr>
                <a:noFill/>
                <a:ln>
                  <a:noFill/>
                </a:ln>
                <a:effectLst/>
              </c:spPr>
              <c:txPr>
                <a:bodyPr rot="0" spcFirstLastPara="1" vertOverflow="ellipsis" vert="horz" wrap="square" anchor="ctr" anchorCtr="1"/>
                <a:lstStyle/>
                <a:p>
                  <a:pPr>
                    <a:defRPr sz="1100" b="1" i="0" u="none" strike="noStrike" kern="1200" baseline="0">
                      <a:solidFill>
                        <a:schemeClr val="bg1">
                          <a:lumMod val="95000"/>
                        </a:schemeClr>
                      </a:solidFill>
                      <a:latin typeface="+mn-lt"/>
                      <a:ea typeface="+mn-ea"/>
                      <a:cs typeface="+mn-cs"/>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5-41A8-4F9F-A462-C69039143272}"/>
                </c:ext>
              </c:extLst>
            </c:dLbl>
            <c:dLbl>
              <c:idx val="3"/>
              <c:spPr>
                <a:noFill/>
                <a:ln>
                  <a:noFill/>
                </a:ln>
                <a:effectLst/>
              </c:spPr>
              <c:txPr>
                <a:bodyPr rot="0" spcFirstLastPara="1" vertOverflow="ellipsis" vert="horz" wrap="square" anchor="ctr" anchorCtr="1"/>
                <a:lstStyle/>
                <a:p>
                  <a:pPr>
                    <a:defRPr sz="1100" b="1" i="0" u="none" strike="noStrike" kern="1200" baseline="0">
                      <a:solidFill>
                        <a:schemeClr val="bg1">
                          <a:lumMod val="95000"/>
                        </a:schemeClr>
                      </a:solidFill>
                      <a:latin typeface="+mn-lt"/>
                      <a:ea typeface="+mn-ea"/>
                      <a:cs typeface="+mn-cs"/>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7-41A8-4F9F-A462-C69039143272}"/>
                </c:ext>
              </c:extLst>
            </c:dLbl>
            <c:spPr>
              <a:noFill/>
              <a:ln>
                <a:noFill/>
              </a:ln>
              <a:effectLst/>
            </c:spPr>
            <c:txPr>
              <a:bodyPr rot="0" spcFirstLastPara="1" vertOverflow="ellipsis" vert="horz" wrap="square" anchor="ctr" anchorCtr="1"/>
              <a:lstStyle/>
              <a:p>
                <a:pPr>
                  <a:defRPr sz="1100" b="1" i="0" u="none" strike="noStrike" kern="1200" baseline="0">
                    <a:solidFill>
                      <a:schemeClr val="tx1">
                        <a:lumMod val="95000"/>
                        <a:lumOff val="5000"/>
                      </a:schemeClr>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Type!$B$18:$B$21</c:f>
              <c:strCache>
                <c:ptCount val="4"/>
                <c:pt idx="0">
                  <c:v>Proposal of solution</c:v>
                </c:pt>
                <c:pt idx="1">
                  <c:v>Philosophical papers</c:v>
                </c:pt>
                <c:pt idx="2">
                  <c:v>Evaluation research</c:v>
                </c:pt>
                <c:pt idx="3">
                  <c:v>Validation research</c:v>
                </c:pt>
              </c:strCache>
            </c:strRef>
          </c:cat>
          <c:val>
            <c:numRef>
              <c:f>Type!$C$18:$C$21</c:f>
              <c:numCache>
                <c:formatCode>General</c:formatCode>
                <c:ptCount val="4"/>
                <c:pt idx="0">
                  <c:v>34</c:v>
                </c:pt>
                <c:pt idx="1">
                  <c:v>7</c:v>
                </c:pt>
                <c:pt idx="2">
                  <c:v>3</c:v>
                </c:pt>
                <c:pt idx="3">
                  <c:v>1</c:v>
                </c:pt>
              </c:numCache>
            </c:numRef>
          </c:val>
          <c:extLst>
            <c:ext xmlns:c16="http://schemas.microsoft.com/office/drawing/2014/chart" uri="{C3380CC4-5D6E-409C-BE32-E72D297353CC}">
              <c16:uniqueId val="{00000006-41A8-4F9F-A462-C69039143272}"/>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1972944444444433"/>
          <c:y val="0.26704873655498945"/>
          <c:w val="0.38027055555555556"/>
          <c:h val="0.43677834388348513"/>
        </c:manualLayout>
      </c:layout>
      <c:overlay val="0"/>
      <c:spPr>
        <a:solidFill>
          <a:schemeClr val="lt1">
            <a:alpha val="78000"/>
          </a:schemeClr>
        </a:solid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95000"/>
                    <a:lumOff val="5000"/>
                  </a:schemeClr>
                </a:solidFill>
                <a:latin typeface="+mn-lt"/>
                <a:ea typeface="+mn-ea"/>
                <a:cs typeface="+mn-cs"/>
              </a:defRPr>
            </a:pPr>
            <a:r>
              <a:rPr lang="en-US" sz="1100" b="1"/>
              <a:t>RQ1. Source IS artefacts</a:t>
            </a:r>
          </a:p>
        </c:rich>
      </c:tx>
      <c:layout>
        <c:manualLayout>
          <c:xMode val="edge"/>
          <c:yMode val="edge"/>
          <c:x val="0.36249226190476186"/>
          <c:y val="1.4301801801801801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95000"/>
                  <a:lumOff val="5000"/>
                </a:schemeClr>
              </a:solidFill>
              <a:latin typeface="+mn-lt"/>
              <a:ea typeface="+mn-ea"/>
              <a:cs typeface="+mn-cs"/>
            </a:defRPr>
          </a:pPr>
          <a:endParaRPr lang="en-US"/>
        </a:p>
      </c:txPr>
    </c:title>
    <c:autoTitleDeleted val="0"/>
    <c:plotArea>
      <c:layout>
        <c:manualLayout>
          <c:layoutTarget val="inner"/>
          <c:xMode val="edge"/>
          <c:yMode val="edge"/>
          <c:x val="0.44303015873015872"/>
          <c:y val="0.14318205705705705"/>
          <c:w val="0.51647599206349193"/>
          <c:h val="0.71193806306306306"/>
        </c:manualLayout>
      </c:layout>
      <c:barChart>
        <c:barDir val="bar"/>
        <c:grouping val="clustered"/>
        <c:varyColors val="0"/>
        <c:ser>
          <c:idx val="0"/>
          <c:order val="0"/>
          <c:spPr>
            <a:solidFill>
              <a:schemeClr val="accent1"/>
            </a:solidFill>
            <a:ln>
              <a:noFill/>
            </a:ln>
            <a:effectLst/>
          </c:spPr>
          <c:invertIfNegative val="0"/>
          <c:cat>
            <c:strRef>
              <c:f>'Source Artifacts'!$D$2:$L$2</c:f>
              <c:strCache>
                <c:ptCount val="9"/>
                <c:pt idx="0">
                  <c:v>Social Media</c:v>
                </c:pt>
                <c:pt idx="1">
                  <c:v>Services / Enterprise Service Bus</c:v>
                </c:pt>
                <c:pt idx="2">
                  <c:v>Database</c:v>
                </c:pt>
                <c:pt idx="3">
                  <c:v>Business knowledge / requirements</c:v>
                </c:pt>
                <c:pt idx="4">
                  <c:v>Application info</c:v>
                </c:pt>
                <c:pt idx="5">
                  <c:v>EA Models</c:v>
                </c:pt>
                <c:pt idx="6">
                  <c:v>IT knowledge and operational data</c:v>
                </c:pt>
                <c:pt idx="7">
                  <c:v>Process logs</c:v>
                </c:pt>
                <c:pt idx="8">
                  <c:v>Experts' knowledge</c:v>
                </c:pt>
              </c:strCache>
            </c:strRef>
          </c:cat>
          <c:val>
            <c:numRef>
              <c:f>'Source Artifacts'!$D$1:$L$1</c:f>
              <c:numCache>
                <c:formatCode>General</c:formatCode>
                <c:ptCount val="9"/>
                <c:pt idx="0">
                  <c:v>1</c:v>
                </c:pt>
                <c:pt idx="1">
                  <c:v>6</c:v>
                </c:pt>
                <c:pt idx="2">
                  <c:v>6</c:v>
                </c:pt>
                <c:pt idx="3">
                  <c:v>6</c:v>
                </c:pt>
                <c:pt idx="4">
                  <c:v>7</c:v>
                </c:pt>
                <c:pt idx="5">
                  <c:v>8</c:v>
                </c:pt>
                <c:pt idx="6">
                  <c:v>8</c:v>
                </c:pt>
                <c:pt idx="7">
                  <c:v>9</c:v>
                </c:pt>
                <c:pt idx="8">
                  <c:v>14</c:v>
                </c:pt>
              </c:numCache>
            </c:numRef>
          </c:val>
          <c:extLst>
            <c:ext xmlns:c16="http://schemas.microsoft.com/office/drawing/2014/chart" uri="{C3380CC4-5D6E-409C-BE32-E72D297353CC}">
              <c16:uniqueId val="{00000000-2DDC-4FF5-8944-107ECAF34D74}"/>
            </c:ext>
          </c:extLst>
        </c:ser>
        <c:dLbls>
          <c:showLegendKey val="0"/>
          <c:showVal val="0"/>
          <c:showCatName val="0"/>
          <c:showSerName val="0"/>
          <c:showPercent val="0"/>
          <c:showBubbleSize val="0"/>
        </c:dLbls>
        <c:gapWidth val="182"/>
        <c:axId val="959060592"/>
        <c:axId val="959063872"/>
      </c:barChart>
      <c:catAx>
        <c:axId val="959060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en-US"/>
          </a:p>
        </c:txPr>
        <c:crossAx val="959063872"/>
        <c:crosses val="autoZero"/>
        <c:auto val="1"/>
        <c:lblAlgn val="ctr"/>
        <c:lblOffset val="100"/>
        <c:noMultiLvlLbl val="0"/>
      </c:catAx>
      <c:valAx>
        <c:axId val="959063872"/>
        <c:scaling>
          <c:orientation val="minMax"/>
          <c:max val="18"/>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en-US"/>
          </a:p>
        </c:txPr>
        <c:crossAx val="959060592"/>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lumMod val="95000"/>
              <a:lumOff val="5000"/>
            </a:schemeClr>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95000"/>
                    <a:lumOff val="5000"/>
                  </a:schemeClr>
                </a:solidFill>
                <a:latin typeface="+mn-lt"/>
                <a:ea typeface="+mn-ea"/>
                <a:cs typeface="+mn-cs"/>
              </a:defRPr>
            </a:pPr>
            <a:r>
              <a:rPr lang="en-US" sz="1200" b="1"/>
              <a:t>RQ3. EA</a:t>
            </a:r>
            <a:r>
              <a:rPr lang="en-US" sz="1200" b="1" baseline="0"/>
              <a:t> concern / viewpoint</a:t>
            </a:r>
            <a:endParaRPr lang="en-US" sz="1200" b="1"/>
          </a:p>
        </c:rich>
      </c:tx>
      <c:layout>
        <c:manualLayout>
          <c:xMode val="edge"/>
          <c:yMode val="edge"/>
          <c:x val="0.31353789682539684"/>
          <c:y val="1.4111111111111111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95000"/>
                  <a:lumOff val="5000"/>
                </a:schemeClr>
              </a:solidFill>
              <a:latin typeface="+mn-lt"/>
              <a:ea typeface="+mn-ea"/>
              <a:cs typeface="+mn-cs"/>
            </a:defRPr>
          </a:pPr>
          <a:endParaRPr lang="en-US"/>
        </a:p>
      </c:txPr>
    </c:title>
    <c:autoTitleDeleted val="0"/>
    <c:plotArea>
      <c:layout>
        <c:manualLayout>
          <c:layoutTarget val="inner"/>
          <c:xMode val="edge"/>
          <c:yMode val="edge"/>
          <c:x val="0.44053412698412697"/>
          <c:y val="0.17780134267136205"/>
          <c:w val="0.51897202380952379"/>
          <c:h val="0.67731940542608049"/>
        </c:manualLayout>
      </c:layout>
      <c:barChart>
        <c:barDir val="bar"/>
        <c:grouping val="clustered"/>
        <c:varyColors val="0"/>
        <c:ser>
          <c:idx val="0"/>
          <c:order val="0"/>
          <c:tx>
            <c:v>EA Concern</c:v>
          </c:tx>
          <c:spPr>
            <a:solidFill>
              <a:schemeClr val="accent1"/>
            </a:solidFill>
            <a:ln>
              <a:noFill/>
            </a:ln>
            <a:effectLst/>
          </c:spPr>
          <c:invertIfNegative val="0"/>
          <c:cat>
            <c:strRef>
              <c:f>'EA Concern'!$D$2:$I$2</c:f>
              <c:strCache>
                <c:ptCount val="6"/>
                <c:pt idx="0">
                  <c:v>Business</c:v>
                </c:pt>
                <c:pt idx="1">
                  <c:v>Service</c:v>
                </c:pt>
                <c:pt idx="2">
                  <c:v>IT Infrastructure</c:v>
                </c:pt>
                <c:pt idx="3">
                  <c:v>Process</c:v>
                </c:pt>
                <c:pt idx="4">
                  <c:v>Application</c:v>
                </c:pt>
                <c:pt idx="5">
                  <c:v>Holistic</c:v>
                </c:pt>
              </c:strCache>
            </c:strRef>
          </c:cat>
          <c:val>
            <c:numRef>
              <c:f>'EA Concern'!$D$1:$I$1</c:f>
              <c:numCache>
                <c:formatCode>General</c:formatCode>
                <c:ptCount val="6"/>
                <c:pt idx="0">
                  <c:v>3</c:v>
                </c:pt>
                <c:pt idx="1">
                  <c:v>4</c:v>
                </c:pt>
                <c:pt idx="2">
                  <c:v>5</c:v>
                </c:pt>
                <c:pt idx="3">
                  <c:v>8</c:v>
                </c:pt>
                <c:pt idx="4">
                  <c:v>11</c:v>
                </c:pt>
                <c:pt idx="5">
                  <c:v>17</c:v>
                </c:pt>
              </c:numCache>
            </c:numRef>
          </c:val>
          <c:extLst>
            <c:ext xmlns:c16="http://schemas.microsoft.com/office/drawing/2014/chart" uri="{C3380CC4-5D6E-409C-BE32-E72D297353CC}">
              <c16:uniqueId val="{00000000-2634-4726-AB0F-1577D139ADA7}"/>
            </c:ext>
          </c:extLst>
        </c:ser>
        <c:dLbls>
          <c:showLegendKey val="0"/>
          <c:showVal val="0"/>
          <c:showCatName val="0"/>
          <c:showSerName val="0"/>
          <c:showPercent val="0"/>
          <c:showBubbleSize val="0"/>
        </c:dLbls>
        <c:gapWidth val="182"/>
        <c:axId val="959060592"/>
        <c:axId val="959063872"/>
      </c:barChart>
      <c:catAx>
        <c:axId val="959060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en-US"/>
          </a:p>
        </c:txPr>
        <c:crossAx val="959063872"/>
        <c:crosses val="autoZero"/>
        <c:auto val="1"/>
        <c:lblAlgn val="ctr"/>
        <c:lblOffset val="100"/>
        <c:noMultiLvlLbl val="0"/>
      </c:catAx>
      <c:valAx>
        <c:axId val="959063872"/>
        <c:scaling>
          <c:orientation val="minMax"/>
          <c:max val="18"/>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en-US"/>
          </a:p>
        </c:txPr>
        <c:crossAx val="959060592"/>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lumMod val="95000"/>
              <a:lumOff val="5000"/>
            </a:schemeClr>
          </a:solidFill>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strDim>
      <cx:numDim type="colorVal">
        <cx:f>_xlchart.v5.5</cx:f>
      </cx:numDim>
    </cx:data>
  </cx:chartData>
  <cx:chart>
    <cx:plotArea>
      <cx:plotAreaRegion>
        <cx:series layoutId="regionMap" uniqueId="{D56E7525-A38A-4276-9939-759DC47F217D}">
          <cx:dataId val="0"/>
          <cx:layoutPr>
            <cx:geography cultureLanguage="es-ES" cultureRegion="ES" attribution="Con tecnología de Bing">
              <cx:geoCache provider="{E9337A44-BEBE-4D9F-B70C-5C5E7DAFC167}">
                <cx:binary>7Hzpcty4suardPTvoRrEQgAnzrkRh2RtKlWptFmy/zBkSeYOkAT3t5kHmKe4LzZZlGVLZbWXOz7R
HTH+YRoExCpUIpH55ZcJ/vOu/8dd9nBb/dbnmTL/uOv/9XtU18U//vjD3EUP+a05yuO7Shv9oT66
0/kf+sOH+O7hj/vqtotV+AdGNv3jLrqt6of+9//6J3xa+KBP9N1tHWt11jxUw/mDabLafGXs1aHf
7nSj6v3jIXzSv37/dwaTUfHt7789qDquh8uhePjX7y/+6Pff/jj8qC++9rcMZlY39/Ass49sbAvE
kRRECP77b5lW4cdBGx1RhBxJBeU2/P/0tdvbHB79nslMU7m9v68ejPnt4//Pn3wx9ecDsdHe42/3
9H6e/mz6YX+8lO1//fOgA37qQc8z8R/K5VtDh9L/OKEnKfyZ8P9zE5jNrq6+9e0vBfS1pSfyiEom
bUqZxFgwZL9YfEuKIymkFNhBVAr4B8rxqHaP6z8z9e29Nr9dqRj+exp7TSqva8Hh8we6cDh8qBFX
F3+9RiweKtiPw9d++6/t+GfW8P91O/67MXX1M20h5UdMcCQYx0RwjhB5sSFsemRTGwsihZAMM3lo
D789n9c3wqcfcrADPvUfqv6/L/961feiWP1EP0ScIwczQgnBmDMCduel7BE5kogQhgRBiIunHfdo
ib45l9fl/vGxA6l/7D2Uubf962W+faijhyq7VfdfNbc/aHLwEaEYM0EZIY4EHPBC8uyIYWHvtwS1
pS3k3ks89wK72//+P+bB/ObeJv8TJ3Dw+MFaHIwersn25K9fE7e6HePsSSaveb8fWw4LQBfnDkeU
C4GRQIdumZEj5HBCqeMwhjk5XBCYkPn6hF7fDU/PHSzBU/eh7N3zv172F93D/YP6ebJ38JHANpeA
eMAWfbEVbOeIE7BNTEjKOaOHkr9oHu6+7o9el/zTcweSf+o+lPzF3wAKX61/ntRBoSUlgmAiOXWQ
RPiFAbLwEWOIMbEfQVI6T9/8aPvPH2KlHzHo08Brm/B1yb94+ED8L8YO12Dh/vXa7+lM5++/rnA/
Znv2PlZIcLAOwZQ74nAlOJgesDywFjZiFHwFAKTnvuB7ZvT6Qnx+8mAVPg8cLoF3+tcvwaq+zX4i
+qcEnC1ouRTUAWdLDkEQPrIdCNYJd2wmHecQgO5n83V1eF34T88diP6p+1Dwq78B+tzpqm7C25/o
dyEadrgE/ecMU/qF7C1+JB0BLtfGsDxsHwS81P3vmdHr4v/85MECfB44XILd32AJzvVPpqIoOwKx
UsoRtoFxogfhF6ZARzCIupjNBcZf4J7z5pvzeV3+nx48EP+n/kPpn/8NLM+ieni4e3hSwdc83t70
/+eoqHms9nHItybw/WyUQ4+YvY+sBbEZxXLPNj2jIrFzhAX0gs8RjnQOHM/H2fxPjN+zRw/W/9nI
oQbMV3+977no4np8jAZ/3ipQ5wgiDoBZiDJqI/vAA4kjsH6wSh8hAEP06asfwdhFE49fJQVe34Ef
HzuQ/8feQ9l7y79e9hMz8y1n+2PYy8IQaXNAX8zBxHZgIxwwIIQeESYnHh54kC/i8O+a0uvif/bo
wRI8Gzlchn8DE/2lhfnC5PxnCflbdXv/VX37sTWA+I8RYLttIPc4RNcHNsiSzhHkSAgDyhyBiQJH
9VL9vf18/vt/P3W+ZpVfX4FPDx7I/1P/ofS9f//10n/Chz8rFfUL/UKKcNKPw+zhYSLqpOkf8ve6
qcKvqdqP6T6Ve9pJYEgJ2Ta3p9jumf91jpAEChDJfWTC2cQSPg/9HqcEM9Jfm9Lr2v/82YMN8Hzo
cA+c/A0s0GVTpQ/fjAD/czDsTfxQq9v8azL/MTXA5IgA/wVRvsQU/NABBQBx/xEQNVgAFw9I/QCG
fcdsXteATw8eLP+n/sO1f/M3YONP4jpqfnI2HqRLOLERlwC+vnBAsDh790NhbWyIU59W/RF7wXS+
OZvXpf/5yQPxfx44lP/J3yAAPUwQ/yw/9Csv/roXeqxh+QEH9S1v8GOW6ZeDOqgm+q6VOMig/aw9
wn4lDf+kxuu7VuUTrv9Z6/ErcvlYYvdd4n/KrP1E6f/KG36X5J+yyT9L8r+y5VNh6XfJ/kVC82ct
wK/k7RdVvt+1GM/I5Z+1FL8Y9M+V1t+1Bp8SPD9rBX5lsH4gRvhmruAHw4NfmYvXDh58QR1+B0vw
Y4Jn/39xFn/O5X2qtfdv69vZdD7j2QmDr48+2auDRz9W17yWSPg4tLr/1++2bU/ZgMdk6/4jXlTl
rNS9Vg/mc3L00zMPt6aGx6l9BCl3yD1BnRUXkPz4/bfuYT8i2RGGRAfU3HKKgP0lUPOgoPIignMj
R1AeBAUq+1I4mxLG4CGjm/3QHpNJqA8CjtjGEnNMnU+HYnY6G0KtPgnj4/1vqsl3Ola1gensv794
/Lv9TKEMEkFNsISaFy44UNMCEmPF3e05nLzZ//n/Um1tF01d93MdlsECDXW2QCIRG91b6cdWHoVu
YKxxneBU7SjpreO6G8+nu7wayTKrRuVbNBB+UkoOrXTYRQwuluyddULQVjJLBe5o35YJZn6Ih+E8
baLWo4Fd3diSvU/gU+9Rij1phIpcK5R+H5ryvpHNB2LX7NoO0vdGobNUDe0ZSUNrbjVVv25RPK4D
3sq5yUl/hsMUeSgpnBsWRm8yXqezwdFBNcMB6teZY+d+RYy9HkhuX9Rpe56O3fAupV3uh5Ztr8fO
QRcoqs/ZMMZuUIs2mBdFdq1Ip/24TsI5Q211JmJenU19hcYfJInQWg7RNqIouhiIji5CO7PcgoR5
5Ks0imZWQshCpTTaTC2LVvFj63PfYytkxC2Luvd61gzztJXDO5XcJZAwu2Fjr5dTt8HhyagS6RyH
pnfjlGYbS1toEe5bg0U+tqa+IUttV8aNPMnYTiZtemFIk19Wgd26YVuG6+nW5KiaxzXVM1sqb6jD
9o2Kh9TtbB2+m1pW51hvn7XS/g2v38a4M6fh/kKCzJzWpdV5iCs+m/oyoR+LjB8312v6KmBXHOgr
R1DGziiHwzNQU73X52f6iqq4qrkIu7mMabzM7WreO0H4dkwFmVWkd9ymCMk6rIurFJlhnfe5OUO6
ynwn77VfNZZZdyU263rfKkZceSBJ7k0DQtFBeiwZfNSINvFak7/P07i6KS5zSoebsC/KBWrzYBGz
1NooSRofJGS/7SpnWWZV55ZBGJzFQ2dcI018HjS4mGkqz8O0xasxaMhxxPKPramv3/cl+76wt3OX
pLT2nbKMt1qUzK/KtLoe8vq6Y2nwzuLlyarpg/SuUCz1gSHsNn2TD5sgw4nfjE5+d34wjNo6nzU6
b9yqKNhSBcKsEhmHW1ipclYXY3eZ2XR0bVVW70tNFlEd7yyaDW8bzhb9KOmtk9DAFQ6R5zlK27nJ
erZsdDOziWXOrTRufJVHZj7dTpfClguTDMc0a/PKTR1bnLCxxlcxduN+LPwkbINVkSft8RDF0qf8
fc07mm5SMBszbWhxGSTviCyitRVHeEeSO5zE3UNM7YdGpfl13zuwi0WU74o0YYuwYqHbYYOWxkLa
S/YberTryHVkW5ypGmczZsh91lB+Kqj40GbdcFOZLJyDerlx3IlVp9t2NWA7OFYdaVcWNdDCMXEx
q4UrdM0uHGndoDCN36M8a91ojOWud2i7dERWuWMvN6EczWm8v5CsMKdCaOt43z/dTf26WKmRZz5v
C7CFYQp7zzb9Zbg3lLrM61PLitwgS5Ilbzs2m+aJIit2YzhhOLNYNi6DrDyrg5JcY1rkKyIU8qdb
EQovaEu1qJowdduy6KIZauJ22TQycaepJdJ0s9pqsJfUPN8OLOpX2bFmduLhocrvVBH6xZCiy0oG
gxs3Ipp1XeC4IR2rk+mSFbI6YX3neM8c5it7mkLx0cstbdsYTUd/oDSQ2vTABdWj0LbdWv28y21r
mQciPc5zeaEG061p5HwQlll0Qe7cByp+b48KXXWhlc+LrhuOjZlNBte25bJvcXQ62eDMlB/GscsD
UD91VlEnugiKID8Tsncd0kQXxKI+bhJnS2KU+SKJ0rlipjoDe4Z3mg79DscV3kFNo9nVaB2I3D6R
Ra5nelCOCwm+sXG5kugka5p10DPwMHWD9TZEkdrx+4I61uljO5Nk/nV54b08XrhsKGChUKIH8ACx
fVnlSxPIGyPLsKjwAjm4dykurtMiMO/Tpnls7HtQ19ReV5b99tN4FZvrvnJ6N+FhmLh1k7auo/J+
M3Y6Hdwi6LmfECPdOuse6q7M71o7u8IJMldD1L+pOttpz+2hv6yyFnymU4UeZYYuvv7rvtQGB05N
7k9nOKAVjNkHv67mhUlpQNhC1xy7lmmaTWiGzCf9GN+FM7JX1kKpxKd9Om6Moc0mQKb0BgAbSeLi
2iKbyd5Etb6nQzQsncLJArejHPRBifZElQPyrZAU51NLDU15bnWwl6aWQvXtI2bgVcPcGCvm5WPr
dD5JHiKc9z4CjTsj2XAM0In6GevyVaXS5CZ3ijVRbXCeUW7tNCZXY1TEN2YI5SKGFZ01CMc3cZcP
bpaKZPZ1wQnID79UCw4lZdwmDpSROQ7m+232zDPW1hAntp3GCzYZXhURsF0gvyu7QOtElsOuYKy5
krq4KPsqP62aWO5BDNiRPPJwhppZzbpuEzlpv5lalexqt0J9ctw3NwOi1WVr4FeJ8MYKrXKRJxbz
wlE7Hg/TcY7q7AaNo17lI9Nby+TZCcHdpg0C3zxqzEBmq4j3eEFYTa46gh0whuaiD8riLUqidUNN
dGolzFklbdMvqNHleWhZ3DUlHe8MjVyVZJnnFKr1RaHrx89tR+e0oDK97Gg9uqMK8LobmDzTOPJq
ZuJLJ2XxZcnLuyaqsGfXIzNzNgRkDua9WVhFaM0mK1rQ1HFR0uGTVsfCHdO0XHFp1DzBceI7lQ32
IbPxLHAq7Smb18e8BCcxASirF9V50oJrSHl+GYW2+cauF18AdY4ZFEnDQTJA6Rjb++V/trx2a6Mu
6cN0EdumPMnV0J/ASaf+saXypDoeGPU/dxVYVW6VhLmXhmG10VFhvGkdRhp+yARxTp3gPtrbK9aQ
cNnheHCnW5k07aqi7a1DNd8EKnQ2rVvJgW/q/WXqHYWqFjhE2u1qbk7BNEsnPaV7DJjs0SBzzqy4
YCsTFvXx4MCxCG9q5oW2MxdQv08QPsnGntzqgHtdNsr7IAVfN2TZcBnxmMwFbKXjUiprKzPL8hrL
ct7FIZ3VOJH3YzTcc1xyVzXJ6GfCdtY9KOrCqOw8zy1nne4vFU2rynUK2nlFpM2Mp9mwFIjZru6G
6qwNJED5SvaPfajeRQUyt6oQIfyBiG7iIDVeHRf6IhrLYmYrGZ7GuqaLvIyrdaQ4PR4HLb9hAfdH
/w82MsR14NOhEJQLKg8hbpLLkHG7ihc2bqwFrhS5Yq0SLkWd7ea2M6zpBDG0XfkoSbg/3VpjCUEY
uPWZrkmxK8yl3EcpZd70qwKPXeLRnvF51QBEafsRfkMPXtHi60aUwXwIEboqnNgf9vCoTsmHpLIc
lxZBdyo16fw+HsybLC4gJgj74R7h0BtMZELXCcNjvJocSaVEt5kuSefcqJE28zxpGr9seOl3whm2
sumGLW+DArsaoY2VK1BbPaQb5GSu7HvW+RLX3VyNQ+1CJUcyuA2RjZepql3n412sOvnBTrvdgEl+
q3HYuXHG4je6KGKItIruDEpv8zlJTLshVSiXPK3jx5rXP41B9rUgB+tDOJyjlZLAMR0Op9Ve7kSI
tywcpG260IWN/bKszKlObL1KGn6bjCFsgf1l6k/MzOrfQD3quVVTct30YbjqRUv9Zo/iNGxzt5SV
O+3LuM290iHWtQwBqoeoT+c2D4d3+/6xENtYpukxjyp7W46hveUpRtu81NJFaVjNp4Gpbxplqseb
bDiv2hGtOCouTRgKn1IFC8GyYstxv8d9+ph1ODjXJb5XtojeE0coN+s7+6xJ7MtODWqWB/axkw1q
N6bq46Ub1TIoOL5Mh1YulBzFfMIEzF53tEn9rurFAu3jA8qZ5QllBfPpNqFsWKFBxW6kmlXD4vh9
0bSNV1qJ2pYGF9sqNbVnmnD4xqaSUDx9uGiCkIltgSM+YEVfLlqlezD+2k4WuWrSbVOS6EJWIZln
KOvdx/2RoPhdqAh1J1KgksVd014We0vR7S1FmRfES0lL5qROIfKldAP+qjsOaJx5FktC3wSYrbmt
sZuYKj4Txq5XwVC4HQKc0Hejvk6lNj5SQ7ECARTXEOi/66oCnbLOBsKjaOg8jlFyLsuod1MV1qvp
droMdem2Om93PM9qT8O7J2ZFMIab6TJANLFZaNGtRZ3G26zO2MVol6CdUcDmFmuy8w488oLzEi/C
nmdXVW3eBH2vXAvz/LSMx2LujA2AB1Dva5xVym2oNlsH53rbhr3elgTtKqXt1XQ39SckAEdYZ81C
GensHBHOAFmwCyAe6EWn1Ts4XZgvOz1Ie25I7pnUHs/T0rkFSKG2tgzJVUHIrRwBQ0chu0HvBxXR
W1l1zQyPVn8clbw/l4X1eGDwT3cwgWONB8pAGadQBrYvyAS0dEAi4NCGinGksgUZtxlE6u/GVkau
TKpumwR2Or7JUA/3ctQ7S5ejS3tabKiVReuy7sg81315YWSP3NExZEZKu/cr7oRgnZHaIYu4KZXh
BmsZd66JsV4ECrDN3AJKaxvvSTRlqXJeoKL3jO3EJ7VIOpeOWemnIybXNa9jvwI0e9wnBbke6mQd
y7dfh4v2/sTPgRDA1YGXgWNvAD6dwx3BgyYauiYqFxHthllr9+yiJ8o5obnzrt/fJVWA3EzZtkuj
NAZLVSPkBh0elpPvaIZhhDh87OaYhl4pMoj2kaDdkjljv2HM6jam2iNEUFW3F9HojzEwa1qrEbwJ
tMZ930R7qHrI12DB+LaLI7ckrdoRoavTMpPDrAv18I6Ud8xENxNUBKZxE4wtBHdxEIKNrPSWJrDD
EpMh7/OekFJ3flWXvYe0pdxB9sVbKP4vFqZoBl+FTeFXIyPbJg9C4hYWPSuR3HZNG9ku6ysbQoQk
ckcpN8JJqTvWFd9H+sO84KXYqv1lUBuV4tukLOe8NMVJlpRoXU60Xx83AH/2viFvktSDgzfhHJkm
mjE7s73HHYUH/xGrE0s3HgsCz5AE2E+dBF5ShdjPcE/BtwTeKMCquzLnbtoVbeRFHbW3MhW+HYmL
xAzDZZgDJVSCd98GScWPxxwga0IB0+FRx/4EdSbQw3qTfyPysAmU5h+qEpwsAxYZXnXjcMCnL41r
gk3Xd0GqFziLmnlQ4nBe9Rwk2A7F+XSp6vGD1YylB+9Hit3aQveWCMC3harxYo3zTcI4ORtz2w3D
6Dhcc2DYtkWDwPjAvpuNAWJrbNp6bur6diyjYptmzaoc0/JkQp1csczVVl0u6yITLu9LFfm6Htp5
32lrCe8DSGaN6IebJk3yj/a+Isqz81LtAmWr3dTCulceFTF1dROf6LLN3bALyduplQwNeRuV45z2
VXvC9paxtwdr2VfxzYR6I1nTTWnECquu2pRI4Ku8LmLXEgiseQaM4thHwTxI0ptpMC1NPHO61vH2
XXaHyFwNTjbPICrbdCrqN6Ht7ATPYk/hUG1pG8d+AJTFrM+sfEeUyk/6gAo3ICH1em7ay4rUahvw
8nK6my6oP7Gtsr8IM8e4KreDhdXV2ldGZxeqa0pXpBVxFgTIdTOy9jhwgLaK84D7NhPpdan7mxD4
0OORWMFsjPtT2XBxAzFj7uuh16eDAFKxxWHpQxD9PhZVvgH6FUHICy2FO7To9DImbbZ85KoidIlG
InZ8DKyLoTJzHYe5C5GN3pKxi09ikgYuoXFxHShkz5MQYOR0C0zEEkiXDYSy/L2xAsg26PRbBDP6
wjcIOH+yp5alA+wK1OS/1GUah6GuxwpYuLwJ/JpX5gTMpBvzmm+IRfjG3l+m1tTXUxl5NHNNV5Ar
K2Bv25y023J/Z1ryttJlss5ksuxM6FyMSQ50U9X2C2DJ2UWpbLOW/aiAnSiRX4y1Q5cRcIf+WIsZ
aJ4O3R5aSdOp0A17Cfxo+NQS+bCOqjZeqLyYgYdu3rZNPMx4NcbrITVnI7yVZK0ZG0GVuDvFCB0K
zOnUAv5zdFORnykUNLOiztnCcoy+Bha5cnETDJuqV8V1mSHXqaP8qtUcoE1WLcamFt4QiHCraBFt
ADwYf8zqdgkF7+MsFPkValv2ft/oUiGXY1DQBRCSp2Zs2vNiDItdUox3eZ1ZJymqEw9B5mDpZAzN
J+pWohs9dPHbJCPZ0tgNEM55NwuAfbgAL6ZdgnN+3zPmtgkTl/1E6sgkXxuLq0VXdcZz+oKsq45f
tXuQxwbCXGY7gMSKCm6LwB10jK+Dka7ikfdXEU7K4yjG4SwjvfgG0mAH2gTv/tq/V8dhCCr699p0
ECuEVUkVz3FzTMBt1BeJZbcXyAi2ZnGuvWZsXd5UbJbIuvGTybRP963VAHIgzrYlDvxd2PAZTjpx
mpp0XtlGrGWagZtqQ+MHgXof6Uhfqr5/N9g6eBis3u0L1N9x7FC3rcSwq4d0BgtAljUq2gvgWUM3
Tsb8zrSuNUT5O5RA8OgwhdY9ZF8AB6TnlhNYV05rfGsk4SaoU0CundCtZ6EyWxRxQq6qoR68NrXs
FQPJdRWRywn/RTwTc5oR5E+3WZFZp+X11/HLJLlnLChI1hGQXQVilwNXCK/XeblP2UgKOO/c4mMB
FjTx0ophr+Rxdh0G7Y3UofVgJKRwEty8ezRwaTF6YcE50L2Dc/a5RQt2FgXxdREg8KxlRlJfoDYD
1PxBtFV2zCJsThuIhN0IqIVZUtqedlpIMIQd+tiKoC+MUOpHSDvppull7kVMxzMxavSO9YE78alZ
pEsvLEV5WrcZX9u08mrYI67l2Eh5ox4XAWoqSP2RpRNRcjJdIhrRkwCHkKMiMvSzZID0Xrf3Kk52
mTuqPylLXZ+TfkAb7CQbuxPmvELC13mc7UoLcINdB+26D6PihCe8cEfRxV418PQM8j9iibGKloYl
9VIDueBPrmW6FG32gVHRriB00BCx5cUydRJz2tc88ODHv6ksHZ5EmQ2Zg6Ju5ihs27mu08gPWW2t
eVq8Qb3uZrk05E2eWsuOqRLiENm5Dk+lyyBMhK0J4Y8FuZeTpqoiv84iCYcSP72GcfeoEi9y3Icm
Hc5W7Y/c2MyGF8wgDgfcX6pKNzijzYbYPoYgMDpNC6eZZ7KQYCp57aUWIulGE+uqlla2zQDlexAP
D++iIlRuUjVoN6TdAhIxGlIOebNriK683Kqju6C6y5FpPVTbYjnk8bBrR6mPVSXf2VU97Mj+Ympq
Lx/xCGTMvcDUJ4nO1XXY1uO8kAVsnrzZpE1LjwNcZ4NbCduvnOo+0dqXdlEcx32tz4woAUSUobUE
BqBb7LWwd7TcBgWgcD2QC8ry6rzXFt/ynjRumMvibTqksV+osFu1kiZ+UZbNokdD5GV5dk3rQs3L
Mfig7IqBFwI/gPpKLm1RGq8QwnHzwcqXRtHqbBiGYjNmzWkUmVUxOuhKDEwdA/MQP+Lzff8wzFll
0bsK0BnA6PoeCIOtIbW8EBxEaaoIctspwYtkBAThdkUjfWLL0zgGcj2FiPm9qAoXRch6C1FLPk8J
6lbCao0XZpDlr6sm8Bo45b6Ji3FcPWbXWZQWKzCeED8JVCWujup8jtBdjff2tcQtvF0x7v2va5Tz
kkwAElby/UtcIOtpw2ku4RwolBMwyDI7sgc0SocZTku9LWReunbaqEVTV2weQhLFS7P4YhhlucO6
ZG+cbqlSE75hrMZnfeGsVUvYG93l+KQxAkiI/S3G+bAM8xGwc5GutJHNdQdmxmEh/aCA9SGt5bzl
A++8JENAYcKrSBcjGoDpDYJgVdZCAbUDwBTChdqj74eSAc+b4121t9ef7kyO8ee7vjRv2zCsd3li
7KUzVNUszNLhhmAAh6mdfwhJ3q37XEGRSE2cE2DDR+AvonwFAUEJmc8qB8wP8J31SHgFT5w31Cq1
i1Onf8/y9thOhuEbOG2KTj+b/2kJqIC3iThYwtaG0pWXezrolNO0+TjMMy0feB1Fm+kCvPTHFjCE
c3jn2jJWDqfLllyFgQ3sb4ra8zaDHG5n5cl9bgM7CZj43cBF60e1U29UG0NaD3gTP7QDBlY5TdzW
Stra7dlQnUD2OVx3Y+lKnpmTVGHtOzhqZhOgp2nwZiAt35o99ueMv4HsCN+mWmYnomOOO0aAFaPB
iVxRhl4HgNxJtK/L1D4v9xeMW+AAEormYSbG3OvjNzUkbc6APUTndVUmy8EaKs+orva+rtOguCCx
5xJl8E5GDuaR2/D+D8jKHyh1UwioIAhLNq/0qRJ4vJZR4PFpmytwxovBaGuRDLL0iRWalWmK4prI
4G0kenKq7QhsvPAHkececyBtTiUys4lJy1G4COrMvGmZQ1ef+6Pamg9NtYoqKLppRabmISbpcdyq
zu9wn60Muxgap7ho8ra9JIB43Fix7iTCvL1MO7B7ZZ6XC+f/EnZmS5LiWLd+IswYhIBbwOcp5ukG
y6kkQCDEKHj6s5DnqerK36zbrM0bPCIrPNxB2nutb+0QaMwpU/UlF1WJezDIHqS9hBf8EmXCxinb
Q8l1Uk4KsWt9ABZSUqgbuu0f4JFs8fHLxOpbaHJePr6Miq7ls3szP9WCnpkUkriH+ynVfuw4Fcqk
QT8FC9AJGYjgZ0sOXPnyNMEkTrP1ynBU2N4f0L9150p5Ki76Pnrg7hgm0o2wWDf6HCl17MIZtVxP
Ap5Yk1z2E7qwFLqd2LsjdV+9MBtT1cxFXIgZ9WJf+mktsjKhxobWbpmfPf9k/OupYoCnNBSzxXxm
5Zg0uZtdRJ79GFEsvY4iesgG3R2qLvhhrlnz9b/PCkHCDaWZt+soc28zhcI+NPn8lbWTCxxozm/d
5Lo3v41GfMRBk7KwofHU1eVumlF0WzzfRrxxPimQlS1p7W43scD+1BwqxADnEJLAbQKkcaKsp4mF
jfgzyrC38c5V13mm3r4MASXABn7wcl99+qMoodKiITPfmzskyf2ZPbUFPVi9nI9ZtcC4XrEPDKA+
adVUr6FfPXWLGBPlVeVnN70ZeVpGzN1meir31mKbpytS5wektacNDRtvr0jQbHI0UR/OKCFmoYK9
AtxSL1no7Cq3Gf9HDRv8uY/4gO/APLgOELx1DuQfNezQ9BZ6wSLbVjUN07Z14DTj9+jIzLZkYtme
OoK8K20n5kaqC//383XJik0j/XFHMdQqDl3mHYwoV2GxPxcef+/MBmi+OpC83RHRHTGfYfnQ4bQz
JjpuMS+WAsCZbLvsRIfCjltvzn900k6rChuOzuyzJIP6UgPrEq1wVYhI12nuo8wc5fhgLiB/Ehfv
X2c6Y/VRZ7jzoGeIYlNDYEktq5ZP5gg0iXzKde6k9WTJJ7YegaxtEhEFOjXi8bLwMC7c2T+YDiIf
6mhPSqtJdOftOYTSB7i40U3XzvEfoaNqdZph+srjuCoh4FbGuOvy+lS7tfoffR0+oD9XSwefHWZV
UZtC1ESg+N/7z2iF4zD3FH7CWOhsC3FxPDPKuseymXcZF9NHTdw8mWYnu0nRqlMdWVvVKKvd8GiJ
1/73mUBXieVYRj/95jh0TfYLtzWPfRBpN1glP7Q1VcnsZ9G3ph83prebcg12U8qPoYv6dLbqxzm3
9Y0V83fzoYIMe+ctyV4Gf6Q7P/TlfiAhHOlx/C4zuiTIRVf7TFXRzSlVu4vYjFZa6uhm5Z0TxNXk
T7FE67WbK83Tijf1RYrsCrxOvaCMFqcFFkhqjKmCs5vM/c0MZPMyr+85NEg3pmimj+aUd5psxCKs
jTnVACuPi2KAimqYPliigUdafEYjNamzRfJf9bowjx6HMrLIveDoeLEg2BsVSYCYPXeKa1OF3c71
igUiYm1tKZy4vTK+4yB82NR9sDGnWAIOUCjaZ6uIvtUweb79fVCr/LuFNmprQwlK8EZj9W1zoTcd
6MjSXUQcNA7/vlTTA9Zj9QpDwN0LWoVbjalBHwrrr1OxMi3RVZ8pqasNjJP8SPIsenWzfm/WosmF
aBT50VPH/eic+YyeGg7SgGDS6+s4CQYlw+5/gQwDhumxH2PfFHB1Wv3Y0Frsh1bmh67Kpv+h1a7T
fP+9y0OLCKhtYxIOJpwCPv73ddu3bedZti13utD2vllbx1kEeTrZPNia0064/p4GFtZl5Q7Y5xVJ
ercebq2U4jgMbrQtp/Kn1yq+MRYzDHL3IXf2VWSj+elKaFaW7h67uVJJNAM1WkRZX6jVRKuQgTc2
GjeqE+ojWCjbDZRfOIL5lwXDkbDtde4jDKooLdYjmXePoC3q2LbhzBf6F/xj+uUYOtNdavoSzBXQ
xkh/DARmZj/0Zwa96MXRpEu1N+kDXf0sLvTVpgXoW+kBspyzby5r549pIu22oEG/49Agk9zh9b7X
AySysYHuVds78ACJXym6MRWzZdl6a07r0FenufZEOgXuLQet/dj1FchPrz2bh3Cwhq1sJOi99bkh
t63/8Un+wfuE1Ke+C3YbcDlcTYzT+WPzaLn27Ixmcidl15QbGULR81atorQX6yiHqk0kbpYLa/QI
NHjqLzLM//+RnNqdfP3n6/8cme9k2n/yQuG+jbpJS4uHn86ArrcZBKyXQY9n8IH+HScRmfPhADNK
fStvzx3LT87KSTYEq7WVjfrqFKN1kTKA4czz2B59+2m0Cdt6LuNnpynkWRdDiEvJmvZl5VUpTEB9
MRq4w8JwR6G69AffA6PWz4H+qESRWI4o3/pxIJuyd77pGpBnrVDyAWYND7YNQSOss/ahjsoscXEX
XeZQfeQrnl2WxQjdTYk9UTVWFmPW8MXGB7V+WVbVQbguA4bkBKhCJd1bYEfixW+cR8Gy+jTpkm26
1bomate14RRbpJ5fsXwdatnXH/+9LPf/zz6Dsa2uaXJgVmJy4h/3a1WJjFqRvcDc7eD+tBW881W5
Y/nw1JGgPdYjgfG2aOA5dh9uVV+og6Pd5QkjRmvAL1Yc1YV18N0FLhdVDbkGE6tSNI5uSlgQMzdk
Twppg2f4JNO6ipvFutXiNWhkcTVnFTsCbpoeVWsHN+4Ff7kw655gVrzUtPOPNRv5vg5n1K8ZzsJg
OfxxhC7ePtTVWjSGLWizFQDrlGPHDq29XVVWV7PR+0WW47ap1QZSDqhbBSnMdoGhypMKaH3L/LE7
/vd32Pu/jU+wsuQ+ZrIRTKhHWuPfS2Kr7KbhXRHsIh6wq7YjXsc5C99MXz+Kxk/VWIZAxOFG5d5O
2r2OB8gUInHdwYHnqZuDIZ97URU3hspLv5aTbe27wApfFmltvHW1aeErHeqJb3k0NYmxCwjP3N08
iSCV4eDPsQ/SDY6hm9v+HqYqiwnAwi2cmRrS5uAHKWvU3rWbAWh0Sa6sa70ky1FhQauHwBzlDt43
vLMay8bWZY0D5HCWmxE2TSqyJTsV64M5+uehCynIAtLYm4lOWRoxiMYuNFKYRWwqz/9xWIHlwa3K
E90CrYZPUm6Yb2/uMYlgJknQufRnB74iLFGi6CZgm2Ai0RlWbAmOGpbkxMrgsUPnHptVgtTZL4s7
PtA53UHokvOmlA0MOuOEzF0h96POli0vK7JRq4ZhTq0Cp4XTZTFWPbU3hvEgZpqAgY02JpiS+U15
HqMKqDUaPLHLhFhuGRVPxpkRHZ1vTVQ/sWCcE6GHIJ6rqD211G3xCkT0meVY+FoX/Y0GYeqoqkwC
OMWX3AX6ndfIRhgDEzQ8jJmi3/3xRVPH//OvJnA/NF/oo9DtG2q07EokL04QUduUlYW7l+UYnP7z
yK/TxRDM999BLI2DezZ3zng59hkLOQhkAC3exrGYT/bOIEC3FiP1z1YNSNBVkh9I37FnWFlv0Z1Q
ttWzqU2aqfjmzxJFOGTB86JdO2nrSN3uH6QcUJxoPgMMdkS3AwqpL5J23Y5x+ftI2uLA/fowaq/b
+azQF1BE3c5bj/T6XOdN59nNxq25HAHdulihlD51esYl46grKyM7ZdxrwB6BxmWT/O3ZdjaLThYJ
5iEeIHqci9Cf9jl4KsL8lxk001OV2cXW01N9YoVXXuEytWlWNcGuapZod+ZlNH1BY3c3XpuD/4Zg
bR6KgH6tSSfkAvJNl9XRtZPLm8tt97Xw3GWL+ai3qnGHR9vz96axkf86K6gaHtsy2PuFjit4c68Q
CLtTnoV2YvalbrSnxPoKrajeV/UIL6FAgwAEF+ezcr+hmK/grGQILknyl51ZWz7xMhZhIU/Gm8K2
5cW1mpZDmTn95v6htWgSEpSXzrlbH1qdq23ddsBz1lOJFWcHIx3kSb+8jj4pnrksijPnfw2Ywn41
y0nrqxl97wqp23xMo1Z3m8Iul6+s4DvlqO4Njis5mOd7NxyxaFjT1tAC8PzTCiTC1ZyxAUb2FNV9
UuPW2OVWWFxqtCiBvwyQBOToX6Sb3OMGcxZtEbkZYreRoQOVjuhjMehkgCmadCoon91l2SwsXOJ7
I4ArSB/nHnmS2RLsaNrwKgeA3Uzj/g5vu1UDEs5iz2DjsnSpwmJr3jgdBS/3dtMa5ZJYrNW7Gkz4
xSIqzmZZ32SvVRKqzt4a/MY8aMcqtxHk4o7S+YzaX8XmajBcUk/yBU3PcPNXQt50FMpm4WZsXRJP
2dDsAoaUj3lbDFyBeu+mdN2dxyli6LZVi9rXrR4KeyDQ61q2FU5XP5hQAN6tc06bAbKJS2Gt+l/G
1URLiM1gyj6H7PNubHK84QezV/oCbLLnyOgQhlhx7NxDr2ao9MldXpnSVgwaaz5X4TOTLe7CtYbC
nz8o05yMftoVjXOzh615SeY1mIcSMO5/303/DBSiLMV0YfyPBJjjiE4jXB3R/+CUM0Za0uettRNV
niWz03wbumkAfZBFhx6FMvyCxv1a9PPCJNk6fSHgKs106yo97ZqROZCK7CQoq+gta3sQtv7UpXQa
nM9iJn8Fcy7w/mftKZv94RIGEGJdO7vqUusodbMJt3yF3nHW2dWa7X5vUS87uRW3TpM/LOBbidjV
3lDGJhUiAyUe5tBKTSrEPORjU6Za2tCzrPYhn+zgKuaQbvJFQ2zAHrsjVoCdz2sWtaElWzZuo8ne
nxr1WbJfdSic97BBUVTVAY0t0d3XQMeX9k6Nfpi6K/dGmf3IfA1rI8+wgSnlPNSmjC+KNuUja720
gah9LDvrEllAIwaP9/FUWv7VDkMo0nadPweutZpqOWRN7ZdvTlY/ugL1NGxGpL58WaUdKI+bbwEk
7Pyh2Esd5o9zVX2NuQQQbDA/Zxk+DHUmnaXbhznaWXPqU1tBPBzwEQr+PmD7scu8fxWCkkt7QUBx
KSb0AvWmL8LqYVwfJiWH4x10uf8ySzOhJ2d13aUDHPiqLr8gl1Q741h2NhZbra53w7KwuuPSlcue
52U8Myt4MMQoOjR6sBXulZFP9H+QvLAJcDH+S/PGSFhMe117qPXPcPl/wB5NTccqqkq+Z1S52wY2
6w0W2KszUvf17zPY4t6rDUzwiMpuM5Gi30yBIAcVEfwROfkw5hWPW0HHi/lOVQEb6ztsBvet2xrd
n4Gc6aX2JeJJVS0TB7dxOcPC7QJyzRG1eRG62psqschGLx6cAdKIVwdg5RF4TDmj1pM5Ktnw+wiR
JJjYwt4j7LALHP1Iy/xHvipQRoay6yatkZ24wvFt9hj8DTKkqb+g9/RXcwUq2nx1Tt1fkV51X9cz
v9PBtkZsLLWCedm02InftIaSZpCLKToJ4oMAqgVQUSM9YxO1z6iDHxHlbfbTNFYQRiiiiF5mQQda
e41+noq4VQ7fiyDzrvUShrFXTCD9CRvdjXm9I6yRJC9ew67FTljW3n0/9a1xSnB1uycX3kjsAwbJ
tpIPFkw+PHR6cd/soNtWQ39qbRRkRFQEHF7FL+EUsvtDaS0EoZ+ObGraoKvUYXRUPd2QFU8sGpTY
fVn+KJWodh2Wi8Qbuv7gDS70f+jCbawBFJSz4q9iJGTX1ItCj9TwjWvqrdrzs53ZgghhxTEQ/QRy
aSz2Y05kqpESiIeRQEQWc/uCUPeujLriuQPSlqNWs66mMDGKA3KbJ9LMSLgM/dZC3hFCShMd7kcZ
UPBZhycWdMvWA3e541DMPl2WbbKiXl7BPdfnxvbBZox4vi2tjZ/zatuLEGnAFd41uK4no/73pdWb
lwDdbnrmwj6ApgQlUZdOAiFkfKgGtOJUymwPF/MBsUR5mHuo+RBzq6s1RdGWBdPuvif/9+3D9cM1
3/WftyRYBxhRxAWYC8TeRr79X/vHgqaJeLzMdi4qnEMUIMAIOIVvoxGFoXkIdbi08T/nhEwpUKxv
uhTfTY9glaG4Vjr/nnMa3JyQwAkPSbmHCPe9duEd1NZinX0PMWvSEZilhl0NFfLfUGPTfhh8BA/D
8XlAxWyUd+WFWBjwqUkrB6kAJ/YGGze8NzFenj2YvqbKrcQoYsxW2UZWu3yuYOjjr93QLQIDMo6Y
/WrVsEe9Ru5NsYFE9ZC666kpOxiFkBJ22a20EAn2kFzbkC7ir/CzBCKjPuAeJJLxGm0H6ljrBMjd
uu03v4c+T4pIPPp04HsfkQJaz+gq/465EJeEuJk8ABrrcygyh2SyCNm34PwaAP9Py7ot/X1mXs16
Ru3Vllybyr+/9vuFo1YFS8lhi7oxwvOQuec82BioF1pF/6ThByU8JNmVjx27LJB7YtheHNimEV36
IYKus6xYLmlc+uEu/XHMEPMcOHmja/pnQAojdWsBW1969KcaKqTt2vEb/uXHBF4hnguRbamFfG5d
j+LMLP2X9LPwkc7sjA6mTJrIL57MQ2WjNF2csd4tHdr5xK7ImTKOTLLDA9DKhX+QtBexkl33GKA+
BdO35pfdaCApFVN3nAvYtf6aHq1ctLP3LXTInA2r+ig2QFTAHHbi47DJA3+6mE4z8Ior/jiohM7S
TQeQruoFpeLGF5b37sNSPXGvHxJI8R9kCiHjWdVjp6rpbIXkegfCNCWfyAM4D7OV1ZsBgxIOAJHy
t0Dw/YCuF07R+g9ZDjAoNKvfYlkH7bJ9tC6DrPl+306wBfWxFfXjTo/B/OoE9Qv8J2uri5GnAP6j
JkZyYjy1LnDYLWvYjDth/YjCnYxtSPllLGOtAebi/+uw/qujIkqrWVrx3LGJo96Nsh36eCsO1qyc
S9/vP9if6uVoc3iRrGqwX60gJK2b4ig0EtitHNIOSAvy4sGEGEv9l1XXKMHmKnSS+3/AlYOO51no
h7Kx3kx0hoeZ3rv5mG9QK7Q73gmxQa5oBhoFZd5fL4k5G4pHq1BpIfH52AKBndJo/WQ5IgrKrkVY
ouHqVfZmKaYOtSDlWedsZ14gpmWMSUv0sjek5uKR7GDTmLt2G3srNGx4YfOA7e2lZrJC+yDbwxja
88leyna7RDx/qSMsutbsDI93BmgaP2Urq0eMDFFHvyT5dmo6DsBZ0i1vELlCVVi9ywG1I8yQ6AQV
/POe7+I9pk94cGF9ypBgdAqLJ+MMYnqKNLkCbydXv69/PzQucp1VMg1Fd5Ks7G/dqmubh9AfTyMi
lJBiYUshagIjpA+da42CtYz7QIqYR+yXyZ0JCRXUAcC4i5RVv1teRjd+hhDRaIseMi4ebLH8RIJW
nbB1gl3LAKRQgjIcz3dnY5ojrOym6NqrnTkNGj/Y1zKYkc5s1skLpN6ZkkV93d+iUKMWUHZ1LgVw
YCp9a1P60kOEs4ZKsMhw31hD1h/kwNrX9t1IDPCAnxEuY5sGbNw7YdjWQLA4s80Ts/63KMfM7eB0
/gK3R9ONOW1gSu3u8R/hBF631U1bbIrVjeTh4L1Kd25ADVpxVk78pW0R6KKIk+/MPqMXx4vtoB1O
mHQRJn2lvY0BUJogBL2Hz9IGOjn0zen+i82zdzM41dodct+p72e87DHspFje5KB2JWvIsVMcwIVH
ijwxNZZ5CNdqq68c+zjey8MgT0xpVjxnApE8AgYO6fY+2nAwCd0nQZGatoK3Z1n4WzgQ2Q7xH8S7
mgxJlbKkZdJZ7spWQzVca0C+RnNhz/0SJS57H5fkIbdxYciIE9znw/Q29tlfCvTgZWYV7bbjgCTC
+j7LPN9CYA5e2MxK+FwzfNpiMCm+PcAM+0NE4L/WEDDFn3mm5votJS7xlmFxF+uUE8iBz0A4b4Jx
cqNFNJ6CoWw2okRtOML+PyGkcTCshdXY77ZU7ZtPbjzou8QIcZlVvzmteiU5EOB6ndZR1t37GKny
EQu3TpGaxXAZjvPNOFR5Qheb7m0q1W4EXPSaK0TH68x+QXLLv7Z0fLdBRU1e7SMFgKBkmc8/yhLh
Zu6SXb/iU0ET2AlCSvow4SVC0qwxKYDTU96wrxXLejIPylm8ZJA+/mNYoGOxsibTanC6Km+eZ/++
VNltC3BKDsPGQExe0JZT3Jb+pZs1P5gL1VrX8gHgzVlXj73bVRcuURp1qyaqaA7mHrd5DHaLxUJ4
SN04joVWG9GZqCTALKjzPmFcBlwXCmHTyfkF8VV2f4j68jsZ6u6IbC3HntnrvdGzzUPYxI0u+U6A
0kmGNQjn10FzK0SdmGyc3zXdo5uHS3q/7MY13z6E6p4kJZY7HiSCWAiprpVObjX7xSq7XeSh0omm
un6ZAN9e+9yBNYPotBxxk1chmY8RtgOTkmupbM5VkANiD1jzbmch3Zaz32wLLzjDa4oeTMRIMrAS
5gh+cpVGDRbYrAN5IBr0Nc0aTMM4DXn2rPEX9KtNidkpbw7pphTYED2X1TAlrVDR1rzftBhVHHC3
3Zo9FQ4BeLBBJRL5oEe7VRgF8feR3XrO/r5VLRiuEwclfSnWt7ha32LzAEjuwy5Ee4Egvx84r3+E
zmLHAx2+NaJwT0hSTLu8qPJjgFv4WlTjkmY5xjd0cKsTjh3a4dn0YDwqMszQ1iTyS/XC0U2yNk/z
aJ4eHMLyZz230TaYcUdNjvPAex0d7BrpZXP7ZZW3sxbErgLLG3eA7skVxghuwTV2pjuqdmiy+HYC
pBSvPcKRs0oeEfRCrdUN3iPjPyPWggQYPk0TaU7y9stf7J8STfPZaO9TNNAzCDOgWcq93Ku9xfkL
938TF6VCgbralAp9zH3lhXOXJQ4Uv40pr6LeUhfuOT8U5qP8UMttmvvgJ8YF6Jjr2U/ufqfjdM0p
miCwKpI/3uEXiPlbTEjQ6T2gNupgf1+pJhJbAdymqQqAZ6/ZWzodercK3zxoFtfOTycZekhIC4AI
tKVPPlHv5h1D5gd7FA+b8+gVwVPVy/vzEVwuvGb94ToY1GTeP2WpZHJp/Sol92+qrb8DnsPOEcju
YWDjl92BjAxth22yznYurT0AdpsOWgfWNsiC4Amevw9wV+gfK8JvYUF4oTmt4tnPpxtiXzLxqzn8
ogI0drFsprCSL3YJQNmT5VsbjN47YpQosCh5zVDFbVuK6qddkyh5VA170CoKmgD8Tye38r2Zm9Ki
PbF696mZ3dQHc3cp1+wyMv9rRYs4qjnNo2JIsn5uUaNBcMpZ8c7t3NmRyAt2WjDvbWjaox6bIrY1
unGDoqFvCjdS6jb1FcFG0QIaR2AgOwy6BI3eAYpH2QWXvgtgZ7Ee60zv9utXcE5m68Kq4T0CrXTC
CgOGfb22zeXP3FzGM5Slo15Hbbme0Cdv/Rbz1YaJ4QGrKArp9hWhPsxvKZrotdHv3Rpoob0jrrMs
q1hwXt1y3/81VIGAyUyXreLe/BGE7DPjNUA9FtHHsqqRGWnmD+xBf34Xme3sUixwvTWhiOuUfnBb
/j6Sk/37uX+OGOfYnevh9/fJrGwuHseH4nn1LmhggY1lx6+Lg76nqZR6953xfchBNdrYNC6h6ocj
YjoiZX1XA6UDx7mrreYRyvKZ2JV8t0NcjHpE76jnH3h2uBgkuPXndzYFdE9mCdhF4JdJ0KKyrQk2
5wI1TgcjF1N2sLybVR0KpBPbzWuhovAUluBo9Fy9mDtCZUinZhmt46hpyKkOEOc2dhfzhzopm2a9
5RXb6MpdAxcYQFVgaNKjHqEsmiPzHF+fW9bnzFERsi3jmRObnLwPjx3GW1gdzWnvquNYlF5KNWvT
Yh2yBIYKYyfQBm0zwaGilrpDnoIfEWnGDAEbJGo4jy1ux0VufRXx50Fgdbqv0TNGnGUBH5+rio7P
ntJfrQ0HgPNhfLbJQHdKU5qYL2JO3AQ/YvYSBR8zZhzMMBg6+CUjCIc5AB7sute+G4fTOIzOppUR
SUTjOLuBLF3qtXb3UAkF+7GeCS7kmUAfLa0dybS4jQFIAj90uxc7clps2xEYdjd/9ILJPcGj89Jx
xQws8UFElH/C/p7WWC4G98xbtrj4FUufPLuVHZ2osN9sMm4m4FTHfyKwLh+dVA9Ou1980CDKXtZ2
vU2KvPQeLd/9q13JqblFph3LOfwPorzzMrKY54R+Q/IvMXOXMERAxIOyyc7uMrQpRVdsBJLQqVnt
zcPgg+oUGaSkud/e+9ammcLfDZy0Ryeug/wrxGZ3FGsC+r5RYDxbupAc4xBw4fERUTcZLG06YNQQ
7LP1vOCwO2SIPcrObf4dU0rw8/0QU9Em3DJlrfaw1dWRIVqO6CjT8VLI9gPk2IROKgxeMaIgFuAX
kTTQ1WkCavs+jSQmBi1FY7RfijzcWNJmyV25xt8Qw/gTq3swIfpiTdK3S/ZkW0SfW+ebCXpCylBx
HjG25+70e+SJIC1SjJ5b3zyktpOSdP26vNDtbykcbFuCH1OmGGHjn5DbHZ97yEtTE4xvgmmYr/mT
Mb18RzY7p+imrb9OCdKwo4+AYFNfW8FHhFkq26kmwd6eQ/5aV+Qx6/Hp3HHf3iNXWVgootbSBqv2
NnNld8yW0LqhMsf2tELv8MVc+PeVQgo0LNUG4d38+0KsKOmtQlzcOexuTdhasdf6XloyH7XYYoGH
tavyhjszR7xoeA1WwwOqhwNsDlNwEFcA7bgOD0GsfOfwqH1paG+ldr4OVpqqF1MvTEsAuBxnve8y
DO+K7I0/a3xobc++ZYC9inBy/xryIsZ9CEpelSS13Dn7iSDMZy/c4RNvYRbnE5UPk40LcF0GBKch
tHav3ejMXflsMn4fawQKwVKgB1uDMFaOdnMOFD+XbhG8WkhMQiPKDwO8ga0zotur2tF6bGeP7Rbh
FScrHKDBzIJvhcflJhz7YIfG5zyuLDSQHcx9AiN+zD2YQrjORFw42LLlCgCxEmEO7o3DO5jLLoNu
UE6BfcZ0BXEGRgeVZR1hpYh/cUBdvQG5JVsrt0DacYr+S0EmwwQO79xVeo9GP5UsOiBQ5f769wHn
wTmbkO+xrLWbdKr+EtXQXjDbKz9iJsoXxY84YdpF/5T1WX/FzCxMelIj4ElUg1lOu2ODuPbWa6zu
Y6Fij9JC/KgihPW5hUWNM46sGwYkab6O4JrsYbesR3x9zhyZ5xgDh29bDW7aMXLSrF1Xqjk4GhTE
9y/KyvArNv3D0In2qRTygXfOeAFSX8HHw13vALK2owK8gBcuD5X/jkTEiPmRzH8O1ZSBhpXTF2KQ
tzASAYuVgmOuByxRonyG5JCloYisQyQQQhmLrNq0a6E/lTK8QjmFhOBv9YCFfR7ArratNyZzgZkK
LiwKLAmwZYvRe4q8Kj8byQGfeLQZOKKlEw2qOHNzTO1DCigRYbdAyJz+ozNCHkJuKWnGxGvFFh5V
94P0JDacrj+Qz36g0Rtvgl+D78xJWOv5bjM6mNZ0A/u0C4W4fzciD981HfRbtGBiKe6b4UKQ4rsb
jXMUpWUFpCqXeknMbdSH83JoqbMkXjO++LjrnuG6F7Hld9UTml96rEJwPx1S41+u/+55rxNzy/9H
2HntSI5kW/aLCFCLV9c6ZIZ6IVJSGIVRi6+fRfO8XT11MZhGw0HSPStckLQj9l7nM6tGcfCm2Nyp
lJnDMkizz8qW4lCSgayTMEyO7q9kistblpkAvLz5pMVucaxhJD5YeZBQKdSyz0DD4iVFd21Q6qAd
1f/0iTE8iURH6BFRn+Zm0x1GV1CUXbZmtRWhQ7/XLpbGySruWjRU9Gb+FGObYFWOymevd7WjKpyG
cyPXLHXFyRPoMoHWULiMymBnB8V8Tz391pRox7oEeTxRqzFV/vG+xMcMej6QLCxcuyY2Wfo64o1V
Y6ak2NzWXhYyh/oqy6DhQhTyt2LGNW0d4uePo42yXgCibPzaADFQO4ey8p+VNDE2aRvhcZXrMhli
wJ15d1Zb6KbbQ+vM4MTwG+nxQXL1vyIjQxlnC4/qaVGLeBF5qfJOlranqIlGbGqTfez1Jto1A/q3
XB+CVYoX53FoY/+cJ4m3EaHMfiTlOsw04weqsJ4lE41N0GDAD4Yy//uE7nFC2tU5bjpjI6wpugq9
lluZtOFKpbVpQU8vi+eTSXfqSsQG1LQ5oPMq/5Su/NfGmNWHNNDCi93lYAFzbXy0a4Q1OUCMTYDM
MsQiGIlrX7t7t4jWhlnM13ZRsNXLgxFa8lynzjmy/WLtz9G8VznH7MUwQ3pn3qjdzPKjl8ifVo2T
1WdF+LhrGifwZpTNC+RoS2/CSu3mrHbJlY2TMejJWh1Lu9pG+UoFCydre67sOF7hlxfjkz7p3jpK
v9TpIR3EWivgS8W5IVwnAcZDTtdaznTUV17Cj547/XNq43xUYBD1EC5Cu0Z2/pmkfxfp6bixmhmp
29T+DVN6TprTX02AaK2Vj6ld1Vb+qbI44VivQtvojhCt5q072BrlR2ofdWIP58RtJfW4pfhBuIfE
wLto21ELgxe9MKJXwXm8GsqWut8Ux69J6Zb7eameqGdpYCcPmdAu+BT7hyhuAIQaxrFqYDSV7pw8
jgI0ll6ix5uK9C2OSu2WVGJa50X2ATU1eJkr7HxTjBgmJ4/8cgyB8krKfYn3dx+R1Z8q6rCrfypC
Ff3ujStEu/IhL68LXwzvlifPDSvl212bXRkCm4gsz+pm6BfTycxE9kVNxGapiqcjaQG0YE4SaeTO
1jKz6X4N20tlwIvSS9U75mVw/WFPqAz5NBbGoVZ9OqlZN1PD8h0ufLPEHHcQsrqdun77stHxjTje
2teAvIxtSy0FksGGW4/8ak2cNubCwVIKDk8Zx4OeWgcakpwFNx/e5+GalJV3uwdUMsYToRq0tZTp
Vg+CeCXr7ph68V3m72Mu2Y5dqB0JU+K35Xg/N2sTH+67TPxi6/QtNzRTuz/X0RLGguEme4ebBV8s
zkkH3GLhCoRWzUAqmNiPrjXYf8LOXYXACX5NWdvQVda8V2w6JoS/xe5OrXo90256UJYJY4Kq7WSe
sQskWpE0014Tn7CiNKnGK9uUPbq7ZEjkN6PSuouk57AOS+ddS6PgWYvGb1rq2D+Kofn3RlWeSx0e
7Ox6vwuoC3aV0qSuCctS4p9f2lj8KIfS+jCdtKS9NrUvtokuhlHk3bkItUOR5zni88bFnKehvOFT
A75eNDjLVrQcS5Zn//26fAgOyHG+pUReu9BLw0eZhM0mq4b4m1vQJrHiRv8sdfkZ65X1K/eMLbIn
0DJhc3bCDILfYEeXNNf6nYMM7TAGJklfRc7pAZA+EF04h5i+1OMQ0gl1B0DHRWqTc6bdb6Lwr6qe
ULLJdNwTK4cPQ118WKr4aOIpmKeu2KjdtMLIkshqTXVyfMbrDIulGtOfiZOt28XQo2nyY9lBTC+v
7RDkr1VIW7RxpHsw05GUGqH+wRWkSnG8CD0M87upUQRZ0HoyFk9JWjifVQk4AOlC/dwKV+4yshoZ
vVZG963z2/n7DDVulZRF/DCxoN+8AIhA3fvz9yacHvquTNae0tCT99853YWWYfux4p9a6KKgzIuL
2c70lKoSwSeRXnx2rDrd9JNH6Dza7apHTn8LG796utuu+yh/UfocugLBVSbGWe1RZG2fCQOvWaWd
u7IYxJoC67e+98XFACv/XHakfqCKVpDx6UtE8Z+Q5viDJRKxBkcHhthJN6bfaAupqdrSv2nPQMZe
M7AsZ4r3+t2aA5Pqm95l9avXoXbviyncUNK5VUMvSd5Z3uukMM/+0qZVuxYecq9x7LWiMfcLBUVt
pY1JWlOUwXYSyCrbZvlWFraiekJQl6RXmn2Mcz8ANEV/1Lilv1FQLkTg0zqiznE2+iOUxODVGUgD
vM7XLqp5bi27yfxMpUKe0+Xu3ncYDRvbSnZqN/O75uw5MeJ9t7iiLC0fQW3PZ3cKFuIHuEALZNzW
LcinnOysfCRpmVX5pvfj9OhM3ZHEzT0brW5ti7ynHsMVelYPmVe79y1+/nKlFbm+1cIQD+rcW8a5
6pv/2YSNDhMZOcfYhwXcZbO/wmRtt3ESaq9T3PDusrD8ZZQzWJj+1+B59pvXRc+TF8+fuQsgs0rb
/NmosMZkvZFeZj/vkYtU/VZBxDB0GGdPmjTMl+IFZjRzNVUQRtUJQyUbBAZ4EHXmxMWk7WVI/01z
zbsYM8lZIJE5s7toEBIvw4le4EuPKCkSx7QvbpKGRxSG/hYWufVllc9DwnfXWtqnCHJ8IzTs1YPr
hfO6N4tgf68yO3n0UPfZsc6arRFhTpQgPJ6bINoqgUO97MlA26hfU9PDfFfn+NsDrX9Sebo1xvW+
Ggb6XC4RR9E0+rVIDDrVmVmiTyCtLdxUwsqle60NiXUwssDZBlSCLS3u/6TTvvWI/5Dk5M8JiMVP
c6SbBaHGOJr9rG398kjEHr/YS/1KBO5DG41HJd9QD7pWDutcRsm+ra3D3x7mjMwFHbJ1rBvol641
BlfR6+Z2ykX47LhBtXa61vmIk+prMofod2sgp+ok3llqBFuj7h64kVn3orFjueVGmla71kZKTr3h
aGRjkNzDiU5vLMungh/lMqVUBZQA4D+7JFDhIevMaY0hz73Ei6O7MkftW4kVxx9jLMpx+tosUfKy
NwRt+or/+3hf24rM++ypVB7LpA42rQ+1q56JgfzKNVaSWtgmW7JaPwMaF9fz727ptjkihVMLEkkf
kAKUrADb5M7TKUPUxyQaGd7WnXqteuDHOA51Km9OTVGxQOpAJdIfHxvHONoUGxG2sSecAoRH49ZY
Id1qDRL4Vi93cT2HZhpXw6M0Zq9ZD0W6K328y6ynP20kjOAoloZd3VHgaqPO24zi/q7V3568uV0S
sZQEpx6u93tqlFnGY2AY+dqGOkzGxZ+JTERjaFjAdRUyYayEh/ccQ+hXb8cP6ixQ4uOgrbpLNV4y
D9HQAuFNlrJUMl40k7zIpEx/Eyh1uiXc7Vs9P/ee22EmIjLEOVx80uCjiLn4T3tOHw/ltCWJb/nZ
0m3k1UBZFymzEjAnsUHmNIh60yj7zhKZU1qgYGnCQ1TXCt1I8yhR9BuCTD4lJqNyHSw1Oj5MxpoM
+otJH12DFi7AzekFXro1fU3ulPc30fUEw4HxQTnY+4v5GGZTu8dhtPDiEwn0tCpKu3/U0mHc/rOF
Y2R4jMDmbScp1gHQ97+8RRHfUCfBwc7KiWopTEciHh/V5tKTTupq5dpd+Uhm3t8oyfVowqoY0Hui
l7tqaOd94YViK/LW2FR6l39F+HGDiFqaZlO5xQvsPc85Qt7a1/NDMzcvfaKFZ5+oc233U/sVOdUl
WyzVYYSJp/W1j2ywfjolwbCTPyo5ulyoh9kQAEeEOFEkYAsGgMO4l6GITsuWZrOiRAJhp9pVT6iX
TH3bYq7K4/OwbP3z7FLWvP8H7q/r5jcDry91AmSioTXK1ZjG8bGkqLd2En6KdOhJ6shXu4MTlvQA
qTkcqEcGK2WAtNFpM3Aleo70cnj5W9gcaTkH3qMzzt3tv5ZQDmny2awFJteoIo5phg+7dysaPgGS
sBzBkBZW9i7Pyvv9ufBnB/PFvG7iaqeu+mQoo6MR4G/q+3I4WKJPN2r0StbrLwHlqhrbA7WPIWr+
jAv5yu4enayffxmBPayI/f/WXtsJ8uowNQ/lUk/raZ68Oy0WmAWqIqsVbns41wZaFGE51nbI/Q7t
Bfy5weZcT6jXXp1ll0oAaUU+b/GKzXu305tDvZTseth230y/e2tnRnDEs/9zGNzp2lvNRf2yNHPr
XUc/bF2bPammOqgXxdZojOEqlmp4QD2ayz5PrunUn4MwyX9H+XjmCs9/N2F7Fvxodz0aGtdN7cX2
kXsMfLa6eoMVxlQeyj9vVf6k3vcoGc7S1zlCkehZ/XB+HulQF8InurjmxqU7eEolFiMzYIFoJyqT
ceLkWycQ3ofRImJa6sQZlxqBWn7W0li+aNgTcYTRYy9EBpg/oolaXAUEx03jMT9D/WU9pUTt0wfT
gmR8syaiZ5E+U2X9rQ8M53CXmnGYkSATm6XXyC+612owjgbuJhhcxuvI5IoT8yDIoJZ8XlZxcvIH
ggx1Y0ky92noNTp96s5umNjI6myAPr3ozQbbq/Zpz6d6CbvAfI/NxL1irmlXijsIzc/b1HGyDWyh
H6KFOVI64x8VdS4hZt4Cg0ND0+8nOjQrJzQRXy8rb6x16XluEBjTbjE2TjIW+wnY0FNsgyhZ1jC1
57J+deZsXr2wB7/hTdHGcag0Cl/8WIwYf/yMzjPaslWgWY91Gvo3u8obFHlBs3ECwka/1ZObNdBv
jkcn/+n6O1mbzQ/8fe39BSPccZJ3Gs//+wW1ldDQHu3jv16kGTuRZe3/+7/yPy9Q7wNKb3Rt/fhM
up1eBirFq0qvtc/RNgckJfEi99bnF7tD7bkcTwFUbHOrsI6pxGfdMWtIvd5L6c40VVbuaQq367E0
DRgARvA0ztlenZFJMjd/Fz5oascB2Rup45InjqVL3b+uPmddo2yKWOIiPNBgweQaZztJCLtDP7tQ
mFU/u+ZA3de0xWC3nAU4eX9ojt9t3GrMH0SGAKxe+hujWd/iwrOw29gUva3+MhlReA/umNs17QuZ
/93Noc7uazijUxIuZBk9QaPiR2vTHftP3Q/eky4efwMjXFchpdIVc3E2oiKYSqbxy+o069x4pgTc
wCJZGaWP+TgJyYbRhRZOHrz3unOVlVP/MjrvXc/S4FvQMi8AICRlEi7GB5HQORUYMNZjBligGud6
XXV+8ewEDmz00ROXGKHiGbM8rrzQdx47IS7AmdEwqd5CzXfvzV9G3B/CoL2okOCe83ku17OHTUlv
o5Uj7fbN6kZ5qhbYGFlwc2tnkizVUrIqK3wie4kgtThi2y29SB+/cIXdcLYNue0Lb7x2Fv8hETAG
pUjwdyK1z9HyZ/Gb2iLVj/5ukXET/ZdrrEHYYoBzfI+R+M4q0Z0xxLam3fwyeyS4QVUWb3gf1/Mk
v3Q1nATFdX8FTphqJUAJECnwIPdVozF/pfIf1UMT+Hd2iM+srofcmE/RWLTYBKjOqYDf0waNnMj/
oU/GwlRcnnVJFrDUCLedr1UgrPu5MlNG1VrNfk/mcDtpnCYkSNhT/Tx7sEfwPSLt5Pe8HTfuYngN
CfhWnp3qrxHzm3YuOqLcj0qMjihr0ZTwSTKMaeuAdHaXV4Lq9aLaajFoH9WuQzdwrXUWUP5RvrSJ
yH9ivMPlRcABUSki/66n5BQ6Xn2/EbquTE7gHP/uOuD176tDomtwLoR40h3esDbV9K9KQmfcQyYW
gthFEFte1dKBLzk8pSn8XXXnLoGub4ST3P9AHJg/fdp3V5V1hdX8Wc7wIX2sHvDgr/Y0FWiliJ0k
piBo1wlm1GJ2jpIkC6wmw8T0kWrt/U2FiE3ESGVU3cT1PO7PIO3+ezcrKTBqTGiIZJx8FRGCBy2d
479bZXBlFeqfgFBVmxy844MTpMZhcGRxbAvTuqm6mI2CIK20+FGYUqNWMH8Es9k8q3i7dFJ3zZWG
WBivAICu/w+LwfLNf6N8gI9iJUJwYVpQxXTf+b9tCw3lAHwDWnRsXM3ZGmMVvBZh4O+6GsUhJKHg
NfGa4FgbFIPUs0iHJzQu4Xf1JExl96nqxP1fqhc00E5n4Jw7B03WRh2amd0yVa51u/+boMDRT5fr
pJ6kIQZGDz3BXj37z19Xz7aM5TraTPRZdz5kqXnoAlI4MTxnaKRGo3hRD7Urug2Lv8fJwrF0pBqb
RvLAbbS8v8LsfGT1TJ+5/ytpTvNF1OHHP/+NAbwaMU6dn+EZli/4JNNTLcpppV4ydilZUQmmrnNf
ErMSVyXbsZHrHCtdMNFDado6ab8Y7uxuaLra2z7XDHy3gXce4sI8WMvWuByjeLYU5pHf4bo5Iu4J
3RMQhQzbZePuYxpv626hwMYd+UMf+vJg1HpOJqmToYSK91mOCPa02jyiRWieKtaovk+7I8q88cqM
OTggSZruhmUXOicz4UoNqf53xwuH737aWJuIYj+lwno6UTd+Q1XTnHXa90/1Ak5szOaU6w+RbU1f
tFzClYK/QjA7VC7SRFRHxnujDd9UnVy38E715YRvJaK6EdT1qgxji+EC1nLaZmTddH7Kba3BSfRl
UO6Vrydvm4xlAITmFNCcWdKMOQtOnaY7X3qPJscDK0TIzpBEqJ/aLssLbdv7J99LUn9fh7gimzB2
N7bXvBXuEK0KvQN+XoT/vYWz6H8d+6/XLYbkpmxfp7YoviU5Lx2wCd/ZSK6b0HFpxKZcZLkZi8ly
kxkQ1jqYsAEEiCv5hEPndjzcSfNGOnAql3BwUD9wH6Qq+zQPcX/l3l/dsSOmxKWeue5H6fn5Rkm0
sDsdNX3gnltM1fFueC47bc0wqXwtDVKw0kJTZdFtWkTLuhZ9T+Hm1tKnLpCaQKgAEj8rBk7phx98
v+FZHbJnpkvFxrHxGaqlmpNDNGnHua9azgfT+laMUjsWtEKxfNe/SmG0Jtk59ED8HuE2ihLn4Z+t
SNLPayu9P+mLzdDpNEEIMVkn9O13ubc2zYC3CJ92fWbJlVJ/q2Meg/YY1fi9oX4H9tELPqt5C1AF
+3caYK9drF7K75VGHjMiuKNHPvlunUzTWW3986DX3njU/Pb+in+Ou2suEO1i1rG5aRuHuul/2Iqw
lfRNPzPowncm79YGcqPEv0owhkQVGz+VTLyohXyH6aQV7wD/5UNblj9F7pbvQZfGxxhc1aaasnKN
bd3npNbl3qn8hkx0qj4BhWacJmNIYOC378Is7sdlGfpbguKNcmbq4TtU4OZV7WQjot8ou3WRpBrQ
IyHRxglqARzCfy5Dq6f5qI6J1usPyC0q+L40XgaMICtrqCh7L1f4WNWfd9dmarT5qpQMQW2ozb15
QfI0GzL7BDpMAydwQJ1yOc51NT12S2O0i1v/Rplqdd9bDsmpdNZaANsJpTDKthDeKpNN7NX9nCeb
6PdeNBnPWML+zFSnfoiJ8GcKU+1JFbzzmFKWaQbr+7mcavOh6qsOFEpvvZNLb5C3T8hskubRCMN3
JILdzeHYpqPpIjKBPidt673FnC60EXy90tRPlKqK17HR5VVokKBTiXTHhRWk1a8oyudnLdUX/cTA
J7EB+xqOTnUVCWkZJ38vA3UFZKP7LpAgl6qrqgS9grzeA5+IfYHGnmNru7aUHq2dRu5AQMQb4oS/
H2Uq0KQTmAVxPn9pXY+b32mDjcP00cOQuQCChXSIlTxG6tkSS5yoPMiR1l7kVf9n2YgT976BPOG+
oZ6KB21jGtWqHn7aPfMKoXONV3d5EJ3wjlkvzVVY5/WWrw8DtJow1HQBd1ezx15TeO0m7sRwVP4s
3G0PHdrfpxDMGPhNQvF03LaV69+Cpfc4iVyeiKrgtPSe/shoqF1tRYixPEZSKBFFUIX16X5C2Un5
iJHEfimCwjtAhONmvrQqoDxFL7l2qCvNXRdwLcgi8Yuuysj1j2MfnAaduUC184gNR/y9P/ZG2azo
5JXHluub1iy3n7ROkxcWy+YSzu1nYJhcYupZRzch0OSuXf2gWsUY2+Uu59aZf8DS6q3U/U49hN3C
JIWpsRm98bu0zODBhPP4QPHePLt5dbnv/ed4MDiUYrWwRv9i7tQ3pgs/3hGz1HQsMLgFpp2uwjBz
bm1UuFvAOtm+o37SgQ4VgFVuZWZT/1a7ZclyXtAGVc/m/pziPHfpkzpirz7biBPwcZzjbThG4Drm
Fs2E2UFQRTfy22u28APC38PMDMDKcJtvRWF9ZGltHZMmWasz0mXCyrFvGbChHIHuDZ9v+KS2i7a0
T2AkWGucmK5V0A41DUUNIKPEu9Z1v+wii49W6aA6DVhTxiyFplOsaI62gqIc/6+9XQLwgre3SFAZ
vgdOPkbrMa6aOmz3DvnTvbPQLbtVGsTbuKf1kfb+g3qFOqRiZC+z/v4DN+nmSzOgh3xWo0whfS21
iaq+IWSeDxOCCxVntNPIUKnBbbfqHljlenyqybpxZprza17qBF2IjWsF0jMtUz+o0KEyrfoahY99
lFKnVqZgYbpUXYNWXsLJdjbUS6vvGaP3bATaReVRRx+bkvtw1btEps43AA72DUtBsZKZFZF4RQFO
DnnM42rcmX7tAKQBxGhI7csRYDuqcepOdxBi7iC32hSh/d5gnKPYVj0ppceyZ42M8cisyjnWDqUi
10dp4LROvZFWFm3/4u+RzSIHoilQpO62TzPj6Mej+4Kp90OJGnsHBuToAhOIjGI4GloCL6zKtsyK
C94rRlkoQ5FX5o8Grf2bF9Z/kAxWO2Ou62NX5vJ19CMIvGS+coL1isy9ewRw020A+Up8QMaaLyK+
5UitH9XwvHYhfcjZ4T05zd2vxGiHVeSl+g+QPOBYCXkfey94j2nJ7BP8hHfVpEgpdhQN3a4QDNVm
aEqW+gTPpVvq/S89ytaNahblcMJLf26+h93kMYi2Ml/kkMFB06BSOXLWVuqWZ6i0WacqsxlGKlk+
kr61UvV6pKdKnKeOj3gVTkWceCzMbruzReMfgyB3n4CydIsZlrBufFUfTT1gHikekzi49hp26dgG
zVULzNRJhorC01PrCdIaGn+XcvlYT9QlmeXUCL8Egd/GwckZq28FBoZwZefNfFpszqtSxOK5b2g7
Oa2RPoMBQFmzABDseauC8lik5YPO4FW1ZDNSvd3buCFX96DcToyjZTWOuE4xp95gMy8nT1qIToqf
5CfBVbE+3KUTOLUSasvktSdtRC0xI7tUZlGtboHsWiLdK3dWPC05pDQPIEge5GI+ZkLZ1mUQIcwE
Q6N/X4YstcnjXHUT9C2q81xs7TGSFNzV1uyQIldYl/ZzIH+o07oIsuxWheOq1lDTJkkgHmpPmx9G
By3k/RNLsoprGrXRS83ndxKp3Uqdnw8FRUGDaZQP/9oCwrXOXWa6LIn62Q0LzLlFg84pj4IOq5+J
S2NpaMNOT6/STh+C0HpTMl3djN1dN+TaTph98K2kylGajBaIkuHPskGZbPwTCRy1/O9If7XeVs5k
oH/Ef6A+T2dFN9/M7LWBLvRoQ054bh0qhtiAm8f70NUmFMuEZ4TkWA7Gn62xltJIERgyICEM0vLR
rJ2Mu4E/7arC9L8xEO+tqYns0f37/bOXigmrqTE/uUulWNkz6jLeR8aAYSiygc7VecG8Hb9aWVA0
ZiOZbkna/n2YB2u6oWG9zSItTuo4qK6/T06In06F8b1mnqOKYG1ptRe76euVEVU3JdKFEEAOblrD
cyeYCAqVPzqJJU3sKAfvGY/Z3f3+7exfo5T39A975w7godG17tIO9L5ovt85IlhFb5PZfSdJEuBF
0bZP7anCU/pSdLN/jj3zZx8UBbVnKodzje7T9Cxjo8ZBOxXIXqMGejPOjbGz3cL+RjaxVv1oskL9
WEnr2bS6n/8wfuJar24e4+hV+24wvPbvAGC71uAKexjIQuovDyYGibMWU+lDetasuyjM1nJmMLJn
+86hD634Umf5IpXSmqOeZLcE5cCdM5RT9tkwLHDaubqWIwPs5odUr/Wz0Pp8C9H+7T4XI+LWZ9Qv
LcCTn05nGgDyvf4W5OW00yXKzM58adEwI0iRxmM3G8Btg+iqzlbMMD5TxRuEcTaDhyMnSS9MPfjF
4Fn/Wk+QQ5MKvYxbfIwG7onKEeBXolB/SukZ9JobbUHW9XtrERGEsLc29yHIYQRlgBjtv/g/sjAI
2ptwX7r+eFTFCR/YZB4GzkVnCit0aw0hyaJT68cgXEk9NHedtC5mbjPJVAhIQaW+qgqNidRFx6pF
QLsqBvfBFj+CrqWPHTmQT4LnoIeD7A/pwSUUaIvyJTGCC0TrpxG9xJrSv4uNdn4eqfq5fRls6rw6
w2bm1IiQfhjIerTenbbWwJrUjQxxHy6I+LWNTKiwDhJaEb31rIWTUHdWwNgpewNFEwx5YLor1w92
Rsg7Fuhf1mbL5W2H3UtbpyMuBgO/X/swm4G38dJa7HR0hakwD1NiOFhF6N62HV6WhHZxN/qMROav
XEbB3/VzoFr+/EKRFctiFcAJijaM77IP2dA5a9Fq71CsnkRWiE0/Cg8xpGTqblT8Kh0dmzIm0SoO
cHjTBM0ZX7uKEosaDCwHvUBc3cTTixO0/j7IWxhag7kjxTgNtjUendpFhF1QuofLutYD6ykWQ75q
Qb6u42qK1iMgpRUX82s+J3QzyuZH2SEwF1+d+QXcFCKB2JnFuJa2d2FYUbIBeM30dJq7WApMzpGw
RA3ifQFkOHi5/r58X4wLBjAYB1A59Ym8i2qLQ2C2zR2CpIY6xtEL+aeof5+cOrvaetfvMgdskKfL
bVDWLyw8P1FLQvtBlucWPxG3MQmQRm/IQoGBERWnX5/oZX35tXtj3PUq5Qwwhhx+iZafUgA3a20e
vlM2W8kU/VKTe/VucmYCtYkhn40TMUFk8h6pBvwc2uK9TLzHajHB+yxVlpGZW2HWVKy9foBXrD8G
tXZiJqJ2lf10jCiSEDwbOJ2n/r0nUV5Xs3fSZf7bkVzqg2VtDNf+0RXyJYkLwMidscvn8FWbc7mx
/eVNWTiGwoURMsJrtrPkpZDGeuJGrxlWBHs6qfiiKexK9E+OiXT12lSsZek8gSFMDbEm0CzGIFh7
eIuYHZzBO7eNENt3/YJTPbl13NIajJRdS5eIBivQHS208DBdw2YiG7IY/m3Y34oeWqZf014bfV2g
l2vMlUd2sQLF+OnAQrngAIUU5q2YUJrzo4Zcu0byU5b09QXd2FAm+TYz4pMZNy++2aCJ7eBQcjt+
rwfEUPmQYZmhPhBacJ4TpvPBeq6Bs7OUJ3r3ZWUAkGNKBH3iRAer7h9Q1NTERclzYTFK0G/SD2zs
O5w909pNqgnZ+lJF/EnnKF7PycTnYCpwOhsfY2Jfurn+TSTT72sverLdng/iUfsykfU1ssKw5aMK
DMt83qD27E5t4Zx1f5JMvWlP3UTx0VzGVc9ZvM08vD+me2kHgqpx0n4b1Qz/YJKPTtujoHC7m88c
7BUjjZ4q3cOX1qfYMIb5V9vqv1oGo/K159EKi8QxWkiH84LNHNrHydUSyA8QJsoOOrMu3rgxo9Pv
JgSTlDpyf4vPhgimDL+CvGmOKcaVVRbVM+dyFm1aUcDa0hNSEdDlA6EWE8PeU6oXiCgsAlpnn8r6
wfOyJ80wPzV3DkkHk7dOEEJDiWLGUNZ6uzRnQEo/Wd9gW6RnkaR7t/MJuRoNxaWG8BbPbpTMAsMC
syFMbHhG4OznWr4VktxEi5CCatGvPB5SEll0tP5xyG1qR/a1q/EZhWbxwcj4B7vT0rXLtdFbdbON
BWOGTAnSIZz3sm3ExYo+2hBEDnqR9czk3jXExFUOgnCRDTKXyc3OZWGzGI5aunIS3oc31ltIbw9B
23xkkBo3tSbAFXH2i1fUCfO3hQUXV78tJontcfVmGxE3A8CB8bcfWclmbh7j2PnON1sLWb7Nc3hh
Iszas4d8q2uChaV9YbTXC79ld3LjEG1BNI8sN/n31jD5nvp91VJbz2Ia73jDR+MJF5LxBHQWAV84
bZs2/iykPqxG3fq0nQl9XBh+tJEn9xJt1lqzKPc1IttYTq9fK/Rcrq1z7wExx8g/JM5MY8JsQboD
UoYqgob9dqMl1rCewO7vk8Q5zDrTvUp/Ny2Geb8H1ADH/ixqPEBuMLwI+1oPab8LQuPNkma3yrHD
bKzQaNfdpO10AOAYe7se7UKXPIgiBtaBEVxzsg1SZToh1aO0QxRyUePRp2vgKlojp1/9Z07F05xR
yO97EIXtSuDA3jiue3Wb7qkUziE1JuqjpftBZ66nBPvdAF2zlUNXMkomoVNjk90O2quZmh+6jPGf
4NFpDAyNQR0wViT0Xo25YhSNzzSHJBj+D2Fnshwpl27Zd6lxYUYPZ1ATcLx3ydU3E0yhiKCHQ988
fS1ceTNv3jLLmsjk+iPil1xw+Jq91z72A9X4DGZqqOfh7PC+eUY/fsShDGYLhyKNJQtUnUFUFcqn
MPRCd9a3CbNDTxIOHRKVc7bH/A/wn8dSNceAjYTp5Sruy7E1yEuxl8g3jfoxG4egz+yrS7/CAcRv
K2sJmdHUjdtV+YUN/YH+NTq1LegWbAe616XKt20tj8WiX0cVcRU7stceYenxjpHqd1UaV2In5wvh
6RsCv74wTXHtmHAHSCmEUfuajO1On1mXWyHfmI3c0IsYIl5S6yPS1VNT93lgY7v3JoDUvAFnF5PB
ojl+WtLLjZbKQ3CSoGrKO1WrMYGSQ8t7yfnKTQRW7exW3O+SyHbPwkO3cSz3o1zT0Qss1ZyK7rOd
hQ+OyuRaA1k0GDSCiOdIJY6uWc8eLEuRSjQMyFAXhMFAswZ8L/J5nuwpn5w9Yq4H7kHCuYC1kUie
/XXa5KlPwhLzdNl646IAo0QACkRtukb1R12OFc6+jPzsSR3wDVgkKMaLb8LmCJpIcp/2JO9Gab7J
E1j5pN0C6zaHBQfDcilk8VH0UKgspkxF6z4gtWy0jygsGrjkFIk1rp+kG4NsgL47UvG4dPIp7EFD
aYZ92mswp9SM+mN8N8YUgF6WOJdsaq/11LvErPevDK+GzTKRpcB+nQSzVgVRplPaR0PkenPjGhtm
7scMrAJruSjxDCQCAePADKdokm+xOwUKgpzADUtS0BxSBYUssHQtLCzrssJe3sUbXRYg+MTIk0DL
f3WM5NhyIIe0leoz4g3WFPlsJorkbLd6D9CwSe1T7FTTopU0YiPI4K+HC+TQdjDeE3JrzIJL30Co
8IxBuZ3twFHijJMrwt0pqQWk8TcphMvczeIJx0RyYqOwGeE+5UwqqcWZy1sdv/mKt7A2VhArUgc1
xcbFM5jLpx0PYxxkTnolIKY9DKNEipNWFM2YeiczJ/KJN1yaCGlNpd84klpNLxNWU/OMZXp5ner2
HDk5D6+Zu33Q7c/BjY4KU/dzKpI/tDUE5y1SEqHDOyd684kglmcRr+mzv6YKp25pK+nGFOLqrnQx
Rm64+9CNdFXJk7nLNwmxh367GInXDnoFSEcR3ON4TqnGc13NtxoRn77j4tpIXvMSR22jI42aTOQd
dVdQHsW5P6EPBSqKhywyD8hEL6bNvimj9fImvMcM62sYYDxoNal3HLtlDTeNkjjHi2IqaFxB0HrQ
t9Ybs02NxCeGGYFfHV8TdOpvdu6XuG17NANM4SosdMNlvVsGfrwOvbraktesRC8wRt7TOdtW/FpT
nTQGPdR2TgzMnlUDgusp22ldTCQ0Ww9Lp1wgd8lXB2veqGF9R/sAJv6kAGSjX5pdbyH3NJPFbzdl
Q6Xn7W8GGO6pN35bClp4J4q1DZO1EwUVfEmzvIvSTeORcUZJExHdJk0sEaV2R1NMLqvaaruRlddo
2InnouLzBYsfJHgc8ZE3j86pNe2WLwrlLpri37YoLgTEspVL1AelR3zWKPKiYFAipm30FjIQN2zg
f/UO9rVi5ioNQTfV5aHlVsgFjBOr4ha29Qt7vacyf+RRwDKAslAYSXUcWKZjqW6JdsifDBUm5NAn
HuwPVPVifM2ZXVTVtrf3AFt/hRFhrgpD9a2bmA4BG896u5AJr3OzsndjnqFeextCQEvh0AVW4rzY
0Pb9Ht136yxip2uZhfDe2nB+cTWuN7Lqjr/nsdiTkCL2YzdsCzvRzw5MckVGLIiKpfTzhxVJCo7x
E0vY0UkXgguoeQITXIw3Rnc1JILr0LAnhyGus4sNGlvQ6VWdfcjo0B/tKgrmAYXyQmO1QIPjmlE0
xE2E0NIGfncheNw2TE8jPd/cIEaLOv7fC+uMrC7fSEl8ErWwfVNhbTiPTeHbDUDxMYOqY7rdqY+V
t5ntppcZjP0MtRmpnRHxFEVlrMMk52i0VbG1k/jDHhlB2UK/CmS7q4NIBp12hOkDpUiWsR9G4Ysw
3Y+27N5JwfB1KatdYSUvIR4YfyCy0yut6NOW7iNCgho4RDttJlnILUK0cwfa1oNGeZEADyhKKHwR
qaVbga0M2SLn/xi6W7RICPLaO8T+XKPqPpvTMOiMEe9KbIyedJHoC6arQVO28TYLacPxfe/VPCRE
aUVRkh8BrJEzkiqtJLHV6n0tFLqXTQZtKYeXsAhZzrv6vY3JSkqckb0w66z9UE7XKglnD4zC9O7U
vzlIecgWHFgtnZnjwp2eMOnh1ItHgmwQ09Yxu9whyzGnNBzn7vjc9d2VLBoTx5zzgbuwyAc36HL1
msVKQT30u1kG9uqQCVGV4tKF3uGFaTE9gWHDcZs2ME94fPbJptKc2k+g7lzU+NWdQO4thmQxjNzP
LGCjWKtgLxxwJk4LgZHZ3L52MoMFTn+YFeC/ajUwTT3ApEMxVeT0lo54QqM3HaIVMZEV7veUEdyD
t6N7gEPnmyHixwgpg2lWFLlddABhGGjoXmecj3GyogsKmy1P+ZbTa3hYlb1+fY4Xc/jhJOtFq1oq
FIQeK37JYNvGiMt5sfAYxFtRpiuEyWv7DldPZcMOUbIHQWqMYWVbkmY038D7xr9BZWErg2e0Rr0R
eQUOOerFgRlMd0SU+hcT5VH2/RfGeNamtL1+edO4L9pWbUrbTyPo0ROA+YMJGtHDP+SssgSvEc1f
3FPfGjyUTamZV3LW8iNrg/NY2yxsh9oJhACGyU7axGqtBFG7QBiJHFbZov2rWScaTPcQh90bOtXH
Rolhy5vyijNqY8eTfk3qWve0yir9pGi+seMz1NJUHCA2LLK6S7c8bH+1LNOGpsI2m8YBCfEG4+K/
ZTs6G8r4CFZb/S1QkDqx/RD1PInWNthqzCiwe+0N6ior+SgUGxKgzvasviyjAw0dDGgE0JBRHiVw
oTw3ef8yJZXjq/r8rmOQ5cZs7xylyk+CiB/mtMtDOSenwaKsk1b2VzJkPSFo81xhFdSCanvswwSt
TxxNAbBLQJBsMpAwKHe6lk+ea6NL1MdiV42j5+jGuUTes52gItm6jf+qjkgG08PTNMmHXIlNNBLq
8zD1PEe50j1LmXLWr6wLo0xibrX+kKd+zPtX8Eti44K89zv4UC4QRh9KX7lJDVpodCu8H6P6NLS1
sYUhhAY03XTqeFz/dWuy6u1iHTnuM4ZQBUfqgE2jxwdUKuRitzxsrW4bTYMR1HX36ap/cbcxDcJI
4PUz+OBmpGLNYphiGD69up/+VENbQjIh4q2N+4hJqNMc7AUbm8q0e9MaFJHojczN3BKB2q7MApzf
tDRifgRAR6GwwF9ZUpOpYT+9IBD/Thiaou3vfK0jhY+nBUi5c1gwgUz7CJIEU8KiIbNYTNFXjgLP
1/uGy3lYduj9vFCM99wpDU9PGZMNqD0Dk8MAruxsrX3Bq4/RQOMmMhXzBSasQaOmPpbp8itenbp2
QYB62nFU6xMImHUeQ2Y6bEyF37+Sgw2zYg93dIwQlDGYoOt0VPvL7MS8kU59dEZSpucu5ckjbLIS
7el5ZIxLG/ItBml5k2iHjdXgeiO62xHiG510RwP+wHyHLXak7UBmT/vGzlsvNDS+cbt2WC9yQfIn
mF4RIgel+7sYmQmwnRAs5xfhAayjfY98Qer6UdWqE6vshXKEGyOEHUJ+9XQqtDrIragGDRURCAyH
DNpE84R0diPT9I6pxUJu4rJggLAPBa4wUSzXNIvUQArjvrYYjU24QBdd1Zm9CcPTp/gRDcCpgoYM
GMlmcii+bKd/ap36motwA6AWZ25aqb45qsyRKSFi8p2DoVK/0cYTdicdicONd1kp40+ANgGTAKbC
S4XyDZgJVK5qg0N5v1QNpEonxpM2DE+Ia9kf1r2xyamlUT4hjTZaki+69B2rRUE7QnoOROCvtO2b
B7PfmQ2Wz7mKcKfr69REH4h4ZCdgF+gT8vGA9q/1fVswNVOoEsda3hsl3QC4YgbZjtyGboN+rbEJ
scrEw2Isms+oN/FERh9PYl+cYtSZeLQa8OqZq3wPrgSpmrykyRIo5apJayEKRGXyUswy3ovQ8uqG
oosM7DIIxQSDzw+JcfQbm99OIpJnTQONnEyMMtTpgT36ykGkqo/L/mXAHXTso2hEY2ihSc8yNZgc
0s3XTDXExptVnrTw7BRAt3b0wWNSdi+LY+w0WddnUOsOI0gMMFPzy1ISfD81hDcyn6Xv8AjXMJQE
VZp/Dq3ypU7ipc0JGNdHsOt5IkMkUGAxRIgXXbGSk1sQlTml71YGfLiCBgKHamctdnwXafR1msRz
NbhEyMQk4A0NY67xOJAqsyWZpPQNnZ4VB+vka1Smnlti+K27MjBmQW2tmQ+dg71EQzy/LcbkM2/C
j9rpHlKgXW1S6YGTvs7Z6svJKJbmJd5Kt4/uh7ImmtfxFW7cgJlK6QuqHb1iB6tq2QW5q6+2yYto
uKhd3BZB0Yajzzhll5jmton6eqO5yp9iKa6xxFGSGJx9upUd3HBhniyA8jhqa27lmopIgjYFV2X/
QVgv900yvlsxOhYjUldNbUmEAWcOGqi/xaqXp+qHc74ZtU45puG8ZRj5x4I96bdhcx9Oc33SsjQD
zeRmDMJ2IJjwLQm19ybXmUlRh4sh8mDMENZPcbamvVBL6G9ZQ94hQnJ7w3IPK2wp90aN5rXBvzrb
VA89P2qn8oOZJlpt47UV5QGi1GsCfoCqKya3pWTHn1lIiUT4Xi7GR82b5Q29u86pX7LctXyV1Fwf
R6q1bzrtOi7TXTnZPNAGS9vl9R8VRHs51ntMpcpjiOF3V5ptsIBH80oiuZOoCIy8m45UAR/RPFk+
AcN54HYSyRC/w3Jh1iUVaDEWL1r7i2/3ZGM5Az6cbWKhnHhMRNRSMJTl6m+JPrulp/sS7l8VB32D
prPs9d/d5O71LDrmiGVN6CBHXKr3dkN6k5ua6VbXzvFMbeqWRsubhKZizL8bXXDxg+jxmoJzHjzp
xsnYV2UEzkAiLDdN1//pN1BDBhCxcP7dSlsLJvtclRX5d+OXiqQLV0p+6svwA6th5C8rfHopzaup
IQ2NTUzToTMFsmUhxWDjF24xEmxavCS5hK3oTuFlyQZORCz2bq0kbHSvYWeg7ZSw/ZcU5ijpRkRf
IOtYgA1abvTG4zie6r8DLllgEYwQCCXwidfRKHkqphzh8lhnTDH6tre3k02VrltopmyBFz7iWdY0
g3lt7PDbZQ2KJGRgfEInC2pTeq0d1wfMoA7qQbYjo6HWvkndRKEZf7tjMWyiNFI45VpkWub8lcWy
23X8WCM+IQMBh5OBDMS1xAxtl6hjv0PoaaH0RHA8scX2EjRr1OLnBNOLA6YQ7Qtbs0ax9siO2MSO
VH5jWG7lqcyZaPeIElN2dM8Fyyh8ylyz9L47ArQPfctV3PdhhV61+6W6Eb2AcD/WWFTKzWifDEPk
Vy2H5RJmVwe9FmzSju5ooPp2AtD60AEVxwjCWrtwqpXbFFza3CySFWGMOYMiJcrVHRftek8KESTJ
8IAOdSDTtQBFOKfv4H3AxxstPjtttwD/OuhldsrS6TQjiFF3TUVbbvQmqu8qe7LTbTEBOTZVQHA8
Bu3FYDsWdWecSuZhGYmHt9BjM+5nuLpkpVeP9VY4+qslo5dU9VOyu3ZmavwxC554ct4P3YTbZIzZ
AMAFkYZGoB+SNFPX6wDR/WMpER5AX70n3JxovizZS6bnvnR0ss0d17fakgg7C3hCaNkODFiNsYIB
yLvQyeyMSx9zF5P0jr5jYA47tWO7D92BpcqEyFEfh/poIPtKZk51vXIB8dWvszb/kW91PIR7eKk0
WZnueHotSqTqZXnBTHxcGtUJurUkJLVCa5ngLlFeUsgimlrwZKJIRIVK2yvnMOiFhSqBgLZt5xw1
Ob2TfkCMABpo1XS/nQ73NolRqVt/mZP+jSxkC7F78SYpd+5U2PtcD9ngTlYAzasApWbvdDt81tp5
H3aquQVOXTAyuPTLGpeBHdXThvDQqPqnImj9Xffc9AkJVSjwAGZaL1nRLCf6vO8JhaZMcpDE89gd
WrOAh8K3Tt/IO5ObcxDbf/VEfKc9J5ypU95nhXJn1IxUS6v8rLuItgLt8TaR/QHjLGFsYYY0WI22
jMBpeu6nHts+UC7XEx2glmj+29csrVLRqZvZHs6moJyx5IjjLkWCWciXRoTxhtHKZ12xKEUPzZDU
yhYsFF+wHp9sML6bVCX0Avgqg972qeFGonLQqZSMvNhM/R/LBWULVxBvit9VGRECzvxm1qgsu4Er
0pgYV2jMP4cYKFkE828zpOZLhiAlbvR3dgxfVVM3DE6UAKGD6ZC24IkZvB4Ny6XJyxcbyA4gdjNA
Q408NfmsyuQ7I4h45Qn5iFkXxCzM/6epmje6fS1tEIRx8TCW9C6jYsRbDde/UZHq0kv0YYBpTiEz
Kb9IWdI07g5Je7ErbHU3kAuP1JelOaMqdvccQyYLOxCJfl2usAyRZwHlppfE3BRmxV2X2vx4okCQ
buinoWN4rOccxh1764QRPoPNRq4K/62iJMu9MBYAUl18SkYlKCCNbpMq/t2yJfZEuh7xYGrFwig1
ygB0qIhzDLImThPLDmBsKzFQv2i57P1C2MeuGsagZFWnZPZXMZIFzDTrXWm4nDSXiwblISAilYIH
sFKk69/KoLnroxqkAjsMtHVEV+h1uqfdPUwtGMMSuYZJ3biZRvGhzQwQC8Inru4E9bFanzmJ7LaO
oXzpTvUldONvaX4ZIM59fVSRrWfNk41MRgFYyPO/ZykOg71hkeN1rH92vd08hUKtD7WiBkZYDPsm
OvUyzw5ohBhzKo3FBN8lOEINfyfZxJ6ADJBGvSMauN+FZCognR34/fBGWHbfbueie+6AbG4hIXJr
hUFe2F8hdyRoFvNxSfFpU9AcXF2L/Lh1n53lF0C2X2yr7QvwnrAzI6wZ/aOdGsVWosrXYk4YrcCP
SpKCMdznRFvaDs+/uvHSwtVpF3Fw0mBKZpr6vDMTe+esUWKubPFiUwxmS5dvU6s6Mnh+qDsnRVEB
ZrVX/sh1U1qDpuepzJA7LNjeoCRwNoqinBuU7oCOYUEwpj7oU/Opr3bTyjHrpxqsYmKdGgeqs6W1
doDHztxZXWSt7BfDV6e4/HDD5KFEdPi3Sk0Q5LZ1x3KZ8L6WA2m7tnI87MZfTg3HKq60QzwZh4zR
6mXM6uhyg78Kl5vJqFOWIo4N7F9DUUiBUeFTnd13PZpqtJZ0ahaLjT5Fmd3cFP5NNm3Lek1HKvP8
UWu7DXKh6g7ZaOdns1EHhaOU8LT0EzDHfu/YVvvYR+jxhELJ+PNyjYSQBZroscx6TgBF3VcyVHat
VPXzvz5zw/zDVlu0EKs9qxyW6I7Z0Z3KRHmVnqKYiETZnID2zxdid/ciDtFAOA50YzgBwdCtt4s+
GW/zVKaICeroDPXBeHP1zMenmCA/Xq0oki1tjWOFakjXLzeX8I93fNKNvTmn6qVAddjD1r6ULlZb
FmYmq8GYQBnSN54y+56hmIG+yGGFkXVduavleN+sgdOjjTbS0d1yOxhmc4BuLzcOfnqueGjd9O3V
/WwiBLsx+G//Qbfx/mV4Bq5TMaODD+EXZRYxgxbyBGTJBLDe/j8ELtkXAnPh92uNcT8vyHt/ECFs
3nTYfijcuWTxjCXJc+0kP68Yc/EDrn8zZWGjpG6y70Pyw0NXybfOKui4BTPm7cs/3t9EGQ5lp3H7
VMmfm88TE9vPq5sI/aZJD4f8NanxH98c52VqePQh1qeMldeff2YkDOGrMEjB07Tll0wtwzN4RD31
SC1wu7jkFfRteUJIGMy5c8rpmlg94r/VJaUWWZzmzujbS26q1ruBbiRrG3wwjoYnLR6dc6MXxj2q
aHpemJVBnUYIs7XodyOk81BOZsqB3g5YnUDYrF/vM+NKkNcbRk0R3Mz51jCSqEUO7E+Gt9FQA49G
9lH2mnavmPn6CI70e+5cEMMMN/cW+Uqr9j07L5I0G/amvC5CSad5yy0arOHcMba7G9q5uToh8D5L
4M4dmF0mrqyCW3IKEnjyn5TxoU77czTpnypWn8/FnDQ/jAmM6LFc+zc4VSSKIpBDU/7gTxZTLehX
9Tdpjx8/UWHqBAsyE/FyimplldJC2YWGr6HjNo+lilMfe3G7LTOSUn4U/o0Qy3WhkkhI6fs9G2z1
dMPJXxoEusixE/VipEV25BGYgJZ0j/PqWCluwSD46Xjr/0HgWCAsB6xR7T17xfm9S9NdXAAWVWJM
lKKpWLqu4X6pvWpFFkoLpbLCbacYxpHhqXpBrEu2zSytV1enpirm+WwkK0hbRUYO3HkI02s6S9dF
c6Wss34ehaEVzYc0Mjc3vg3DmpOqiu6kZ6PYZSVEkGSclGtlcacrLepPlnLRRmVRxRAaStuoqvtm
Rh42Qdb84RINNVosimAZpA5J4cbglBtCc1wYiG50Z8UyvqB4gcIA8Mtj8xJuJPDqfVbFXzcWjIPz
f0fDgTYhV4qrRbL56MTF3bK+un2pmI0/5UC2/My86YdRgvH4VdENnFd4mY6yye2tJpbhGSQLK+bQ
7p/FtEayduOKkUJTyLZLN97wfMXbLg6bXbK+RE2fehqO/102LmujDm4nMtJ7IqLT6w2UodXI6eI1
90+b82ErW3RFP2ec8c/XqGb4iVUCQOWSBbfjS7P16mA7mK5k29Tnn7d+bMQEbYt12yrRTRVJl8IK
/9LD7WUt0zy6WY6TLevcElRo+/d2ojgZImdHcJfhgVa9vISZ898QSN049MexHchwnqlGtN7cW1rK
O7703XM4vA44M+5/3oo54Z8cevY9EWcxNgE+Sx3hN1jg9x3nyH2zfpDATnxjRLPz8zWMbhu+S7Gr
Jrg+RSuaezRbRuBUNXP0iQLmBmZB/+Bzxs+fhvru0PF36ah6ldWlv4X5+2YesuPlm5iJ+jUTcxmM
gF9YNrGUuQm3jcn60JNmuLvd3n3sflh60fqdsOmkblh9O0zSg2JxjtzuUMUtH6ZW5o8FRfTVqauv
Try2kaFdb/Z/LCMbpInK4efQH8dkfmCuPhYG2kTiKHQc61qHyqDRijvAn7bPyLH4nvPjnKiriKSb
DzdbU1e69lHay5WzHP1frLjKobPpCnHaLAcROYh3ZDI8cd3tb5eYu9oAq6o2mbtyieUqWqw5pO8G
Cxz9Erm2fBmNfCK+uX1G32BhE7Xglq1fT+5SKbuvFGNCoOT6fKhmljWQAJqDtbb2wowMgC1zyw5Q
U3PmROMZsll5pWz9xwckcbYHCW9kxqDtVj52ADZu/jkL6e76R9X9gMNjPeXRLA9DNOeUsM8lWdNf
LhMJUF3hdB4jl4kwhdD+5ne9mZkaRLvo3yYvBTG6vSUcK4gkgGkRm3YzlLidZiBvT5s7hclybGom
A4jhW49mcahnqe4QdNkPZVOT/jZb+a8qFivcpn8YQct5KREUvkQbde6IP3jF+OelQz+9/TwWrITH
WJinKbMW2e6aArPFRA7Iv+BO7TDABrNxpK3IHznTcaCo6kmaROoStKarPQzY1Alms56W9UMIUJLC
oHSO7cDuGdCSf+Pk/aDzRHruUh7ft1cTPSBZ2Q0WrefF1M4iq5Nfc4yGv0fkfWeA5oM+MzDIX/9D
tqQ7aSTGm8qebgfOttgnipK9rn/z9gduf7MUSMHibvRg2SWPg6NcbsZTpTXVQ1qwzFRqYbzBTEd1
i+9CwXW36ehpgcGv0Fy9R3qZJHLd2/fmnaYn6G2p2fZLrF/61VNlZPQ5TrLqG+dmuOB3t4gIEfZr
mdNPaPm54ux4xHPZPMp8Od8ORKfJncPYKMXGZRwQ1D3fe9wgH2SHFhJ2qitPEBr2lpQz/WhDjqUK
irBarSNC4RSzSEi6uKbrjXVcPtcd+/m8L5pzY3Tlcw4eKSi5cLeGUIvnkncAOi89n+l+smC0nphw
Wk9yptpfwAvfiIaxSlW3zkTNhYRY4hwB7UYXdUrqjzJrM77XsQ5ueZ2aqn6UdZ5vRoY9d0opjjdn
UW2GL/rQqK9TD31q4ZAOrfArriXiv9VveAttq0APNIrRbFEWSaK2c7KUykq+CdP5gqBl/q1fS9Ma
/lpG+ayz634r6Os3qiHGS0XvfbLUgqj4FUHz4/L7Kd7m2L5GCtShhlnpKkdfnsPUBRcCw+hXYTVk
JcYAi+ZcBokeN9+Oq2/V0GLPDuwHq5u5XTq5EBLDMTIAMPdiW1Ev7Fgq9vuQDww97gMDkQAQNWm8
WOtLUnIU5tvMvlA6REfBBAOfiEk8m5kt70Vu6WQnQBosROqYe1tqZxd95AWebNFmzc+L21fKjIHi
z8+hOzQHmZ2uKfEDyLoqTDe3l7cPqqVoR6ik4z6toumEVxZyYAZ9dKTEc9MZHWAvku1yqz4MdaQi
TaEgset8JwvBZRkn80sjZX5m8PcRpvbn9E/btzNn2d4oYxUdAE3nv/4DrsSsZc8teyKMMBKjGllP
55EYRboX2PpT697/nLpGXqM0r5b0LmoJFrBpq97qLn7LOjP80+CdAq3mHKEhWMyWYfdrITHgZlPk
r73QdjcMy+3rjnAP+YKPhi0PCNQhZasXMX67VZk3tJ4NNGdhp7sk1dfMaembephcyb0AwQWIdFdB
zvXnflXgLVYf7QwJLI+O8lk4bLIheKmA9s3hQXT2396wqeJtbAUomMrxdENVNoNiHd0lZHe3kitd
aeJVmPsRUy4zLSaHgwq5z1j92KIwy81/To8VK2Tlv2fHuqZjGbbq2KqBVRwb+L9DWBpNVkov6+If
CaOjZbaMx5PkPsKtvy3/+ZnL6PXnax03kjCX5iWmIhBRGoJtj8t7FjhoGWOreJijgqS7qkCXNbrh
aaGTCsxlIhjUzpzm54uoJbXDGh2RqO50VYb6qrKVPP34HHvEuIFq1uaG+VPvqTIqofCN1wkQ3/1w
+5BnCwUveq26EPe3r2dEBV7sWHy6/J+fnErLtuag4sCuwurU2Ia7TWEVPmLyfqyy5NW0RPjizg7o
yPUzthClPxaQVjoklxtCToC1AZNcPyQtKs2ocZrz7aUeqvbGMougCtlYKIsRXWKVD7fP9Fh7rbF9
Xga1f8vU0bobzEF/YalEllzFEeoC1ijok38gmK6KhdK0uodmBF3ZjSzB7PatwlSyJawLk/D6IcwT
8852VX5iJ3vue/39ByPo4ElGq4IDO1EzVkcN2Nn/T9y36f7Py4O0YaGpBNMDwbf/H0ZPj1qgSOx5
OFiDad/p6cogZGRoFEZ8NXudzGdTW319cYaAIDESGSjrmjPG6qVYvbqRZMBsQDQyabp1grVMXe+n
9isgR59+ioywc4dwa020jr1Wf2tWKveUipAMdAX5p4Xpbk0raGhQSFaDGzwwS/0pAi1Eu8Eon9ss
XR5v+TOTU4y+SqTKPl2TaEqi3kgTKbZTbrTwKKFqyCmCG4Ba65isL7Uxf3Ta0b3arHif/vP9pTlr
+PK/3WC2rtmuhd1JI3xUM9c89e+vx6SM2v/zv7T/3VDJFpop7IPC3e+raQWNWO0kCw18ITi02GM2
worPtyDShMf0FlELa1qB1z/HG4dQhmQ3uTI687cbIsDQ0mnFKiOAj3LkOIbaBk4Ld8tKYdOjOtY8
nsrhryV24emBtqnUR54ZFhCMfMN9PLJB+6/SUlVH/OB19xoZiLedSYzfDFvIkrZ/U9Yj0KHB8CfM
xwdUDNx83d4FAHsvjf8iHURiSvbFuMqrJC6paLm7mQ8jog68RJbRPT2kQVQG25hkMBFEhCMNMe6F
+3T9AFvLPJs63qVZ5O9w0ck0YIDy85l0LW6DbrlqjIO3S9TxeMyS/D632OiF4j5MkwgQ9mTemzpc
K7PbpP3ygjuke+jQJz1AFHudbeJmyKzUvKqJ0Im3jsDgxppm1zeTc7HV3L1UTTsHWahly2tbNJLN
eBGe0f+eUTs1DxnJIZ5hmsl5juwziM/4qel1894p2F6ALFXt6XIbLpEJKe6WYX69vaIrPYTO2G4I
1exfl6o9xb0T/5oUmxGqFMtdMvQcUYt1vk1LbESdZ4g5PFpvr62ufv7hdUKgqO+Uai622H3rey7/
ua5NwoySLLhB/2LR/upNLX6wVSW5RujMPX1RGAcmSRRQxcbEeXXDWepKdmrLItoNICQeAXzR5cVO
tIvJVt0nYR9k08CvXdH+KlMYPjvq+Byyp/VD2FN7O1bbN5Lmt8vYtV8mAKaNENZycrRJEv0H3A+q
xRcFOa41PdfujSX6TpbionZiOCMHHM8YAaZDSMaySi13LjArrW5rjJne7c/0UG0to/2ok/CIpqx6
cRpzPCYZF3Fooo34AaP957vT1v/nzckUETEu4XCqY9qa5vz7zakNrSORjJVHOxyrs6yt5HkyES0b
XXvVb3n1PySSatKc0w3rg2g0vuRWX/DLRa6WR3XwY5rv895i4jazarqRnYtYzoD3WD21gJo0Otrz
zU4/ZTRkc5wN26mAiqB39bRDKKAdhgY8ur5OK24vu/VlbMaNryoWlqZ1DxbDtHu8fRZpRfLYrqpm
TYuvUkbkpcmG8gE5yZXMsv9L2Hktx41sWfSLEIFEwr6Wt/SkSL0gRBl47/H1s5Clbs10T9z7ggCK
lEQVC8iT5+y9Nj3MFJe92qLWXW+uuwiBGFUhABG74N9JLO9SjqTYkTn8A/ed95w6ZXfIqgwd+YD+
IYB7uGlNI7wLlyxpRZe181jjvzcN/wUGZy0Pwf/zkHQkEwHheoZhWAay+f/7e+DBmRFKGOaYM5tw
1ZvZ22BQoZvGiUcPC5ztFsSAGsm3kvY0V3714jpOhr2BvE/fyuGg+DHG8moDoddFLU7nLaNqYE0s
gUnGXnaPFXWjqDbIAr/maRYeVJKbKbT0eHPeG7WlHafIXLWCHckA//UQwBbbOYY1fl1e99n7rSBd
ygOZNz9Vq9R3ckmvJ/zFHhfK919Xmp84a5twiBM2R/c89+i0VE2pDkCwdrDs+vN//jSzavzrbXRM
3dEtV7gGwrh/rTWx0Gt2bDnjrHahumSNZX8XhfhtOi9H+gh9QpBrOMcL+StMXm4f3sJEbVMMzrMV
zdo6mJk4ipZI87zuuZXp7q/UdnBgGku6Gunr1Ry8ZYOoDl1nfRYRTfdNuEQgqde8yP3kvvol1FTi
Bi7J2QggiS2487N9usxe1IGwovBKU2/VIFR+Imb03RwdcSd7JuVt2GIyWCzzeOxfpKZNuMPD8Zq2
SAut0JXbLnf9nQhLZ98ambun/YIjPtEfFaNEjwp2jFr2TtBXuA3QpG20Bi832NfwOUuYhAIWbLeG
Kconz9nlqpVLrwyBW3vF3fLmaSVet4yGsYGMTs2L1KhoKrv8wFjPMg+4BkB88Vb6vvYJ8bKmNTxd
clsfVlWUT4i2UlShIdXyRR2QJse7W7VDhK+9nxA/NjwF6+SS/30I2f3y1kbb28dyrrRvciRPS62a
ge2A8BwD0Ogs5JHKa0LHuORjGDridt3qn6pC9x7y/hPFAr7D5bFQ+4g429ZFVKZld0nVeLuwtAkp
sTz9TKVyxA4hv2hp05z0Bp0DCXu0KTS/3/C8C2hZh9Fj4w6IXxCkXaw5fr1VX7eijvr4rS/6GvMD
bek/HAWFT2g8Ioia5plRzrxXUHT1DePy/fiVvZUY+uBKUOH/+mI4dmdAoPFFfavVee76P98q8l91
reM6ni5Zjkw2PZa+3En/qypj0ptA+tfbo6eZ/dp2SryyxeQJoF+sBg3yUbI70r16HI/e7D0yp6XK
tefX+SDbGZ4GBsSXIIyzlepIwPfHV5XOjx3PPaYSqXlcmFTLfD19cEoRbPygat7Nqn7NclP+0uPX
zp/vIwordd/oyzRBndnDvAVKOGyGxEADKZzyw08eK3xE//ktcP619rkQeqRwqO8B/rjmP/CbtMRD
04r98ViK4er1wnorWMxPdSX7dVUW1puNq38X1ABRneWrePCjjaWTQ6G+qo8uc2jEAlf6HOCfLNDO
1mR8VaAcW4YI0lLvox/hD/WY9lC2Cm/9h/rjVmjs01FbIgQYbKSV/fu+CBZfG1LWL8ks5AfbuPVy
QSMQ9gAnsrR4j+Ev4vFCTCPd7L4KZ3ShfHi/WbDKQ9GEWyapIXrUTFxkP7nMXAyi5VGrH/ThiGI4
fDSpSJFmT0vXZ2masHsM9ypjZK6Rk/aL5i5MnOwl8SL7AhvqeyO77KUMFzIs6wSImKY9zpWPksOX
d+qg27N5O7Nc979sxOS/YKk0jClWPPbqkv+V8Y8PLNNvI82Rl5zkoBXAZJgw+Jr5Vc+icN3JjGyZ
sAx2RNZ7jIu08qSH6O/0fJ9XIMx5Ws87RTIrq6J9Uoe0a35mTJlLrfPbo+gGZz/ozKA8NO23WkuL
tXOepe6PaBbHlDoEjimtZGxNFXjJaVW3KWBzZkdRJodNnjGq+M8fUeH96zPqYRuXhiVNA0q0Yfxj
8+QaGIonYXjHDK0B4BDDfua+K1Zs/YcPr1lGaunk39mxWBUD+o71NC4xeQLl1p7ybNRF+Yj5cr4W
Y34hViHaN21gUCoNxtoFSnXX1xXgj+XG1SrxHEVt9EXP0V7gPAPDUGp7OS1CpnlKozNanWpnMWy4
D+jSoJDgy5HFg1UL6JbJoJ5Qnzx2SF5ArGvx4xxONc6TJr2zxsbezX7/gTnb2gQL2bTFfzdGSYTV
r15PQLdrOr3hfKlhT1r28KKnXwqbOhrxGHKrBUxoeBW+ydbBs1OBp2NsW24VqGgkJTKwEPuzgLuX
eNQd7BSchX+fMblI1jT/ntS95k9G9tDEQbWhmYyHVhh36jk3OHVzIDh7Dwv8B3cMLQUIRMSumTPZ
TVrk7pO+Bpvl/UJiRUwgzWfGfqQ84uxlLQrVSh37F3Tuzp7pIgPUhdY5ju580b1vXqr/VPjOHFbb
TofipHeavQ1CzGjqTIPHej/mlr2VRkkUWA+Nf7kKNV430boTwo2nXZUAyz/YGlWwKWbKlGAYdzE8
tu9GVi4rLz1unVrkL+mFsBwUyVZWpshdtfzk68QFkR63QYtXXdS80k0Y4/DTPmAcSzF9pznoWtcT
Z4yQRJN2nvca11W+DuscprbhuJ+CxsOVKTvDVQzAWzwmzjZXn9LYzOSVvJp6zcc3+j7F35E8mHTP
51+iNa3j2Hbo0A2vuQ94+KykMaWPtx8xsdinjtGiA66Sqt/Z7Io/taEeL7n/pg1xxu7EoPeaU7dP
wdgd2D5P95Zot39GOhbZzoObuNj9eYxBN41z41s5NslZZX+DOzykMjVX7sxyrBF9liLpvnMF3fig
2xM7NZ3/HKBUT8C5nBEJRS9OpMTxRo7Yrs7aBBr8P9/u1r/rV48nnLB100Eigrj1H9sxoJZAI9o0
PAFL7b21ZSerWw2pE1+zdSGEboMp7x8ad8ag1TUAN6g5PYkgCUR2uYeLV2IadbCDk5t3vb2TdWgn
69RKkOYAzcCRbHb5WV333Mxr1QvB2CVQdpWYDdkY7UwLooOKT6/S2F3PGSVR1pVg6JHqqINlf5ZE
/D1aDUI/GdOQb9wKCgQ08+PItAtl/stEXNLKKwLtp1VdtTaXF8HOe60SGuo0+J3QIJ22WCWx574m
UHNGanL8/lgvGjDpTii/g81pXm0W1twy5pO5zIXUrKiMzPpgsUnyfA/bBlRo17HlKQYiD128q6D1
tOO3OMduWoz+Ty/tUQZqcDShgdPJXEYzpgUBinCa9EwY+ZK2WIbnNkwk462C9sHyLbPQEKOWtHfU
OCKesgP+MhfcBdZ/BfIlFPFge/KINrr/UrT6T6zY/bu/3EvlIrRZphhTWxsXO4nLldON5l4kTrTN
7XK8MrUYrmX2NvlW+OBGAEJdHabebAUbEzXi+ranrZOG2UJ/jU2LUXpOiaq7d3kW5ciNoRJDqvlQ
dwpcUGtto3TmidEg6umbx6puX0uzG4kI+/3yrYeZ6Oir0P8FwnwLLSKndW8at9aQExnLhkPtOvLK
kutSLSsm8Dpm2vTgqyX+W1rNXjM1ogcTM1zUQ3I/fP5eejCSTOX0fFO0kJfT5EzUYM7ZDzHWirFO
4KuZCU4LN+lxpk24imAL4fbuZxwQvbHc9uzVV6h9N4rWpwh+xfBZ+LazpjXqntw2xRhEYQOQRt2R
DC1Zjypj+hp7E2ZRdvOhYZpXQ3DDyEjfmJXV0+bzwue5ARnvF69Zm95gwG5llPdpHr8sPD+Sy2Lv
sy/A+ljUGRe7cIa1iGPRb6DT990uTpEvt4nzKet8fM2prRYiYHTKYtHtq4XRj/IVA1RUWQhhHQgl
1npMuuKJzFltESHLzyG01p4x6adYw3hCUHzG/EQrjzHUYGR0vMcAYqqr0CvvU3i7eW7YCi6ZIcvf
Z4qAOjDojwpyflucs8RG1G3PJRGZNNgdsc9C09nAoo4RJVnepwsv7aig5m0BnjakpnQT9GdL5YZ+
1bwLKn3nNjzVkGfWRy3qX269geWHySE7ESswV+D2krtutsDLtg7tyzzXeDTaz2ltA1ZLmb+arGwr
R+vCndd63cGcS3EsNBezAFd/vk1D67qyjKI/aUgvH3ovuNA+xivVhz8LmEFECw14uNE7jk2XrNVq
4xW5e61ISbuznfqBHOGWXSb5cuiaHlTMKERJ56AnkGHKekw/AeQx7rLZ4sYxgoYOEpxfUDSYTUaj
CZeoyOPvpavFL3XvcKVN2wqJCkhoVowuyNZkc9ZnpwP7hR2HZ0gINfHW2Irj+if6mbiLpveA+3dF
rzm66w1UNklG011AAy1IEjkOsX+ofaPMaC24cl9OlrVu4iK50DxE3SGQO6uAegab0IUmVpa+TIuD
+jnSgfFm1o80PW2ABVPjbYcl+trOIP+0E5WezgxiA7HBebv92Tj2SXVEI9EsEHm3dopT1VUfSem1
1wYRIQwZ+s5oQY/58sMhuQEGF1stQ+DmUyu6Y4Be+g3E4V8vq28Y5EErHIwBt6uxei6JyLbj7M5a
2JjqAA0uW9d+RS6zLPYugrEDnwHycZtg73SypQdb/+hiRKJpV6wMPstPevDxZ8TI8wkPY4hqu28L
pmTY+V9HCXy0cIp8D6NhIPSMgLTtkBbiFNeRsx1no3yiNbarC69HehWInZoeBlml79m23CLNinDh
4aUOOFF5P4uh/Ua08Fcxtf2LoSGSMm2cHy74KBJDdTT3IGubPrZ2oKzrrVh2pBJaDZKxSGxlMh9u
QbVTiiJtSZ9FLmxt1WAmfBvjSsPHh36PtLJz5OrswXy0PgE07Ycqn8h/Hcdhn4d1u1F5xUH4Q196
na1GPHk75dNlopduk5vS7Cq9HvemyMfdpBtUiCCeD1PQ8wQuu/ZIyG64VgRSxR1Nd425ZIE0Yc0M
xSzOCNSfA3/cVaRWEQFJgQDzvtzocW+ioyzkVSyBMP29E3f20V8qoNBpxjNTyreOfOBViu32qxPR
RbfNYCKQev4tEbab3r/c3oPbBsm2uxoOgEb+l1+aZDYn1QW5KaRWBzuN3cW/OmEkJ1VcW3SheThB
aCXUZ6/omTeEpgTVoF7rls+300V3tIOys3pfHWKEl0lQ+VEH/nRkihUzDu+qI/ZB89metPpYFxWs
5h43kG1EH2YcEtdQ17+WE+ZELuC2geFKirVGFgzme/qCW30uHVITKvZwlFPhvohfUxCNCGFYQQRU
uZUPNz3zEv0N9unejQL7By7Ub1MM3n8MvbxA+wn0INdtYguWpCt1llfBe5HpTzzX57NpimybS7f4
qoWYLoyXcq6g0yFCXYEw2rPn7w9uYbcn0UvIF/aS0DuZ1QXvsLdz/ZDaX7qQowvgcHbvi7MmhIVj
R66L1rFeNbbjV3KpUXvPuPyKoikRCZguQdU1P/h/6ZWwav57J+pK13F1RH6WbjvWP0rTBjdmP+aR
f7z9U0mxvEtIRR/bPmtPpFCHO7NxYvLKU7kPsix5kLbzIzNNUhMawD/6zL5TXWapfjeYbXLnFYOO
KZ7NmGpzDU5cboPFq1fq42dmljhXh6l+LIUz7DMoE+zviFI10CRthq4NLzbbMnuZkvYiehyRY14T
184x3sLaXkQ3Zudlz1DVGgh6K2DkPYHp1K9tH/IcbW51rJAG6uMkMk6NHPBXyrA9wZG1tr1fGJuE
psQByXC0iQKjIwApiwkxr2kih2NxuIX1FH1vr2AEFwfscwl+ZiStuVOER5EmxVrdoqWeVfDxN4Tp
/sUpjnEGEkVOmm8iucVjzze3zTIDNxrPPocp3jTHJYCnEBmaO1X3RY35zdXNdzZVxmFYOvyicPZl
m09PPRJqIWesA2LAXQqaaVHPxRv69el7OMxv9CntJ18L30Xl1hd18J20uZ1pht9szcHlE8Sj1kQi
GQ+k1jnD1qlMMK255tNKRzuomnQzarCVhyVhH9Ql6DLT/+XnIn/IK7yOXZllx2nRuFLD1VtbRCxU
riyuvTNUx8ZIr7PWFldfm+puA40e42kVlet87u1hU0dVfzGM9xvMPmqJGWUfm6Usi4nAdIfSwQw7
/9SVyaO6+nOwZU+ygpBVce/OxTnuhLdKpUBn3Jrmi6XNM7Nk9yrQWz7N1iyfDKGd1DC5MfZFa7X3
A9l/AJm65KAGvWrAm6PCuXflabIR5t3SUvt4ZI80yScv8dNHiQHu2Yxb+qSE3HkMRFHL4ps23J5J
iRphJ3g4Nk0pxo0WsS+z8xxpOVZlHj0C3ys9JW78vBD6vcang4a00z8DOmn2zVDPR0ANgUbioerZ
5xqNwty3CfY0L3Fl5g9ZSYfOGr93luajHFgA2C4Wsb3elO2dkVdfUdobr7k5365Ufaq+lpqvgumd
5r305Dn/sGPjbCAKfQ88aW4yBxFS42TiLhKoEhZZXO7V7sEhiXKl1d1Nzjp5ur6LFwqEKvX9mh2k
uhwj+Z7FnfWEqvSKU8h55dfSHNJKT/cClD42CGsdlXdqyO5b3U+HCNHXeABzSr+ep/BkemuvH+Rd
jhMO+E4qv7q2wz3SghlIKSqmJSuHmpfpRrGS0zQc/iRotLKu9wms9d9BGyN299seOg6hYnvYpC/q
4CxnmZs1PEdWBaJCFNRfkNpKeMqA4wET5lebZsitn18Vp3Rk0VQtfWA0/ka34EfIJMXiUi6oFpoC
904+vU5d/BDkU/0pGBHny9azyZuXSqTuF5896FQsOz6HpMW2twtkc6Cl3IZ9inrW6fbUPNwWV/oM
zNuHjbDaj6Jh8vS5wEfTYNyn81hdizYf4Xpy5i2vkT7jQJ7BDaHDytsHo1Nd/3yz1sfJHuHXn+//
8w2WXXxSVWrtcSTCJ3OWcA+vum8z+LMEpL0VSV191O3SE8xD59CDjcTn53gn6Vl7iuTsuxlrxspz
Xe0hANl4avH7btuwIhEGweRqZDu4RmAz3flD6uPMaae1knKmUX4wZtgM2B7qQ9E270Fi+T8nJ1p3
tFa/I/d0V5nP7AoWfL9XD59oLH9MRZNRDq3IZm5/Gvonc4Tkhx9C7EkllNWJCSrKYP/RrJr4I2u+
qPA3yUwZz36RHvAln6y+xB2q1HU6g5dMB8iv3n+QhSSn+el4KE3ju1P38vhngapisfH1bFrFo6bf
G0kRH+uqaQ7wksSDF/H/aructUnCcFQuqLhOH2kNILouMkQpldVNFzYrKz+rrCvr0Upp01GgbwPg
HONYS7DjeGDi0bQeCr0o72hCAuKiLWDpPQen0q5J25BxASLBATSq/gLwRNjKpqwxjplhf0mNZHv7
hbrT4IKMpGWQakSEth19NUPD45Zj4V7ca+UppJu8USxwdHy4pQbTuCRUGm8pavC0k/FzbnpPAeDO
TSRy/VGd5dmsPy5puRqBzac6mXHa1WVAkHKP+u92nWV5vHWssr797b/Gwhre/ZrRu5X2Wb0Kl8R5
H84VvWJC4freuyBeFFcVTaHDgTlJR/wI0gFPsVdNz3x26p+e1aOpntL67rZcDQGJLATBFUewCd6G
OLPpPRkq5nqt+VuGNy85KfkMdElq+nMLdm83umh0mabSuRAEeVMTf3WrNHrE6n7tbbN4gsM2PqWz
PEfY1F/xM5rNbsAdzjMSusuiYHb4XV6wDXpo+ip0rRP512xM6WgvvcucoduxHOrPWjfDixk0+cU3
JQCJ2fReghTPh59DgTD6CPABne+NI9PkNC4enQq8wlzCw9HMrHwZ0uxLZBDFqQ3FFy3WEZ5Iylrt
V8KnFVhoLdCltN0eBPrrXCfRXVVNpL6WSXbUMMPdCT3qN/Rco3cEV9uJgfxLMGvTvReFSys2eofp
q+1mslt2crkUs3PstA6P/Zyh40fkrzxceEb3pRX176FnatupMLpT2JThI1P0XxYCRddJeFCZZX7f
lVF9L0dCLmLD7eho1eOhKhP/4IZ5cL4JI1MJYLNxza0XE5UmnXpJvha53KUliuVMByI16tCdWrst
n2PsL6T5jF9s3T+1hnGvNhN1hbtpdsEBqgm7qTlFsvVsOs6oFjYOqZ+vWeeMeGWhFpYhGFPTZvtp
LNZEc8qNVWn1PV1zsZ0D7xfoeOcBW1lxwAtHA8z0uns3JZkSLgttFKd3ToGceRYJvGP1ZBRvI+/y
SPyu1mMa28uxZtfUtP2DK+RwYL/qswHunHt7HD1gCKa/hkKSUQNlaIMK/R3yULuIzLtd3RbagZBU
7Pt6RwRVSaCo+h+qy9hjwKB2iXSR6mgGhCRIYEhntNO1SdRbkJnatTNn2PklbZlCftenyX0sYyO6
5nYwIBsk+JJZ/4Ndzfq5lEkNNKzvqtPt/qFlae99epKvURTt6MaXH3SfieCt/Xkn/VJ/cOIgQydT
t0+THgNucyNxUO4B9Vpz6FO/eFIvFElhH5xodEnqtL2rBlduEy+uBZ5H+YOrYa7L2xZEUY5OqMp8
fbFE1Ke4dZnML7PFOqnKp6jXb1cazbbbD2njnlb1vK3rNGIwjSBPRdgIRCU+EWIDgaEwCf5pu3ud
5vkJuq63s1zDvUwF/z0XnPNmJJDrG0/hVdQvcKlo1O7LespWhC1BOKx1dyuqIb/kDR/t2aUeyFBp
0BS3r+oMkt7vs1gwHa5zZMwlCPC01KY7/jQC1zT7CHqpnYNRHphM+OuY2MnnEVnimuwV71m9Fox4
6dBOU/LpkNHXvRJEBx3QoWAo6kcOhM/AZH+Po5QzABsbOybBNzB2Umr2V61OUaCZZYEUVs9eGy+8
x+cxf7OZsK1ND3BI2I8VS/1SYEZZjfiqi2ACBL72VtJPHiGavtSsWk9dTpLo8rIN0fXCrN9Y9W3U
7IxGsLomAWb0TqYPUzUlZ6Y3cIEHd/iQYQx1hzX/H99hSv5juQvRvs++LoyDCuz/J45bC1yIcK7q
0Po0wNQXbMtaDWAvGbRiYSXxRJy6rhwe2aK3K1B1l/4W5gLHfhv5c0PNnvhXDPVn1etrIaRe27BG
Kq9x60VWaO/Vp0x93vhvEKQKeGKI7fgQQTY5QpYq76cIW5APu+KdVMR7zJTfxtEcn0n46fh7SvEC
DW/ainnOrw0PwVOX0oUZ/DdYbUrQ2LcIQyvh3pPJeK0yVHCTlrwweOWpycgp8jBfGJlDjugAn0fS
Vqq8VLvSFF2Dz0QYghQv5e9fnMpSm8edbo0hMCgaSzdTlTa8ZdiVH3p+1SttsEl86LJ2G9SWfMib
pt1Gy1mwvKbO1GuAz4f7AIbSlC3k0KWHAqK4fsQ3mBzVa6qwCauB35zhL6QhzHoasOgHr68CmtCN
3NFN0l+7qH4nhjD+gSf/AR08MBOrNc4qtqzVhnWcsBuK8NhsGmnFp9F0n0xLzm/U1fmuJZ3gJOtB
3FuM99Y8nZzvORhHICAZPKSjcnS12dwuRn4AK4sAN4i/hCDAXh3BckGH+WuiF8EuEbN/8PHFIc4k
VBcNEApJj6bhRdxDL8HOESCi8peDEwPoXsUtzeOQcOydk0TMf0qf9iIoP/ogdzf3UTzzxNHJMXWq
sdnaQyc+6O08gSKzn4Ihsxlj8kAv+0B8EDwVQ3js6iu+bPBqCZ1/rZba21UdayGKB5mKl0FPgi/N
0Jkn2oHdukwdez94GIvcFB0Fm85fwtd2TV1Yv2ZO0uWV5UuJi/S69ebhEkesmaFNgVD5g3ioNNTG
hXDDzywH5aU9S/yij7bfuU+dN50TG9J/UacppJHZ2sS5Fr3P3QzcxnGDC9n1zAiAFK7qkPylucuL
F08wGMZ5C+Z2yTQwUGZvde1hKqPo4pKj8FgHw+s8Bs9susSuravi2lBzXtXZn0Pdufkx7c2rGWXH
W+lGdzN7swzn3mHw/7Mx/d3C8vtGQ7dB2QtanyAno8giHNBZcUUZ72x0U+BhLMqTMNlD6No4rm6G
09IPD+VIR4EcAu0r7O11UZL203tEU/XJkD/FZkh0BoXenilkf6eVbJpy333XoNke1DAKvLp9NsIZ
uTDjhz8CD9lqznpGVbb3+QTeaXq4m+G4XyZkBbcDtE6emn41oOnsFky5TxYZieG+O9J0WTQHYepC
mAEQezcMVGxUNsvExrQfW3ZGZmRVH82yM4KS6Ry4r63nCKwFTpE9fMLmTfiWeYTTSAtqqXGrAbvH
36+LOP1JzMsLPURr2MwqfMsALJHG5ZX8iJ/5aJX7LPPNfWc4cIP+6sK6kQ7v16u+0N4CVSySL3mW
lUdB7UH0lY55kTYKtky0P56ak7Wy/4kcHEKVwzhfM9+i3pMPWj79PozldxoH3X1tFObt5WCwqhXu
inZtdy1pV0unn1gmE8CGX2znEZrouoWAXIzTEx2i8Dm2fHn7ImPebhME3kBPt2BYGeg9BqIR4LCz
dOpKJxZX3z60sZs9sAQl1zEb0JxxBZLMP5bh/KZGYEqpqo1NeIXkeBuKLYNH9bKtZ98FIa+MIA3k
4tnizMpRIO0rMT+MoYQKrTEmaXxA9q0VV9uuNfWLHfUMDUH6sl80znCW/HO5HNSZOsggLM5iwhT+
HCwGgClHTOGYqfdEISb3SYXc5rY3p2IythaNyLWmN/7X2tb2xhD6PyOvusPl0u/9lDpN6UwCB+UQ
u7d5p7RflOv3dupqh1ETxcEaBeOorBvuBxubRlVMxKfr3p5dhHevDrgcsUY7smNO3/1+DcJge77V
vPOk/QjD6m2KS8nD1GVG0bJhVpetOcMWDiea/aF2GcueQUDTzeTkLIIndqn8q4FA4JV5n2Mubyf9
XyfLlwjvWGngV7/+/98Xwvn7EG290fX4jtaP/WOurUf8y90Xs+pq0MJJc9FSFFlN5wfbws7yd9Gl
d0PITWUi/sFOoY0bJnQFgcdm/56mh3S564SXuIcsQ8BG0kZodsWXOOtLsmXt9th2ZYmVKPsoNc+i
Z6Zjh6+dcj+Yb0aWyC/REFkXE14xw1YuY8q6VdCRTVYS7dknQX+2xXO2XPxWpXrpfsgDrJkBH86n
otuM4RCBPjGgvi/2B3XojDI4+S38sGqZrmGEc885ZoVVGzmUW8E4PffOSJzUkvtWmqAPUGaZjfuQ
LZ62vO8xQRrBA4UX4WTs+M6+1gR37QyIqukG84mR6962a8xFDkqXKhjrswoNG8uBjTCwopWT9PLD
Aw7mwib6HHvMHm6X5xevq4j0JENz1TD9pBtGcdZKsYPSNlymivghMwxeIqD832vH/SUx4u/cASKQ
0P30PE+gRtseVk9nFWSbTSF8UEYvx1H3siem2QWVHQFyFO//OAvBUd1ei9UZLc8Nnq7mwM12Vp8/
s280fMsAXtWlwEvOnOurXXnlN/6Jfbh0e3Av3kfY4ljb7EPepRJCMkk3cTLwWyb0G1mb613nVhRf
AGWtGGIHL3n3XCziCYvh63UeUwtBE5qJwH3CuwGnrCQPb2JfiRBg9s/Kgze5qYa0wzz59qidSHpv
7hMz2OttuND1uZJFO22y3IshEdbFsfDwRd/GvX+uYwKa1iBhu72Yn9s+qh7U7ygUwI1uW9tmRFbn
96fAtoafy0kTWaM6GQKHHBUD6Z4BGvhcZzlr1nKmDvPs0Q4og4t6Hf3IkVlCc1VrWQJpDSardG8p
rNkUpdjFdYBauHCR3jTdT79JVjyRmu8ZhqB1pJfOYz8FaDSRfB1lib5syBu5nhI92A+90HepJO9b
1+XXZnR+DWX2+yTKJZ/E+iGYi2wTFsx1VPPXzn8OVuu/9ZBfL6Syxswh6QmDjZKrOnd+IIRFrrII
c25WbnXqjveBp+9Kv6IMBe6LW1pPLmbV8sQmDa3fgIoIwFc1bOv9HsniMgxN/770AVE8Tp2/VW0/
QmLmcz7r25vSPuskIoxuRqoA4lPNi5GjN8/qKtSN1yT3eMKZhIU8Dr2RP/ulB0QxF+ODXkpwhXT3
SVvy2ama/tlbDuqsJZMX0pOYhmOqumyu1/9CcPg4u250uQlnjH0ig43iKkQ2o0cziYIHJ0cgJhzB
5DeG0T/0wAxaR8L5Uf0gLcLaW1u+OJYTkZ2T4blX3Aszyq2Q3miQRJ9G1p77rKQuCZjbL+uShh1k
U9DRXRuQB24/oPqCVzxalU+h9nd091BC/bYDYDKhjcpwH0ubMWA4dT/rWC+ArvV3jm44ezMxxfnP
YWbQXq3Qf2Ck7md3TegQ6eXLQZ2pA/rx+OB76V2NsQYJZd5j6x64X/wU+d5yZrTda16y87y9ZWCn
+lUEKXpLD15fKX+Dcjp4EoJYpAQIaS2fc9AzIJobm496Ur/ksnvu3Hb+xqZrgWYJCWzYa+40GIAY
51p31faVeUdk56etdfHTjLb/Usz2tO5dRlHM7gaALqyQZhmfXbN0z9NyFS4LaSsD55SF9qOI0HyS
+Mn8tjJIHmiLGJu7Y2JPiklUosntNbvy/fbBESmMcNWNjHFEbOuKkT7cnGaJ16ofGyGYluGy3Kph
RE2PodVq89iOSX+GN96fm+WgztRro2PwWuTSe4ZAAZ6WmGjfPKnBhbKAzx44fE0zmsO82MJ5B6kW
TaNadzNvJlVNt1H/snDL9sqCs1c1ug4LFIwAjNg/Jbs6U7W853jJORubs+HbR6iSzfW2yBhWvEfg
2+Fb/q6X/o85dh2eaOLL7THWzq39KVEJBbP0vncDQUayiyQKKTxVbTKnB+SnR2/22cEQ/LAVer6d
QrN+8W07PYCs8fYBdocXq5bv6k5h5PvNbAgjc/xUv3TVUk1pulxHU0knpdZjUHDAr8III30szHxL
ItSzx7zn1e/Kbk9mojgQDzI9Cw8wl290yVf4W7sJO576+9uM8JnGqsaHUqdbB3ZYbjVoFR/Ld+jT
/CN3kvSJt8kjD4AsYSOMmlc5jSeJ2g+bSQMGk/pN7HLE8yBoh+eyCMQhM/X83WZVVZnjhQ64i5v/
2On/w9d5LbetZVv0i1CFHF6ZM6lgyfYLyhE5Z3z9HXvD3TrtunUemk2AR5ZIAjusNeeYg7ab2GU/
G06E4Cm2hvufojZt6hUK84P8q8Ik0yigthNIqgqrqyiOwznZKoVXHiPCpOK4xkkV4vkLsM1VdCdO
dkWZPKaXjNojGSvl+1wNv/omDd+myIPnVqO362YhT0vb6Cj35vGow0+a1GmdphOApDhiHDITjQhB
Va32FUl560DAfvSuqc9VVpU7Y0CKJ+FnqgL5k2YdG1fyGnDAbEbKbZNRhC+hqeKn495du4H1pij+
uB1Z3L0ytX5rFK99Sjv1syVW9Q3cEyXsG4JegbolJfWPMvO+FWIxFEftvkOr+z6gy+wFuQ2d3nhE
gWGsZi+1DwZL3GWF3ohlutVPO0v3/WOKGRx2aT3s+8lPgcqjo6yqluhYa3iSv1YKpSAycGNoarKv
zKF+jTobx7l+7xws1xj0sapNzvi5LHD1KUF6S9MZIIsFbA4Npf4Jn3BylYdTlUXnrorqNTNEsLV8
tTrNgBfXs5CfhHoR79vA0DdDJrKChbLaTsnOFIVnQGX11SKi8l6ZnnvPo6LaGznwbtMkO3VlkE3b
qOTULEC6qoKK5zQUDcAn7wA9Wi9Mtc2TQfSZRLh4cRycln95NPHHk572NY5c/Zt4QuzD8gRrffyZ
LIGTnRQ7XejM5y7LnsWRBcoYtXayUkFpPXymbsImmuAghWFyOSvPYYssdzFpq/KLHtrCf+BkWbvo
kPbLHoGSuHMr+ld7FglYYjyVmxBfa+pDMiKAGclMu6cDgOVfplfxdUmzSaH09Taz4ZDbWv4UzEFx
jCIPrzHpt9eWXfryTCvgWsSuq61bwNf3OtCMwxLvbXW7yrMY5DXsMbXRaBtnTpNneQ5HeAvMvNOP
gTlFD+ouz5nR2+vKV2Fl4GOClm2S/Jla4zZBB3wfPAJpwYb2y7NaPEt8kwmz7c23sR5vGR3rTwxt
3QHharyPc3zQy+dPv+AbCQWCp16+21bpXDEEQ0If5uI9gyO5p9JS4aBD5ORP5IMQTuPe6G+sIBcb
Dz2KzYd8Fs/Kc5jP9IfEeWM2i4MzZnr1XZ0qqif0KNiTPssmf2yW5wYY+VZVFBKXhDdIBmhbRatc
aw3Fi60R1Mma01unLECQDoFUbMkWWxWmpT4XYLv43/Ajx0WKEYPw1ZqVHklh3UiynI/mKWXy4Oe7
cxDD3PHpJaHXTEgGz0tUC+/LdwCSn5Dj/1YdGKmdzTS1xdpTXwllgWMU5pS8NKVn1VHCGVOIySK+
b7jHCcj1MI1zggF4VhBw+hjd9hAPpIZJQQJtjQlQiEnsV1Ib9h4juHaVY05Kz6IlEO1CnuZRFglk
baB1IjQKlnZMem/eNx15nrW4ZkzTtE4aMXOOUIu7ygruXP2T5b1Cxi6wPNRtoF1gMLwYGs0h1+6d
AzVL62WySPhc3iilFJor+bzXCZGBijc77qroFGXlVN7E3qtoX40JZLUYRmodKbG85xcCRW0aJHrQ
LFk2m35mlDsXiCjV6NF4z8MqX+Xk4i60J2jt1tq3EtTVNg+G6Q6HP7e5xj+DXbO6Ashz1rmoAia2
vfXcCPkOpuM9W9JD3UQwzFitOJsmVwCzR9U7QF8V3lo4bmUnuDFjbv+IbPCPkklDxtoFaAh1UlbN
ddq4WNgL2gNe6N6mOrSOUiMIe64+jkqxxYn8uaLY9ygTZXoOGv9WqE1/ZeQN2LsIXQu3FtI3P71K
gYvdGv6W+RUXSkySLgpWMl5FBVq36BWhZiI6y4DDWMSjcZfPBiWdjjomiFXuQSU3e/2TOiX6ld3R
b5ql0WX5vJrqlaITsXT0XJ4mHx0+XTvr59Zt2t/L56YWX2ats3+aZEy3zMqUMSjJAJ4ZtrbpAagS
nSd2I9lhdAgulYc4o3ZLC13tGMBKO9rIr9ZikbvWOr25jAUItUXmOMwinVKyJ4m3XcN6/J1Uankl
Rbu+DOz9F4oko867NyIjTuq42yRZFK0YuZ0Tn2kLbKUa78ijt2HV6relY2jn2IjYEF1CksXot1fa
peiV8RyX32Pfes59o8dZxu5XCYruC0UOUfOketVJLWxrVd5pweX5ADNOaEb25ZLgzn25tJdGX1/H
TVUcML00F/ksKKfmEopzszgXBNN/Xk08f710XDQiGZb35CXaruhjWqUTRFyzMMtDhyb3NtCy3KZl
5bzQvg3WfqPYX1JjfDXzUf2te69tmSovKUP9ulVonnZ6+m5kAeOPxJ+EwXjR5EXUmUW/bhKbfYPv
GjdXnfx9CMdlZba5ebOKzLxQs1x3ZBjpqwq0/HYRL5NXGDaXaDLqS/nfZ0DT1WPno68tnyUpbw4J
VQm050bon5qxlQfyFbcf9JU9E9Cr5Hm2Nw0OjZS4+0iUAUIIT0gVRYvGMofkyU6VHHZ8NW7NSu3e
ql5JtpYWGvu4C/u3CE7YOnTwYcpXW2/MVySaNdc5z7u32GxvYxq64PlrCymhp68tOv7rGFDyVUnd
8an1k99qEFlvi/wT+sVOa3X2en0/b9Uh897KqnvN08m+qMzlJCHvXOTTCJdTyEo91ED2UEMVkZAa
t95BY4n1POiUaZ22usujZlCHQxFgDR+z7x9CEsWncRHV4fdUJNPDFECBouokmEzRe4Oz8z1IPKhS
mgXmyy/rE3BCki9q/5uOp+Q5QamLM85wv5eEYtfj4P8KE28/EqQq8ZaZltDtmrPqAsQYLlpg/ix8
q9jiEOzXnahDovAXOa+VsS1jvJUmyXsfYEwk6N8W/Uo0FWjyysLVdkpKuHZgs/yTmCH54AoUxVTF
MANHPz71daQ/dEvb/UELZfMd0j1uocr+xHphOkn0Y4mVryahWI6XUVaBMvI7omEyH0RxxmcrpcUS
pJM2FLVnKmJdYmbkoIzKxhvYJEgKkt8l08mhbbjCh4uKs9lMhA4+bL+f166OhyepE3TRlYb8x8xA
OHQ2w4WO83K54JcLW9sm6qzBarSh2bMjwsSUZOWqzdvx2jpoVyM9jj6Z3QzgHXHTTxQSRFKQBDko
RP44YO83fZLRoBHzTZMojypqe1hbA5bfNizEdFHiJA/ajWQKV5Nzz7I6eZXnU3E+U4Ab5YHmbFMv
mln59+ERQ535apTFSzOMEa7jgMwC0zm3KJplJzTyC3qohbb0RbNceVlE0csmqODGuWia0QFbyd9c
pprzxwM4gH8eyhemAn6llaGTzH3M9i0suh9ND3EBJfFUzqgil6q7Pege+TUxtT5kg4cp96J1hDqS
mbGgEKpzSYsBfxnmR4tYCMSicnCVw+zw4lhzz1QYArk3Sb3rVZ9Chrj3hXTyQKWJvGo9dA9p7DcC
w2N80vKI6ABb768LgPO/h/JVDO5/XtWnHIh/H9LfJUQ40qPgvfPL7FaXJhgzvw/eIz9Ojn0JMla+
2qc5qKjhvKipsV9oh7bqpNg2MLHuTvwpXsCt28LHEUg/OGW/ZwPBTBdDPKeAjYRArMg/yhwWkwVp
b/pwcCuS0igCEaOD4+ip08SmnPKaPBo40kWRTB5RziOl51ekgRyWbkiE5OGxqjM8xvC7z7rXp5ui
A5VsWtRXA4WIPXGeVlu6KQvVOeuY3qlh5dUTu/+7YUble9SM02kIJ3VticO4ockfO83GbG20Trmu
Es4rKGYTfzA80/bGHURvI+i6Ta/5wT71vBXMgPA7St8G/RIjSVUV9cM1NRWerqms3FqpSZIdQP0y
KrCaSowEYmDVAW9HmDNsANSYlzJ/CfFtHkcnsFZBBQcim7ocA4Xhcpv7rxFxERfGt/BFE4wt08if
TdMLTy4K8ZN8RuQCPr3pjjiaRrMQ04AXAYTCCHjTnNi5tyU5DSlv7NW0q7PEi48t0Y6grB8lTA5U
VCQ6cX2eyzAjXjp26ouhZYRYx27xHlWjSwQAizbZ5VCKPlsHWU8XUwfpksdRs3dDg3eH3GCl0ZoG
pcGmHOkxqah2RYvbZGaRpcrOjdoju1ufL6TESCLIc/JQPvievXLeEmrjlnWF/fDnLrGGJt0Rc0mi
QWd/K0pFZc1emiePqOqt0o7GapmZ/MRNb1jZqnOCKZA7E+VixuIYiPVVjdoTIcw/MjGVGE1P4E3U
lMSKjJ8lEpiN/jfyo6z9cqn/WcLUFAx9AkMW6b/pVPlBScJ+lXTWj3931f4/zgVgqBYFTrA6Flug
vzz0KKwU6nbUVpr8BVdLsf9oEUeNmIac+BElavtsKu28gyhJQqdaU4RhQyv7BrKD8FcvwfDyeRc7
AWDmOnRZW5o+7bWhCfG5Fb9LYb+WajN5ftGdjfGlpnlzKueC+3yeicoeWcj1FONvA6lZVpa8FjVX
V+ak4yk0cOHRQ3W3pcPg3GV9/1pGwXSyYmLV5KttWz2U0TrN+OWvlT6PJ7ZZe7nDcHGe0HbFUI8a
MaqVzYjqcC3nAFCsEVqHbk2HQTvEHoN7rUeU4YxCGBoJeGjcZu+NhNhsEPveFoZS5c/o8H2WjJVV
2CuKkyiwaw3DTtAP+3//xrSFa/A/PCTX0R2HCAnCGTTL/ZvNIUTz4Ek0oLFjH52iOWmeR4w7Nhxv
UJB1uSuMJiRUjgd9JAZvSTvwYfpvhy6fTrOBU0M69HKdIKW2jvW92ZAA6FrNsEvtrP5SjCRKidK7
nUVg+JH5XfxOTx7wH2CQp4H92dXuWYj1e4CahvcdQbbv8vjRtuEPL/a64f+UdTiVdmsJW/ZOXkXz
NI9ZcsBoAZ18NEUUQElR1TyE9uRsgtG7oBHxfxF7fNR6e/5q+FyJfe1Oj0IDOpL65aOdE8xOcn/d
UVPfyWNcSubObxriRoccj3JUEafZtXGJ8D9hzxoVVM+U1nppYkKwINZEF3mIoCDYzwo5smXp2Vgk
zQrdLobR0R8JlA+D61yrMLxntfxiZ4Q1zoi1MN3P8XGh9bh+Qcqq1kXfSJan68kUnQfUsJBYnei9
gAKCdDLva9Gkz5yx2CUdaX4fu1ACQSkW+wmhVLY2PVLDDSgwYvs1+zoGhEm9sQ7V9kr4wxN0dy7H
ytL+59W6CK9WbsNIVWr3QdQC449iu9sm1sozPQA9QbJDSnpmhvlxZp+1N9rGe65SknpLtl5vyxtB
Av+Vmmx2mDMNyn6C2q1ITHM712yMy2Q4OyF1GulwNUWPQz7I80XanD9O+XlzWchOqUuQZ44VF6sx
2vVFe9dixd84VKj27uz8rsuU2UabJtb3RIqTEu7desb1xbJhttWetKjpM3khzi7j6U5euroyvZjm
5B4XypGETAD1+nOxq6SaqGBqnl2hlZHEJ8u8T3GKHQQE1kqdRgYn2O6nNk0A9bla92QOXnct8BKQ
a5vNX+ULqpaEJ6Myx4ejK87FqwZqM7FIrvX10VrJ7mjvopXMGnVXC0wsvkF3ZyoZdEtxOCaIcSPT
2tfxaOOkFRdDZlEEG2wCD0HMBdto9KmqmNZAx96hwBO8LqCmMFzNLGHxzZLfU9AbLyiv/sSue6jL
w1hq0Yv0T7XMPGvWJe5BXsxZRJAm4oMzAiF8MmFngNRzOzrwRgAmf7KBE9Ec+9Sk/q63pxz9hOe/
g5k4dpiKf4SquQ/6+lpC3/npkbki7sSe3vvKYAL4pCbFtFXLKYDgan6WHsWaLs0JI+9XeaTiFjvE
VWKRfFUrh7lq030SWvHbpFSICBQu3Sqbz2qXeMcJdTZeTSV5miJYjsJSKqstfg7zSfXwEQNalX8s
2jkoWj2/exzt9ouoKyajAqig0aPxk66SJSQNkvJPiFS7xO8DvklPamVNBG6zs0hAfZIvGB1oHlmC
QZRM+kY/p3urnKZb5ebTjTI/q/5oBM3SeSMahD6zN6rTXpEW16SZBGSqUm69Sg2FD7NySUlp67eK
O+/NHmz71lm/ymK4TlJOJR6gSCKsEg/GMKkXYJd42epbzPvfxENAYLasWxGFnZ+5c9YiQUxuJXSK
dc/iSNb35RGxDhtZFNI8wJ3itYGxYI3D0N/3SoeKQzzQXYMslniteybZOoLl1dt5+a5FKY69oEh2
ab5v9Ng6T5751RYKploolbS5QlPQbYosbl9nur5rnMbNa6FD/JvFs1Gck68GZfk7YYd77ye9ekF0
s5Zldr+rqhcdnrdFrVJRevchR69OJXpPVfVib5eYFCo52geTQzqdZKCpeGX3bCc+Z/aEUHNQU8o5
Y1LtpUqo1BvrTFUOki5rIrpQ3dUMdBp+DKfyQaGPvWorX9lWZhcdWfk/f4xF6pRW52Zy/jE8PVOi
+uNmT72g2VuORsq0V7OD15vlY1w+QflhTgO6Sofvala8EW4el1Z1lHd+AxP6vMyurZeka8lJqz1u
TDY0T62lGi+qlezlacfXSta1Pnw2I1Au7CTQu8/qeJ9SZJdanRufHBg4OlkfV6+cr3Eap1etDPtt
g3R900k/TkW6gOnrIpkVNA2Im3fHIcmT0dGYG9gSPlHGgBLCDUv/6bONsA2bPL5ZD80nMxyZGBl1
ji0CrPQI8DO8NnrzHdUws3dkF6/1gIB6AItOLgpYmckJ9a1L4tnTspajy/VovEi5DW3Q7Sz0STea
0sYqz9W7XOBGrhWcA7zqhBVYA0Hnwhclno0hwTnymTyH3PvPq2PnBPh7VGPz8R/LZ2OUuajhewjI
RohPWQ0/t2xuDhFr1Z1cqhEktx4xMhBkN5jJldAvhSChrRwC5GBgZGNw7/Gh+US365V6lSPMLIaZ
MHOuhQ27DJcqdMhOdc8fz8YZ50hc9KQRVSMIQPXsVtOw/LSmN8ofFFkaZtUhd8zg2oSMV3pNeKVv
kYZGOHV0oGH2S8qxI2cMngrlJ/VuOhNGSV+gmYhSnIVDAY6BuykSZd8qwUaOfR9/Y8AcOlRaRRO5
Vw6Ei9ko0gjvcGxv/lKP47JIqgJ349lXaV7syly5G4599z3f3lu2YkOSD8j3KPpiH8dUY+ShfBjj
jtRYZ2quFpFKs5F+jl1Au37jUnj01Q6XIKIH+fYSQctpcTAd6Y+f5CmI6atBLtwgLCVXvK7KVm0c
/Z4omrLFiheZcXSTokbZh4zq7hBkzT6zseF0eN5emHAgoSOUYRmm7Ewxw6qJ8dLaBlV26stvKrf5
qcQAsVouvqUf0ccDOaBiGJAPmcegrI/lZRkZfOvsIi56StNhrwcThZKJ0YaZJzzkpfJNfsAR+q6d
ozQCNG0B3/qum4V+Lkc6LTbllPVYZipWremb/PaQ7bbPNclJG4x1JfN6117VmNx18T4HPYVwPUfB
rsHfu1/+QsWI0qv8TW5WX8PKjU/0J5JViW3qYMaOc8nM0+JxdRvQFohcNtGMfYhJehW2o3dkKBBk
mQl1nZ8yQ9n1l77WtlXu50eVmOGd2Q7TWxrE94p4nwOtYEySkVM/+Rjd1Kqh7t4KfygBUBJ7lRXN
t1FJo1OlI32jx4Tcm+5uXLTaS82R7PVGYai9FESbiD30EdmjxnrXMV+muHn2ER5dZfc1QA/DeBSp
20A3nw0aAvo98hVrt9QV7JZil2Ztcz8OXsuM8NeCjFGuJ6U5LldiZV/BULODmqKvmTetC+aEr6xP
M/yT2nxWjKYgdsmjsC4e3I7kqeUwSNV316a/YvisY5ZtF8L+YWOUGTKXpNa/5Fp2l/jEJm1wUozG
j7CMidqcp+JJU2OIBC0cR7cFVTajW2J0yQA79+Qm1jhSd60ypxdfq9GAliGCFdTx/4D6pOyvXNfE
mOhAWSnSdaA77eUDrCX1Rgbu0o3/J4UoC7Yu8eHg16lcFzjOig3Q3Hrbl2zED5VSflfp2KBOZzCQ
HsMCpeYG6AqESfJo5jLU/jjm2PCR12D41yTzkZ0YpnXtc/VRC6AOwpnglJnBrkLxdY4MehxSdCxl
yawcb0skQsymDUOUF2p8gOBV6e6CsJioZYKPC6Y/uU4ghxUaos7I1kp9zxQiSQrFIYNeXC9WY+iH
Ipq/Unfq1r5ee4t6QFgkOvoDrwZX4zpoI0K/xyzdu4bl4B0wSVgWz4aow6As+xyjoHVQT2AjVin1
lR72m0HhrSZ8fbpiil1cIATTmw9JNumGwjybVGLuHgi95VXSwbqTGzaUfP1p/uNapu8Qrkyo/DuJ
JpOkstDoe9GffMijj/Mfh+7U4o6d1WDb0uERXWHxKAVegWuo5zpf46nJNsixyjVxLP950So9gBf0
qBdF2NRX2S7qGdabyZhubr1O2dne5ENjz0yKYYB/Ntb0dr8cQ6A/+oT5XNuieqlaxTpLc4q0qQRJ
8WIHk0CpZfYjKQ5qVprHqbCh1AsESRj5u7L0mzd5Ht9ADjrM+lq5loLpQplenUwnHtJ6rtu5Of4D
TiWoRajyWcUp9iov3QTrT98fp8qkoOrOGXAc0umgSsCDGXx0gSJCbIaZEE7Q3rcIGnF1P3wzmR7e
bI0PWNOUHZWj3aHilsS1UoCI5DMpT7RjE2e/eLWrQv+olk1of0ZotBt1DNmzUQ3nLC/cl4lFqkes
HLXl4qxS4735uX8h44rtrqJx6YWJXX0viKN+1IO6uBsm2avNgoxlflWXBMgL9KA0Pvzjpawfyo08
qdYz02XpdWu4RsVVadIYVxCl7BK6yIpFmH+KRA0RztsRNaZ7M6ucsa4RcFJxEy6KxbkCVR9N47wN
aa/E5dCTyeSY7d7qjrbnZVd64841U6wnpY7Lp4hN7Vjn1adosF6WTh/dXpIwx3rYNYgv1lIv+KEc
/Hjh41xTAUAuyvIYCrGI5uHEs938BB2gowAjfp8lBCS668CEmapn0DotaPT/fktuoBJQQUKd+M5S
v58eEZvRixG3dwPEim0P1V2OGX5ANcgxO1b80sowhc6+xzB/ZwKM0HBY+qGeJu0wi/QVBVESoopE
ewb4lwIKsLSTPKebmMZVEpXki1aUeedksn7oplOvHWS5x2kq8AnlNbeMpqtbeeg6NZ5FNQ/W8pBK
eHyH0XsPE01jbQolOxvYa46W9buHTHKKO91/kg8Atw2LNxaKM+6AAS6KxpsxuDigNQW6qw76aLdZ
0lLklZCW/qdaV6x05wnUgW+r8RrMIUQHsRtKu9KEFWBB9BSHSen2T8VIzJw48mliPpb7Isvwi5tz
8K2FDXaTbQRzcL6Wjf1aL/VFP/OrN3AR1JB19XODSnv5yT5sva0U57qUr7eWOyOcFm0Iech03u0t
yt5n4meCQ2D25xDN8lVWYo1azy/2ONH/BNdqu96wQ0NOvP3Hxa+FbzXIrE1YjcNGzgcV9LtrlNd3
xfaNS4YRebmW5WUtHxTIunQOPtOc6g/yZzS9mhHBd79VxZ2gGcjYmbyauo2dmPGxBMu3j2KveqsY
ERAAGqs/cx+6o7MUlwaB76CWV75QtUXsJc/VFILW3TDrW/b3RD3iVDymlw/xKAnE+VN6kXJOebbM
+vxpOkkpaQ4wyzfS6OJn7if5edka4GoQEM5aCXTlLRrTVypx9k90rJcYO9gnUw02M8VhOlqOfzDm
yHhvK0BBAmckPXVzleO/kKNL7g02lnmWXqYoGMhnVUg8Yd0G+2b0m5tZZATACx9B5EUk0HT0f/ua
L1CMq7mbuSQoEzstr7HQQzDtsD45q07T7T2nrXdypheTf2llJLXDpSIxZWJa7hFEnewgeye4S6+V
4b2cMRcHITBS+TN+jbjYz8tTP8ebv4ZYOdiGmFnx6KYbzXdqyDNTsZWm+a4512M0vyf1mIDsc2++
3eLmj7l9+xSasTcA0M57NKs+W5RVOCgRe39mYXE1BlaaEJQmchXzpldOLo352nfCy/IPUGJjTRt4
r9SMzWvZkqVu4mcP+JD2xMridzHe5aU0Un89KAGhPfx/7lc0/sQJs7HiVT5AUavtX2FQrT9Cpjpr
ZkKWyxQlt9qDvEblSigxfbK1kQaKnAJlvxSQ2XDnp8FP4tW/l9vJe/gbm+86lF/IZ6GT6dmG/jcJ
27NKNxpM4yjph8lzrxRfESgiX4i4D3uSWHYGAp+VPakgnASIOOhp57PUvwbDgmACPb8u9TamIIXH
PqprBtLcng6Fx2WbOGl2VIPyqvdF/5CnqAWWO83CPzehslKG1H30vaqtJMfSyJyfthCWasUYkC5X
7BSr6E5OyMKLcrn+ybZ7tLqquUWg2VH1aEH5DmCHNe4ZtEgtuS9VSCJz4pTY0lhC185BUmpaLQ0Q
Cao0/HNrfiR++a2vgMRrkYGrYUh/Kq4dHmMV0A2L6uxR5ASNdIDMmFR4Yo8HqtLulh9uT7mijHsl
Z7cmy0thYeIetauj3N/STAHgRGciKcfkxfIMBmgjJOYcG9AqD7Pp1a/bV9pB4XcF0tSqNXOb2wy4
iJ4RGWg6QfmelIRkpOWs7aTgkDYhjoXBXxWBI6S2SvNs5n35mFoQdfWkXPIhezVCOrtmlzx3igfn
QQy8VUJHITagbZrsf09SDte2LQl30/TLnZKv8g8elNLZwaIbMLY7Xyc/ss4trj25Mzaoa+/pX2Nk
I6ApygvaoKYbbYcM8zZ5xluLopQQX6KbchBbyu4Akm8lGp09SC7G0MLstnOGrUTq+TIaDesFFjzW
nv0MHWIFEau44uf+LImU1QTxEOBMvnbZkN2cyuj3FS7TlXxVkitNP98mupJizPAZ+hSN1DMxpNFe
c3dI4uZ1Yw5fbAlWhAupbtvBc7ZFr5orWUrX9mGs/5IGrYKl8pMK+bmwwy+9VZtUlSl41GOYn63U
/xERjmLkiXLTJG40tXIRWUnEXJF7pfgzEfeq9RHIz/DuxAOchKIontt2qPf9rLrrwuWLhS/aPgMm
RjIg2k5p1sX02JGJEdGMwCI2aKiDZ/yaxkhYqQlfNHWy0BNBv9koqrL2KRTfJWqhHFzk4tkY74gO
0BFvNuq6bx08TbhXRULPVi63zAKm7cgazUuqGZ0wLjIJXSR/bq8R3nWwGyLeFVvNX5OwxZbTGfrD
nad83fTBilzm/GvgJkQyx4S9US+YHwECjJi2BKV8Q3AESADUDPAE8zRXRxNY6kGvJh8Lt/bLGi2m
cD2CvpSTiIgt5iXwKuBChUnKoev94ZU7QZOgmBXdoLKmK+/DxbJ055MH1SxgLLwlyZAcuto5Ogoi
5GBwml0CZmktpx/5MFEJQtj+74Oiof49JtKnoZOnqbYlpIjmX11j0Aidndu9dcwd64tXusFx7qPo
pUPsTY1pXlk2dRtZYARACBUudrUD+8yTpgb2jchqf1v6RjyDwkv1HW9/JnLe+S0kjhi9v8tVVj8l
7kkclQqI7RGHnuKO3xUdw7PpMCkZru1eSjtXSMbLo5d/f4Om+jfRz1M5Z2qOwXskneBvor5aF0RA
2AaBuQjR90BdqHv4sXn2vWK+RtTlKD/zRuOgj1hXqxBPZk87yivIzbBB1FNeEOV2qhrtqRpQ55t9
lN6Ssvsuj/rcTG6KO3zPY/+Vd1d8aVTxGTIv8iSp6ulH0TnvTTyUjwBr/JlMbVRvOXDLwNCinR0D
CUp1l8ETc/tcjd8Ucr43URuop0pkc9YjJiJF37U9Gfdjn4zHCAT91unj58kvnYtqDMt6s9Ec9MBN
wwhOAOh9yojCtYAQNK5uHSVZpG3Z6nMrVwCXDUcsv7kFZ1+4simsxEP+GvdKtNYZRY6mHuevWmIl
a5Cv7VOv2MG27sseSSA3eQJz7mqxDlpBtWhuWeuqr1oxoyb85hNt8Cy3YmoMxnCYtGeBdsCdClxB
lnMREP0g0KF8AUqlgptx6heQ3/quphB8Ll0vPpCwoF16oqBPuaa/kKGTP9iKG9eZ9oVYVl99CXky
80LZgUchu1Roh2r6jWczDAHDsOLIh9G/xLpdX7CuCTdKo5x0kwD4SLOyh0RoZCPpEIk5Jgj3w2iN
G1+oQsPimpm0TyJRjc+sxFvNtOcIgwpq7KaJvuuUWXnKW29HJNt41CE2baPeoZigZzjYur7D1WYb
/nmw/QQFMZ+CQrzeNdcHdb88UwWdJdeBgnmAcg9e5dWsOLx8NbTJdK0z96uXN/VVndNmXNnAhq7L
sdfmZwIiNvKUfNCX/2S8KjS7L9IqWkfjfqz68RRn02+xMTk7c6E+2WNykF9LXnTWrmA4pGo9wP8O
Df2lUJGCjq71fZHT03pEp0ziq9qNfchMjJq+M5Vffhm/hW5lfpkTWtxJEoRHG4fYddbaNweO0k+l
BE/RgWha6cWqZCERrZoh3Ka63f/ydZRV7lR9q7DXrKAj9++1olRroKIEqFTu1ymJo7MVNxGmNp7p
EZTPyHfYoEIykA032XpzCyeAOCdIoFXp9Xs9tb9YkT0fQhmjHXYWjU9NuBRBqZcruibBmujITMDz
BeZYs6iKzWwDevYyB6CdbKxEWUwemr3db3rC9W6RZX6RKO2iI/d1MCbvqKrZsDUhFW3HYlCvETGS
0pYgH/Tc17alGnl4jLNPsl47taSbj+l3Z0Z8ZsRnS5C5y6mFKuJ1w4qWJxURvVG/OqltbGZftdhf
4Nkp8+yLZagtFjKMRFPdmvSXu0NnGUB2leiH9KU2Dr4WOgg3VamKRxMkhGIoHmOMlcGlD1ATlgAm
eqf65Nt+vbPi2T11Tkynwx00blTqj7gJryNlp/046DNMi9hjhRU0kGzBPGZNdyyoIbwMNbo23avD
7uiSjA57KAZnVL/KUArNvvchRCRZ5ZYPmRJ+qSNmviHpH6i8QDu1LUQ18Szo6Ot3SuvcQhshkm0M
d9kv893+eSjUHpYkzLKsB6GI4ck7henIFtdM3C2/OXwtHX3m+4Qg8qdCn4z1pcFylJdT+j2qGfHw
8Fj3vkCnoc3Js0adee1PcACkrpFiur4cDkNMBvAsBNDBNJcrqbFFlg3VLJ2xbGFnWAcNuMgBX8fB
HMv04nbDMSe4haIc/V8aNPPlJvvBZEUG60W6qQfpvJEtXrtAIaa1U3WV15aDn3nVmSkclSzfwilm
/gmDX6mwzatNo7B8FGRcZWrER5nq0AL+j7Dzao7b6LboL0IVcnidnJlJkS8oKiFnNNKvvwsNXcuW
qz4/eAozlBVmMN2nz9l7bZp1ATctIgfvlhCEJs+OJYjU/WDRtWomixlJ03+Y7rqp8+I7vdxgnQ0C
vFKamYeYtWcRoRltn77TbwhpxmCD52OhizcfO+QDaBZ69ET/rW3R9ytRpOpdG7fJHT5KiHrSGjhC
IDI6JjXzyllifjwFQfUeqFCayVT/KpM1pOBZSiuJ3sXpw5B5F/tlsLGC3NvHGf5WxYzanaKg50ZT
k/xHJWP+e593HbKnSZ1XCUbT9Dmg829RT6LUidQBIn4a8uFtlExJ4A/mJk+zXUoOBLlNgf1kU9c9
pGW3UucYcVhz1lNfqZ+R86DHg7NTk0GlR+mbt6yLBx8NtB+ff8/O5JVbxbh+zTra9zPNokmi/L0C
DSHRGLYVHxpBPG2v9s8TMICr1JBhQvFOiTd8yGeh+PDkSdwK84PDN2uJKtbIoJuRBf+7AiJD548a
zyM5x/N0l3++rVren0xjUdUEB5FCeFJQXW17chA35vjiNGW860RHx0Kzf6ZWPC7GW1hVN93wUvpU
Rv4xas0xjqBryFIOA1T8UIRY/sZHy3l0tJDSvRWoQ5pR23Y5swMt0a70TX46DSimNYmDwFHsujpb
htdsa73xv3gmqRfaIc3D4gtJblT3RV6dkjp5zRu32MqqyjWSDAqCOwFOruNVEOrDuaPYlBzveABO
G8Z2e50qoMro9L8NXAAX9uRFkOxFGcLsSFr0FJbOWU/EwZrdAb1+0jMN8hLB3Wm68NT6vjnHselD
b7AHVIUpqXmI9fb1AAXBAFl6Jq3OeFPoEXEDuc+8mZx2VQZ+GBKQ22qie+7C6taq9qzPc5W7xk2r
PZORO3leTkx9lykFX6ogFjT6QVXq8ZTfNRrU9NmuOhhkFpmGY62loVFvGHT2MFzOcmUc/ZzgIUO0
kMM84KWFHma4CWmTh63uPBUmupjgVGtmvR+0jpa5m1GGEQNWvk++Q7Ih0pFdoXr+TV4FSYo32AEG
nRkYNQDYtEdbSdz7tnJvtpXFb7HlXCRGo6JaL0btBeBd8jEERoxyqSRd2ypbJGccDlAJG05w4Tyk
rTW6tLReFfWUBIIBajLV98gUGTgpTfOmG833djI7tmUIueCBasd24xUXXq2UT72O+ZYnLnabtyKy
xPyTv34JeZuUIKUIIeDMH6C0CfZTafD34aNddgLOfG1fZd8Y83/WjVc/O6FF/m8aP0Vt76y0aATG
7XfJ/UQI6kqMeK/dwoMIVtXqYUjRW0shURaJ8OAQRrVepHp+onKK7W3GLjhaMlPYu1jCABg6T0Ck
N4t/ygqqbpu6/k2OyLXasy6uxhTiLx3U3Osg1xYFiB/8GEFP1E5nvOmdD9CIafKGdcR4yxSCgqOZ
i89qsvsNZekihaxuZppHCWUpKHUAf+YeMHok3Z1PLDzgN3MJBs2K2cNRlgfpQVajftvEnH4leW1K
x5OnKdajpabBo6LWN6GhGq0JfSDcCFuQo5XDGlzhcxU6ynmYqSqR6jofAwmbXnfs8lg8ynUgh2K1
durJXllm9h3VcYF+fY4dXoYi5NCFq37gDGuxuC2h677eZ3dxWpyJ1zB3o+k4y7DE8wtxiA2Sd6wi
RArjj9UBmWR1CZHMbB3kZCCPjBsEVGz1lc101/CxShmoug492P31qK5I3sUGTERFnikZY4Bp3NZz
Y6OCK0uZVQyXJWJXBRHxSJyBdhgEp3u+8d+tKDHfulDvaAt041W+T+EPzjAIRwZ6a3KEh0xSJxaE
Yb6He+Fi98NHatFrQBMw7iBBePSj7J+R7ljHBgHBNgZpvKkwbhwy1W3PIaamdQhzeh2Ptk5UG5s+
5Qnxex5awDIvfkj/lmLDYZyflXqgHHoED/soAvnkpM73UCTPJm3bV47xd70S0GAKNX35WDVSQlbx
qNlXULrBc8P9QCszXClapu8k/lkORuQDcOe3pjLMS0LaBd24OL/i1+83emA6B4ribjt1SrCA+rqx
+Vo1unlXNsb3DM31UU4BS5rSNHl4j0PL/QZj1j9wSEj+Y9eiLfuvXctUGfU4qupYCKT/1EbD7Cib
qS6nUxDF30cRYiJRp2ktA0oNRLTrNDG++K7mb2WvFHMNdB+XSIWBQLuLk82oZ44Q4Um22IdiQkiZ
atfE05LP2fdhzLISbZYkJebdsg/ibZg2EOjCZUb4e6IC8PgVHu1hgZ94Xjrs5JjAmGcFpC8WW9sY
s63mwie3mGdf56CAZ1SB524k2HGsBZ8E0NRt3g07fZw8OvFhc3bjznqdG1HqEFXvfg0qKy6Yb7As
dyutF9PebiLm4iLCKmzkIUt3pBMcAi0jE0O7oP27rKOZlNWQKtCI3s04nkJTxEbFLfj4+ypIPTJL
nArWDcNuORNfJuDyeW7zfZuPTLNu5q/U8IokkkM4mRje5tck3FCw+dyPkf5YWpVygtHvbfH2OXDc
sWa7vR59BD29o6a8xRN3l+w7BJg2toMSIq+p0uypQiMy/36Ja37mruod5Z/oFybmNtd8lWVp0Aen
LvDI9PbSaEMu8HRgafB2M4j1yIzOwl/JHjfaxJtNQR5uc1G7Z5+1+yZ/kGgpFjh/xsMVOo49+WIx
Z/pKgVWExnMfKI22zQPLv5EtgVwSEfIXy2B1nZ1Eg0bzES83yLO516zyEWzC+WnY2DfiwhA8NmTh
1IkGA07NrWM1VeVD0ST3MgQqGHIVNehV8shk1ULvBEcgbKR1WCsmkGTi2OQPmCTGPopoCc+zFUIW
8uSDsBN1Hxhlupc5JbyMR5eqvyP7qENkfjDLnuFaNnKv1kr3DSpnh90GaEx3tzACIpcoTFBfBlb7
o5zGZIGCOZwMvi0TQBzx1vhm92p+lDlj8qGxkNNLEkQQdcVRbjCVM9J80jXuqPhRzZXuIo+7YG+a
c+HY36pQNI9GnYAaIoVpncaDt027yt+btKm+cNq4RDqn0VyrrbNveuWppdlzz4HIWxmZ0u9FqA73
Yw0LJiqLZl+1W+nDaka4JapnDZsaMonErpGiVawCwzafGFGAYgqU/I1zab1vrALXMjgX2iuENykb
paP31pp9sVdEhWwJRMfFKnXYaZyKyLr6WuZ+cjVRzp2WHRw/17Ttup6Y1zHUj3LzVVRUAEt5EfY/
ZE0UmcbaScf0w/LAQrdY9uKBoNJCj7AQKcYrhlTn5JJT9WxlyuUXDXHU0EZAX7fGlFgYmT9RsjQv
qYmyyJOFH6Z7fGG6nh8qIpKiOAMN7fbsX4ioG4I75wAFTS96ysd5u21aFRp5n9U72cMfus7aGKZP
yMQsbwg6h73Xgzo+dyyrEmGXZ9E1lIfRKc7snTM/ZQE+oCv0rkAMw7MPV3wxUObEgSvYmrZSMEyF
XVJsueV7MarlCmjgj0IM41x587qONNXpMnqXwrS3ij8aK29ID+1QAw+Gg7WVEroRV8pWb13/GJ0k
vM2n2bdh66INSq20SQNF/T61ib7vJBO3i0L2uGE6yzexcfOXqBnbTTOq7TL+kL0GPW/1dYIwZkUD
40P+QTI8Kyjana1E5UNWJc/95BQLTztPomelmt7hRzY7+atliZaXISImB8RJQKDrbzOHFt75SKUu
4Ik4ss+JRZSt+aMIT7rbqO9AHVwoGiV9QPCZ29pSOERUxYiMyRB3stBcIDUDH/pRLju4eFvABUl5
SpEt7BHU1mtbgi7Q+g+4woh1W/4mtgl5HdtKs4dblmHVG8nrsoAM2HWnoSZ24nXjiAcGvYyKZ37f
2GretdcqHNPxs/Dy6Cq/vXquGvsMSYRc8eRfgvDyGNakd6DZHT9gD+k37hSouwQW2Tl1coE3Xai7
ri5BC4Q+t1Xa9aRf9MUWp0l/AR5tXnJ22W05EHgsNb9Boj8XjfC+FqP9XCR443MLvMuEbOBYuCqk
OMyLukGHgjNEcky1LrykMYwa6ejVhgnoTs+a0WjD5y/mRMqNg/v994Pw4zm4vrplk1se8zF+0any
vg40Jw2dUSquknLVAMvceFrNkH/eNF25f3Yc8rZLhyWAg1gaqrMJZaR2CVpkO6huhVJeVc+VlfyU
siE7qjnNlRiVkv6HZ5bKVz1EB+bWtXGHHEdOoeI6mL89YG/ysoaZP3GD5BzSVq5hX+QGVzAUQ50K
DHW1uAJdR/U2ca1twOdHHI4RmOrKF1mgyHTLglCxc8ER1I2AhVVuYR0ci++58I3XxnR/muGQ3ZVE
0CWao59kfeJceq9zL9QUw8nr1dPIMYiUinRXpJZ2HaOEEIUUswamw7pUXzyMf18MdWzBb/RvCsdJ
Wk8DdKd+qLcj/6DeS8xNbQL6qvpu285nXzssijP0cHjHVWGvE6vQ14KIitXoV/wt+Fat6T8Q801Q
00bKLVTaq6spbPJTa+IaZEmNt/+7q4E77l/1ocWXwLaZWVmM9L05Sflv/Z4wZd7AzJSs88ayV+7I
YhfN2bCZ3T2xKzcnkeMFrEuj2Ssm/hfVLLonpGW7kOkGEwYxz6V7C/DzK7dfe8dQ6MmktWERbeWX
mv6c+swkYPjC0TLD+K5kIO67Rf+JGTqvkv57LBriHKfKOAgxZzGl8XPaWdFV3kAgPaDCReIrgX7B
Rc2ndteZcQdtHrMVaSmwkTwS1GyXRsbEuTUZ/LXtNf2qJgaNsC36UnWB18rP9WAnn1qVlq/ryXuW
t9ZSpOF4LOx8ulbLjcb5bUfyDMEjc5HmCCtdA5DU0aWkMHKGNNFWmJS956DUEeyaprtchfNrkzGM
a2AZq24IYPXgJd5JYAiKtJ8RyWr7pcNJVdpiTMDbkuRTeA1Clb4AJn/091pFj6F2dlOLwlL+iTAN
VpJGkHei2rhaSDBZh6cqrONPUyVIL24mZJ5c9VFlv4tEp9kvLTZ/sYsNIvY2pU+VAqKrR/5pOcvZ
3EieFsiIidg9B0ayhRPaPphtEEEeaFqaJk73S0YYMvfYs80Rwssat8MsRuhs5WAELCmnpN3FDYBP
hskL3qjspR42JLhh/+Jy3j9D+uJeeOuKNn4b/Jajb6qy7M7tBcKfXwyiTdZ+imi+DMgyaX33ndTI
fp1bTvOgaFPN0dzXTtUUg/Ekca+dLT3T7EWRD4WL3sQtdNyR3Bv1GInr2PGG1q4NGd3x7/IRpwdt
9/o/FDHWvxuDDi1TC1oXhw+Woj9appnvEBEK6/nkuaG67YHDNnaufpsvDF9fLqy4zt5MUX6ikIJj
qXW3VNenowhKc21qYXqxch/5DmqYimXwGCN8XxuWenFNtKOyAzaWJbML2/uxVECs2VsZ84J8LICt
U6C+IBvLskT9JD8KpUQopUf1U+1QVYD6ATJZjq89Ddqv9f9fJEr3GlYqRPW4xdE2v3MS09gk0y51
+uYiX5IPcrGueJ3kjubCeDH4j7XIcv+conuaa3uOSfff4bzK9T/XIsZFfkqqfHqO6+FXGjNS0wtY
ypWUmVsLJDqdl2ZhlXAZ/SnaDUatgQr1dJCtYOnZrpBo5rs6Yj2rvVx5CPEoX+tIORII5z8YU+8/
5BMIBXTOpJnPr8mHgF70LMU41co4MYuziRwHL7utSARmbavJsRy469ryTvZWnTF+nuZnpeJULAOO
x+kohldq6YTO+joWSIYvF7c1ogv0BSnMlQddP4MQJ0+JSWmpD9kI4MBGN/DQeZrA11JW+xzBPsbC
+IySt7pNQ1lu6sBLkOe1/AyZjw6gRCbdygc7RGEXRzH2tDnJDmzxRlOt8KGbn9ExiTfODALOj3IS
PkwE5wkneZlopldtkh7TqVIX/Z+rlp+NpeWoUWBPFEr7Yswj4bxNkhsJcOvWVtZJCMCcgbWybo2Y
q0QPNrW8mn+KGuurW4SEA/Dy8gvmX2qajQnB0Kgw3+g7TcvEZ+009TpPcwCluMD2TtsfTaIv7yvC
2RZNgJ/lq4IzNkEK2Q32nPg+X0yIjPeKaufslAWfM/gbDIs4ZxRR3LlI0okDcK+OQdwd7SmxtfOf
+gnhMZmxo9WtI7O7gkqgGii7Fueoe+wtE/3+HAk0JMbZmqA+dtjcw5xechBm2KU2WmycTXX6AUqk
2WRF8nMYwqPTK99yvTLXKfkXg+V8TKLKUXsJd2Vr3jYAK5mW2ecUgRWz1I2ilxQwtf6qN/Yxrpju
RNhwrBnjq3wLNI2yZ7abZXb4XcQtLuQEzm03eie+ugobGpwoI9pFlYE3feB3JMNlpFGwBwJA1FeM
k8LEpA2NICCOUCBZJtC2aG1B7ox66kfc0wTEJhsH+GW7K21O0EWVvvSt9xQxODgkARN+EOVWE59V
brK50U9718Hkk60Mrdq3Tncrg2A3ZpE1s3DrbdK/kMSgbhJR5xdwkdwHVN74pjh/ptixWYH8VBsv
s6dwlTRN8MjZ2ifjgdPMhIA1Kx/9PAt2/dRcmgr/3xAU+tGywNPX3sWpDW/lFrHJdsMM02UUL5J8
OClZ/mzbOrBMTtecBO1pPQdzB6Lb2nE+bEg4WWkZmzQ2iSNCji8VtR9r63QpIfASDnggDe/7ZNLU
ndQPU7sHp5OsdHKuOqKXMqdBxDL2+7F1vovc406PRXtwiQ2P63lu6kxPqRdjTAkRbnaaeWSsj4Mo
IC+lKyLxPBXWacwrKhNbv2q58r3WtHub32ckGOlO9cU1zeyzE+O9AcF9qTq+zy1l/qpXct4/mA2t
aM+eEulrrcZkw+K/B51greZQPfZdkD4DkZ3u4OKe5nvrVs2VgcmT1evbycsemvynyjzcN5BedPr7
NCb2diAsuArzZ48IUJhKRnMwPRX5Xzv3g0R4cdX6rc/D4SqlbuN81QLumA3LWomj0HBT/bUhi5v+
2LeoHj2aTmq6K91JRWendk9x3p/6iL6IIZJ2q837GF25GNEgJaPTtS+jBgI09Ivyoe3bVy/vb6k2
BKffyECc3cW5mdp1oqblLZzX+N61kfGh+iiyW95l+aadsj0/IeaNjB7jIzPAtqcTEYDtxkEAqTUb
gLEb9PbrDouFz0c28HZluG9jSP7zf2P3pFPhhugih1E8Ekx3w6K09u3XWKSrdpxYtFOOFehj1Pso
+igND+0kcbztpQEbH5Y/TOOCU53j7Z1qHxr3EJC802HRzdTdMIDsiVZp8GUS9t4JrgSLm/4qjb70
wl1XhI+YUA507+qlWzchSowWWUxefHQa1V1Wn7Qa/KfrrzVVgTn2SnqBtw7UN0g0X3MWnjs3eZQE
JCFybV2ZPjStUnn0IDydfUEnz4fHguGUnGY7PWv5LCExLkZ6Uge33kzFkJ/zgXqqN7MfgbC8DSmi
4Z0GhyLXPowePAg56n2MBUf3+1UIWnVNhCTeMjNBYoLRe3J0/7Hz/XXoZuR5Avs5Jd27awFnEa7/
XDd+tqXb8zZqKlP/Aq9A2r10fVJdU6GAjnadM98+9RiFgGbrebgxTgWbhGpoG7RNBx/Q8FkQ76JO
LCNj2aTHwQbEnlcCpOfAnR4SOxXWxdUezTtdxdpQAVISybcC/5xSbb1W+4Si0BJtGw+rlInMThBO
M9bHIJnMI1CTz8R7a/1CBbfffsNMzry+S7172c+pQnxRLvtw0q17DFxnU2/Kg1uqFYK24WDbSXhR
feeLbDPRT0Uu5Wb62mCECtKmyw9T4lG+Ab/bxr2eP2ZFCSpyalRaivhlbBEQ1WsgGCHbzoCCWzMN
LhzjZsTpuGsQNSyvyZ+i8io2zPus5NobMTbz/qJ4FEaenVc3R4ocmpKUhLSJiLKPmv4NZizNM1yX
Mi96+V8zrxEHTas8F5kkOwOBYTAcg63XeCHYJ9CL06xpN8uxpp2n+wgJXURRqOFyEY9rHWHZlipK
JWEEL6acrrWNMu68zDV30ayv4yMzFk/tKCBMcN6adpK1SW5gSC5PjHJLUkRtomNCMKt7a4hw3Eft
IuhgeMgxcH5aJPg0DRCxWwmoMXuwRDVS50bP7e3Sy/iPo682hxD/HRvjabOoEcmmZ7sQJuw/hOw6
VbCN+yo9txYHNmq94eq6rb1J6GCukU2H52UOJ2t33HaHhuX+tW7Vd3QyJIZ647Tr4bhde6/fpCbL
YKe2T/nkKAfLstHus5BehWw+9mH8bjXWRsRd/gqq4rocV43iuxY+yuIl7HvmYkQAnT3SFM6EkySr
KCOOgvRb/ynTieQsS50mf+PRzUjEiekYc+pALUbsMMpzO/AlMizjM7RKmgYw8PEfqhPO3jjbZFBV
WZeIbCwbOlbyPMGtPG7wT3/rJ6iWNKemp0HVok3RsMP12cawqupNceaZbuaAGhCm8TYVx7CqnFsa
dc39qJMFOZ+60yqO10nn8v5gTEkGR2UgLOxNP5efWPDdmzFdm2rAPj4LvyHPe1cGX/sgz3Ele9VV
ttXrtPpUepEt59KSXWXnEdrJACas1ja246sIWhicnduQ5xuJ8xhxEM5n+qmor6UDmSxVKaSgSczo
Y6bm4UXKx10RJHeOeHEGo7ktbVEgy+01Qe9zN4zRWeL7XAaQj5nVHduZ+jFWTQaTcDAf07T45dL8
37efrv3rtIMwUXc81XNNaI6mnNz9rfNCKH1fB7hcTr2MHoiKrqTnSaaSoBtrhHpz5+UOTBXHvRPZ
0K2MUom+lxa1u3C+d3MqylBVNhquejjKYQ+tA+68IT4UtbFVYC8+/PIMGfhmbPUeLubVIN4jYPZ4
09O4uGhebaOxJxB+6bvxkYMUMybYzm20DmbnX4mcAHx4R+dDsad+LdMZMnKSLjKiISSN6cis+2Am
IeJeJF7N+9LiGEFSUXV45SYo6uEqv166a1HShZnY8mUgbnmOrVavS1OvrY4LUt8m+O0sYfuimBq+
ZkP5bvlOe4t6mDpap70uXhtjwsnT+jUL/IdmKuvGBWTttPqAJzlB7eE25nkwu34l30s2mHo9cKsz
PIMFLB/cj+Wt5/ecqAXjnTVG0ZeBrKh90irNoUwi+2Xq49vUadBJGVe2bIurTDI5ijkVxpmPfYuk
xFD8CxMvXK5MVf4WQrSwjAS72MpRTcps/O2+tNjND+78oA0GlgTZsDe7AnMKPeONRG0IF8cA2v2T
IdynZY7BfspI3q/cTVOFSF9TOFO/AqFMPVV28g+x5xg+fmen1xw2kmhf8fK9rtQ/atqAZw5C6o6p
hbvCapIfpashHdTr0jRnEvtBKCiODd+qb0uStUmkGPCzkGQhQWDUoiEpe9xay24UUaXQMAIoJx9w
XEKVm0ek8qkVkXaT1alPHAYWt2bQBABWr36QchH5WlqRHdW2zkcLWv+oDZp55ztafbJGjNTzM7UN
LMJCuZp0C9MvcpaNfOr7oK+XpogOWWD9e/IwVV27jzhPL300vnD3IrZsSnsO14yeSwU2FZ6kYY4g
NxA5APfP0o2Ei6pNQKvXacu9rGZjeuNHNyme42JbJEb+NyGt1NUGSo96oK7s8xDqNAmHILlXwAsg
gMNWDJsmPS1fi6blO8UouCF/bYMc5fi/lxXrX/N+VD44bGileKrL5vZHD4XOuKsVat2cDBp6CUgO
zuwhGSfzlYu/7DYxzQSPoFnPbWXpGzNlhAvv2n5O23DcT0U0brT5KTOW/Dz2EMDVQtgca0L9Lm2z
q/xfnXho1wX5f/rdgnvBekVIRCtOPc65L5UgkoKe6TWdH0yL5B2qAqKTPGqOsm93ZGLjMQ604TwR
jIVqyVHf0Ygjdp4i6y7ua+2+VvoA6nSpvaco9VHQkG+/2OV9t+reem2eBhAZoDiUrdhKmiejyMf/
0E8Y/6oRdMtUcbupRLOapv6n7aEPZztmORYncmHv45CTnmtp+luAFAFGpBHfFZMTrZ0M33OYWc2h
GQSLy/wgGyd9GpDzGHASqh1x+92x6W0xXO1SoAETtX2sexPvjmYroLy68WRn5mOhDNMNiPd22TRD
J6uPnNxmUoI7TfckoPT7cFKUTY0X6OX3U6mBaSZUd//7xtLMf00K2K5s2yMX1MB8wr71z+6cEahY
GEgHPGlgEmCrG+PjKJJFNgL3p6foAddE6DF3jD6+xi1vR5VkG9/OULmW0XuQNO/DWARf54ugbLNt
ner1Rp4585bznZIBqcsGY5YNIlSThIyiNwdq3+pR8bPmPLSJe6drhL6Q/aZsu0p1CE+gH6EKL3gk
V648VJo6HVoxZwbm7Aqplm8D0xg/Ih1JeD4gzi34s/b4tsu3UvRU545rM0UDsBlajJQCI3ueeuJC
VPqtk2d5r4XyQxLWJte6L3DorbFrBk9QtLolwaux3hpQ9KjSeuNYN2O603rbOARqFX1JUloOSlle
rNmE2I2huIkh/iBtbDgaRuXuwEoD+iwqZw+0tH2UHGZv+LQ000I3PlnU/meiZSfmAzrSHYN6WSiP
CeG0YaSpX3S3ag8q+AhvfIk1Js/8Mm5SQkYUTv3iUYnhWlM5DBsBboomDfLxZSGa3EbZTjbdNVUJ
PgNVGb8wFhMrK9ceC70KXp3SfWB4nX0b+meV+MHYnzgTWzaMGCUP1zKIe+xoDukoF71SRHcMb1hI
5UODyO0c2zSKZ+Pbgh+v1XDawoOcGCpY8b0yWu8yHrvz3OLgh225xdCR7wfb7dc2I29Gh3MUlCw2
1OorCVLWEYh8CeIcCZCfKbugGJNbBEbib1f91KXrkZMQ2mTIRuP8wOan/kfXH1DAn8cHz9JUzTI0
FACqxnr7z+9DFyHXqseE06FPV0W2VlEb/LSswr0zMjJW81zDP+PVb84/878xR/AZ0LwIoqJ5cnXS
ueRVn1JHFyb9NLurn8Ad/nr996/4fZWADbXx3cmlpjDw+RQJGcnzmZAYi/6h/uvKnMxfr3EG/Cxx
mZ2kmmZCxn9aCju1BY1vTuU+pdC5uo5d7knS1q5W9SyrLzt9yKvIf9fT9txy7vwRpw1gUhJ5kSgz
NqY/r/PVY+vzz0vNKsur2mAosUALg4RaQ2oQ6B9srF4kb1k7lkffJrtiYdCjruUEQ2jaPgxzPEq4
bfaF7+rXQk9oj6gKLCb/UaHOFqsWzMIlMcrqPEdP92U+AOGJh3cxJtveKvjUVRQ9Y6k0e1N40SKG
nhKz2ad8F9at1ABzRgq3dZ08CWkgGTM8Xsn4pvTlcFfBH3jQo+oLiBj0GkMitkHXKweMmtpmAa4E
E/aALNN2qZpHj1LFlDL+h/STklqrKHgOWSqxvD/qk+k/FGN3k4YQ252SLel/ORBOTEhLq9vSQ7Gt
lErZFVFh8P0jgrD37XvegHorlVDyqmg0PjKEn/VMp7PjMALBh2Cz6XUiGxtELTUJtH8j1g7WJzb3
6ZzarSCrQS3ICEVS6xsCbpxLQ08aE2vBPxl1Dx2weXzShjlF4xwJoKD7GmUomQYU4+A1Cp0vcL/r
SUmrrWTHTvzrN+4wWLsGTsEpRBK6llmKc+T3JvFVBHXk3TKcGupjOAAAzRM6P3J0pfMNIXCjdNey
xmostruqjcABZtr76PnqztFjajSDvO+JNv8DCPcNSfEEKGvxWjY6GGuUV1VJ+dyrIN6EqvWZNtqL
FJvZQ96ujZbwF9tRyvdINbtdHmG/VFB4P/1xlWds1NqgXnj/76XqV/ABnGg/fEp8fGwiHnO1iJb4
DJJP3JGemuuYa1+zWHVxG44HGmSvhuE/Jm1hveBvrvf8rtahCnkzgZ5p+fSehyJECk/pm1t480ea
m4cJmx5Nfv/YjX1zjTpavU77TfqiS915tWK7e1w8KHkP+czGbT7T7MgPyM5JyfwhxDMbRPkVGnbz
MtumJOvLqzFY67jmJgaEhd0GV/k3r2j5IJ5kiis55/IhDgiWkFd2v8PoqcB9mv9VshUjH9BmTXvD
KX/YIMYQNqj2epz0YFipSltcl0vOlafcjrRjiLJuE+rYk4+pc29hdoY73zYHWaoYBZ64JCTrsf81
bLTjB6WKkrU0F4VMF+Al8NcrM/M+zkr38T8KGfePEpnamCWbka3qmeij3T9ruiYK86gSio5Zez7W
BiqkQlsUMEdTL2xvZgAHSKEe2GYt9YjZK5jBo4ETArGIuyTjfemCnE2eWeMqqjwgEm2VXByif+ib
rZbVTAxivBWV2R9tIpL2utMUD8zUOS5x9DqDbBZrWd6082G0hVa7ESiUtvmox9dSYC+abxFBZxp5
+NZKaSbjN7yXboGaUxlLB4aLWXa/HQUWIYspwmoKrODoMCt4cCVfzsomLB/FA85o/VsRJL8v6PEg
eCsABoSxF588hNlrp9Os17hsB8TOeb2rgMW+2lnioGbI3eOoR/brjIheKSM2e7XyOTW0mnVKfBct
VqhlL6PvfmekytygQZqqOmm7DwKnuxbVrDJUiottRcgLUqPd4/0zXtrYC7dt7bd7WvKo6wyDkWBR
HAC4/6DCM3ddxnFhg4YeLEKf0I6t7cvvhyI1I1QfLZGl//xBq413TWKmG0N3AI25gIzkCURXPH+P
Hhy4h6uSVzGp7VtluK/JTHT1kXsYUZac8IxrB9I8FjFUPIXVqrFD9SnNmncmvXAaFEv/QvWNQW2I
vtKKD3G0mN6lcIsM2lFnn6UhsAmJlarjEgE/MaeNhnNGNlubxmRVmZ8uPJEGoVWWTzbCGfGDSbP/
I01eNFiS30VIJV217TsUDxNNMHWUfPDnq9wsQFOMmrKzNICF9Yj7VlNdImkxaj+iXVyXZR3fy5fo
9c+A5KZKtihyPukDDq+dLX6iDkl/pvYa5IX5k473x+Tg20BYAK5yboZGc98GlzqH62Y8Eit5yOFP
huQt8q/XbZe0prA8wvZmG6V+3sh/UKSkGpTrgp7E/Km6yVT9h04AQtSflZfuGJaKGAprkedyIvln
5YV4f6AFnfanyDGi01BwG1fjLYj6h2CM8XVi+QshA3cG6Zp2m0/3dozlJitVa6d7wqeIV/YgN6FI
xNH0Lq+KSB2Xq/Cv1+RPB7qEf/t1QZJ/Q6GmnR2vGC+DDmq4Tv6PsPfajtvouq6vCGMgh9POkWyy
maQTDNmykHMoAFf/TRT4Wo/k/7dP2kCTkkU2UNi191pz1dUXTH+UxFZeXFku3HMSkQnRZSwhga+8
pdY4XA0loQcyn/aFNx1szeeDn087Q3gbhNHf4Y57a3CE+msrSDKAN1EfpNSQGQqneFCJkv2eEuMG
H1xpERVUcb7HWjLc5Asd9GSdMkHCZosgCLOu9+hXZCX081HV8NhMkqjeyS94Dmyb3NM10kCSgIh4
cnSNeMheXFMER/B4PDrn09w0v2igPAdKwOYZRHl98VECXOSROx8BVXOoXSKhEE03nPQm767K8CBR
gIL8ma1ndx0EFTT+mtLogPyyaUNEc3JUpXdbDzRW3llvVoV4u/R6Zp5jI7n3QdOCHPJXMW0OxheG
uNvYDtZTE8TL3yeJDhk98M/+pebmJqoyAm9IXU/OIdFFD76AIuh4abfvc/CtTdb42w5AE/To8RNr
FHrp53tErzqr0QjQqKIzv/pN+r8vLVE+rd8WJ/l+XOMfzSGxHsOpQWsQZO02mKPfUh0UD6E15UkI
ot+oaJ7VrENJma7x5zMJCv36rOSG9eYhLZMVZgpt9pDbirLt8H6jdhHqdpjT3zKbcXws3BdFicx2
G8/XEEbUR9WNoALUVbORHvmfbnlpntendjoTjhJYBAQstaY5Os2jVqRvba8SgTwBB1NmGpoG4mnr
2lq5oZORbnQ2c0Qt8NWpYw7kjtFRYbtHNE2f6Bcu4Zst1iT7Dt9Cp2Tul7jtCV6v8ez49Y+kSZH5
tkj2h4bZnC2aj4LAlA0dC+eBCl6HsSswBo7NB0jKdNfMrQujbrKdYaTpzmmSYe+FKA0bFtOV1Xr5
g+KpybtJkszs9EKJPqyI1mJGUETGNTWSaWMacfWFsesJzYO6y7PMpBmKJswOo2YRhslTlWnziupz
5UcN++hW1NyG1ItCVF8Gm7hDeCHZLmwosFWlVDdp6PAcDNr3GknhvhKoz1AyiA+zmSFXsfqt69Rp
Q5qSeh5bDAWDkVApzKGgqcDYszRNR5FlF51IjhXK7onfBXnTIAW8tZHmb4k3x/Oof0v0Ch+jRaNo
90g0ILZZFA7SMqkX0x2vNNrUgIuBqmNWsMM3C07o/vJjxChIRmF2854oy7MGZbvnbmV8oz8k5KnV
zbC1JVVsjpf7+QXcngNUHsd8ZN+6ElWYPLoq/AXJ9Y9G5kZOV+J2L2vxrpUgHjrdW/U1/WMf+deT
mTBa7m39dbRqe04JZ18G83aladDGtjJ9jS0TMoxsbaeK8e7WyB1DX23Oy/4AVHfb+9UFlnqxpjET
bSyKg6+qYQNA9u3v6JAuSdzsOt086Lggzg461YfFt5ZCYN+pQGk+m6qaPZ1dw0HrL9nHhTJlK2os
dBakkB0Cx7DPohqyg0fPyOz1V88ZSaBKrCcpTPTHYY/uDBaONZ30NGdIpU53hA3lxqg0rBNY0zUm
/Pkt7Rzg/znoMV1L1S9QtOGtzqn0VdPtKLGA70C0cLbdiFFbbtLaMCsfw4oLrGSZok3UvjBSk8nv
bc1zPdMa9eo1Ntt2qiiUCVS+VOPFygyzs4NgfVXN2kmMPu7ZsJDFZ67uPwYN+JvKKCCjwckOsCOe
fRWJBvz4JXhaMYG/jnA5MrqjZlqU93qGMxhkahmRW9zRlHar2urgWElRXdhgCtG78KvcyBpm+yFs
brFCuSu1oRBlVu5U5lX3AM3Hna32tlOT4N0z8v5adR4WChpwd1tQSGPmRzNfDOfA0bm/HMDSjLmm
VZETv1HLkQUqhvd0jrFL51S7pMACz07IXdOgMDakY5gbOZFw/L69DONwQUf3UNha9z1G/iUPCrvY
tZ6/SRM9vUmKVYSfCBBxeiMqOvrc4Xd+jzm3c8I/DDvZ+0BQ3nsYAPtmMjMC3ehYO545rFO6YJsE
qMR1JOXukuL/2mbo9XZocLrDYM/0ZhqIDTfdjhH2BGqTb2PdbNkwkE4b6elVNnTHzm7PtmLaKzl4
lC+ktzhnzZ0unYq7Bk+ltorKhoCCtAdammmbHonoX0WNm97hHnOUWxqw07Rwld2nbHyeL7YvRVa1
9BP86FmpSJ0pG8TQnoo+UIzvOtSkjdT/VwjJVmlrlguDf77ZUXP167436kdTUwpczW39RR5pqfN5
JN8TxMnzmP3KM61/6uGQXHUbVWM4/9yqgw0dhgK5ekF9tOPKfYzIz+Av08svfcvVnxl1cdJFMDx8
blMzaMJVSh6wpqcFzhTnsRP5rcyMTzNUaTrZ1RCEYEmJgxkVNk6PvINvJ7SbSGhWCIhQqxyv0ka2
Cnrd128WtpZ69E+mFXyXUbiBqoltDJJ3K9nMJDvG+0+kScxQKOpQBy02rrZvor1DmOC6KpoGSs/4
J3yH2fLLiFlhXsE0jZ2YNY9dK8gZF9d2tOOCsgj0Vj2XNdqvvyPAAgSmuqsD/8ZVSkZiEAXen25J
TeZORrdJ0b4SHU6/eKzNL3K3Pk0xY2zR7MfJaA9lYI0LTzpJ6fo2AVeo4xwhPUwb1+dJRLBU9ThY
JTOiBRE8ZV9D33nTZ4jP/7RZkXqxMEFbsm8qT1PiKEf0dr6TbxUMqu9K3tyqDjogDOCrn0bmQzcH
CGkBcB3AJjswg97FE5DPo9HklgeAOntABLYJq+qrw9LqqmdIRu5Mf/ijmVyspP98sfU0ucj3XGPY
D+Ecle5V05++jwFIrrOME+jVSE9H0Rk3kXnb/9+/o460dTdaBE/ETb2SSMmAPAn2hM8KwtDXvIm/
jUmmf5sPAlXXUHf1xlEightY0kgJbpXNaFAJyuEoCEZUQtrmIweF3jwtc8rEQqRk2yzFIzTfL0iZ
b0MTNgH4hcfJzMMf7ej+oSuVOOl1Xa5k1JgahMrOHZtgLU/TzPVmVp73KEz2lslccBtZXT44/rCf
0sy7yspSHWoFWpODpck0vsnCEE9AdgzcpsPSOBP7bIRPHRZikJFWtFIt33ow6/yDOUJ104pYfSG6
djPEJR53nyfSjFnxEqM6YzwIjnY47QDRjeffEM7yvbzK9Y3fhT/+o3ei/3MIBJzaNNTZSUzL7/ch
UMuEm2EZyq9FwYwUrl+rRaztwiHKDj4WoXUvY0cLEel7WZ+T3HuiDghOjWnWG2McrY1Zt2+2ZrTn
XBjnxVFE4XZRci9H7uW8y89U/hbDgrf8yXv30egcUQsTEpEr/rHriZqfHZDDbHmc5hewe9sGitG1
MPuTJqLosWiUYUu8dHSpah3VWGzTllIhjGDPFXMLjfDmAc9ar577xrU3cUg/pUDotcaQkb59Hv21
TI/n/RtZauVXK2yGF9vjDsd8d2ziynqLUlKfGb58xGU4HDuQ7ZOmXiGr/pCdDqCM6pXY6B+y0cGO
GtxlGFhnHaK5hBBix7I2sQp+gQ2vt6vbqqBz5mmo7ZTnuHEChrgBrah5D9Xk5VCg8iowCRH6YZEF
z9QlWUnVphRxmpUfnerefo6TJDlamFC28WhYOzeoK/ov4CyZDkED1sRwieL8KWpb8snzajpOIQ1N
M0RmhKoUdV9A/uRgGDjo8vacuMM3it5qo6GU31RNeUBaDu11HmV69qjtrbnL2gFO2snZr5v5JRsI
/ERVPHLPierRSTBQVtP0ODG7uAbd8FVPyQN0MnV2lfOBOF+qrKn+IyFMV/9x1RoO8BboHyYtH0B4
v+H5al0YCN4xj5RlGRMwPJ4l7VaLSuQvZameDLtzbogJXwJoNZnCYEEqamqDCO1FnsIGxbn2bGbE
LAwebGLRuHrSlwIZb8T8gdtVsARzRHsbLBnC57VmBtG9BunHTi1toUxOLk3XyLv6NFqgn+TN3RmF
uQfzSExJaNGu6maBCf0Bj/HGuFNVQFMYupmM9YC6jakwCF6YpvdlzFrOMVK+zgAaojNet+7BaonD
lUHL8shV0mccw2Jv+v1trpdG01SfZb00n7X4L5/lNTmfkY69d2NrP7jclNJCoraA5VJqKNgRpHJi
S/vpDU1wp2cT+7pEIY8zVjr9gj8TmJjLsrtfRm+W+OC+Nw9D9Okmr4c1YwHaqXOTg1+TiUMqOeiA
XS61WX6X/7Ce2KnrfKZjdFr1UhVjR4BiSOd29x6WzGNgh96NjGZM9iGLL7yB7lJrOnYjFW6Q/Fvk
aQJwB5dsNL0VVTXuhJYB0XKas2BeUa7UWh/LVZigc2eWWmSHRtUeZM3GatLuoBtDRY9xgJH04+6W
RcAiV43OIFEhTaKPRwRi2hv62J0MYLGo3+SjctmjDfEE93gcwvc0IKgCAcMfUUwEcDWJ9CFGx38Q
sYbPCyr3bcgIZgjnSjUW/kfTjBYikcxZ47Lplfvkse/qWnJtW6A8wbzQVK12N+DX7nzbUCG4q+pB
IVDroNBKvgWeYpPzbbhfUOCrg3P8dWjnD51BaQdJkcv+Q3Pc7OSL4CwpWqChmgfFFm85cVYpm7pz
UUPlTPzcPVgZoQ+MIIKjvFeLKd/ZFSzKrDVusvfXEvJl4kR41sHlvQY8vBChRNi2maTreScuAcPI
ZXBcFt7HaHnUt2oiLkCyzLXqBBSbGDlz8idvncbDnsTSqCFVZrSNaqXOp4kzc7OzroYVRoG7HbGE
y0m0qqvfSzuM/0MA4hq/9xpBBgFPAGmISM8ztfnr/6PSYyyONVHpHZ4oPndvgiuvDWwysebcizgP
Qh5Y3oNRj8GljWh0LxjtMHiNIj+7I/LF3/H3+yBiXlUjjo6lnqlL/efxpAbD0mcnGSiCl5hUlAwa
Aj2mu1km3xoO1v3kubvFB5uwj7twU1NgeWTVpVP23PeQAaxxjL8IEw5mYMA5MwZSveazRk8+30+d
0niy0I0z5svfetAMR9FacAXn05y2yl73h4eo94ybko/GrSLT8uCFaOnke8n8hUpBna91JfDZFkpH
P0VodtQ+OpR+MW7GZELuFyfmQ5iXZJNwNxgPBECg39g3ae38IXLtamK1/O5q6IJ+OZi6aXlH48Ax
aCSMbqRsRMePSiOmuChmW4PMxin5H0WN/Q8lpqnbXNi6BrmVkZD52+PBIPe5GTKfGBp3FEcoIuY5
DbL10gR3B7ilVcc4Qk3bZzKjko1LSPVySttWOQUYZVZKhwenbTBTsyHnJIMA+Jrh9VGa6yLV7cY1
UJMPx+wQpDFz0HZuCIrUbKtnIyluLk/BJ92os3tXhEclGZIXrSpOChflgevDelDJW9n4fSheVfYq
K7IZxJ+wyrn57ehedFm9DnV3wvkZ++fC9KPdVHbDo2WFILfyhuViPhqUHHi7zRCkEvbb0oZQq1MD
5uNLk2fWqqkIPzE7RImO6x293CCRgcaS7C75qv8++mR21PMeKhmn4NbTkEbs/CgYFoDK4TatJS1I
4hO8jnhtq4rhhzLrU3z3lE5Bv+SOAQNqlrjEbvBPutGjUi7Ym33RbTafdBhQ4vjGuuspHlayrJEF
jhQLJT6luQXaJLGzdEu9Ast4znWSLwEM0o0IHcatqVj+5E9XSyrF6Lo/weRLw3AnlPDklUl9HUwl
foa2HOx8rr9NovtdsrbarlsVaTYdeyXdI9IUd2eONRvQ+FwszU0/MP3ouKXP05DlNOhU7oista5Z
3qrPtVlQJpYmYwUl2hINZ2AVKtW9Ew0DCypSSfkyqX6xA7YZLAkr8r0uwZWxdMfrhPGhLIVBn2s7
k97FGoCWtav1NtoohWLeB2FdxaDpD5K224AhxvLlroQmkmuUAWFThJ1cFRNpN13WaigZMI3tX1I9
l9fONkKI9h/31D91cxCCHQyxqopSzCIP9ddlEzgX8Gvk96eqzy7a3CW0jDnXCuPfVt4inV0qO0UP
Pk+DJNmEGmW50TrnwnOBUil9uP37tOJxGdg6kKoMyVjstM41nF/kEUNTB4E5Swqzc/n2ZPU/Zu0s
Ppo0eQ5NIh4A0D+VnhU/yxdz0MGWheyo5KlSxsr135cVafv9xV5gmsa8TeKZYTJn/12JiVe8bXTd
906Ey7nbMldZIIbir9oiaLPyG+cFsXC9Q6PGaHN02LYgMtoUljt84DV44DlQ/GW3zRXKhvURlv24
iaI8fHCcrIc4W1QnwwDGOJNNDUMfbjGpSc6sTLB7+s2AS/1toDL4R3mT7RcRTgmMZmUGotePsYV+
oklSviy6beFW2o3Kd03ieLBy6+qod07KRf9/8YnySNNqc9MzbYI3X6WPRZ3p+5jI7RU9m5SOJJK1
VVDzQDSb+iLfG8l/OLoGwXG1M9aPo6L9JUkIo9aa+0nr9K02I1I9CGlEpdTeZixTeGwtTgPXpz1J
gsbrr38yrzIIbZaK1c2J8n1WjQlpb8acCkZinkeIJFFVIe12jR78/GHrlRiOmQbOXl4J8r1QkDSR
W0a4s2xhHv79Y9f0fz5NLB4mc7WAahSK5m8Vg2jhuicu3tpFXjB0sEVgtX53XNMhNrP1NkqimUQD
jQoz4LreS9JBqGmXWs5o7SnY9CxKe1pdJTkaKrNxL/o8lfcORMn/0xmoAW7HwXRIApjHrWREaQdT
4ZN0huiJ8SD5ZbNFw+YJ3XFtkE/xLU9NZ5X6tv7YKArIcDK5NhEmxudsmIf3aZAc60SoLw1WAVm1
0h6lROmK4XHyX+jTxkv9DgAIgYsHIWUWeBLzlpAtzKOizgisjkqfNML5OUJElbNa2vI66TKyogZ7
AXESuONuhEaynoSVHkA4M5CcGSxZ0lenLGl/BIFePfqgajrL6e7EYUPN0GZb73zaj9F4Adb0dTkD
73M3wvGtm9iZpYwU9uaU9S9mhnca7Jm5t+fTOAYOVtNcXcuv6mqN6z4n9KgUyrjWbDIF28BwjlU5
pPuwDnw2BQmKS8PuIcgRKCDr3M5rxaUA27Gclq1x6GsSziVJpBQRnEGLUOMshOthI1OUsD+XGoI2
8fgYQR5kkDt3czSteBYa4bMspUdZxtLqDrZw3KqTw7js3y9NyXr7ZUWy6NvQuGUjqbI4/U4wNeyM
HqFjiDMUk6HI/XMXji5zmZ10IKlO3xyg16wMh89/JReTwjyhpGgujsfUivhj2vimUdBOdJP7pI4F
j5QivQdD+3lUQI8r3Dy/1ha0MDF13m5hA2mInQT09rUfOfVTW+nhyemaaNGB1cLNcATHykY2Z5nJ
ZKuxSe54q5WD6vkBTnaqDhmEMMT0CBA+3DPDNo8BpuJd+frvvyfrn10uy7KMudGF8tuyNW/uJ/xP
0V/VbdgCm6rOWcj4Z9JFe0YKp2dnVTj5SkpsPD8KUMbzu8tjxg1I36pJ015tn9Z1/adrVFy+sOIY
sG+W1Zdn0K0NGpsP3EVoNwtrqduhGQebgRk6w5mu6MdX9yTnPUEYvFkmGJswIc89LfXiQv4rXf9g
DHeh7zUPald4K4+OV10sQb6fHA+5CUc9nhylzNOc8urCXnUbEHSxARMZwoKz1HdgtCtUuPYXvSmw
YrXxmxHUTFfdxHlsm+7JRk/KFSzM56ZJHqqSWNDRVauNPSc+VcVuCPvuOTWbhpGFXh3StPW3OKr6
c9RO7hXnDHnwDe3R0sRCq7OmnfVhoMs+jz00xb/GNnKZZVMd5eIokZ9OJWq0X+IPa+Yq/0zLTO3+
x7KnhuAhK0sZNCKPfD9PDovmyhAYCAyyMDaAm3CAFc3WaXT7uwlVMtzlfumey3nmL7VVbMqeaEhC
ZYcCQawQMRhhVao3eRTPR4VfflSBMge8NMdwjthkVpffPMeC7Nsw1ITbhJkh0rYDz8dwa+rWD9q3
DOiF5WA/QjvptenEvoDUpu2yAk6lNiLvjZtHWn6kPkbkQkcB6/EUqnyB/unKTSzznqgUS8PoDxtp
TqtNxdp2RgS0rrDDtaSil/bIzzl151LpIHNPPioOyRIXmpofiKaNGSEmkbYyB61cu8Ivnp2AD0SJ
w+FSGfw7R9UGhaD7OykXzOLEWqVp+NX1IzRg1WzVi7MfDuRgslIjoIZ1niLU6DV7JwaAak5WphBX
upfI8EfiZHwKdb+0g9UC+UL+aS/RKVVkWdvCC20S3tP2RELj4ecHHAVWva19vScdEECpPc94B0Wt
rjl3mnxLA/O99lyMmbKOj2d3ZlV51karq2ivlXqzSUbfPPZkSZ/CTP88alJFwVZrLPMj1nNuiFht
6ZOxAIkyfFS8zDxKcaNsYdp9+MVnrsfWobvVAgKmO7Fbk78HeTqEYj+NwVH2eiKrDTeUtBicwBjc
q168OIi2eaaNhxD+ePgEAoZwGC5omOFbVDnBncl9+Vyn77nv3qVxsi/DYKVXcXFvCOhsNP80eH5z
61VBWEKEZGmpIHCAftcKqlu5IcVvrFzmsV7+PRmy5snsIQW2bhUtLYlKi/gnhsmbO+hvMBd2ieK0
r91dOnGGwHZ5mAl4jbMxx8r6D2RUw4PrgGXEOqQeyyAuaA2wQM0elnp+kZdrjP1n71XY6eEPjShU
LRu7rtCIsZ+RtwlWY3JLmrMjLYu+vVlUJ8LWogsT3fpJvui+fcw6Js90D7VHfhyCt+sYQfiUGZfO
M+MNUQcHuQCWRdWdlo4iQdEMuSwbGBEG47sEkAsdVWBV6E9W0eYrD+fVweFy38Xo+840ntuLyhx5
i2FGeRYOOrC8GeoXJY7YG4lG7Bii1+sWgtEmtI1pX8nkgvm0rSwNhlG3kRB2n/0l5kDz7I1WuPNr
oe0j2dkYy4j9Sj1eJPDRKq2HUGmgtOg9qDKYC+o6M9C1pB1phAUL5DUJo2ETVWF4wfKs37S0QxUy
Bzr1fn9RKMwVZTC+sQP/Kg+Uwv+aq73xpCE7WEnorK2hOK7i4STg5/ErTGOcIRF9Q7m9inL2pLlK
58Hs6foQZAbgpUBz72B7QU4Qx6BeqO1XqTz4+0sMYa20eWFf1r1UwtS2YSOaYxDEwXuhweDlRwEE
F6cnv9Lh6+eGi+qPPJW8x99fevBhoD/KCpby0T6TG1ubt1Zxr6OD8UIGsfFcLDfYeOKNvFbwOKPn
id3L3EmIoQ/hQm7GiwECFHtuCIuorR57XMJ70c1YdaE9IG03qj9iN3cfJEm4jIV1Swn6Eui91MzO
9pJuTM5maKzanrUNytGA+tp6Xizc3UjyEe5o696lrreq/eYzm2bIRERKVOPvLbw+a8SU9CFm9KN8
MYEAyOeplTLMKrDZyJhzucxCD2geO0wIW7ceXmsdBAnRoI/yBUSSC15IR2P993ux06TXZU+vzCbw
AG5Jn1oRStn/s6lkmDZw9f79FUm0owGunwmQu87I/30OkuTzKFJvUxzYJyluxYWHyJu0xpTfGNmY
yT2AD7Y2gf+clt5s61XLKXLQfJNOlrbT8Ps8Vv2bzMD8mY1pwOhbMa6BTFg0r2Hfm88TD2QaGhvK
b9S/k4X6ph2GHn0HunOGHfXJV/r+QX5vQtr0rrb1nTIE1UZWtbZLmowGpISc1/788/0QGdHP96sW
pR53J8JD0nrsGBiOr1TJTv77zfnUG5NkJ5vLPoIuIrqefFr5+7zViq/xX/J/pWdGjmXTGvYFKaq8
m5Yajo9eMS5p5Klbsi6gYdE/+/eaUZNNwl+Ka9uzVSbHlkNMgGX9bgeKc8MczcJKz0HTVa+qhUpN
1ZLgTR4RY6Us78mjwFPXkxt+k3cuaFXWzdo1lxsZHVZzzojoWVGcXxZfNv32GD6wAGLCnmIveVxS
Pw++ODllRnTXZxStXIvM+chDNrlnUM2wop+A37rc7zIWuPNUlXiQYtj+RFrT49JcfGmUWKeQ23Y3
sdN5rUf3z4CcTreYI+gi7csQjcTSWU744Dfh+KyVzYt8Hxx4vo37qAOP67mv7A8we3j7sRmGOw6p
6kk04bPU741whY9dpD3RFulXctMRmTUR1k00XOXSsvixl4LZiF7wJB2CiVG+bCDi3cMOHyvVgSr8
oXY0esJC6d7y+m7P/PFa1W3sG7CbeC7uPiN4JC5WuFa9txMN3lUVP/xsGI4pqFytapJNhpzAqEO0
/WrmDzst8S9LSTpXon3ew3HEO77ymhL3TOUZ74Uaubsx7/pdLaWJgUHmia5u8ipEtZubNSAeXnp3
fLcQFqyX+i9Vna+O0xW3wh2aS5ODbG1mGXkUR1CRiO1SovZmKEKdWYT6ujCa8A+1JmnOiIz30ioq
BDD2VxF55QOauwDT9b2L1e666G6GCAOZOvYaD5++ZW4FtkT3Hepvco0fTdvU1ovg5t+vfeM3QwUX
vucwXFVRk9tsLH8nGbiA0xTCYQFpZO7w51T2JJzb8Jg1jsxQ8HnbIieRznhzNTd5zcPUYDsuMITU
EdGncsQnCs26lJjfQFBSQ5KYsikbpt7yaHlv/mou3/v1+xDfMChUknybkcm5kg7YuCyTS9L0j//+
o5r/aO44bAnxmGH5g/Sn/d7XDNWeoAbD7c8A/Z1j5oxUEui811mjIuvE5d5jImBka44f2RxUkbjG
i8Vo+KIWgwJ61j3S0I/hms6jrfnZkFTOdOpEd6dK/nwrCoob9z03I7SQ62jCsQP9PH5ovSLo+LJr
zhXj5mt0ldGk2RdA1uJSiaTcjnWtIp5wbi45FAKQ9AfLKUlFSf5jdFsExnn08u+/EGvmg/6y7Dls
n03csqZn0Vr4fdnTLJvByWgO5xKoDE2omm3ljIT3neFIhIzyXnvu12YQX2VV17rxIWnTZ5ldG1u1
dnJK74fcUBu5FR2Hvt4lJnnsP8FQ8ijLY0wnWhttR9uxq63VG8jVR9petWjQnfwtZ3b1Xt23k+es
5HtjR2JvnavWcahK/ZXrsjde5eEhyGuqIq+AEjKPIuSaGnTjMWoi4ywXV78cScHEe3tiQ3ex562k
OjV3Rnfxe+YMYksg2n8IbNz/j1+nQ8gM4heHcE/19+ah79dAFmDknxYVjdmqPpIZDWdQQuaHtMvC
ovuIYNHewBukG/DJhr23TTpooyKAQkxuufPdtLzTUVSIii4gtY7lHaZZec+7lgXdfleYS1xKIzkV
dW26KHZpvYRAdzdyR+Hn04ksj/waKB3iYkdvQbnB1+P7/WlQ35McuH6nDye5lap7y9pEeGMUWpSl
N3xEYfM8RLn/BEnue1+ho+RxYO1FTpBc2wHSlUf1fCQJSxaJS8xpsCVKCQ0AaD5fExdO7kPxShFA
bn3Ne/PAYSOiZAZntk7wQH/zXPV+wORjDhM1NIB1eLbenby1t1qlkgQ3n4JjGqHxNQHqNzYKju+O
zB+ijSp1s1CH7/OZ7KrykQQPTeCBGzKAastxeN5p7nlZXP/9vtGMf5hYHJvesebinNThXf5OH0LX
6goFxe2ZbyqOLITTc9+GVIOJt0Ou0uzcbCUrmtpj4kfWzbsZ0dPP+/G9Ee2fJfYTthj+g0Q+kluW
bT287jvF5Xk/Cm1aS5BnpatY6udKdJGxmJp3VCbm13JObVvaI+tz9sLWuTg7ZCGWqn9P5xtQvkiC
kV+n7qcIpm11UFuA3nZ6T7rLT4QuU4bPShlHHQLmdKSKGwmFLoGcEfpTX+pwphTO5rTOJdS2nRqe
o1PCDLT8FoxTeqopr1F6mQgTA/04pg2kA+QVnz0iNRfRk0yTQbF0M3wh9vlg/dHCat9GbuvDLZxd
CpFh4zLBnCfv/s40bp0NP2CI/O+pWobwYBjzld04PkEfWIZ8hWaflkcQ09PmJHsMUDCU82SoK98y
TLFRe+aCiaIp2zw9pbC5nkMUueugyh+KtuhJyfHCM7I4Nnil4b8XJQ87skm/1qpjrwJ9qteEVUC6
xVh3Ii+TML35MpYvfh6BfbLsM4o9agej3CuFsdfaAAG/Wj4l0fgAklx5mzJvPAPyIAFFj4J3TVHj
fdCh8yfCMXyOvfJbMQ07qdeFXFNvWqzXY+arb5h5yXYke2e5ivHAcRHpAqZn7ZK/Ndvpg7zEyeyb
79M8Qphi3/oPdsQ/o7M8ldh1g9YYnnmHQuHXfqqeRW5nuiQX1IOXvkTjnP5eIrqMNdhwmal/HVp+
Mq2rkntBDjczShZcoOMMaAfX+ZTGI+Htd0MGd35uw9nK0SCF/tEf9ewmu3NNQhgNZnr8eGZxknge
cD1oqmxPPQ+01nwAm4D9k+BFIVL3T3lQtC89aRrP5P1Z66DQ4puhhxY0o1o/SNXMLJGBkFQD3Syb
J0Crxn/sHOx/LPmehrqEKZXj8F/79yWfmgArVu0o50IjVrRsPwiJFsl6mNQQkATK5OU8bxj8KR1R
mZQ74mJ37VubhR1WMxBwcgELcAid2woOnDwFf9ctp5q7J9UVyF+kkvGL3+6mGnRIhm5+fsxmFos+
fQJB9N0XubJXYjTygRDRQVMCgCOKm9uwpvA20AjwF+85nMH+Zt56JrT11rYC/68oV5+LJMs/siLt
kFJCtiN20MJKRpJOZ2h/9rqpPil9NhNgYuVbqleQ74X/V8IfDEvfo8eiJbtcuUsxu1uXwDHd1lxJ
84jRcllMYVbvPUDG/74W6/o/RD604UFnUNLpyEAQgvx6fcawcYu2VoLLaPLPS2NBhAR53JdkRNQ3
JKjIkSRTpZvtm+IyUKL9DEVvbmtRtbSnylT/kmfy8RmkJdHXpQrrHSkITukjfof8qbZd+xRHxCwK
GBxZWpg/crzDpU6om28W30rlWqAAYyIwGheFntc3/OcG3Ryne+kp4bY4W5RL5KrUQaWxLSs9+tJ6
6U5WW5OngPhVSkxdSuecAoNROkpKZTNqCDCtmeErSRESSqN3KeOWqD2BJ3NXdFv4Zn+IYMy2QjuE
Bssa1MMjqqXmCQiPu2vjUl3LtXsapkNmVOFTHnTg/YzhCcG1vlKlKWnpVgLM5bcJHBRR16tTNN/C
2cwTTzrPfR/Fv6sru8qKK5pz6MfPPsKPlNL3WdDt2WoOJrmwE+kRwzqxWV1ECWu1tMoS80nHhNI3
uvHKE3WfDK25BAlnDPfSrFzjeV4h9CyfHXU0T4wTEbvODbajZkTNF5EH8LjH2HEPoIiax9JK2Uwq
bKkTJ8SjCORylSbYFml/ndIG8vkyf0AItQ8qtn5KXnmrBr/yQZs/19rtjoPPk5E6IQE/CV3ZwYq9
j3XNf7bZE65ackpXS2KWoufx3hg8lwYa2dAVIPPb6ICCVP8fYWe23DayZdEvyghMieGVkziIogba
svSCkMs25nnG1/dC0lXyrb7R/VAIIAnJLIoAMs/Ze+0B59U8e8ajO54GwQc1DuHiWeCExH2+EV3w
rIyIrAtrA5XyOeUvdVJKF7WO9ULgtXPj4SnQtWAzO8QV+Fm/c+BQ/pK2eSDdN/nwaOIQdec0z7Wd
76MFAZ3EnbVPQ9m+lGNMi9PiUlN0lTYdHms5letREzytyUu6KyN3PujBLB7MvK42XR892jkyaSQm
tNl5Rn3ehfOJqQeeWe2smV2yC7SoI4b87z3XrZ89o35ocgSYvaM1z8ngd4e+q62dBcZnsGu8U7l7
pyxikM1/2HMyXapa77+4iFylmV5lbd1KWqLhtqwTmLTVkXCWWb7LNT89Nkst1+gBXmrY4Y7Kh5BL
DKQ1eGCIUnKn7Jtq08OR3tZ2baw+x9SeVXfViUrqQYfQcI7dabpr89Q+3VT4//f9x/xf8mSPVEnE
MB4PGfhc3r8UA6Vrw85g0XIiUAUcSpvKF9bA5tHMyHK9Ib2XMafVIUMcmrRLblezuqRb1Bj7RLPo
2y6XeSklujGX2FPHbdpTtJAdlM1qlF/c0jVuI2XrfOv8pjve2nmNdx/MiMBxlootVvIKO9/skPZK
v0QRiRSbCCLrAPkjwIWTWfl+cuAs2P/PvdhboJv/sZ5ENyHpuBImbtNxUPCGP1qvyQTBvlycfHiW
n6YcVI6Gr+agVtS6M1NC19svsH8s7paUstT4aKDjLuOpPWRFjmi2dXsqoZV7UG4t5dvywmx+X6xc
hEaV3xyYKHuo/VR7bGJw3UiOl3hyoh204xEnfhjv1FiQES2euPT6HKcBsmVQ1cqzF9fPvGeaX/um
K8tX2rn2iWoN7bI8IdBrbm0wf1lBz1gS1xLOxpa+kzjmdZafjQUUNrq/wmUKZqmkgnhOWcUW1Hbx
YD/2kR0/wCFcU0cIMbMxpDZWW5RbRw4YDP8ZU6ekADfieMaQtoxrpbbCOtqd7Q7SlZ4443uSgIpU
WbQqldb3KapoA0NRwjLdINibSumr1pBi3gaEbNQSmcXSolQbSprNJTayb547agcDTPKBo/fEtBxt
Ezk/+wbjBgYNo78bkaYipADhKqtanEVUHf/vC+V/MciwPJiUVzVbUoinEmP+60phXti2IgmdE+np
9t1NEDuJfrGOavNWTDE1ji4KqRLaffLI7C/A8mnSNEYxeb0VFz1z/BlrVrTHdx5A9a20K1rsawKZ
0hdMmpuxQT3TjDs1zVQzS75zMc6b6L1OSfP8bAU7xPoQPhatwrmrN43yNvbMDw5J4mTXqiDliU7N
cFIAG6B2sNPDZt7WmfZX0QcOXRaZAk8nCNtVbTM7RfDDYwIOeFk4j7VNJSeFBG/j01Yj9jg7j/pU
4QfKvePnUBxpr1Nmj+sgp1uUkY9YPtyoGLVxDybpSKzcgdlGQQbI/GdxRYBEuEEfuXo26ksZjGlx
qeksOQNYNcf4fqtcVjJ8yxbkZWgRhaA2nYFycR5tEpLtoNpmC/JCfaVnVag1teEltnEqzdxFiDop
AyqskbFpJRTJqrbhK3XJtzD1f1K2Eh8TIecYt+mvjfMvEQAPWXYmRsRQtA/ZUuzxlsm+xD6TNXoJ
QZx1QFJg5b9VyTW7u9CNTe4LVDT3KWrUY65Rlf1nSM6YXUzbfOoL1LJQxLuHGpfBQ26TgNpBJ/nu
P1hzhWXC6+6VVKyyIvcycdvTZMic3IpNf890nf6S/nGjkHZzEu0R1qDQX5AtjlchflMOqEA35LaO
Effp8us49wPW1TSDameYr+CY+v9nkcUjYwka+ePeiUjIszQuDNCP/Gf++95p0joIBjQdZ8T2O+x9
MffOiKS4oS6P/bJRh58bNeaCHlhPGRFawUTPkxyJsjjqeQBlCNnTn4NWFxRHYgxBGqrdP85Xx2pT
FfLSyWHaqd/zOT47Zk7OIQGS689X5rr5+1+8/bK8s2P8tDDlDL61KKbK26aNwuoYtCa4bzVIrll1
VIPqkBBZMPMgl1Eo5MdomnOSwf7eG8GNr42qLdefY+oU5PH8659n/+uH/3WozlNjn78mYBV218Ax
G4RdHUU1/d6MsgFrbVjgrAj5OY5SIu/vaydZqd2swmO2SkWVH2+7f5zQiti60/z4rqPRzme1nCQJ
WZi36K35BPVXpIGHzDbuPTSVaz90f/J1oInbW3KDJYH8jYNVpxcZ1YvWo7+kUPhWLeT6ycXrXMrp
LiudjYyu0oX5kEeXzAAg08Qd/fwguteS/ifxD/so99Ao0qVF+761bP/UtG62mwqBKRK3O6kIQ7sW
DY7XZLr6TkK3y2k2ZitNwBU5pn5r21csBDUwblU+b3GD45WcCrly5+htwhOVFIiY6b6m5YxYYQki
RnK2LjP9pUjbVy8UVAlCw94albExg/B+FJWzcQvWgUUd3zf6RMrad+xU0Y6wlW1q9d/zNn8H6Fau
4hTWEfbVYfaOpLE8NV4PfSlA5wR/X+u5/YzBexmE0XbJ1fK0Pln5fa+vmD5es1x/8u2T1cliM9U+
QvuD92pLpr2hX52boj/4Hllw7pqAGdhBxU/HMwDRwH/iuoha44rMbYX18lq7FE6BJeWbfoDEU+j3
JamOq9E0TrG+FpH4aWEyMJmQbvos/JKnT8aybpZ7CPD3XfaSWEV9BE70QreNRWPArWyWP+1qei5S
l8DF4NEiWMTRwnjtMA/3AxCSgG7WlkXCnGasPJ95Nh+rQKUD3mUdhzZCj2Y4DKlJJWRJR6kACFr9
sxXO1aqYif6jAY6FL6ru80BbezU4ISaJ+9jhaejX7y0Y+I2WEbfSoZOpddiys78nrC9cgRcji0On
pVMJ57735ENSe49clxrfTEeHigWvgWUk7a4eaFiro4wj6/3DyZGtV8VjN5LzFYyQh9L0u+XH9kaS
5ZmBKcZAf8xc4oK7kHAI0iOYvFR/zfRceMQ/+3H0gmp/S4HlCT3piDTxSonth1XqF6v+MBJvnyQn
jWICumL7q+ugscirQ2cNzjr1rHw1G/pXp9A2Wdg3u8wsvwIZ+d7P87yyTEifgXzJ7Gs0oLLAJb6u
+2Jn9l2EWgdSetTgozIJjqibbFzHSXSIelQUTvQzG66SrzWO4Df6Bsa2moKXWo7Pcc5zozLe8lg8
ihYS1aC9YdUgUas1XEDVJEf6/fSV9PFqpTUzVpOoWDe5QbSIg5vKs96K3CSzIDM3E1FaqWkfKQzm
m6qMHqihsGxq3yD49quOllPMW6ynaEXc4M9c1D+s0evg30zNvJ68ctjnEGKcMhhneHt5CWnZL45u
MO/FKKa7oUmrI82B8jjhN01Xn8deTyW26Ludujepjbo3qvuT2vt8Qd0v1SFEKH1RvhEQu9wS1X0x
0F1uieo+qAbVRt0LUeLSu1bHf+zG8I38TDP3ke1NE8vVos+PahN6g81XOXWI1bM8BC96lh/15ZGj
9tQ5/z7855Tbq8uh2stuv6ElSZLCcrZRb//zfyTPyPZbutD5UW1uz4XPQaZBpKOql1AP8n+hPpfP
U9Vha/XRKhuDYAt4is/AXP51F8fY7Vmh9j7H1KHDW0DA88856uXbT3+e3uXyu4W2aFs2ndGc7OWJ
PZDg8HtXPYThTYTUANBtDFDp97IGaKQeaeEcEaW+Zl3kc/sntl4IbmnhMh8I+ylruSfy69Rx0Cav
IVXL1Uge6spqKDNgvrWedK3s6aCjjTPoCm5UCz0pCvCPJArFrMCFu6Km37nVDOZOI4wzcNqVl0Xc
6aaA21/dlvt65p7OTGDEwdTMpBtM/TooMbr41aA/4xlkYSAhkTCSh5nJ3SRNUMEwZlfvmlvUDzLy
VmSfYShbVlhqWhsZvb8igAa0xzIfnByEXVrjHGCmAZp1pWvfiZBwdBhG86YPAjxAQ5oeTavIDwrk
ErUV2mbA5ge1Zs56sjlQK73YcnKOsxugT17K5yy5o3b8kuK//RKM65BoHApEq+JLEegsFmgJsSZI
f3c6VM9DbdSYpxe0EJaPqzIbbjgzaiBVhVJyycBuLFAokFNwxyE73lclOIEss/uXVGr+0evMciVK
tAFrN9JPVYg5d4zN9GxN8S9LGOQaQd164vFApJQWNVs+peSDp6MDn+W7cOJm487jhHDO6y7lTNsM
feXKzBPvmnWN9lBa3os60kQWvQyo+NTRbYPiDzal96Q5g3d1k/gD5IJ9H4Ntl5O8pp5LGF0DKov8
EMDjQQZv3xdLOY9D5GF4YZNartUh5WZglF0erZAa7FjKZ2S2me0Tvpmd1bcZEV6wcxELWs/qt9lu
/QZMTZ7VPzWH9o86DBGtTeETKab8cctlOZAvm0JEgFxlGoBZ7d+DsZEfy86cOvJjHJv3wi7tj5kd
lEvjG9moqzgzOyRzkX2pYs9/QFNorlSUtGWh7FUvNMsLVmfu20IcW9tBIpn7NqZKUKrKEKFsEAiM
T5OptY9F/DhEMvkalWH2aMz4hxdIWD/l5mHSRLyY/FfdPPYXxf9y3HGGsoWQyiDf7VGN9UbpHCPb
/6qOugWcrQfFtaj6B12PxBPTDecZ/+cRDXD+HFXNHjwS5I8+NI79WN3/VtUy5OTutB9CZhAj+D98
fOMrxq0KWuc8XAih00AnhcXB4Ql/jPPuvkqTGFWeRuCQYc10aGZ/m9q595ItX1Wrkg5GQHn1vLnV
N22o26vZ4a/mM2l7sGWVadxN0pB3QgxD4MLJUYeYG8OHoYNGjKf7HPoka1c6HK+wa7WUuCr91Wq6
ZtX4nrgb2tR9LPIMpmPS1x+zGTEfLazgqXOkdo8EH2fH8kKpR6esQ5/oWHm+h0RMHjixv2FMecwQ
XXCaYtp7AmXylZQLvu8Zy7Ohkde8dfTrBPqHV5rMy4GyFt0aV9ZFZ0r60CZ2dy09o10PwkkOylTi
xZ2PHp5ArmnEMZsZebAxJPk1abrkISwb3/MinFA8oJdxuGXhusjtJzIM7PNIsM/NFF34VbxiJoR4
eK7tsw0VbT06XHo3ytXokl+yGL66mfDfgXwrFt7juPOSPNmN3JvPakP1/K12Ku+uIWf2NqTGmzhH
mhr0YNcpXrfkJlEYYb5Xr2AQsGi1+3dt1ts9wmUB5l60+jkaXpWbF4/qoWlcTDdeGK4HhHDnfuzn
50Z6V9GY9ltqT96GonFw1MJweu1oSXH7dN5arWnv+D4CDwva58LziEcc2/LFcAXRXkXeH9zasY43
xXgAIW9/g2hZgYSB6tC1bvPxrtHz6vy5Z2rdn2MyHejlto1u38mGfHWzJBArazHMqQR0vfDPrZ3M
Fy0CwUDyA3Jx2serou6y1ZKYsflXjfqzWl2gqtiY2WLr9ypcBUvE+i1nXZbt2TXnnQph7wOC5IfI
NplREkiOICi/Rn7Sb+vWt8441qcDD2JtP7umeKDxIzdItFbFYM0HKij91a0JsmmShK76coj7JCFq
wiVbuNP7q5dQ5rxBjTx/mm6fq4xdSBup/VQ2dvVQ9YgH1ecdkh64zjR/OmdmZDz7YcPclb9DbFf6
GqHo2p5DeU9W1nAqorQBeEe4kCXIo4CLU55MD7HFPLow7TQXTzGyvGSBvs1jVL3ZgdGt6cj0B61K
ERxG2Q6defQtr4dqNZRj9WD3U/C1ZY1T4qH+RtelOoHEo3jSldWzEPPHOKfPCg/n+cZ5yOfq29wb
YmO3LG2Shll83LhQ8r38L8tuhrs6d4ezgp6ow0gWv9SQ2sxIP/c3z0vcIPDmjfpPZNCIIk2fouXA
nLBpSXwe6iUv4tYYeu50p+VkmSS28VfpRuN9UdjyZUgwtGfVy2CGHPyMLVAsjp9693EyUOEFeQze
qrpaSWuzsizOpAUVz2ZmW9V31+3KQ4Bj07Yt85dHTjAa8PEvwUqLDrzXsA4svrdiiOn6I42Khp/0
N9G6VEV3neSY8CS3nNM088UleWcNPrCSR5kll0HE5aHKvoZagX23G8Jqkyv2J9qcDn4Da6NY5nBv
jCKB7EjqWd0j5HDKNzcS5lbT02nvDGX1lng1Cvmyeh3HYd/ImDVuaPygOJ08ukVVPtbuo/tJ6Z8N
YQMwl1r3M/ET/xrMkb0SEBeeZkZPQWd+78jp2yiYOREHYl0zSToqVmE9Y+sijjMpp/A4LLQsJZUe
zTm6xPpKZmNKDVsm29Bw+uvkzsamcTJC/cgKukbJiGh6bickDrw61I21RevA3Im+7Vq4Y/HR1gAf
F0CVjS+H3LBRu8bwaTCw2A3Wjym5BHmL4Ua4O9uKytc+7doNOML8YC2HXpx9QIkcL0nSaQ+h7b3F
+NAsM6zPwdLsVC3OZcjR65rEK5CoN3mVKTzwwFQI7j9zlcOG8g6dlg9U27txeLRDeNWzbZuPkPvI
2hnyN70Ftv85Xplet6FG7a1vtFQ/l0+qOSoCmCaWMb85VY+mWoO64gd2e4h7TApTqvnfp+IXEC3n
28KXUV0Fc+S6wr4mN+ow5SltWGH+RyhsxlNiNcbTtJ2GmrovIpY19QzjbkSlyWKV7/U0UPnJbFve
87wuXjOeuZNWp1cD4vOurADfplk3bVkXmPdo0Cau5rDeBcBrrrET0W2lVC6NUoeFV+ZXAtV7kixC
d98MXnatddAuwlx4p2O7q3WRvdYmnjlYb9ozxIjhWBRav4Vinn4VtTgoC5yc5+CeOKRhpeSCmWHe
kwMQrRwVF1WU5eJCTAlq1WfUIxkam2BETRQue/My9rkXDA0dn3/Oo8RB+THe/+uEwiZlZhxzQt8t
/dQ42GgMLfvvDvNCvFNs1k4ROq11pZkeq/OeWSB/ZT7GsuhprE4fOKCjs2oAxDTxtlU/ajt1OJpU
f+20qw4yHqyL2nC/+dDAbf0xpFO4u7jVxlxOckaetwHOtTtaTtm61xE76qZonrH6t89L8GAsgkPo
CW/dBGZ9dPCfoQOsjQe7zout7ZcOwtIgXEf+YL/hkL9WXqD98jAbetoFt1by1Mde/VgI/ayWL/8c
mRKEC20QZxdYFBIMg2YA4h2CRR0HV1qsTzv+nOFL4ukRem65UqsitVIqR1A86gw1ps7IG9bngnQs
h7DVg1ozlFpwb7AGflRrBsO0y9VYthDolhVHEnHNz8KZ9+rVtB7jXUVPArhb2tzlA3Jbip9z+x7Y
E1yZWtOZ4KGTasravistCy3scpileb2xlyRJrWzdsyQ1ZkV/aI+LIn8Dahlu+TN09wXa+LPmDUwN
es97t2p3XdiRy1KIhzV4+JEUw7Z49rKMMrOg88QER3/phoWC2PjRD6+J9tYUFTvpMxUoInrPvC/z
mStNbJMuoe83OIjaYD3uYypGD4wV2w4M4lZEsYenMRdnJ6kuddDNh0nv6aZ5pK1votAFGrm82qa/
cKkU/C9MEPLcnOgGn5YV8cn0YNKoot7XeeNDPnv1jmuTRUhLMhu3/93cl9OJ7svvjWkGaNjz2BwR
B8lLRJP8FHihCyx3uL/Z3dRhnrT3szlt+irQ1w2z5zUCX9xMVmsAW1C7In0APb7q6qi9h1kWjitM
4MVZbZjsFOdmTgcgslJbR+AJptASF9VJprSlb+WchFvVXTZb4gTsxQFRz7X11OewxObW+BJkpvU0
LY1V/QOSP6K2xDkpBJVyIbaN0+16I3wWzLEvqs+vWfFz1mCynikbPliJ/3XQxJN6vVpkASNne8vZ
cUhAx9DJqy3OjSW0r5aY5wcWpikTsxlbmdVL0FrWa1dYxd5cwGuznclhoxu9fkzVbNNo80uaNltt
uSDhWjHBHQFzOF1N42UZg2OEjQypX5f6PzKrc861nZarCMX/BvEVTh2tMr/eZDORCHZWaJFTDhN5
QgfMQjHepmRJVr6nPaHlTZH6g3NbnA5RPrdHslHfgtn4ImCIBsX0blE+2NEqyHbqvah3QBDCKkvL
FrmGbp6cov1peL7Y0nuvb7aarJx+H4b1e6KV+ZOWW9NT0JzUz6tNVQ1QzuXCj3czb2OQBqoTuDMC
w3ZJ41XMTPqrSAqRWB3CpvhWyKC9DFxSPKTgXpLinY761S2d4UnIioRPJoHryqkR6DBEcIJ+bYh1
XlHbhAcCOXRVFpq4q4eG8iAp6QDB0QpsU7d5xlqVoXOvsnspJ/fckchCek5dfVR5vhYB2HeXJuiq
ayRUziwydnnBihxKHiUvIwFCavaIB+vpkcbszeSV/WP30ryg3+Zo59d51V640yQ//mOHgkB6GxkW
8pYW9HvSEMg7qUyCkpfqD6sroA6VEPs47aP7Iq9+2csFqzYdmKmTbbc7TV2vaqw13emhrIkj1wtx
0R0r3iqsoT3o02NA2ePky+bpNtQn+eHG0rz1O9P8tr7tSdk2rFNIsMw3iyfTYs9rQ6g0LPgJB2H+
uevDtLobo7BnARDlJ8WUzOgpdYMscPFUE6UxIfdE3PbbYozsdS5SXJ6z9CKQ+TBbYurOuE5TBIOO
FX23iCYu3CF4M40pIJ9iydEAibkvJdA0pXvTkto9qMNqyouHxmBlsDRI54xEG6cld1JBbT7HEEqf
OzN5stzipITFt+DarkZF5cQGraf4RMuVIt4UFg+1Oy2Xz2Kd0+Ix3KGx/CtSiSNJN04H1bzFtmI/
OGLcfaI/5lzjARqSHxZLvN8JIvxT10bt81hO310hh9tRgqx3l4Hm3vglFhuLwIijUc7lCtETHdyk
7o+KY+GzsD6FY/k8wWd+/F3kHCum93pMcnHlosVarAlqo3Dr1Abw/rjzqYn6/S20kKxDiTPaKzZV
IzqA3szMkiB4S0FSX8iAHr/2CMy4LeyJeyASfrmzhF31E+JSflJHfZrFFwDxO/Hcu+38ARrI2KRT
CGqpjuPnnpzGlXqhaJJ2ZZY9wSpW27PcauutEjx/wiPVoTebLFBZle9MBxZiJ+v9ADvkLW+ATC2U
ukloxEp6or+P+jp9aLphxYdCI8GmW2KRvn3b+xwbSsRL7WTjB3TCZ3jc5ATPZXAP3SM5odor7po2
EI/09TEEEVxyLLWaZA9HrIuunN4NJ/a3cUdsjF570VOYWnuMmcmqRtD3aBezOBsF9eW8Mqb3rDBe
Cm3KV65FCIiqwNlqnqZlHo0UmYv9bFX3lubr36IkcpgbZ8WZpQUaP1wMxCQB9Mu8qL26vcOTUkb9
T9SVPIkRFUmz2cyEcZ+iSv+9+TysnK4/8uQQE/EhWCRxAVUfkC/+UjtuH/yxUyGETqgW6S3BafBV
2sVqneNS5qoL3Out4mN2Hn5hKgC7oU80Ul5ldrhd+zLKgwcKdPA562LY4iYpH7BFnBUQijYSFses
viggFJB6gT5m+JoaKERUMlI5BN62FkZ3ewjky2GIYXRnp2c0RumbbtYYCwqkGW2wn7LZf3dtMa9m
KlvS0pzHQCAjTAyZH4yg6C+dcGHINGnEghwbViDMHAQRJVS1JwJrfGNJCiRt2cttNCpLDWkNnQAs
jZfD0EfjuVZgQ7sr8b3NQ3Vq3RGg6hMgteHZ6yf7hsKJwrJcJb2hw4PTknPts3zUvOy50ysmp70X
+KvCLNODsm+EDWFCsp5fOq2+UKyknKhLgEcWKVvbLnbFU2Cs1ZlJt3whDf2SIeE/3JjLt8szQ9kZ
dgDMFRLTFDqpsqm/8ubYRQ3InElrvf6eAMgAmv9ynLWi3aaCpdUY5L9fLgPnipWgP5jkIVyUDRqE
Rj+XF3h60zYSvnNIhL9RJqOgkixk5plKZRdSG+PiUr6luRq8XTqwaFIWNzczcYosqlmg3ess4mlk
GDPUPWdhKKQ+8cyGxYLZY/Y7tPOPohutC+Gf4UEMOlzzmYdg23CpzpU3baXoxq16FMZ6FJ5JgQnO
upSURxqgnp20Vmic4g/Tp8IK7yW4aKk1HBFXvTOLMtaNFqYPw+T6u/+2V6TGn68WH6HVidUNYjpW
Q3QM6ckqqWKBSBK+zNyejSx1HtSikB7mF82M0ksa1VytC+c30uldzl1qXNrIjQ4UwjFHAZx8LILu
u1sbz4ETJegdibtXezmO5XVJi/s89+1ZKZsHJ+Ljy6b5pmxWBQA1ZghaUNFf1RKxhjS6OREKEq7M
rOfmE+Pxnz27uZvDej5YRpA+Ugfo1k3FrKSdRUJQhU8ZSaz7pZJkiVa+jOno/S7g7dXjTgmFahaC
e7ctIS4tTJLSqvrzjZmQ4o5djzL6xb843imwvGvo5V4rTf0wLFEuVmRna6tuNFSK3DBXalBD9zD5
wzFrcW6pf72uJ5giJumI+VLjSjsskWVr0wviXalNmLZ33P26QyVacd9Wrr1H+oaPMk6rb/bNA2TF
LwRXYabkGXGm1tHsZYAEH8QSzTNIPXciqu2XSgNh0A99ju09q/cdqHS4ArF/z6y3/woHY6V1lM78
7ItXEHaUCH4a6kQGNdyyX2hDwOE1r24U2D9mROksBPPvUremdQY9jcCm2VgJHKJ8jmb1qvZgs9ev
Q8/9UsQmiNq6R5K/PGw9fvahh4biKkuQ3jTyfFNk8W1y4SNm7SZtkPODblvFvqe/DcSL73z8/Tt9
MrY3akrVhjYkH/PZzOl0jBUhR8IQzjdYUkdblDXB7eZfblQFX8BDODu3SsShs6P8sXOMct0R8faX
M6yCcrJ2pkm8NP2iYQXhrv2m9gYDo2M75Q9qqiMTzMQtlSJC1ZLsvrVBqTj8SvRbKTmSNqyOgnSR
k5bMz1rniF1kpd3XSrMvpemJg5wx+VgSQsjkhnRrLBxxWLvQnlbxIa0RXAgXihbVt/qtA26yMHjq
MZM7gZp3r4Z1+V+Hh+6RoDv/KdeKa5/W0XOirVrqU4j0NQMFAdCUtY0AdJxF+OT1cUzpjPCbSnbi
a61bYpsxpbxTh4Q0xuu+q/qTDPIFXho+dj6sNvp79o8UBUaCOOzDAp2/phadXHq3ao95M5i7mJDw
6+e5BqEJPKyLDy81aDZTqz2NZhG+5NJvdtSVjE3O50G/kaaPB4MLJjuROh6E/i26NOIQ2r/tnuEU
wzuVp3npf6jAmOrWGZmJvanz/kFNHDGuISTUwxCZPSk43P2qejtmhNJQ+FwAEd7EqnFwvPIkLEGR
dkFxeoPbn4KJZ2aFDueoHsS1WTd8/dBbEJbM3FXY74msngvhel98KyR+sx6cfWoEJf002p+jHDGK
zCPOiUnvHiltILb/G2A4g584dDH8XTUmpQQilBBAGY7T4mJP6PPEMTWghDijtzAs7ylIjC/lgCoI
4T2OijYN39LcKDcdC7yjFxb2N+fRi2V6zDuWQFpmDM+gItbCFnm/9ljo6vhhnojNpGdmtIQzg3++
b5YOLmZAA60MWGGniH8pK63aqI9aepw6acgs1ZoCzu57ZRqC6YNxnJJMHP94ai15LzFZNStJCM2e
3ld/pbjc3jFtR9qzHEZLdzgy3F/qKBjhCY/W+NBkZrCpddvZ3q76yqyqo5E172RYzZspQxNVLZra
atHU+mtnlNajXNS0atPa8kvp2NHpcygjQWlBJyamlvyoua8vWdP5jNmlAUe1bceA5VJEHqWXyXLX
6suVUKYuXSJz6WsvSx1hQ+7omu4NpBNFxnQezmqR2Lh+ALhX9GeFsmC69/vVz/PUKUBZh9sp6oXA
9iArmJXz4JrUZdy+G3dq7gIsNXnKEUKoo6KEy/ybzg9w8i6Wr2PRtnTTi2o9T3H9K6qzx6mk5R2X
BUtzp9ZeW+JY1rM+2i/TmEq8wGXz6ObxjIqUSLMUi9neDbPs92NsbLVkWywllk3pTOdG2v1xdDIE
AfZC4paTjkLHIEyKm8SXTEzljrI49w2ZvdQ+uRcL/TuVY/5iJNNaNJLJ5cDsvSUEel2HjrFVSZDU
mc31bR48zP6TVSWE2i3VEcMh4Q1oZHD7TQ5409shlvj2pauTtffPkPoBdcbnzwdhzu3Vwxno5QRb
0OHP7vi+fImLDIitGjOILLtrlkBylOjhM3PuL9US81bRwt8OLeZAkRIMS2DvyhyHjYQU+yESPk3f
W9ArPpF/LTlq+6J2zBfobYh97MT+q+zrU2MF4beRXBDI+nF6wmB119vucGcbMMdmQKC36AtX63ZN
6olvYUAfJCLMaGdnmWgPPJ66lRLWKGlI4HcuyBvzrRjG5qmxh6N6Z1UTkx7cJP6xMPT2NRJMvpd3
7KEBoUMZ9/tUOFmzSVe3ikJ8RKDVvwSmBrOitZ4UhBPBHqmCg70sfnJwYjZqgVuZoytByPA02qs/
cbAcRr11V1CT2cqFENcWtK2TEAjmcqQ2QJOJgStFsbstYRBi9ys31ctXR04bi0YOMTYzD+iKSkBu
yp/KZ2UmoUkf2v2pDeF0kub0XZUy/2tRU70iQ+dBr501H/rSbOYSN5cNSBwmfnBH1dDnvYDFzcbu
9BLEHbcHrfUTAO2kQvhD7N5Fga4d4Nz6DxVf7U1gNsM3/Mdw339Z5iC+Atjoj1aRzGt1WIms3HWW
a+zUIRO2co10Q+7Rcjcr0Tiwpwi0VmqekBS4ldTjJf2xo3KYlFeYRyNWCqN51o1aPzv1XdF6KIC0
PDzWYy1fCN019sngtWt/Cv37wBm+qijZxIomsosDex9K7LPraDm2zBJ/mRtMq3yayE5O65tr7NM6
lvnDH+OWIc6mjEIEXkg0ih7/deZaXz8VGnQV0r8FHOTWl2g1lLBDnRFVLvY0Quo3ldfTPEqiBgeL
idvRE5BN7UY7Rv+AxduO+BwcJL/+h7HzWm5dybbsr1Scd9SFNx23KqIB0FOkRIlyLwhZeJvwX98D
PKe7uir6oV92iFuWBJGZa605x8wsclBLpSuvSEw7z2ET+vOj2/+1idihD60QR9b0haBJbGae397U
aaiHIptWvWErTziPWzclNu9LJRzw5nvrLO1sVdL4hkpw9qTUIuJOLTQv0cm9QOWFsm8JLzIrqJbx
YDQHRR6MZzE5rr52bjwPPc0zxJFmvLl1gDSb8K9QNXynnyMsfxwTWSsm8o7kinioCZZzXM772//d
/hEBLNoAO4mkN2utoAOeKSYG9ZRD3iloE9KBtPE+CovJs8No3GuT/jVBmHlssX/tmXpqq1Ch3oLF
lXBJ3Zj4zQ1bp8H6QdgM0QvMYm+Pu3bI16FUa5uKwuGUpzABLBVpXl+G8+b28F+fiA26ZlyIL3wo
E7FsU3F/O4De/qk6lMgqJ7KMcLnbcZ8A+vCuGbvqUCmaFy4MxEELu+MAPuv2yGnZBrOkg3uy7Hhh
Hez02GGcensf4smnHYyxRGoJjIcJATXwXyXm7SO7K+h7qRD+bg8jhOatlAf7BnEFlG5xvDWW/+wu
D4C5Y9hZJPYCV3LSOv5k/HEsUqt4pqWXbdOEfCXDgHD+p9WnjfptgxCRvUeh26c5bb3N2zE4ZVb+
1z8iTzMAGTLhZwxYxVr0AM+juL8MDFr8/9dHZY2LVYpHZcswtcrJK3MgjtTFlUbF0ueOI7QzRDDY
aHn4INGI9XQV+V6MIYPf0LR20wIhyMbhJVI7pBbLI6tAWhLPdE2WR6Ol/jhdP63juNaPEDnlP3kC
k2W9C6upLloTEozE2AI9P/2WP2v0OreCtdL2PYLKSrL2jaK6t5NtZkQ7SJQjVEmMbVoprK2lpPaL
cIR3w0Dky/8ry/8DHiLgRz/dXvBeM4VfEcnk3/r5kUlH+K/JR23WBNTwItZ68NmMkvnX63x7dUn1
01aF3LQY6sff0FbV8wBwemernO1vG7LG5frzYZ2YwQrjirpR6MKtgOpmm9sWc3uYjSmIWGfSvCoJ
+ld96GlkNRxcFnBShmb2GJqSdS965Ew1s5ePvtO+jVbXLobQtL1U8OLcvsFQlio+vuaiwA3ZZOvB
qetdSs/wSmLPuent+cNyOqbtlZOcKsauZ9uciWEzGHHHVp+fCmDqQ25q38sHkl7/+cG0/M+gx3fA
GvTviQ9wzBsMRdO3qFNaT4GjdzBu2oM0ukMpaj3MRE0/JRM5LsvMvQ4C61hACHK15avUPKcTWjHr
uH1THI0t59s+J3Zx7Dcdl3VnZnq0a229usMJWdMY7KsHM28zf6C/d+0LSkckMMF7CRxxAh7+21Kd
VCiMwGtKmEcshFq6Mx+ScJzuO5k8uiLv+8+0ac5OotrXUcqCjU4g0SZD9W5AvLniWj1jqi8f1F7O
rynwwZ6GzkvYxOHJBC7058M+Od3sfv/1Nf6P8AfEVTaFhP798795/FVW5LCEUfsfD/+5+SlPH/mP
+O/lu/7PV/379/zTf/yfT3/7LZu/3T2un/7zK//tG/nxf/16/6P9+LcHq4I+//TQ/TTT5Ud0WXv7
Jfyhy1f+/37ybz+3n/I0VT//+OOr7Ip2+WlhXBZ//PWp3fc//ljYcf/1f//4vz63PNN//OFFH9//
+dU/H6L9xx+q/ncZhplh29gZyCJZfs7ws3xG0f6uW1guHZU5mGbIBrSZogRTzDfxKYPQTBtcFXN4
hMx//E2U3fIp6++6rpCdC2nI4QQOveuP//1X/dvV+dfV+hvF630ZF634xx+gvv7dyGxpsmlh+zRM
fqqNOfM/DWh0djq9hqeiKO3BGUMq5qTb56r0NAz2c69PjD6MH1nnONKXK4ZedwFGtk2EuqrtmhPM
y41DJQkoHsha0KT+K+nifJ6Mu4F35bEuX8xO7vbJsO+s2cSgTiO24TBgLXmfZYHxsoLvrdHg8GcT
HW0T3Fllmi78utqLVUnnx/avxIzBHrC+pmY6TxOb3mzjLKfTR/ZwTm61YLCgQ6tt0vIYwxs7kB9w
z7wk3mZx5nb5oO917BMidRycE3BwqmBrRYJ+QEhwoYOsFYdFjYR8beLtdCnbFDeE4mzGQG8mTI+e
WVgXIQacNYQEy7my4QBvoZpSAKJH814BUucQQUaL3nrNIwgOdl4TgywNrd9h4sISD7YAHCi1LR/M
ibmRx8Lckb39W+yGAmPJMBZbjJbfVimRlaxUGzsdDkM1k1zVxZBTq++g+ux1lA0N8d8+hIhnWqGf
GWluefZgZ8mXUIh2SzVe5lnSzmo5orCY00sWTKsZruGK7kTFmNUNMqpZxIM728je1VomBBoW/1io
94RdFp4e/yDn2tlOfEgt+xA3mNogtsPOMtKnRG0oLXi5x6QBY8iEwF5eI4JUNghtfcpT1Q0l6aNI
iAS1KKYdplE20xwPzeSFgcNvOPZbZ5LWmhL/GgHMecRGMPVq5aEhuAcWeU+OL6qz2oRFYLXnAg8D
+LTss8RoB7K53y+VzdiarGkFFIFYWVgIJM+4ySj5tkk0kqYc8qkWaCAmkHudCaLZXpKwxOuojM/t
MD3PQ4h/usJiNXYv2kBUpsiLHwQhVwO1kxe2ENcR+nFb0S2TxeCzHSJO0Dx0mIxCjNRcZVgoktCp
XJXb7qRqmhuk6RWRNzveEJ7mNtsEgnK0z8adpdO6G2wLHu5oN1uz78/6UD/bIjLJbHB2OIPqNVTh
nZLNhxaFkwcGu3HLmJMNbg3brJ7bZsB/xzYT4lpG3ZrRBxjeSwfbUa0mxy4KTbdCpIxL/9poyW+e
SfQoZArcPq7fuQyf7ELg3hIaomO47dLxte5pdmUxEhyjNEGGTKkrIokLiRrM10fIFtV8quolwng2
qHDsM+IBulcqaUbi3ehmeA2d9RNVs8uxvPWiimOuUcj7AVkBucH5NTLDT3OU/V4mM2ACEN44107P
zyHUZYzH6uxa5if807sC1RP5Aeif4uasW/gBRf4TZsbgRWDIowSvf3cvReNjCHLDtavyEIaw9Ir4
FGtk1k6HNuz6DUjcd5REo9u2+X3XOh8pLb1mxhzdh6cScfVes4qr0abnEfGzmnE/trkBonOMjg05
2p6RAoilA4smtNxkvfk2WJCNhnQ75vm278Btq6O5Q4my0hyN0oC0ypXDVQUw3exNtk9vVjkaVoqC
HTa7uz0o7DuNmRWDM+Zh/GrqbJ7e0HAym8yvqaUh0ToCjjueojKP1nZXv0pWeeb6h44KMyHaTVPp
jZK6E1L7YFqB4ppG9dka1lrR+QoV2ErOQdEzEjVzUwy/QXSl8A+2WQ71i8gZYjuoQ39smTd9Wc6b
yYy2lpqYK9CHW9KtgN4Ofb2JxPKL5X3ZGj8D59+ErBR36vvHXK7PVdJfOxwimKO437SI9SzRu5Mc
1nsChjapSnZt5kRXRhhE2gclWlHrWM5i9KF1foaxfMRKqXk0QX3AQD/5ID3larScmmavjctLrzG0
C+RD+DkzaualxeirhdxHTCfcRvkqb4ydDryOsFFsp9mv0BjaFmVxReHnqhlVZ6pbb9TRkdJNawwQ
u6ClVytrp27Vkx9hFqPYDFaTuTNxBL7VnNs5/HKUAb0qab+kepEfpJr3ViVTYCi0hOP+ZDTGnekc
6pFebVXcQbt5T8ruvS6ciOwTr2MKoAy7LsWXCA279roov9Ty/Frj4k6M8Ri18S+B6LtgrgIUh8Oh
LyzhZR18p2TTiPTM3xbwYyUEytpxTELBxol8Hc09GvY0vg40XN1kptmWSetcFXRzi2sC3Js0GO1x
sFApy2StHo1IY16GMU0Oq10Rl+pJOOEemdFetrpnh7sFBfp2BgYNeBhGUXsskqbwR+oCvFTRKyo6
oh5U9XmetHuGoldwqZcqoA/miPmY0AScjGGdgygveskXanyIAxCFRrrRy0rf5Cyhlg6px/5RogTV
BeFFdauFri6ZsVdmezSIpps7duVamfEcjijbZ/yxYkivYmiY74SF8AuMX4ydKhp75VF0ydusC9CI
1CqDdTYGNN/1QoMEEoF2rqCMiY/2UJDoVJp3hhq/RFF4GmcDZbjCn+xoUNZ/Cvr60DiJxFt8kxMu
dXB60lZNcGKSbhHTK4IZmamoEExpbU26zILbtYL3DGjusLt2A1VaT/qDpwyVg0KITEh8D/Vr7ydw
sL0EfdlZwy0QxRdZx06QL0HzYT8KsOJZ6XbKBHBLipT9jDt2zyRBXXdDe7Hoex4aOfsk34lN1QFu
GeiOvp+ZMHLzTAfazCQ2AktaWXNPGOisQ5EbFJZ450sroLUiiqIfpOZe2cwKkiJ4DYGuPhmSgmqi
ah/zougR+zHt9hKrsr0OuZU6udOUn6s6JKRFn+SVkukHvA5HQPE8UY4yZb2O6+6H3km0SqT3PBcZ
s2YSV9oxZRSEbpiFON7MYOnMKZe3ZR7jP5Km+6EhiygGJd075hcGAtlvyvFxukIgjr0qDImW0JBN
6QTLyjI0D2V6M+tI2tI+OKRpCP+Q8wQgXDxxeZkxWBt+KX1/BDLaTEXQwrNE556F16yVL7bghs/q
QnOF3LkBzt6Nhj3Mt4dkr+fRxawo+sEeI4GAaOlX1Tyvo5hReKQ4uNirxSlGnItJKIGWPQbDJTJa
dSt3176aZZRSMP9QoaZeIl6NZBTLSRESmyy5Eh15DM0ag7Lc2MCtBsZccI9aFjBDTpGEyXhqSyB4
B+avM5DgAWF2evnSpLxtEx1dehDnx0Ud787IUZnRgSNhS27N/GLNzUq3SRFsT2oTZGj2qq/KTj2O
fMcyKtFCBLvlypXjx2DbLw2vOhc5Zk9mGl9PrCwOeRw0zxq5eNCn+Slg04vrloBC7QTR2VUD5Vyp
Gfw5MEOuPeJVH+yaUwDmeu1HrnVfGe/pha7gBKDpyycvoeLkqgZrfRjAWQ0elI4DUByk+uomdIrP
aTaQmSv3AX+rXLbb0gnv4zp7MKeZPhulZ9ybl7qV3rupMYhcvExq+71IdpgcDNemzPBmN93n3LtD
az0FabIcAstDjoaSMI5si7P7rWgCNk0Kb1KQVrJR0exC70QHcXu7AK2O+KSaPqYq2sRGu0nl9Edy
WsnNaekUDrcR6o7KU4cScZ3u+LnObitTyiBfXUoVzJgAXaSr0di4OGPZ43nJK3Czx1wMv5KIlG1Y
9f7oTL/MKTzFyl+cQLF8yYJDYCkFFpn7hIjz0dn1ZvEbDEx3myG5w4P03cP062AUYe7I3ahfVxwp
g0oPgJ/qlmdYyb1Uxkvq6lEO5xOn6WIbhZYKueRT00MaLHbSEfhmbPKeG0EaJxjr7RT4HDtSOudA
YUsm7fP81BvKPdJbRo4GLW4LNVPW//Rzkey01mh8W43wRmguZRZruuHMW1POznGb3hlNfJgCk+l2
sqp1LHKjUPa97LwUY+q3io11JRCPqCuIGaXZSLMPwwcqFnd2mO7N7L6dkjzMhb1KLeOlnim5uLcT
N9ejfdogeWjrU+xRHTLjnyms0NHholvFSbnRsninNWroKVH/TB/9SXOG7yFU97ap34+FThi4MfBH
LXfaUgMSweCk83UMlaMCC0oCINUM4Y9iP5sE/iFobA4qyz0ny3rL9Z39Jkg3I8HaSfINPKjkRrJy
jxTgfVs5l77RvmuRP41htscbXbrjOqzS56CfP6d4bt2AYoYS9LOPK55jMOe+HSaHhLtH6snkhFs7
Y9NRP6RYJe4kfVVrMnlTe0+mJs8ec7tb99NbEbFEhLLyixcz2tgyR98yQQADHE2qKGGVRsaxb64n
Rhp6Pj9VafGjzXbJ4MZZyw0ArBEBFJg4WMtPwM1jv07ji+P05N0oB41IIs/om+PU5UdEZTkZGfvO
lGqy1rV9SH8Bj26Ku9tunxInWkGFZktyONmEdrCKWn1a6yJeBRH5jJL5lkrJjo57bRWN19fgkKys
+5U5Z0/jZPnm0JzNVkm8SSCHlF9gYFVIoWKmmgVH3nneW2b0k8rlXaj3bj6QLRXVZrdPq2Hd4dLf
6dbw+A3glLEoXdGNk11SGhNubLIDBhWoLF099w2hRQSX8FaNpn2Mexy1+VaUaJYk+yp3p1mXt5aj
v2dF/JOMxpI8ZS4QcYZTWdi+pmKkIOm0A8272jOkiPm07eli2jaO81zFWBpCJXcDS+xFq70YKWcc
GCl18CDTuPeJt71onfZRhnbEg8izRxIulNERq3RYVjMVWn1qE+3SmC7jk+9WFE8Pg6L8jMUgubbl
YlAoD5xgDmLWsJOEU8MTBAiYKywLTClOZlToXlbAzohiIleT4annpLUtEvTHagMpEmvhAgG5DI2V
bUhyeoxGCVl4NFOETDWISETidH3fqrk+pbP1hBJ5WdnqNWrXR7vEuDV2vC1sE21u8TXjinV7jiJe
GYxnDPj5OrKJvKQz7NKdOkqMSeX8QH1NFHYZuJWdYRbTaZNgwfGKm1JY1jH4aONlVLvDaCiwiQeF
rUtlcK5h+S668TT32us0BUeR0F8s1eLRMNnenHH4zDR1O6gdfpQgeG/rJN5wZOIQOjNBomWRGcq0
D+w6BwLBYLgYxn2l4fdUSiShTcB8p7jXSaHA3P4yqaWbdbPN/eb80mf5ljIlYTt/kubsu4zm5yGA
0OBU67qblbVMFIjHjHFdjNhNeqq1oKgnP5mKbFlXd+F6UOoftaBdr9hUxxwMCZYz53tzVs+WoyG9
tZD4ZDHbJWW25nassbi/g02gqaqbqhVN3CFe1+0x57x8LGzqgLJvv2VVT/1OIVwVYa7HgAdBezQr
vo5fbK0myuNcIo/oLPNXM3ekeOX7KNg2nDPWRm/UHOzcpizooOTZkyJIxSp4UgZJlOoSiDDKcNwg
uFQ120nTUbCFDRnTs7Vtmoh9QSKLz1gn5ZCugKq96ar9kgGc9yHDrORlsGUPNPacbgo28BUpTRtn
oexFVC9CaKwuoQPxF+hT8KZW2rglncVPCsnPBqX0ZWRzkVy95lMiuYmmLUeO6GMOM79VwXly2NxI
OjIHFgNe4hJ6jyHeAP9R/ViIYk2yLKT0d7LQPsq1/KoXz9Q8FJSI/ug9Uu813R69F6thdqWXvm7i
gC2ZhkiI5D1T1GpFZkNBRWQB+dWDvZjLq5MDCu9j9RUD/HsqOeSpM9yRystQzy9l88xQ4SVm+Ugp
6SnMaZLnmvRjdNgB9RTQtlwkFdPXDg2gUDLwUPVv0iSGy8mMUUdSgnTUo0Ocj0el4O2F3fYjTnHP
h1rvi4URE5EOAizQM+FssxI+Egn+5JDI7Epa+S6eqyqhg9eOy4RPzX06ixzEJ9oWyeBromV/nXty
uAv9Mw2LV6YMLWMMs90GhmQTQ6HFJC4k0L1AmTlqrvKWC+l2ZcPF7ud2XQ5kqOpx9zKIYNdayYPh
sByac/1LRvJVDiL2NZTBfrhYqeSF8pkfVY5TpKB/O/LFol9SBRLjcwdiApRuk6XbzIaT2jaQaHJC
b7Crn0hp8geH5ihnrT3kt7dhkk5UTDOzwPmYacaLo0NGRbB8bjTnh/7UGyxHDiNZrtAVmXMv1MUd
JMDITWSp2jTdQIUYVHuN49NUJT928mrFc7cZSjZPrR4oY9JzKVXII8uSXLNgl+ZN5UeR+ore6sIx
/ioY/7CePuWT/VzX1l2Uzq4R14+Var8jS5gmAMql+HWICfHqGFQz8rumi85lX5/l30AXzG3V0HCN
1EZ/Ff46EUBTrMZL3xPOk5p+to76LqrxnoHe2hx04ZtmtmlVaDsJUmed1do1xPQwNZzfa2NRk8S/
RLPMqwHsxK606gtT/C0oAduPx+BLrTCDBriKQ9RNY1E82BP2gUUyLpGUGUXKKbfmyB1t+bkT2ank
VB06Te+NDjnt03yJpdL2W9G9UuroG0U0+7GByjrlD2SI7FD3g7vgZBs3GSz5N5I6aTwAe2CaG3pd
wmoUxkyn5sUZZjt46U0bzbaj+4VCGpdRq99KX07uKERxTjKeOPFec1pzfZr505Fsul7KSQS4gxAW
8+zYIehTBq4Vo+Ud5oepe0/CfCsaMiHok7/nReTW03sn5cD69OADZmrixrr1nC8KR0RZlwrbEdKu
+EVNYsmNRH+0dLQBYjBRQR31EdsVMXifvH0NT2456LIv9Bu11Ua/DOt7R0eReMjDHtKn+By1+AHZ
1G/cK6sBAu8mVMOPuNCfhiTkSD+PvrAUMMzV2QoR9lsZgFlKJrPPrpnELRPObPQazSnZzI+TbQM+
0srvgiG0N1TFGcHYpa2bPctDjGO8EQS+Vz9zb6u+0lSAwxbqAHY32WaZRWuC4LaHTS4KOsiQTpZW
oRG+6VWw61NcCk7H2bW0P/pk4mm10SFz9ibZGq6Z5C3e0Oka/HRBV7l5rG/Gnh0v7FGxdaCtTY4Q
WXywM+cuqchPqXrrS64kwURSLynT2e1zQWu3s+m0B6HXd/1FxAwDayJ6E6U4wr5JXUb/d1nV3/d2
ss7GxllNlJJegmTStYfu3Js/nfzOG0J+LLVkT2ZDsZpq5T20rdK1+/EdrzPHqsE+ZebklVbOyj4r
6jbs4YAExnOvcvWDIfaIDmUf1Zm743D1CeHaaIaW76doXNml/TxJJFLmenBnK+UpNeWdNdOJ6hzi
qDqHViyvmRbm305CkmUp9rBdO95MRGdJqI/m6GX5JGxRN4Lx4Q3W/GEmL1qs3Us1RJPEWsJEpkeO
3h9LF90IsdPICIH5g6un2nyVw+CLHDOE+LPyq0495/Y0pheXH2VKRy1Xv6chpQugC3Qnlu2hYVkr
MWjssNBOpqD7h6DIG8SwBRpCDjsZ0r6SLOneVuB1g5nR3XD2SjVre3UsdW+Kk50IUB+HQJBTJF9e
ij3VJ1vcZwwNCGZGrJ9NGzLkvyYuc012aoA70cpbvFpleI7dUpedR9tKcPgmH1U5qNs8iYk1oDmi
JeNnoNg+hpaergSKT43cEtrFiFfQAfejqa3isv2uZ4PcLpvjWaV/VrONNc4IX+hNYLQZk1OtBHcz
QIUNFKDv4LJcJWMCoVYGAfRT2fmCNeCWNXEARC99VSYeI1hObEL1rzGBedPq6VfvEKEFSXQ3J+0a
3s4j5LMXyckSnt5ORlgDwTJjNy7RDw1kSKemhoW3NO7j5fVoog5unfoum9pb1WgwRykF02JOXRhR
jMOl+cKOIuNRXCe57lLQ9Sua06B2rYSyynrubHbzTqc8abFauZKerZ0udvzapXUqb1UtwtG7iKyY
ag4ZeTRD9TTKXCS5WU+mnHpaSVtds4msbnPSTboBgGJJzDNECykfD/Fc+bbT1SsCVTe0GhnzycXa
CrWdqlLLVEbDqaCwPTUQo0dI8TpPZpoutThR9sPm06YLXlV209j6MnKn3IqVXuCLBfjPMQhxgUof
jbpyp1pwQMo01LFK3ZHfjMwZxzjn68wNq5FhYIASY14eDuVem8vfhUaDgKy8xIX0ETaauW0VcRG2
7Xd56nXm60CAI7ypUPOFYuPfstM9gQ5o72t7ZVYAobJcpTfroI6l7+iaVipvZvrp4UvPxuAhVfiC
kEyIeEdN0CmpvlMqdSU1DH/shB1Dm+U3VaIhOcbNPUCVEuHRXTmH+7pqOdMELHGKMGTOi7mfCo6e
dsVMLY3k0ItEeq9LHLfT6R1EmthYpooEndekw51DJoFBgQVcj7dN7ALZgMlTZfdazIgp7NYqjn7X
qKJuNYWAjIgpGnpiArWB6Uo6m7tWky1OUtz8sCUgK+TO4zhgBhVNbvp6ACrIcfxhyg+1hB4qkY+J
PRMWRR5KOQaXUTbDfUgVHQG17OQ6Oo1Y6FSRLTx5Y+PI0krHwbfDjUQ4DvijtQYxX1PWIoTrWZgt
b702sJc/O8F1TvW/aK9404pV0hsXLZDtdaiFiL4r+pkctWm884ajs+cKvUhOc4bEu0512wsIEdhY
mfMaOLav5gwctVoG1Vk1FNFxFa9HPfyKsKu4eIjB4XBeAaWYFzsZFak7Rkm8tuTkxKhnFeulcpoF
HMvBeahzw36I5jEnrk7nVVlM5zkAF+HgYaDLuB8GccC58uBUxqYfJ/Ouwv1/15JjWJTERuXpaxIN
hBOl1kcTjdoeoQ46fKfTN1NHsZ0ZP50ygyRNGzidCusnZKg0qldBqEOsEdKdXJeUd8B8V0OptgDF
y45fyEdDZi3AnRZT+XOYdyoxSGO21aOOummi2wV7SEh0CxJQAfCD9SJcK9pwL1U7giOtfR+x89jZ
eJbTidOopr5PaYmbYUAG16V2xsKT19AuAUOUKazy9N5KpWOqB89mYKir1Klor6ma4jP/eGnapl/b
WdPuNZsBps3G1wdMUrt8Tu6kzNS23LvFqhiUxymJV45K16UfmVTahFCF0oKdnvLXPn0bp9wfQp3R
BZ7GO+qp5oCuza9aSJNWg3xbIa2dQLEd5OnHwRzY3ii4VqBDZ0DkrKAlK9eqRs5+ImRSWREi0Hq3
h3ZiEnI5RaaXs+GdDSaN5CEjGFgeWVrXnm8fZUUx7ZQ6f6NpvwTE9j3lJ6VUybGA+15cHPJhYZom
5w4IOgTb+dTD6Zukjl6oVs1o3BwvxXvAyAONgh0GnLNtynvMYljrAodYC7GWlfCR+Tbpr2rWYVim
qZiz6fmq5jOF/qpNtd/BgbTWmloNq3CweD2HXKyIbYWh0BIQLRvjKgvtCwE0nHECmryzXHzYSOXW
RRzEOwVFGjyE4C6ddJJ71DjxO3W6A7RhIiFsaAJSjLa1vmYyg+SZnjRdmbL326xj5YeCsjY6e2CT
Hz5IlofoaCO+bwYoBrIFwEzMJzAobO4tcjqjXxfTWFEl24+8myM/dZgSBAo1iiI6mckkbydVFd94
eOtD1QiirsDw2Yyn9ViTbi9rQ03vQUfdcDkf5KbCNGzgp+0CqfNbji4AK5td2nGebGOILj2ta8mE
HWZH7bDjFGyhGmcUN4cnhEX7uAziB0C1+ZkwRwxldLWZF54NW2M0jDhdwpC9kZOQo1fb77pefdFs
s7g0yspSG+VkyPUxMCkAqRhbIJOgYpzwLe1nccUFVDLWHs+1TQsrdV6FmO4Im86fCJH/yHXWfyNq
JIZ/VvrShQ3gczjca7VK34Mg6chir6O1aIsXKcpepMrhCNgReMMQUGJUwh6bo61s6jncIOfEN5w1
4b1idDtJJNXx9khK1PC+xiWOzEOq111k6PvbP4AFQj/rM5lOdDTiCO0zb7YlkklmvMCMenHl68Q4
T50sVmSNyBu9sLDMUu3niwXA1jDW90SMshIeRAlIoopnn+dQenM1IHjJa2XV90y9bBoyR2cgoApB
QdWKX9Dywms5dRAuvGGs1t+FpfYslHReydhylAwU9FTVT0Vq/A6A6leqWX73g33X0Mt4BiL1ybBa
2iclE8O+cY41bRksA+JAsM9nUIHYcGYoAKoUDesoTw/gJZG6pMaVJv/grVMFOy0BZEA8QWgHk/Ee
F9ldOKjXRthbxNRoB29lpciPqUy5muXCG6fW8c0oEts001DiStSgBPshQmE5NPLY6xvOTXMsh6sk
pdmdddFR1duLHceESMfW0t3Rr4VtQvqVH4AoMlvLJgQBarkihf6rfpYq+S1srXdV2Mi8jPqeF4/2
ggkvStHdHveRV07g4XI5TtYFiiP0OAYJqUzpVKfttlKMRXGsCmyw9QnsA4go4KFHGtrCk4lJyfJs
r+PhfHW02A3taY+sCQkFptEzYfcm8uKhZANPGg+84QoyDD5lKgxBJJVHhl6MCciBQUeokxulCDm4
iWnYtoFbVFJ4SMhPD4OXqVB9AiCPIorqkz08DSb9QHzKfPM4eoLlds09zm1Z0xqWMBHkxXjWo/aC
D+A8GoQuKQfW6Zg2WMzQWr/GQmaJt8f91GAcwee305kox5Ia3IVzvkPGA48Ji5rPfnSN1BKKK2nk
ZCee6VU/zrl2GYsgWquz9tgu/hxSYEQ0XkuUdoqlgKzp1V1kpA/CEC+gt9/CVL2jF+/JNZMSM4/z
HRK21LOzDvOikbyUvf0w8uxbgTNVb8YHpRVPcNkkb0ykt7wRS7CF/Tq2ykfRlY9DO7wy9L2G4Y5e
AmHSIHW00SZ3QdNJglZqULVyt7HaVPeG8FWWRQNBR7zAlwlZAphbadoLY5AhHiRyp6rAjxik74XE
NQXWvNYbwzoyamAyNSb9EYhms1XbMiHRJKCqUshnQzsz3nfy/yLqPJYbV6Jl+0WIKHhgSu9FSSRl
JohWG3hbcIWvvws89707YYiSWmqRQNWuvTNX+j9pwKakCbs5hSSHcqmg+smx92EfO6q8dve+qTEE
LWlio46ljcsbnNioqh09/Yde4zdUkbUyGIz0VrOWdlDfAEWiPBujN35RgTowtUkrLT/nWXbR9eOx
N7iZHK2kuaRHn1qjPl0DTcrC/d2V00+DvfJYNk67FcCZN3qRLGu98D6lMOttUhreVnPtrzrv6aHr
pbvzivxdqAa7lUNBWjGF3YS94W8djZDMLsOdiPr5D4ydZiF1wWEBNfKIMZRan5ZwEVQ641cK1SGF
jG2N1qeesTypQLZv/H7q8Shi7GttDQdoiEnVu4wwXDjSCRYmBZszZ9EOnZevAhGdu3rYql5ipByB
hJUjIVa12mJfpllYIvrunPTacbRGZR82766O7FArmzdrmj7w0clzDx6Z1clGt2SIjUW86dFBA4tH
kkZx7Y+7Ue8ejCU2Q1r4y2KiSPXcaN8H3ZupTc1hyOvT1EThCcNru+jt+cIW3T5jH0qSTF41SLeL
3vrdWwTtjZys8477HsL7mQWe4sorTpRsYLQnXazqmr0XhQz92HGB9lvf2JDeB+RS9FFSe+kE0wk+
J2NHHYAiI8wmdWz2gISmazTa5+eDRh11puai+Gbh2angGqUkGObaEL9F6AyOVao+U9uUl6orPgzO
f24TPYjQY3AyFJe0TqxdkQHCsfwMpXcb3mKBXEqHxrRLm0K7ou346+ZpcSwFPT5h2cVGutq3TYkt
TZtyremOHi3UIQu1PaLhYYma39qXA7MY92sKJ2+TiBn96Zzd/EtDAw7FPOQTTcqpojKzRRtGmx4s
Ht5X8kDD9NLawz5y5Ccap2Ct8Up0XU0vNbQLKPRA70VK66momMPmVbumN83YWVHbdGb9mvhMmmQN
pZHdccBlS/O6OOa5V6/bJmBfrB7e6P6bpUbbgvCiNoGTAyf2rII0W/YjOc2R1m0g+uxUSxxb2/C6
e4+Kag51H1WkV+5tYR6HpnRfZIpF3Fw508ASp31ht9xDVQdNSwPRn0p8dSWXKVBsHbNFB+BwWefe
V2H13Srv3EdqEzRmV9W7n2kvOAFz/Mycm1zfQd5A+yZWrrXUMeMtcsaKmsdR1YhtySyvjLfDRKVn
u+JPW5uHrsdqZOpNusXwGixl191y3KobL+FUj3qFLYckpBX7JiD6KDmn6FC2dO05nqNeXck4aVZT
UeZ4x+yPLBwrjp/FwrQz8o4t+3cycC4Vwa4zCu+UBvbeMEWwTTZMArg5nLZdiWgEtmZcvVDaEAM8
dIomWbI6bWtukCWTjgCldIlhxtO/fXvKmAzTmkkaVvUgiiOYQTD10TuXmElMd08qxO+sIhV8oMhn
Oll8MVmgTC/o3PtYbFCGW7ux9fB/OHPRoY6wZ1YyE2ol3B6JjQPliaGPtR/6fK9CM131hvuHswso
cXMuI9oKDBRkUEZI6hq1OvPWqh8OWNqOaT70x5K1y7WXpU3f0K1g70+jhSzXmG6MOFcYEQmiiZDW
KmkmW0/LPmOJE3p07Xuq14jwxpEDslmsewn4b4rd+iUeSOmrw3Q3oVs8gYgctJHxAAqmrG7CbaCl
1xwGzDLSoNHgA4c8bOnHtAS01kS6XETlmF81Kg8focWeqwGqvged2YVRYg6oILIBDVAIUJUQY/sQ
lISuqinRX9wRiWCfyZVAR7kwe5DFcpAxsODY3RWq30gIvbvMN18BLnTn2FAvLbm/mzFxbrKcY9Zc
6BUDrpqDy9YTBRZG5LZ/IB/n3Sv9dj0xSL6wlXRruoWsFAAIW30MX0XcBKeeoVlGo+Csi6JdhRzU
hQ5UvybUY1W71QUbO8uB0PRNFdT3ZyMqTvObPrYsDtTt3YFIXgLJuc6pJWdlvD5Ckp8TXJoYGczk
qkOZtqQnzx/ZTfq/H0X8A2+wvYyUESxXmDRFsxVDYl2zxu5vTSBY+KtGW7KBcSm2WvcgJJs9yxXx
maZB/6jagHOnq66uNiYENiwmZlxBqA038n37FxQ2B7rlK5kwVJLxvDxK3TnT//9dTPlw94f8Dcy7
RZLtdLT85qsEn/koKbl3YULvjeZm8cB44GxcDZlt4pM17Rcm2RXt2G/6TFGaQ/JetmOUHxDjpJsO
eCeopGl4oJdPVmU6iO2INZ3AsoFangXLmbleI+W3CmJc4P6Ha+lrEZk/jbTUJe37+pFm6BPq+FTl
XnKWjV49fBg82WJkw1nGBHbsStdO0FwxvdESQmWZEhBqkj/ivPY42itjqTfcrJrKHuhmnavVNOcG
9h14zVExwvF+eTNVEY6W8sY/EqrngvntsJ06+Ed1V4C3sluYJKAcuqYPdoI/z2w+CPRDpxC1+cO3
rHxvjQq8dcUIO8tK79yXzsSMc0BMP//iKc1oXFb0PZ+/OTPnFMdUP/pOzbg8sNKH45oBBYXNeo2I
5xH7Nqs+lEWHwQg9SAVWSsVXfxh2uVPjF4yb+Bwqp3+vC3dt+PHWlZn3atEXvKu03xWcvbZlZ1lL
cs6YSPIfZVtB8huz23gKQr6tQUG3uULaseXgQZogeu0LfonqXoeHqbSS1xo5zCSmW2tyX/gNgnYy
WD4nx+N0bhyYdXUbJBM0IXrml0HvS9zOyT8tGDzONXArMzqtj0KrqyM6TTajNjMPftGZyxr0fulg
xEV4H6xKnSZfy1q012nxh/jpB07bG2m6DC/MfHjUYR2usw7o5mTli3oyGKeXxAtlnNpWWqMzFHHp
ndALXmcz1sHr1NlBUzxl0zZxSrHt6iq4B9xHy6nw2z2ESaJcDCR3CUUgVQIXn+Iym1DMLgh0o9c7
2b+5oOwLb6j16GtWOI9oepPxv5e2+h54UM9lvEiHpkABZpHHYpvW2q+8W59DnGFqsOqPSa+CSx8U
KBKHGXlB0tC+aYFaNZF9dwOr3CQ6v39u8U4adjTLApzhuVMCoKOpjkP9PdazEa1ISnrJUqBn6hZw
rySSQDJqbDP7FZCQ9hCzNC8DYcQ5ne8naDk/Ono+17/YRkqBEqhPh7/6jDsQ2ZCRGkY0BLmz9dKc
WQR6zyWdCAAt+ogq2u3/VuRWHG1iiYHPF0Q6IycG9KT+NvporTtNr9ZEjp+qhrgEGGLybrSKgNwh
wj4xPw2mId8PHjLxNEs3ZVOql5SZeeuraR9FvrV05psiCmlrOE6E5Gl+qns9L81U4zaJMu4bb+pu
jeF/iDDy0V5G1E8dbYba0e+zS2Xre321HhEqHPRGzsGAsgTiS4AFh7F2H8dOtBpLM8BE1RwDjDFr
lTk7G7XfawEZfyNwoG5El61kWGhv5WT7/LCk21SqsO4aXew1HephU1V59tJU/a1MyKjrk1vXocFT
qsjvo1uGO6lz2ZPolHEMhfPSuSN7u/Zr4m99445a63ZSHCwahktdk/29xyZ7NGxezufTToaoVHnJ
FrHAUqkxhTq0TY39tQh1kKxm+GBePx3kKHN08DyNSALc5J6393uNtoKcuruWzqYLP8+WbaQ1h4Rp
NNpaZe8pH+ylmrcGm7HElkxxfe3MN5Ss8wChJQs4BpL2RVTyYTNnX5ptVe6ZW7Z3vYq7uaUHuqwI
27vWzbP0BMSOPz91yybfEIdF/Pf8dhemk28pfRi+zl8tM1BRmp4TCDx/tQY3tXd0IGvPn2zmCSDv
hmS4508O+zY7MT6S0Mv4Zg2Q/Hm2kT6f2aObvRRB8v58FkeFc41J4/nvvyQy9dYZcvV8ZuWVvMnk
AulSjNi8DsIPhtvzS/h+VmQLGm/PZ3lg7IOqI0d2/nWuXr9lulu9PJ95nvG7aRzz/HxGxgPYC10v
T89/2I6Ul4neev/9+gIKyRID1ERJxA+aKNBWKbYDtkRegr7Oo/WAymL7/KqluLpkp0pGkry4WVX6
m8YPag6j84vr2do2Grl5nl9tshJOm80w6vlv8Vu04IO8ePn8yUM9Wsc+9xiLzL8Xl3V+jpG70hjm
J+cpHf+gD+7PH4ytv7m2UXd6fqvXAypK8CBjxOiQhuj+Kojj/r3CVUU2wHifOjLLzHF26bxAkHcA
IVvGyWUtm/kq1Lal/9pV7OvMzjmXRup1EtW54ux9FKhpd1KN+tKtQxqWsNaOIK/Fjff+qHceAnIK
yx02Res+zn8pYg2Ik3oYrMjPnVel0ELFNY409RR4SZS692xSOeJBhtuy02PML323FnhwEM5jfwYP
sbCd7DU1PO0GBiTBLD6t2GvCuz8/2N6XKUPxHsfjPqlLQVyod0nIqNrWHsESGPF8Op1Rj2oweldl
/Ddjlz/DR8zvNDZN1FCtyS+I+tXzczYepnkUsG+d2WJkzFtcO326Yz/shSnFsoeMc5+qaRs4gHlM
KyAuc/4UZTCDsRYaSt7CW3r+B5OYCsGztK9U951tZMtuhQZdf/VxC7URpp3nQ2xdwijV3p9/IcAK
YkiRy4/SeXFkot3ceaWsqGFW+VD8aCHjoxlB5FuYVWIG5qe6iPutC5VqNUWeS4McTAmoZvsGcQR9
nGm2azX/ixYX075vbdSdkjp3Xspoz1knnbM7gnsnu7v22KFVya/PL5outG1ucWQMKl3ZXZTdUfsf
2pmsaDlMbYuS1bis/hkBLYXQNcfbFOvvxVDKi1agiA7C/uqoclxCLdN2Jbewm+gTLQuLeYVlbzvp
6ysHsFIiw/4msF8xBe5fsVoyjp93Ba+E7p3VZEWObdHdgEqEZCFbXCwv7jCpu2Wa/pVL+0A/Hyiz
PXwJZ+guRjadBsjBLVzWG+fbywBtAAEhA8AQ9hYrI5pEEXOYr+PXKev/wGA0SAqxzR3tb+CvAut7
GUQcKDtaQQlsvHOMD0c3241Rz5qHFM6sHzKgaAI9u4VJ728SOgIrq6adH0NBH4kVn0eWIz39l0ST
59YzxGW0K/kK12vDMRYSl4h/BxRl76OI4coWVbYdC7TqctwKYR0iIzQ2Wv8wXSRCk1vaO8I7VsrT
BfR6y9kRdDTdbLxUG3MGrbfSVzej+JWXHqe/qfsHez5bBWOV3URDwRf6D7wbOIfMZG+UHC9IYJBv
nfYHaY773nTETQFKUMgoUuopTuzFYBxLXw1QUfz3rJTTiul0uofbFy30+f9karakO8iR26lm8BPv
5juCCzdIh4uo63fsqOL2fCBU2WzjlUnS2+45/hNVwiqU0OiZ/4jQ5sXw5hdRa8yNDxNhJaobk4mb
WXXt0u/Mk8O8PnMnE18Gy0mXG/NWe6fj7GDfcHemTyMxDMN2j9Vt74neW4SDpFjXoEEo2LK0vXyS
8TCRs7sNPlt+1dyKMA85AOGSAqL+occ6wRa16++yFLm6SXvGtu6115uXqPMY/OoSdwuD/lB+9pUm
QDFgZYpU5h7yjvaRW5IgQvYB8Nu41t7BEIpditEUhN8mBj9+p9fuL2rMLitP9V9ehQUmN+P8+Px2
u5hFREI8AO1NXeNvfVJc30ct32gU0NtQ66i8FdoQTR8JFzVTNujKf9FtDU/xZN0mX7Nuc9mEFvbG
bSxeGAwfhEo+O91Zj6k5IPYJnJshDG8VeUO6RVfm3rgpi7Uf2q96lnyVdnqSzlReOdZfaNsgRLeT
05jREkb2u2CE8e3XfrJzPLd774wTTQh5o8xP3wr4oM4sI/AsAz0CBh7SHy++sPvd5Ap+da1dpfgo
GWihPW3puzqqv/Rd2V+eHxUFGnqvbD4qg0YrjRuU06waHVMoEFkKTxSAiErGl+dDwm20Vn13zavm
I3Hd/JKqMb9E//+jkjNvxfF0L8f8bJUdApvnd+Tzt3U99urUh+U3tOuGEpoqmU9DXLKYlcb0xRND
kIpjoQ+1awsaXHZUGMqWY0f/aKQjeKmziCZS6R9TdFebakaf+hY6L4/5PXlTyL6wlLQBwB1lJicz
PnjoxM60qRiq0mrZRnFcL+J8kJycZ1j3/AUfPeh/3zLMTzXafsE4pQzL+HxLpNpUdOhXm/4z01IO
ZZmnE8D3/z56fg6pcb4FSE3mdjkcng85pogNm9R3ZIefkamTbO7rLYaWlCaG8Xx0p6A9PD8L3Afl
y/N5jxTMSX9R74Ub2Jhb4CfZ3g2a17bT71DO8u++KtsVI66YvkpR3vtI7FXVp69miXWyz4mQ8g21
9W2ETy3Nk9WoZLsG1mMsUMeRA4I2a22PGXwALDk/Q5P97WQ77YLOL9nCAn3f1/R0LZK9CXCJV16Z
tz8UhjbKfGy6JfXZBh4+OUYm9ZnBwQjLQyNfI6/aOWGLaC/2joWTNHsFNYdUzY094OZStPNqR+nv
leceaZRgc210/1WOhrtwhim6aoBsT0lbmTTsvOEnhSvdx9813b4icxCIJJp+ZMTQX8dJ/CORds2g
agfW8ipC03noEfOZYirHN5/meueG3gqNPefF0WyXXPLTsrlgR4OwOyDe5ECCDorY6H0ehj/GzLvy
mNswpr0RhIJbyGuSnZBw7nzmsLupsjcG2+WvOv+Mc2K3Q8+1Hnrj0HX5nNq6+91ksl1mqVe+5Eiu
125iYRloqnSXqso6JQYtDkaA3VIXgX1wh/AtQm+/j0h5Xll5b/yYwcNUjLQ9qNB1YzBxyuh/Yzqp
Nho0Y1HN755qjqzQzg151C+d1h1n4FG7wuRzTk7LwKHvAnwitfFijuFWhbzyZpTRWuJVeTGwPwFR
RzHl6N0X0/EPuq/BXw2RjrJJHUTPw2jLsPpPLk9gYQk9H+C8vlb3nx2XAtqQ3rmk2KRuttlu1fyd
mUOWaVflM7wAPTlhu5ChNHyDZlLjLSJB9DzWhvVwyNjO7OqzSfv42DCzW3pRB9IZvyQQJtKR0wbS
+tSOCGcs7d1lNUdMWX6FXmJvJB33LViA7BgZOmUEKi4vDWgb815ahY382WCT8xjhyeAj8ot+m9Sq
O01Bgsyp1dZZFWVnJ20y+g/jzxSgrWJ0XEObQJMDNxhVG/Lu0rPeJAEqPVel6W2ngvTSgBldnJXk
MbUFsm+kKFlXJls3nS5jHfywumf4MY0QgZ93TjJX7STCspZ2Mq3yiTMiPd/m1Qz9ZDNBDV40LeoZ
iuKIBQrBhWMVyyyqjIOdVChLDZ8BhDN6qKGYwDXG6CLU/Benpn3iDOScnh+NUfhvaLpwi/keOX+U
R2DFgUeZUCawvQ5YVXW7XM5TZ6J1T2kn1olnY+DLdehSOj09dEXJmf4bQJXiyLltmYVudYz6sVgG
NZy4YKBedFVyej4Q42IBeSbKsPDiCoqpRoryUJNMGHribps1ghWhH3XduXul6rZGGDinAonCqaNZ
he4EtZusgxr1849qPUxzDbpAXuiTFt489GrLHiEk0KwkOiJ9jo7Pj0SV1ZvKC/6gILW25Bp+qUIy
ZK9MfMSYuI4x2enHSA+ioz2IWViHC9tgvnAU8wMju/xIapB/0DjRmSGpA/Nn/u9rdax+iRH5mDL5
JhO5yWES/f9+ZJfvDp7NQzlqA355HpSOgI+szh3Ga9PaiZg6sCcC/r+fjfoNqlXird35NwW+vZsS
4pStzvidD3p+qOj51K7p74nlKheRgR7DjQnboLtdFBwkOMixFmp+Wh49rS2PdYs/VSYMTrOKAY0z
Nns3BKHizw/CdfqjCFKyYWWWL42CuIopOFS+SYg2wU9nu6o5H41RRpOL/UcV5q/ns17V2fH50f89
PD+XOfCxfRFthbEE7CGOwIi1o22zmqoSDVrUpAxnWxOkbaTwCjl2fsME3pLHtvORuB6fDzrS13Vl
QUWxgNFNmkanj2Ifw0a7KBoJajAxhr09yLXEygqwxVyR1NiscltiJk2S4/PFe75DSRy2h5RGgFVp
w7XXiFgO6a++kUmGSGkYqXnLANGqjZE9U2X1YUEeW2Afcr961//tZZr64W17ob2mX9HcYhQw1cYH
RgIUqH4UPlwZTxnvnSxN0ua6A8g6+29RWLvYc+Q/U6B6wVpyiAsTEGlOAxyRLa1wXfucuslchLIk
EAjL+qaLy35Za2TuJVVyitxZK2aW9dtgxsmazl53TXrQJ32DZ9nBpbI1zSE+VyaYGC7zb4P4uiMp
7Pq+tt0QLwp5BMyH9F2l1wYBOMhGBYPeg6jKk4E5F0rGVFyZYmZrPQjAM0xGsaoy1IkJvBbqRIaC
Wfs7G8y1lyHrGSPPulcLr0wZr9OKW4aJxTofxdOhN3Gc1XBi2T0HbHMErJU/hMYDI+L8NcDBRQae
JquCBj98hkYj85ZICjxKvCYCNyK4D84OpX1ORF7uQGWkLCHVeDBsDUegThHfzVLxujUQjfdBu2uE
6W3wa2EtaGA5etpIkaUzoqzMYjfxmhNdi8qs6fe9FWzKjAGxW2bWvkhG+gcQSda9wV9Pf9FeFxZ2
LCWydKe7/k8wgVsiUS14JV0DbzXTvzzXz5Yy1L50zJe08poVWgPvDV6H/O8jOfVgK8nDrAiGOGW4
xzEHktcmlLiUxni2XRwUhK7D9gheOPtKhmhMkCPP/5ibJRaJIJTtCPxMeyiwf6fialT490boP7E9
ng3H8pd59eLjnNuUEik52YvHFrq6s0tcHGNOAoeXyuJmW8x3M+wZmZFs09Lbc/dXHG1ID2/1WqN7
PViXfgo++5Bswfy7NWt7E3UWjFhKWZYHGJBJHM3lcH1NPfLbSGYAJEr79cW23NvYluIt8wSZgoCS
fKIXN27qJL984Jzd8O14zpHzsrYYdV9fGmP1XikNiQNbtB3WNKRyDFey/QwTzFtKa/tty8CBq8l3
Id4xeVQiGWiWwMccqtUgqx3jTHMNKJKsQf270fdJIQRxRr17qCj7VGisAMExu6+bbeaif/EDIjWT
0WKdjybxQbN200YS+Y4BYFM3b0MeEamZ9Tsm13IbcxkL3PZobKE2RtexxhOZJNqaij814XFVjj/u
KxItd2lPxlXfODOPVftmd0JW8aZZZICg71hJwFxsZxyXzMDci6B4y2NyXNrUOBqhruPzQAoTTe1X
IHUuByIA3FovbxF+KGbX7u8qsX8PMB8B4dGwGFx0ZCJnzdIveOeSReiKiuy1cGkWDDbDvDaWiYGj
yW7VH6RK2tKanWvodhZpEpuIkLPpXLFM9m7dbmVZ/rOZILf2Vvn9us8yajUOOnUNAKunKdcUwZ+h
WwY5OlU9rN8mdK5bpjs7Wp144kdDY87mVrsC1OjBUZx2lapIetVmC7pCZOI3JmAvPTtogdq4U0zy
H+e22G8VWQbTX+n9cRL/zRtMa9PKGRndBO3G8kglHApgpoFx6qeyOwPgasgIQ4fHP+T2BPDC3SxC
bAAizn/yCivmkJngKayme4nQT4EOW5BOjEM2HItFLHmpAokERSE2XNSq8TdBHsUrFQcQ1VQpFnHN
MR4TOeoh8IMLq1UnRWTgyRHjpitCHJAgWZf42oFE4WBCmxb/oB/mximpcUgTXMo+/ygr93PoRb0G
nmTR5G237BLxpsUXgYCzvpdV3iGu3mdW2OAnoSiv3NrjbFuT80RbqQ69i5tdfHQ7F0xi7hnml4pV
uvNi9MKipalnUYE4kou37QJzobrCoUthF6u+h0jwDgPYgubkJMuo15lYNN61cBwkiaZJLJvuX54P
EO57cxupyToSPWIRvxf3a7gw2CSqNNsKUuywe6cG2GaX2D0rOea4x5jw6e7l+ZBSiuijbA9O/urX
nHMwTLLs/nTeN7Hgij07LZcQYF5F2xOoKdM9PjrfAeKQN29V6BVruj0/BpX/owqZxderUjAJ53qC
2c9bMHjNHl/hT4LdcD00KcriWH2IzjbXekzdCYjrasfuMqrUB/9v1mbBfwRME5CqBtrkpJh9OKSK
2KO3qKTzcGVM99v/rErNPU/ckoNfXcaAYbNMsVXQf03Q80If84kABK6Aa2gokhXgX3pPYvxFUPkW
LmL1gWRz3BgAXLIsVhvbA5sD5zqQBE4WuvGhIkWrX1vGGkdWr4jjs+MnL/zRQQK1ZPaSseuVKPjx
J70Ho/htx3r7U2r8QhV4QNU94uiJM9ylwhugEUlrXbnWi6mlRGBb8A2g1dsO2VsH5t/DgmFy8zLo
tIQzKBOrKUTODY1pYqez/mpRAGMsKrfxGAXor3k/BwskcJaBMHbEj65p774W/RFtZLLg4bon1u7D
7cjZzPMzPlbt1IkWpQfinyw52p5PzGNooHAuPLgTyPEM1CUbwlMvU979o7XQ4G9K/oaV7W9ZnDjc
RH/40/R11jJjzml8Hibf+FMhRljatniD4Umjird3gV8HPxrmB+Kw46Vw5NcIpoILeUWMpraPRclN
rfLuPniBD5EmfClS9Mh8ixBT8rDoKihvYMlWctpOYfuDYnwn/Zrt2deaBe2A4hl2Bbo3eow66d7R
ZKlFL+MfJcSPRmcD3g2Vggmwxk9XPqOZVVvlybrNYc3mKd6pVl8yIMeoacanvnSXoR28JqSpDSwX
jYXRpoEWsMBVgZYRsUuU1N4icgHfe4rANE1iJ4/UFpYCOYDmFY4AijPjyBKy0kITqQDWTZXo3cYN
eh29IptjGXFai2mWVK11H7Tw6mbmj2klamFUvUv7UkvRWZXvnRbe04kQMUjfDOBskEX1pDFoNO6B
U39Eql00yvgXVRzXMOkvs8n/ZTJ5QbWcflsgCVI9bW4djD6CeN8g8NwAsumLQbd+4c20l4ZHawqq
OZ4jjiL1n0hjthYNAVSPYlxxSHjtfPAlKt8EbnNCzmCQYYVurlJnIekYDnHsrYOkdBatZqEbBs01
cOQIM/hiHgBLM4iMpZNT1097xtP5wpBwuUyn/aUZbBdggya2IvslCx2qCp8RuCAmjgBRw+C+SdGg
E21SnZmiRPs0yN9dRBXzz6qLfWck7uY9BU9FmWpQT/rfYYfhL2sI+PBd5+Y6ivaXxxtM9/43mh8c
C62iDdUcLRshnFPFCyfidKGlZBeZ6SEKY3p0udstC384SftXahCX0gH/1WX4kZXN5+hQltp+g8p+
kFdunTWCJIu9Lf6RBjYlqYl+5dt/ZIiLHiL3ropK+rC86825JABxlwbFyxSZALVp525Jlxc6WhjM
P0AeJc7rdAiP3kjuLyYQpOdpsEtQbezyOM7Z9Mh3hQqG7Xj8xZpjbazewwDebqScKDizPlgmJj6o
kkZRausnAxKDObIeorEtindEVw6cQB9UONLWmDJwVzvlt67jfJ7tYk7UnROFzk0mDmsZpyzWEooO
r7kqnYtbOu1XSkVcOIV8oaN389PgIk3mW2gIVkYsQ1xpCldV0ZO3NOkPIBqztXt4sTKELJX24kXN
P+pCm0ElzHDkh0ktCxzO4coPW1IzvT+63fKft6rvppOnQuk6vf6C3KeKDopGjx3xKYK9Nq93hVtu
qrMstd9a7BanyDgXHT0GaXM+wFt2HUWzTCLGZTQyj1opIcZU/8IaBlifYv6W030IvloE1ghS2Jds
T9jMBnpME9pVkVPJxLGhjMo/JJ2gytI6LnOXviHyTd5QsGjlKvanJQ4UxHUSabLQgncvG+6ihzaJ
C1Iup8ZvuEBcufRsizjbet8JZ0QGqyOE8kcgY4OxxWRMiRKvI2f6g9Lwns73f5Dlr5XQ86UbOWdN
cmO3vVxrnXHmHXFZdvJp3aATGozsF6iBT9PbRzgoBSMdKQVnCs+mwRiyXSZBROsRgYGk8WFl1lrE
Ia4viUmYxo8ss7WFGHTBZJhA2shaxmKYNkKLGvSxzqYOgVd72Ysdap+jjwjTT745s0SYAN7iatpz
bvjH3cOLXONEJmESPifbZFdYRNvCzFMevMnm2EQz7Dv45zj1mxAslTjjksK/5pH3OfjDfurQjGad
uUKIeiME+99YbIn4ZVfFHwZnQHIOOUxG/DNSH8oAAyDeYRrg7TVsL51t07VVFk1U/dvssu8B2NJi
asS8UhHGgcOJprO1qTkpCLPAElI29qqRSDAjoYMFGmmvawiapgev9KdK+b2GIofAya+GnyMXA3CC
yMP+qLGm1siqpD1HI2dave6V/Yag87f/19YKFvkIkXyC532QNoaGdIOy1NhXvnsAXHEKPfMb66u/
hZRVE9Tnwjg0yPtunG451j66Autt8LtXDXDFckzBQVkcV4LxPXAEKNrcTJdpEP4k+MI9FAMRK+/Q
tLScQ/njRylDk4q6gSQ1uSKy9R3tEwg4HMKYp5ZSprxBAZjCgtWbyU+6HJ0NV4qLg6Flhp1y/isA
JWJzwoaNGk8bb6H4W4B9z7VfEc53RkuQMar2X+oWb2HUkUKfF+sqp1nREtDB691o7Vts2Ccitu5W
1L+xKBlRtDHx2VCppcB6bhTGGHbeqm58+Iki46btKBHVlVX2VLQullUW0CERSyNyr2auyEVnmzCa
Gl2Y5J7/H/bOo0luo+vS/2XWgzcSCb+cKqB8m2rDNhtEk03CeyTcr/8eUG/ESKRCitnPhkGGRHYV
TObNe895jnFcWusatSUAhZhc1ZJRylUJDfNvDhu52y0RZw0xL/SUmOOHbnpLAhL/FY9TPZFQJcsX
F/g+tgJ1YjGhWrS/IcK5hRR+16OjGJn3yaj40aOeDeAbPZkewn+EHF9N1X6zR+PaR7ySae1Htug3
xGehtOthjMIgxJv6ULLf43z4atnLqwh5ISJDwwra+iScUHTKetPPy4U+JRs5fJkQtvAOIL4/T+Y7
jQIA0qxxPf7YkpUpQ6scuqc6ZKJui5MVN4ioekTVya7Uh3083JF5cQTIcvBM5zF/r2Nao6E16kEZ
j/d9qmEk88DB1HpxWPTyTcmw2sBFC4PF4J83pO3CbaZ6Ja5O7SyN8rslMhjEoE5GVn2fO9UeETPm
Grc80mpqgLjAyvBAROVIsQ6JekzC8jVtYbzrTXUeRC/wjHFtuDHCrGG6FaW2U4yHmtj7EqnW2lO6
8DJBGepquzoqbzd56rXppuzARpujtz8rhFeb1gEjYumvgxoOzggptcbwHGSyPNloP/2y6jnx9ebi
s8KRC9mOX+ZEa/7oBySZOERhzwAxQ4bfLWPgGdn9ShgGq4EzJNUwHyZZf3ZiK6gSG2fIiOIkLI65
DAfyWjBN9G9OO+wLPCKHbCx6kNuLvTEdSUB5GSFGdMQ3B4J5wFK3yzMYVBBGK7bT4zy5QO2ADG1I
Pj+XLqTQZSo/3WQtNNADbnsW+O2cFV9GieYkFgax4sOxXl1KXQiTo/NAiTCTK6Y4YxrASXlEVtmC
AqQXTJPJfhonBRWcKJWNDrkDucASTBrHmZmiPSCSu0CraN42ofYauoTB6Bp6J43ZFHUIAoA4Ouid
4BAWH2wbPIjFTGmPj+iSOQjcEJhczdsZrs/F0arT6OWsOkaIiL/3sIiMLapHrdd3rV0Sembqu35u
9g2xQAdl5MZ2KljHags5TKpQGqr4gOD9HNZkyXQ9+0wssnsD/W5bATpCyM2kf8W2xmgl7MbycRom
N2J0eILwWG2QxrzLqQUiSEGEmilIPGJMjTjSmI0w5K+q15BGMhRujxLdvIoR6FPRo8515PRimLAb
UYpogHL6InAcj4lNkpK6jKV7pXRbi0enX+t7Wil9oGvUqVHn+U4O5bN114AcvFViUI9o0Wuz9k12
F4gW4QWYWuJ3g4k/RuT6Ni0h1gC3ASFrSUacUhS73IB5GkbzLbkB5zwDBlLM9ykQ6mOEHpLHAwhR
Vr0UKMuRIpOwVdWtDZgQPa5Oq+raMIdrtcHygR7kO3MasMta8dtiUWqRW7JRJU1EvF28Bdju2ave
0E7svaUm9zIxfItZi19Jw1n5FyO1CS+am2a7wdLtHUJPHQ90WQbZ5EYHnHPUTdq3MbS7gyl6RI96
0DJLnitTvHhe6Ncd+EIXvRvjvDd3aSDercZLAXJcmyAPJPBa0xmEbVIgoKD38N4x/11HN3SpWoBi
i3lfLLrlG5nzzvvsZSm7Cv4mYxQy4BgljXyf4vtgOwoh0DnmC5E2oJwld9nlmQe7Tmo8574O0XSe
dQ4AONqvrhqfQ5JmtsCjMlePttFchiRNRSWjQA5Ndu+I/cB2iqNr2KopVz68o+McM8QS+OS4doHm
zjOIPFKi56S96c1oDqxoAVdYIThqQ0ywJHxvUF+cbel9J1483pd19rmk2sVJWsWuItzNSPMMXBZx
9ZX4HBu+ceViFYHdSm9qTQFREBkhhqwRqphbSndi7QEiCKUJPNt4zZNSBnXamhubq2g2SLOgl8KD
t8IvFu6Ri5rbW0kmwa2ukfgXG35LP+rixOXImVYauyRzKA+NaCet7DEZI2I1ITluQRg9/aQCzH1N
sG0y7+1F7qwJVHvPMCgQCN63RRWXfsp13EIrRGthq6vNFbTUM/SZ23bqDRBJOkiy2k2RGmQnq9l5
JudGMm7X0ve7HmE5NRo9g/RLxCCqUeJN96Faixb8tCbtq6DQNGJ26sKgEYKvbCaFfdN69Qu+ZagT
WhukNeZAlwbSRkzLNWQ6cYQrcG098gDoMXQIYak7nXSEQRvCGkhScS709BZLSPslnDS1z8aB94Lh
sV/M5bnWKDyr6KuWhN9gmp2Nrpq+ZPNLhHoGIyNzCm+mDs8LACdRtiD18mImmegCmce42TGS6c1c
pFeGxdZjrxghGIvn7MxwL6x+OCXzskvGIt3ZUf7ZQ8Pq2ko9OR70YtsmI2Gtp4fMeEykQAc+3JsL
SkaUTZxjFpAJNe6pxtI+KQrOi4dZsKT6gfmcRnulNQ+uhBgntfZbj+R7IF4KRXwYnlzTIQxFzltj
mYMmaVRQWWt+AV7jwkjhioK27+eEHnLUvLHP3BhAY/1u7G81VezcmHj3tmCvrgCNBXYvJywJk9ha
MTMdTomhrzTn3TRs04+8qQ/KnkVgcSCcNsZ4oNp79wj2AdiFmtGurDvkX71fVV5CtVqY25Yk0cJF
Q2a15ad5XmjnbTmODXtEuBeRgyhKUXMUuVjOpCzR99No/9Dg9sXSmAcEFGABaRCB1cRBucih2E5h
/JDnhT+ouLmqzodYwYvZWS3Miae88qBOh6I7NlWGJ3KkxVO1+6Sp7H3GO61sC10DMZ9JdESBYO9p
sYZbl6O+Xr4m0UU2fXc0VfEDNcFXpjWPNn/J0yGCA3VkOjvbXwbmpavGYN7WTf+UkjWxiaPmLrTE
cCjWOcmIXcPwmqtTRlrQivR54G3nNhaP43RZ3KleD3CHclrlcy3C9MQYbxKNpsaMLMU1bZOZCnsk
Hb5m5yjzle1gS68pfBur+Bm2r7GzMmg7coautyTFyYmRQ9Sa2EdcEIid+O7ARLsgz3Nt340agY4N
8kn8wZjzNJwvUKTVXUviQIfrwsYpe53WFEiWUF4xWFV4w3sILBUkbVX4wmuSk84bsjdxGECweRyS
ECVvj5FLENFpUgxoIkI0QqhX1qJ4V3H1WYs2IPXuxfESxSI20A+nTq8G7CmZFiwt4pu11Rl4DRQs
k555YtTYJUa2wnJ6zTPwSxT8xAz4g1YdTKP+LNhzgM2wiq/s4Ppugnh1rPL8yMw+sML8rhuT25BO
9SYtaL9rgr2wyvWbcbEfU4SJm2mB/FBUsGyijuZnrZhx2WzCHHVEgDl47Qo4nD5AFg89mv1y8Vxa
gN1dIjVnl9Ud9ND7pW7epdnR2MaEvimbs5FmY5CwuGy0FKlEqaODMg4Vcr3VKQGtnu6X3pX3kyu/
1hE0HV1nRrfA/HDCEvmUUR/TglcKOE8J1xLywwAOXZO0/h0FoEGUSACFxXcZ0PF74feCjjuSChsn
g0dHIjcdZ6+TW+VpSPfdYikCYsRe6Y3RyCPu0mnRmiXRj0qBvtXS4Tw6VrGzrOU1H5OvWdmAeG8I
eBGpYOJLiFNWsAo1UekLKu4asQ2LoJvtYbNXt1NBNTSa+T3uHIbGYmNKmElxTf8z1Jni1CsLYOza
j4ZIW2wO6ohoN95lDo3dZrmzsia8taXgl9iwTkmtrvrAOmZ09iGrkuwgdf0IUBfMraCFTXgl5bGo
PkYCvDFDtPzbkK343gaNzSJHtZ+kqAXaZHieF+88a2yoxNtsm8aRnBz6/LzMtkMfwgRLvgZohmzF
V6tGGB5FKOiBn1ULA0iGJJjZtK9d11pBDAp7DRG7z7Xyew535LZr2yAz13Zm0rwLWfVU1/TvzWdV
Gvo1tRJ5VUlf3EBYviCkKI/ZotmbMsqc52iODqFO67A2tsh6lkPjThMBlBA9XASvNilfCTNrNrOJ
+XM6YSigye3icZG1oYDIVHaQoei6E5XjnFTfnzzDz1TMzJzXPlhGcV+XwwdtzG3msa1yCH4GqlNu
y1Uqk9SvfZb1sLrY203v3Z5QnPCFvwtvF4s52w8C6qeVhfpOZnjy5exg5hoOrZXdT3Ybn3HGy+zD
nMgpFHVNG6PPdqxxJ8zk8Ak9Rp5L9NmpZtea3Qlx81drSBAIDMMZ4Q0TINwa+7GE6R1bzDEqZFZl
mL9rimFnGTUfc2K8uhLHKwSoeOM58fCoW869crEHwlkiJ8OoTkkHiGMVB5zjtqdpslzTFr8CoXmc
XklWrqYnvWEK3BSmn8fyg4mSYK5AzIq0l3TP6eSuxQ89xPqEoMcB40xjbckFXC2rtY55vDx6ClNP
KD5YUd6Tb+SdQjUw2b5Ds9/ZawpLLOQOtZG50ZWTHDq2Omsl99keQJX/tQZj/f+EMM/8eSH+SEpb
A8j+khD2f/LvxUeZfPw5JWz9G3+khOnWf5j8uwTYeq6LbpW8rz9Cwqz/uDaUZA+HJfp53RL8lf+G
hFn8HdvW+f91GN6MRMkP+29ImOn8RzqW4zoG1D2dv2/9v4SESX46I6s16W1NPnOELmiJ6KbJ53L4
OQafof72AT4uIlJM/9/LqoAweh4xxePihblcIQMOOsUaDFS3uOwiRkourZrrm8VT+BpzGl4/8ykj
wlgNyt+GIX6y83L7BuVbcjCJbLroGmup8EDH/fyjk0BqV+34+TPtlOKo9vvR7gMNBf2frvx/U9D+
nHpmyN+/EPgEElwtKLq2Ya7//U9fyBm7DDRUnGzL2mESaoZnb/3Fqr0V6ccbi0KQWN/sDC2k4+AZ
DpcwqkaCXleGopOCHMmTQ9J7lz9cIBUeQjSAF7jmnB/z0NzXnEf9fqHnIbEaXSDkuBfbFO6l+VYg
9Yjtaqfb0XhTJFVDr6Ogq1Uu9//8NZ3fv6aBds8QUpq6bbqO+OvXhBrUm0MLl8qrR+vc1HgGMZUX
ny2r2z5JesDbawZD1KHHLwxzbzUE2uheZDyT3E44zpBfjLKYblClH/Ta41TPrvUYgZlPreXOraV+
UIU23adA0H27tkl2i+lVw/BYuJghg82maY8sdpovEhF/hUFSmkdbhtHdUNB8RjBvnb25ZTuuxPd6
iPQ3GBLKJ6e2PHCS8y27LG+729Sxje0wokSjvEsPJMVOiJr64dzlnHgYtx5IOcXIokCFTDjxN1Ye
Ra/dYNu7vEtpa61/nMqZ3T7Mrds4Kd2zS798ky9qK41aO2agKf/IhZVI4I+8jrfIHIihxbyPhcHM
LlY2/PeXhC3mn2+U/CWDjxeMpqNJ+h71l+1hRP/rjeIgVdMXxEg7GX2xa4kvv+R1zo9PhvzgaoSS
5E4EtkreoMpBxJamy1loAHgoD4xDPE8fxUzpx3Nb3SLhjXbuMIsHETbGzdCtfVvIsDAWrXOiaR74
zSo5llIlq/gXkmvS6WdU9VRSDOT8f/lqxBv+snZwcBKmJELP4gwlf3nV6rEelwGc1zan5UeZG8EU
nOzidkyccB83unV2ptbZTybJpBAKZtfHY820KCacB6pBva1r9kpwjY0XkHXmT5KXxXYl+PE4vBWj
RWaS7PKLp82Xf/7o+t98dHgPLuUat8Z2jfWu/WmVGESV06Qni6+GW4aW3EZhl+ZfxgqBDJlCqwSO
BqhFj8Cd6+hsEetQw7HY/vPHYK3+7QpiY7Tw9JhCNyznl9W3m8apBzmVbSkPvT1dMg66c96f0bc9
p31UXkJPFsRM8btZlM2+K+uXOKkdbrnz6FnXWEOgi0rbO/383WTF4R+/i9AH+/pgAyaBEHfR2zXF
x+b+qG4khZiczH/7Kn93RU3b5nm3bI8adv2qf7qiXWkzY6lJfFZaPQc/04R646HLE/308w9qfal/
/m6pqvZAu3Q+JOsz8n9/WRbWjDn1uk3DEH73c6+AGhdoY3suTYYfJQTRf74Df/cg8Maz7+mOyee2
fnkQaoXcac6gpjmD4ZcaCMLCou1DiZgF0QB+KI/SzwJPxrEINeR45g+hZf+yZ+nrGvDXTRhpoCfX
hZxngMjOv147znbKzg2ku1MdWrulib5Zbqb7sgRkxDovLl6EILJLgBuFTXLvxPT+/uU6/L5MmUJY
hqRGYZUyf3sh5qSAnAFaPKN3i4q8N3wNLs9NAt9Az0V4dqvuq43PC/UdSLUEjvRgjFdzzWiakvpx
KuPphubeVjYRYuyxymYCwVR28y+f8/dLZQpYIpzNUYJZtrM+hn96zBgzSVfW6GTBD/GEa4ZzQ7Dy
cpLd+oyo5tI4A/mGvTIv9CzaSo9P//wJfl6Jv94snhN+NGpvQYn264LuaDrnTtB4DMMPuhklj1Nc
b2NTAAzJmrefmQtdw2CpUt0zIi9JjpYmj5alVjSRfmFQSU6Ii3ckLD1x6d2Od96QcSBCtAUeq+xm
wbzAacV+gLjmBCZpKEdyFuhqWDu79qpXZyAeM5zBzf/c0IuBvqtG611mJsQNeyGwsnWYB01dFvxc
hie7787/fBnk7zfCofhwBadaVMpS/2Xpyly6Jn1IdiEtVKC5i6TcG8Vt3Dni1nD6G2+Oh6OlcqBL
He44WzzpbWk86zrRZ3lLZNwaEiKhu4OzIdVc9MYpSybn2PdgH5Mk9v5lI6Zi/uUdc4ShswsLil1o
Lr983mUWgMDYHv8omPpGJHt7lNGlNRj0u6n3OgLO97iMt3k7/Pjni+X83c/mRwqXdd7En/rXh9Yu
QjMlTxGVYaI8ON4jZqnF0CIkDArRiRS8TCIb/+2d/puvrFN42B5OE52C+Jev3CMlJzuYXKQx0eh4
A/1LoRDXmKkmGlubym7FpS0RxZizh4vHmDEZ2uk5WaXoLSpVo+iKU2aBzpw647CeRx67M1y89l92
Y/n73uHovNImpwl2Y9P6Ze/oyy7qp5rrEztSfB1Bo0YgEBqp7OfUiItdZcUP2VR011QjT2M0RLdO
kvZqaJCXiZb4AFlY/S5Plq+13WRYp9viTmWdxvwx7B/FQmYQ7o9/ub5/c1cdaZoS0Jjj/r4UNbob
QTqnMWUUZEpGIGg2dpLfdD1jv1YWqFTy0fX/+Un6vWIgb5azJDUXy7Xkt399lJSTLunCJdxkDRPt
TH9TjcIZIqerF0d+4jrOtnAqQkTB97tQ4nyTJmvoihoFjYO83c3ve5E+zl30FZ4LjoQe2OWqt8ki
iDyNBqc22bYpmMIspB+sWda/vIc2D/2vr4MtdWKxKRotk9XD+eV1SLk9Pe1yFDMmdePsmtd2yuq9
S76KIiWGAVYcbsM43udGImlMAdA0tfRhYGgYdX60NNLvkf0YiDVMGGlQXBCRL6EXBcMarN4QUxTH
FpEbesFIo8zvcTimKFER4REXiWUkaq/LwjHWwuJtYAK+oa4+DnqZ7zqT6JjaH0qduTMxl9ulys6Z
1z+UYL0eOtPlMkoXNzFM6vJYpdopYygA9B/rHjOdPpA5OtZl+NJqwJvLpT8ri/6oLbp4z8aBRz29
LcKkg03xOgAkCIbKlKBs0LiRBg2gyEg3IwrRDR64TeeNz2WLg9mo4+8drfOqG2kzU3PTAnQg9Wnq
hz1SlThpeYcS0cRyH3iedh5r7VI2z27YdY9XjnJ1UJFxEfDWE3bR5UxlI91nKFUcDUmOjcvJ3M+9
j0hMZMKw6xHpa1snHFWH2MQeXqHdXFM7XmWSa0HX8/SlTsCoqjwyy4C3GE1nc9HvJ82sH7Hv3YyG
kV4d1GW4CwxAKbJ7MQSRVWqGh5612i6eip2qkvsqhS+Az73a6CHzI0AMCVPH+jQQoLRN1bVDxrCt
dRN1RhuqfYhqGYWYUHQbGR9Hda3YAgtOjf0QaN70khbz1ylmsjUWKgTQko7cWlZZkOWzEUAVl1jP
0Z/jfD25MVF5+WRhAUTpmzVnKbXbKc/kNgI0SWBBiFO/ksFcat9wWF3CHsNoRNDfjctwoW3mr7Dq
yd8lvijOc4eGN0NZRscFpzuSdZiaqFSrt3350YcUbrNGCgSK+mCSITqOKblTrrAhSlOZUxPSbKGs
2XRthzpGoQkS5o5wFp7rOD4nCeNlp33NYrCqneZ9Krsp7qa6x6hR1Nme51/5KcSGLfD0NtJPKoQa
GXsGST3uQzF7OfOR8gyBEmQDfoP5WrWDfhN5/AN9OV0lAoNNNDRfY6Ys1hSOOP++29ZMrLbE902y
HWndE494kZsvdNcJT1K4LEzgn5Jn7zhadHALf5qIFiODipyrBYBgYRBrOuAQpGdJPhDpTIx2UESU
9bcoXWMKeZMRawO0Aj1sb1KBvEznap8SC3UgtOaAWRbOiFx52xnLIRGv5TdcnwcvYoiOAkjuLaVO
teQtl5xLdtpCRJCWD0xq+8WEggidqWkzM+j7YkTacyVg4dx1rCcMSotABVYXy0PT9XtAo8uefN1H
MO8iiOOC0d6xkLSptKy292qC5puBK5ulOxySiSgKvMcVHVvkVtG4CpLUUOE9IPRTHz8Lh4w2zKAp
TW6dwz/6AUw30EV3k4y/5Cp0N45dgZK0rOLEYj/7zKLQBqS1CbCrU9t2YPZm69Fm9sSjUQqLAmWF
LulMlIo41/dk7jzFJrQODzCj/UmvUCczTTw1rEgkrrnMsorMBhmG7HmNRcUt0/th1T5mLDD7lMCj
o7u8CR3FnJGWpHgTCVebUWAxBUdugkS2BaHiMioKKDaf4nJGTJf2vo3Lk2dUz4JwPhpVHF5WUqxH
Kwd/L4bCUXTw0ddgjsTEKFWQT+WHOoGgdCDqAuVhB9uV4IJ7pIQnleRPsjomcfRWGGvi4oAANpoI
gcAd5bcaGm6PSKjEzP2UIy/gv7HxkzXUpzfzLyHckzSujVfMjBteNIvjxnARnpscqqr/1q8rBWmK
eCGAcEyEXWlEfftUIVaQzDVhoqQlJPWoLmZvv0PCITZvXN7j+AfGQVxtGRlpTWcXXMghuZ877b5o
R3fTCPjLMCe0jTNBMvWaA1my5r1dq2abQlDcSU/MlzZGIykXkFpKkFduAXyUefIA8+0Slq4XwIh7
7dPZueP+sg6SXTTFtCUdK3sVDOF26fhGfJ8N970i4SFOAJFU6PYnHMrKRQaDa+dlWecdqNo4PWDj
J0yMfMT8QbNjiKMx/RYI1o8CPMPWFfl7AXkaBNTw1MR3MdiR9HvhuN116ohsDRlIYOzYOUMjA+YZ
+eZn4LCXw3YCEUz+cAl4UqcHxImCiLC8ciQs10huiKlCid7LxScN82WwrgYQbgYYhY8s9zjGTkcG
EmRZBbTG9OIJ8qBL5YaeY6pye4vkCLZFmMmgUERaGIxVtQHlVuW8oz3FDY922bIvhcJ9GUtJNhPa
gCBK74RVAvzJJF3B/BNLmsEES9BU1Gx/npOPen00GiU37OhEhihhvcWRgThRJkdPVxeVpu3OsKJb
tkoSJBC7o5HZWiNACp0wnhxgRFCaMQrdEmPJaF08x/3guGL5ShFuQWT8KW87Gzm9uGWZKh463AWN
5HNB79jqsgUZqb2QWPDEYRsZXJjwv61UHMPvM888ZJN+yICkIC8Yt302ar5hTJBjkfFvmJMeyrpO
jnQMbwiBLHY40hkVaja29bDa60hr/aVy9kYkvhFKx3yQem0yMF8UzKiBn6Yv6NdQRSA72rJWfOiV
uJO6NwXx0IF8YnqL1BTRz0DWgKa2ebOUG+wTZFwRA1iD2+nGAD1Lu8Mv6gbmQtyCFITRO1N3F8Uk
k6f5LPdmow2Bactvs2oRbU+kMxWz4xxQezE8HOSzVQzDgZTJZoUFwDFYn1Exy0Olqg+p/ch7Mq+K
Dktjjmo+GLXc9SdwEfR+saSK9GbRQ/bVVcg2IZf11k+ZK6u4wmkLDONS4z9+Y8fLg3JIKSMaNLbY
zQk94xBDKej3FTxgVfJ36fQFtTGeIjQJO04fzvlpTAvyxYfqseQ0sxEuOJ1cOSsuCd4jqsc6f2U4
+phlSJeqah9F5DEQMWYc2sE+WjL9npjygEDhI+qeJ2FFu9g4zDUczm52iRHxzKAg0WJrsWpvpAUR
CvpKzHR2YDztN7SJAyIB1FZkZ1tIhBlpxXI3YS51wgcQFvNmjcad7f7QTDzB8ILiezhPT2XK8w+b
eAhKC4oJKW8bRU2CUrraKl3iNmyxVGE4+tYbtu4baXEgl/uuXH3DsxteqNPe07EwArurb4xofBta
pdNbygmpbJQ/VNSmrRVtp4F7CgBtJxKburNHxLi8KHM+YIQRG33qfyiTyLg0dihRscWPWMHHD4JV
SOPNyKWczB69uLLRB4z3paaZBODFwUQShteIgjcthu8kDi7uSzsVIX53hANa4xkvnBKf5EyYiJpA
chs2KmJhw3AOUid/K1Y5U1EaiBWgNRjQMgvhqBunC9+s9ZVA43vLYlruswToZW1FknNRfz+oIgq6
1n4oPVJGgJE8mwmB2iV1h5TifkwXwpMs129btzyLeqFO2uCv5J2okwOLrBZUGYFOuqRVMSdi9Ofq
vnA775higfcX0wpPjkn1WeGl0g2UWkb/qAGO6BINOELOjJqkKo+kSbBr2STuKv2AMgUC8YD/yW4B
uGcsJgVdSOSFxQ/FeZ2gMd6O+FA1txANBh/Tx7zhCF09IsbYIxTetfc0fVfxhxYFs96TdNrv8IcU
vqMtT6NpEqqn3RlYdmy9BZ6gjqFBwFA3Io8gCZCqpMc5QnRd+r1jtRbdLXkWHGuoB6Uy93mLokqK
S6aPB04l96YL8a15stJoRUoTwdMl+5LQTzudz5ih3+mJrRXah6cjIM2+GINzJfIg0Em3kZJ2juoR
V+aG9jAn8Y2BqMEVbe7PNiEzWHhuawtQPoySAZQzmYalfaXSSa4NdRW5W/qpC/sXDiXZUGWIakVH
ELCi4BhDLPvech4K/VR6Kec1qPIU9NV+jLt35MUGz9GM+MUgvYUqZrROuZUbgQH12jc6UHYdkMCw
s3iqQlfiaQRksH7Sijyro8c7PcjYH9Gx4HYhG20OqxdAzTt7lg+x1HGi7MFu3Oem1Dc107WqF59x
ZVyrDqlA5hLsbupLdCh10P507Nij3xi2QldErgsUP36GiSztBHFDRHaCajCAa+Z3kVlfhZhQ3Qks
s3pqTFtSD7DflDecfMqN23gNOjbY9VZySQVeWMLcULuWL3irnnkzsI7Y4i1xXPT9lp9J+WpyZXFF
+6jlsDiE6bMdhbcj1CCsM/cdpT/97+oQl+a4R0AVRS+cLee2eVfL/JbU9RWLLjTplpTxnnjQDOAj
anU20wz585IsX3LPfCkynDy1IzelbKH3NFaE3/3ktI0OMh5a9GLqR11wAK4V0jbBmbjUkYLr8i5J
HDa/HKUN9rV2vzSEr7bA59DKKuIKcnEiUIMQdB1ksNK+4MmCO5QsbUTaDTy30jxV+uht7ahAfy1j
6MXh7GvV8mWWHq6mAuy49B5qo9jPelQQs1NfCk53J/bcnSk7eSsJmEM/GdmQHeatXSHZGzyPPmH+
0XTamw40Jyh68zsi+6AweHZY58LKfMm8+JujcV3Zr28RUFP4ogahycjRA8YuJjxvm09Y15Sm0QEF
lVwYj9KRiH5z+9HI0qMqgCDYZKNtEHl2kMiSidi7ul4jFYKoALwLzuABUNVHMtywddvDWG3NEH5+
XU3vMtVpA6UpXufKO5UtencE24sWv2uo7w6xBHI9GCHoiqwnu7drj5VpPzSF5BhHqV+vFgs34NTJ
xcvGgxOdw7hjKEfOQDX3znZxdJ0g6+TBzWgoRdJ5nJkpH+yE6cOM0AndYoI2lkWmmFEEh9kUv5hm
G++LBkDr2orBIVaSoYqN31UmwJc503xWTZwS9G349zeGStz9nBaFHzfQi6twuGa2HA8yy5ztWCYl
hR/+tM5FsDwT5Ep8GISAOlx75hoS1OGA0034U5Es5/CYOAh5jCFkVDIAnmF7jD0X348cjkjb4d7A
JrRy6Fmy/x62VEvE3dyp0eQxjV/aqaWK61CrMyGp4aeFpW/lzvcKZ5P2sNDV3RPjjR+froZyIbiB
zwPU5w7ojiF/uyPuK+TY16waTnFlq33TV8dxVn5mzRWlkp6fBaTKbVbzGEFJJbopJfJXEeqXwwk/
IbL1wQfB8OhiJ5hi881MmQIvSIubnGQhWvBbB+0R4acYXaA3mUQF8dSbJRF1y6EXSC/VgOnFRXd7
As2HyGz0joYabzLVfZtG6G91anOK0Eeuu7T3TdLdm7iAI83R8aTOGAQ1+ZKssHStTsnvGjV8JJ9u
2yBRHc14B/9e47SREm1aaLtZc+ILI8VXYK+eL8xkxc9ED25juk+gd/3QYqhWtF9ni7WVIIl0i628
wM1X+t7gsLlN0E5VS55Oph2JpZ7OZT/exAXAYM3FDoLiirGoywF1uOTECg2m9tBh0WhY2eHJm/Ql
1mOn137CC7S3ygnfDSPeDznIviG3P8sOzQJcy2yj0ujapNGXfAJmK8x1MZvYqAoHhWI3qXctBEEm
9eNsz/tl0lgGwi/x0mOryPfu4JyZZX2lpokgKmRfSDTAXJpzdxS30IhfXJ3JZEyM1PjOQJnjr1VW
hGNUQQ0KAO00SKS8qeV2YpFyvKpE/OYeU7f+Ss/gGPUlfRSHuHB0JmyimqdTfGhZAIsZLLvFBQlH
tUssJgQkvlLvsSjOkpCrcE1SRvPAQQ+tP9Upcpo8e+6QUBoZJ2GrLo9zs54dWlqkMiHDptCgZ43L
abItrJwj1IkM6eyu4czhCWdf6ixYMWLcIDZrCt9wIe0PGhF+/k1uacVBzAbK0xXqHeIoXCKe/cxq
G39REz5ELXAIx849PSJ3mZSmaFDtVggKvmkgud2Jf/S2+UJ/ZI/p+x3KpeJQaON5GXh9Bh1fBTIo
9pPiM4+GvWvTuHPGeYTMEK+OWtqhMv4GWf47ayph5jM37X+4Oq/luJVoyX4RIuAK5rW9ZTc9pReE
RFLwHqhC4etngSdm5sZ96WBLOkcUGyhU5c5ciVvHvpmcWAsN1tkRNkee9m1UkLYr5rVcHmFIoVO5
pDHLSjzZi+U06ftjFcl9m7jYoIC9aQhUXVER1bPjXWdANUzs4VSR0WejwS7HRLcAjkaCi7IQhEg/
3pK+2XCzowe4oAN739tO0/hE3XyyD632Bcd+deKoF5+lJnjTgFLLo4FSVHc8yxRUAxJ2vrYKBwki
NW7edE1tHxGpwKGaRST4Fvg/TQvzVmg2MEr7QKsdLsxB9cfaQJ4ky0xOHpnHCCmRoqZb108GdJPj
lP7qqiS5xFWPH77d2xOohaIliDJb+lTmxnuYv3vty6hxO9G280jhICIL/DEq6I+lmt4x+EA964BS
1K2x6SbnmDpkKqK4++BMCXlCJtQQt91rCy8lVQm79WS4zpHxF+4xqUmqB+bBVGsqJDo49+Tz0tjv
dtVUHwofYFaf4G5lnN06w2vLaawRqqcwQ9IfR0WhX+UseDaIAxs8TCgpHgc7tmS04rgGQILyl43m
saTNkwaYaF+YXsODFz9DEGVXxjH5mvAHsQffpvVteKcd/MsWNvwF8LBcHY53TAuxEZNKL46Gt2cl
D0bZP9eA6SgJOhbZ/EoZwhViBB9/5MwPc01zQVxPyU4Rowt696H3rWnrlGQ2MuWFsMpwLABF/ay0
putqlUNFEDhLPHyZeqkIAlZstgP1JW51GSe2eia6LnFHjDO4oedKpjsiBGBz5Hjx7F+TS9yGlgcg
YXxAu6Kab6D2UCRD43Ngr9CWGPJmuLoUMxZqDeSSDRMdWHhaC57FoAnNHwjNSsSMUcocVYC+11Xe
TPBLo+xsdPltmAsKWRULEYdyBvwhCevMpbq8H5+MpT9JtMWW1YWjN3lHhkjMRnNC9yY7hVWSUBhV
uPIVLUtRlCf03jQpJZBz+Wkk/FXkPR8Nl/FbbTecJMqix6vummvjxq3IPkkjr3P9AsEI9h6N2Fu3
t2hg/ksI/KvmE1i3FsmFNkCpJSoUrlwxHe1Z7Ws1v/i1gRwkh6Mb2UQCJFcFfD3iOTQfdB3ngmGg
oq82/9hRNaMJWhG3Eyg16bFHqngAg6TaGEQeifajt06NfIobvTPpZD3IfMKYjt8YBZYMVpQobtm+
2OcFaiKEZyJdS72OwcQdA05/Rbao9/Bk/2K0j/dpMp8cm2tK+y6AsNo1tpYXfHGwYrV2nWtXZMY+
C6cvxtTls45J5yc8q/qG/gRMUDmDFGG/eai+kjJQyjFJ8UTTFjU3OGqreRpbcAFdUZy60HsW4JZ4
iKAkyESffTv+ClX3KoNAHHH8n3AGrtDSqCBtvsHjIkvW73C4N2BW3vou++oN47cDoR/yf1TvvP6s
qXig3YHexdnG9eQOYt4lAXYYnnMtSzNH7wYmyoa6CeI5FkJXTNkNWa+MSAnVihV1C2bBRM0FIDwn
hB8mIlLh+KdqOSXY8XXyuOIIpa6jtHZfHE3jpa+h31rYgAJol8p98jiLrBuuVDm8zJmE9J6HJ1a1
vZEm/2JFcqZdZugVx8Agsun/DvrvzrCuwJjanTKc17QdTu1sXnCV61Vhkw6ADLyJEjgE+sHvSPJZ
BSnvubTI/JikAbzmnRuJ/UDxHS8Htslu2RdQxsUtQ4QMbAdPLzjUzbCWPiOLDmwPffDu6zCN7DIr
ViQe1YOMrlVYfc9QOdfR6H1p1IioyRYx1LlCt783TteQ8jT21Qwzh8Alaq6D3DfU4kLP887s4vDi
yircWC3fejW9y6FlgDgQurKhbKxLbpW1Q+2wKf1tp4cvOOhvZdSAr87iF2+KT87NtI9T+AUBn39H
9IK088zAH9qIsp4ikjhjxMpMuJ0EzXTSXLeCzwsgsEkyG8yhVs6DOf32/dpZe5bhEp+KNnTSh4Xg
O5/+VAyKLZKPTmiYqKvDPrX0p6sHzsNo903gvg22eLCj2TsxyDhG3A3rrMbomGeHyc/iS9qV/Yre
gsPQEeMpSTJyhfa3PFH/AodFqjYAWpOLfYKbRHohYh4i34eO+9vDGKOS5CUJRm4OXqEXDcFmBqax
UiT2TJ/OznRmVaTSJ9+wtoQbRqXdul7Kn8Le3E4eUmeQ3Ki9EWs+1YyphAIdWBgLYcLdtFnw3Hgd
QkuotolPCDKjf2+TRkQuZeIvNY/Ok6kH0vQ8z5qE52WrKnMrqEOM9naf/O4tg4xROrD/y6XaQZ/T
axh5z+3kzBtAX+ZacdazJiCtnmjeHILwMKZKHgE12fPW8OlV+GtDIl65DYuNAbluTfPMnqOiXqVt
2R7bjGE+zieuT49oezjRCYx2xYamu1c22GwasEnYeuU7iitFgX6MOCr8fGtxAF9HwPTQjA89ovFK
cUBb2U2zmweGLMa4olQXVlDNpTcY8uZ7BkFSH/GyxPTMsYFyJVnZf3y2dIB5Ox64IdsVFrcWMUR+
CMWaL32D1iAj+/IApaxFo9Sqb8ozWhBbxS7ggczheI6ZljKWOxLVOzclc6qCeM/KVnIt47E9u6ZD
Vp8EHbPqINlarUnZYeCe+NA/SQUfcXJTOJZxFBpBD8RkkcDubsXCSatnxOJBYb0oKrKJFtFL6Fyb
qHf/Kde2t0XR8l95B7sOj+Okui0ID4LOBGaXIC1n2hXUJwW4UEsq0iJVMMSIVsI1CChS97W1e71r
c+MUR90C50igs5EdtRCzfCe/sRxs8lD4a7OeS352XJU91gCflm6kgENG4aOIw30njHe3Hz4FajMi
QTgz4jQ+Yo4lNKu8jUZ0C6poxANl7kpaeLfYINlR2SHQmCn21kUzMi8KcTvU/nBJeNyC7gIr15aU
H7gPiInk/djhr/mZzl6TbVI9fk5Mkys0LLVA9lhFOpuDwzQJBm4cbTvHWWbZV7uI1UrRSLZu5/aj
nse3KHPOQZf+y0L73ad3ZjXa9ZsXtmpJJ4KXop9RTVZJSaN4Vj+p4iTi1AborK2TI8yYcMU0kj2K
f8S4fZ1cUjQ2zAduuhT4S8btUhf9Ls76dyToR6ezbxPa+MpUb5Ebg2piMV6bHT7Clga7fRmFW2TQ
cB/0iilh/emJ7IQhgFvd9y8Z7h6EJ70fg+FZsvGsCp7is8zDLcLHL9BQxlpz6oOSTILZbOQPpPGF
duVH7bV/0g5CcRZVSzF26OM+glpquPYjoztvhcmfc1M1TXyVu0Tv5w+hS45KdfApF6iFiCUsnvCr
lcNGWP17t1APitT9aFhFtjYppk3URrc2sjcZx+jYeoRqFmwkB/HMqjkeygP74jgt3kGzNcTS/3Wc
/ddApc0S2orIqldTQlRMA3ExLe/FCo0PbHKnRtpQAgQLc9UjsEuC62Topkdd91e7M4mljUh1spiu
JZeMbF9kwe6EGS/e+ZywAj/OdY2cnruPiFwEzGKadHXck+GS3SZakDGtprorGL8HrbAygD+0M1Qz
B/qRBXUIm8UAwYw7XBnlc2Z330FMxzkTgm3nu3uy3NjOerPdlTmXW43ci9/tEPZwiOJJeAiSGY9o
IkrhPD/6mrAzV6q3tdUfkdvl1jTqs0X+kEA4+9NaZ7/or3uUEeVbPZ/Vzojcg6qDYt3rn6NNvHHq
aEGYAkNwQBoyisM0oLtny3xq8+K3qLrD0FevfZlDdOB7s6borHFOr4GSJ9sgZe/R1ag6y0xqNcJR
PTalfPOZCSAVlXBUK8VyyHFgwrIIFkce86pKX2rT3JsL2aWtHgE3UkdhtX88GMSMTjGoCSKwEAy6
bVVbeqXs+dNOviSjjkPOmDMmZ5yMzXPmSaKm2DxKDgIRJwDDeuogF2Zovew0PLZ9E+PCwLxIjnlC
89QYjfQLxA3Rz5psCo4TxEFd3Of+sZk4AXn+VVTlHR8crh4gLG4HFmAa98no78ME7uM4eIfZZFai
2XBVUfoBTJQTI7pVSGX7Wvk+vWbOsWr936PF+ayz5j+CRHTUfQagB1eNNWSbPtcX7DETGWE2K1aG
ng1G8jXuNAA+BoetDMFew8BSi+fVNShHmPyzE9fPWc88P0R0gG6Vw2gm6+F66al0U44LjVPsaqa2
GU30nLkpU+dbq6Wk9BW2mcHfR3XQ2ZXxPgc8i5OjfZPwrbaJwePMXOczDwgBJoFWRf/UN1+pqzc1
OyxmF+KNXSGFCb5JDlyL4zQWCAwNVXw5JpI8p1JSRGCZLFYaiuUkTo6+2+fY+Hc1jQOeO5m0/sH3
wIbPD/nW1x3S7IhqR286DGCLqQ/rWJElr6MnjRPP4HzTEY6xENIkynfXl85VG9xnAmWkKQJ8/cGL
nX72ufVkKSKaST1wyQGyTurJ2TM9/k6SKKMnXn0MFZ813Nttz3ly51XZnydqW9mq+c4TmFrqcMGv
FBWdICa4A5Vhg3jDX1qXIYcISd7G2JlzkQL9hJYxNhyHx+hiR2hmDtOjLnBpuITA2jhwIUGfQyLR
HpQSynzKkUw+OV/NdGbVDsPfWGFHwhbG5frlywVuNfjuw8xxh0qyi5eoExtxOmnsYQmmpm95Zv6J
Q+iywrC+FWiGlYAYA8g0/jcYzUz2BUOcG1YsYjxOM62jnT/VH0ANvs0RV4w/QI2l23Q/Ft0/tB5P
Fk+tmZ3yif2fG/AcD01vVweYFOawQmBh+rkyRyhBfvXoWnLnyYwyZljBaV5wOwo32krrdQ6Cjdc6
49mj8UZIHBVWTC8Ipi1uMU7qdqkKEhT2N/Sj4YNecPA6feT2CKfuc6pZf1LAGlKMb2NWfLQ52wfm
Bi8NQVo8SDikJ2Jw6DEotmwvEs+P9yL7RV9msQu8/Lc/YSlJUfTQGN7MoGHow+K9UFIYwdOL0wNO
WlfC6vh/ICvUTOLZbJFbb+zi0Dnpp6ju3zXuzTEDTToIrHCjk71Lp9D3EcwOVdcRSIlVmPh0A4bt
ezeTjUbeLjbwYfATYiSwS2exHzmbhmPUcov8a4jfWnmDGT0b77FEpYfwv89b+Ty1yiLbK0EV5NwB
ldHzOfaP5tTsoEuwgFEVAg5y/KYDifkjhp5jHzh7M+1ZIbGSbWytf4WzeTYL/xLwzVyntLTB4/i/
Rsdu9mOjT2Yg9tb0FdSuoM4r+tvOsJ2pzWkhKzh0rTmAwqRPq1XPvh6U+JOtO3Z/+jMk7oOmzgcn
ESWnwGFvLYedzx5+PVEssVZNBLlqKbecFoIJgvtfK6GEvdb6jzI9bz1jr1wjq+14bmr4xOyviLts
jayXdy0fa7Mbtk7kRytSGJ/W0L6Zxd/Uo0PP8eTIiqexMAD31BZzKXo86TnAMlDTK5WO8wp2xpL8
1enZ8qNiTyIHG3br7LXgQ81EXS0DdA+4U3OMQ/uvYQ35qTeDGS5uZd6lkzzWlvUWmEFy0YWqnicx
v4ylKBiBmS6uTXUq+844WiHZBCoNbvRj9SjBOHTijDFPWfantkOxnSLnNibqOYcx7lSz8ctMhkdI
p/tZwB12ZmjVS9opgs/1QGX5BQaaYmQZ0t0MttZMG2x5HGp2ncVOj/gzyrizK1sxQmNlJ+2GOIuF
j0YaiJHJlGz3MXAeJPDSu02u41ON8WjRvbgFTgOoo2n7N7LsD8QO+8uc6Qf8yvljX8c7BtZnk7Hy
OQl72oLNjP3r/A78It1B3QM9pbFoRXDkV5TTfPtsy6fMeE7q/CKHhP16gKobpM7JFBmmHt+/VrMC
IZZiwciFeCqmLFzXmJ31iJovddwdZx9mvJHO5RrhBvS7oLGJ/szb5OvfxWhdJ5vAIt0f770K2wvc
3nKt4uw4pPbfzgfq1UU2hUTGuW5RWJ0MghQRpj+CQu61j7Ft3VJzMiIKL9xpLnzsgNWlncHjsIAm
Zzf/lJIFvqV/0CenwxqcAUCz9bDpEHztO87PaItAeJwdAKfdbWJLfKKkbziJRso1Y+cbUYNFc4WZ
lAk0TsG/MGMlVdGNfm184G0A5a1INjDzxyskjytOb/wubkmlb7ivE9oCa1ER5XMPwImuZlDlt3Fu
D0L5j8PYsOsDKn4yu25Hk+6tMzqTGt0S7B+KPPvK6FQ2kw+ggLl6024dZC8EBSAkuB3D5yz6Pel8
OJUH6oyPoBtf2iF8cngkreohRF9l7NGNoAbmGLeAFveK7orGHo4W/iud6VtAh1wU9XpPJq89hga6
2ZCL9xLxH9BPjefOgIG/9F5OkmdfCSyxbFLn1bJJ6Su/Sv7lzQ52wQeyZbkqiCSc1cRWTarynwpT
2C209q1sfCcrt4TEBbru3k2tfbAMGHU+btJUtfhS2FptSpcTH3DeXWMICscUxuRQRJ8gNU+jLpN7
nVBaWJIIPox67/OT/Q466ykAipRGc/9kMfR9Gp0BMIlrO6eftw7PeJhjWMVhmBhg16l+MuuYjzon
HdqUkXl3fa+/NpRTqL6x7uPy8t+vO/698Ud97pyAWI4rBUPnZrxkdba03VRIw1PyLNoweQ4HiJ6l
Z1NK6PviwA4qsVa+XdYPTc3Rx0p0uBPLW38yIc7CF1mzABk2t5pmVQ3zK+u28/DzMviIRUAfkL0Z
BF2a8bWiKEdziOpvEy2IeAWd5gkPeuMqshLwuc5GFMxvRNH+1FRLPfy8KzDvSfr0HhXAvWGJxeSR
uvEAdx8gQZUvgWpy1u0R6M3ym6kbV8dMXO3KpaN16gAaQXN8Hl0GFryJGx7NZZs/AJLfVORKnxwn
sp6oUDm7NDQ8mFZSHKOeKsCk7N19hT8Ds6qY7t1z2TENVSk00cFnZ62T6hcy+ItUwLXGJqK80WBu
ybQ1Wdss/0ee+8jbPyl37GqU2gidglZppnO/zDR/XnKlmW62jThmvb3+SWSayu0uenn5efvzUo7u
1aSies2FhDaYVWtowuEpHMgyr37CY21rMIb2o89G6e7R/uV5In8co7B7BHgd7jOAJSv7l7bN2zwg
peLn/5gaIOxsDcaTSvL0IzXZOQZ0gyAZJXfNznHLv7vfeUIVZ+EwL3SS5q+q3PyhJdnx2lvd33F5
R7f50jYWyrU7K07NfvJWMlc4yzqIsJMH3iN+7eV3fl7avnfPRTG+4879MnGxvegRkcYKPOethQ22
GRj93YuGsgCvN0GewbOWAXY70kX1zkUUWESLtzqI8ZgRoltPk2z1qtuqeQ5vFYLCDfXAvbk3n96z
G2G5YcshiNqJ1nTOpLucs5d0znnyxq+A6tq9IRAufLt9SUGaPlh+BxllzGCbjOG57I5DT5HeoGF7
+gxHn35e+rw+VVODRm0Ww9METKqzg3RbRlQQ4OZyfxXVniSg/k1I0NhVZFn/++Wc/Z2PY0wY5mNn
FfY9pV0gCKe5Wksc0Zs55J7CnwXapHW5YAhirA1ER8qC/GpNbePw1uQJ5oUcu8ycw2vxY0o1y/wj
XIBZWXY067Z4y5qqO0qCM0/GnJ4JCVIJUBoMVPyJhmpP7dpQZE+GH/lUYzjUjGF55rgvbJ4JWGnw
hCrKO/p3S1ThP3TaThFgUmbJI8Dy5XnZFqwID83IRJ665a33jVjhbkKXinhlVSDElzuN/ZZ4Rjwp
XGt89jPqPepm2rF/ppYMOxBc4uXLnxcHuOKZXS+hhywP91P0biSB/cwpP3m1oTMiLEe3uqbTpRyU
3BYB6WWluqXQ6pYk6sttbVDSchq3PuTFU1MPn6bJrCfv2R2CGXDsix5fytAbl4wKW3mfzku7q/XJ
VfQG2tOwpx7j3vNEveeT5+z5//UHd1TjM87AlQGysXDD+Przkusq+e+rqlZftUnswOuhq/nwif6S
zcJXytr6BKTMOslh6tmcO/G9QEFkOv5H4Z/5MkNaKSxknWcPW+Les0y5JxGbHX7WYdsPylNMamwF
3dvdVYS/IV3GD3EnxRNpz/iOg/97wrzyoJIh3MZhsjMw8J39fqnUCaXHecLfs1Mt94bm/JYuRMWx
pv7yZ3FQy6owKz5ERu87C0eOMBHYSWd0jz6MxrWcwv4ELgB/ada92ZXAxBSyoa/rNP2IzCTdtUmr
9oYn0w8/DX6Joga91Nsc3xrdn+Oy6c/O8hUVALuITMA95rjPrLr55fvJsMdu7+5CH+8h2HDO1gFz
xHFQJn5Fp3z6eXHAIhq4YymT4pfIEXE7x8kmY+n77w+QYpj3gfHZRw6TVJ7aD0azV4Pf31zouTda
RYJDlLvfTVudQBN+lk0yMrZO09chmRYGgnzqjHha2fwnZ4MI/oYKu4ndAcKQakznrwljGi+T9QUP
mjUxzTGxt+50d/NmfpCayYwZ1r/pIe02YTHJbZu5/wo7LDaJZKC4FjCJ1tEA0G3yO29NFiy5dg1s
UcXQbtfzfEfLdR5AAJvXanmxc7Sq1c97V1UJ1Dc0jp+3YTlWO+aaHqaMuL/JuUkYaVfFSYoldOU3
T4TSMjw4bbQ3HE63VRfg2FmoHYCWkmcbI/QqAGZ7/gklS22n558/Ike/uKQeLhUuh9p7Rzt9rwO7
/1sH9UttnTOGAFfPGZNnx22tg+MbC2w+8lYORqPtDEpv/bPK4ZnAT9HtwgYfc5M82UNVHBzsNIeU
SmlwDeC4/f6ukkKfEcrVgGyi+st/X6pJ7nJrcshEJvjPxtx6K31tHeaknzZWzZ7ciixjW5V4iptC
WG+FEbDSsm7mDlusysz3Ye8/MZjISIExO6xK5NI+9JkVFYyOU5Ft2e95zxqZ5gH33zWMumbPek1h
iJ2PdzFlJ2XyRJCDOhRS1NuctoetY/4ys258uA/cGA8ez5xN0HR/s8GmVn7uJyCdwXhJFJk5SiBm
BkTj0Q+nNxB51SEvCFhbdvGKIcRQxj0zqLWpKk1d+zTi9uPAuXUqYtoht999HC1w3AJ9d2CCrf0R
i0wP/7hkpK8stsS1sr9dwsuA0x3zjBvePBeMO3rLLR+kMdEjM7MzyamQtCf8dp7hWfs6HtPLz4tt
VGeZpNQGscQw3In6nZbZhwVnl+a7IES9Rfdn/2idqwZh3WRWaSQuBa3WvGZp+qajA74WtK5M5DxA
hLjNTsv0mZ6TRkIEpScx2nYm7nQbIsmjDqq9Y6or+9Vp73hqm+FNvuY0QBZEc0MHd64arey1y4cD
hYLWryIWCtaejw+PMa8/4UVU6RBtiYA3VzIC5rGeGnEI5oZCU6no1St0vnQLIaUVlnioRny2hjG9
V0gjfyvX/u+L5VeMGhE0jYlqEOyzdjMewAPurvClSKankfgZZnW8ksOsCuAoJPN8SdVFX9r2a+jx
b2jz6BmT/E5/dKJpPpq0ss49p+m11zT6Y3LNoyQumuBCmgl1BuraZf77GCMNcAqYruxvqXoCnbrK
2hxQhLXcxEMhnidr4glpnVzRG08wXt9cYmOcIP1nx6P+YMyYRZRW29yJ6f3qM7TPVMYvg2cPt2Yg
B8dV+PzzQlrlUeUGCEo/CvAXxhiy/9fm8WcH+fNrWCbh7bvfrbSaR9KcpBHTvPzMZXDw8jTfDZ2i
8Rl0uPJE+pYszuLQ4qfMQyS6pIPlO7vEBjrhLQcAyXLxkJvDX8og+FgXZMHPS6SZs+sQ/J101I1m
F2+XuRyCQt2KOxy4cktz49my/OTcaV8eYi+jFQldj/lSORz0smRZRjVeWf8EAYZTYg4XNQI6WzFH
e0jixKKCNr1EcGN+0yhwSDo+li0zl/5Q9JXepBjQf7cg97wiD1/LPpuP1Zj+rUR9tTOewqaUFv2e
BsPrBAEjG/QDGdhwr6eZ8Vdlm9vCG/U6CoCFY96Njz87y8ZIplsG9ICbTfEXj2iAHv74O5CH4SGg
TXMVW+wES2xHx8FEarVHPXAQIuSjO2p05gWGlHP9SStxD6WBc7avzfo6dG19FW27M91Wn37eWfl4
Cs0iv+r2GYnGv2fQzB8N33ieMG/TpeIzA5gZJIrMuncllX9hPnqbdnn782sgCqudkksoWS+8raJp
rfOYDXzJceVPY+tq7zLQuvy81J4H/ZrvIEmC9kJluZG0bO5wY5z1OFi4noSFlzWYzmHDALaFnbUJ
ohE+fcTUCqsh+Odm1NU7Px7m4bX+nWbQxkVRVMdIKoahHsNk5S3pMK8WmGAH/yXz1KVG0fvNwcfG
TyHRVgqsQoC/6DA380ytgiFJqENhBAoD81fVka4wrQqzplnuB0sFh872+ufGtLlj89HeiAaDkFEH
5SVt3NNE5o6ZZHAZZi/3V8iDyS7tJ8I0lSpvc3+OSE7CvSbaXUj9u6dtcBs3nj4mYnIfvSZ8TYmt
Qh6YQ8LMo/fwXoYhpglLMHichaeuaMYPekiJq4+eKug78UG/V9UONrF9JtD2gREJy0Yhsx0mNo6r
MkX86mcTyCIFGf1IVLyje5AMnWN7u1LQmEWdmEu7OWmFOH3gp0JLrt+aByKw98p346vVRtVujmDa
1vgydolX+OeWhAlSTTij/vPDdwam9aF2xlvOROrmy+zJVeP4p26iB0vnzW9hSR7kARUMk1uAHCm0
vlQR0kQUCHsfawwsydAAXoVbsqtVON5+voLOI29JOL8QQ1MA4JE7fQ8Sb7ese/1sq0vZfURpDo4d
CfAgPPkPsrn7nxbw8+tSmWKfJB6ZZ121zOSwM5kwdXGJLKQPXD5VT1Dv//6WoWS4NUGmkGz37ZOL
Ee+HjGIsK8zPV07qyD0khree2vLz/3+ZZfM/3/a54BA5Qu/574+kuKOasKXSeNEqfr61n+/UW8Yk
SYLZ5uc3xpTNoGXp7KzaiKLPWf62HNapnIAVw5483cfeDE2yG/Rl9DpG/KR5cEDpx7mIpsdypg+s
HZNbNMgmXc9/6nZoH2Ob358cwY8SkvTPHxSJEkuBFxwX385PARC6tZPcWwb1l3p5SSmNI7j4/96X
OABDr7gZhOH/UJtFdqHt+schRN2cZN/gzMWBNSfzFhzfl2m5L0lK/FbyGN2lFIsGrvsLnwxhfRdv
SmCa/jpzicY72Y7LmVU6FNTP2Gm6Qzw4Gp7znE2PIo4fRzuRL70x/U4ZUQxdhEuw3cU80K6+CD8Y
t9O/PW2HxnevIZ2Ne6BGwdq1NyPj6nXjUjNYFpP1om1J7o0BMnBLnHFT4e0UrZ2cb5atGF0ZlNTN
4ET5yQdu/VtVE9wozh2HeBgwlHudtZpox6qjQj1V2SjWZFuOpl0EW1DrGKpx7gAhZgJwpqU52IYB
ZmgznaOLA1fsEk4dx+0yh/zHO4xUBwK3b5GP1QR+iNiolI2rUs0p7+J70xMVb6zE2Njofkk7zueG
YF1ppruxxVRpTlAYOj/pt24T3FqQ4yv+TqCf83sgGAcKh/lg1p2Q2f45JgNttxjgbw/xW1MWFmv+
RLXDiIfSH/KNE0+0YeD550jh7QZ3Cgng+M4GhNJ6QI+DQM4dU+DF6XbsbrCiJ2TLDQbaWXEqkpQG
iyXMlVT1fbTKc0KLF1mZst82NiVCcf7XH/t7SUrayMJb7LTvKQnhR7Mvr0Mor4Fo/bWkthsNqyEP
YdTHFvEBkABepTGifIvEPrZ0iWvLVK/jMkJxe2xANvuoTU8Z1iWbxYnp6Uzdcdwvh/W12Wr1wsHx
HkPWW9QzFHVTPbs1c5TOSgnzGKE5HCZ2H/F0ERkuJiKowZmaQessDKS0rqCSoHOx942Fc83T964u
39o5QJcwcae1ptj2qXmpvDh+gpALvZjpDXLSGR36NkbkBWqLErqAXikefjV0R+1uWbqXq9NZRckg
N5E3lJQ3SHPb1tZ3K/aewEpGMaBzqcvqOLcVI214V1vfbO59iSXaiIdr1HefdZ/+MYg3rsdYVQeR
CCpfkAwwLE/puu+8v9QmE1aQoHalVh35s8wG77vDAUyvZFR+xgB+xybF0Y8vEjck7XlOgi2gpBjO
me3gEAT/PKm/ecAjGdjiu/nTlsHHhEpGFgrtvdPetQAKvckjbFSEX3kauTNhrTbjSOzxXZq/YnD4
e5IC95GBCd758jfoT43DU20na2aTH9PyhaEoOmJY2Rrt+NWOZvPI8JT/odZnnB9rtkkBYYCWOVE7
96flCqqM7GS0nX8cC9ybFRWJHbc/bttYgFtQupSrOkjIbo+MS6wWkmZuaTzjmEKWpPJroOzHKTer
vU7bX5JGpTWsdiKuQzRSRISFMhp3lR0ED7ATmT2OHpkuyPJ2Y36GA5IGo2HOV6qAqpnLA9H7kkqc
fDt21kPCB7k1yoT+dqAipC3gKYyi/5O34AixseN5md87u94DxEY6eZOVKA74DENMRo27DcfqWSjR
H8ssfshlC1FFNtOmdxmR+zmjQPRUuoRd1kXYvpQmrcEw04w3fbjDeA5luVddfZR9yeN/KC08ILJb
TRnB1AgPQRbi/jIDpeERGMZjfHRB3y9Vgyy6cpqBpSXUtHfJCctUtRl7AsOBqmB5m84xN7F3cGjb
ItA5u1gN8CQGYr2F85JMs8F81NvZNfUaSWKPW2+ShF9NDvmp2DVueJXS2HtTyaRuKeZNp+jeNhY4
ZHposL0xMeG0+qCDFyNiV/wMaYPEekidbxy+aTWWq7gi6xUob+2F/4exM9txHMm27K8U8p11zTjz
4lYBLYmSXIO7fPbwF8JHzqRxHr6+FyOruysjgax+yAAifQhJJM2OnbP32t2rJzieNd7RtM12HxLt
JUtm4DzZbOKx1qITtdcqC2cw62SFDkgLpIQ7MTqUH2MNZjsrIxRKEwpvy7OObjC8IZpJUe+at8pQ
63AIPWZNpN9gu0Ad5fYB/H/3Jqu12M/yhpMrtoAO+dU06sikjCrZZ8Rr4DxjQUTlhQAQ33KCbIBl
jBWD6tKOQdbm3BAOZxIeElKLvClsj21rnScgrme967fJJP1Q7556z6AfqPFuTQUmoioBsQ/mRjoW
4ZmFXsB3inE8Li39vmQ2lDUGTu+BSa6dkeBiMbhbs1zg8aCeQFuJVw4IeGOH5O/1qjoxvHtpp/5I
koe21Vr15jKLqchrZjWgr5DS4tZwmzLHrkMkfgOH5x95mtymET60bnY1aoL31iTBLlduuXFU9x4M
KK/Bth+Zmu+mobkns/VgaiHBApZZbaf2gNMURelE5xlGiHf06u4hzZ2XcopAifYPqqkgm6cWSqLM
YUzUqlt3nnV/1phG9bn6zoLMJ0I48FPZk07cbyptwm1YY7SgJbTPC4gDDIup6aZlOMIxp4ydm3Zw
etyTldi6S1i5TGygDrqUFwt57MrEqDLHA0PTZNw6FgkYs5nsvFLig2VZ5nCvsSvh9AxDDgNF5etV
kB1l/DkZKHE0HB19obl30tGZwGP7KGfB3+xLzsq7IePIOHpQjJGIYOrHl7mdrAkhHAVz4XHGqRG1
5i0jVRNFPfL82vCVTQhihIY2dB9jjap0pHfGYxKMV0XIRaEca0ampWWkvdYZ5WTi4Qw2U+Mrtug7
XatoDM7JkVLXJoAZZngA9Zbt766pak60MZ6J3PKBhyECg9UqaMgwCEBvHrsVIcB51PmxrK7Scgh5
FiWN8QyEjzY8l1ZVPzd68ZB15n3UaYyzewC/hWbgGQ1volzO7GTTsStQMFsJM3R3as+Fmasz9aiF
j9FrrjTsVBq2RbS6y7D03RgSSg4IO4A7OuLEh/JdiVndVhKDXpv0IGRCQuiGgkZmVuR+v5yPjaCF
rwCvv5Xo4y19fPdieZe27XVvNfIqNMZXUnnPXeoZe/LBX+17HSzaxRk9VA82LCPOpOw88nZGbr5x
KutWIxBszGeLsSyIivikqzk9VCH3VFPHvkHrjMwS0gU1vCUEOIoLbJa9emvtWrthM8Z9acECiGYy
qkkM0wkZ2qE6R/l2Aemqb5Ats1IET6odjlPlmAc40dU6l80Hj9Jnn76kblv7mQbgOBwAKMC8vs4Q
cWKVWydBT2iO1+AA1mn25iUpQFbqk5JCShLa5o3pdoKncLRwrREoOXjfeqE95w3e/9pspvVoBgv2
iXFQb9GixevobTq9w07TNCdSkbtNbXc9Zrn+u2c1OJJx0SmjByAgmL4PIXp2jfzIqTMOZauTSSvu
B4tlyg4Cd4EBOX6MKR4/P/Wa4ZJ7XMu1kSIrQ5lt7DSEeZ49okiGMIYirdiWaWEelZm8SY3tE2zP
PHFEMcVLq4O5SMybIImecEQnW2uB8wiw8VFDgPNgIySD+A/iCbOMhdFr2pq5B06ydA80MSXGwGFt
ZmG9jSebYEYtOkwe+2qLMWLN4fdDzS7Si5oJc+zqb8gF5YqQ7hsxRQ4GLFiHNgTwbPDdhFmkJtAG
j/3dkPFk2vlE0nhkubALYu+RjEZ2KkVxjCgweuszCylz0j8NQbYv8nK8ysr+1SU3oYbmGzLSWXO8
qnghaM6D3LxC+pOvaMVCnM6CH6r7AdJyMU7ynp05oCPS68eigU9Uk2RnaYg7wabNrMOlscvJmL/q
45nMGyRTfey9JK723RZzuU1iF/wM1OsgQfChEvfHZKccufI7OyDndQrJZp3S7Ko2spvea75p7j4S
AQAVaw6CbXWsVamdKhv0RKZ+AMve99a893oPfofVyXWuqDzEeNermTDUvDxkcU4K5RTvYEnLLRaA
HPseQpEUPRCJLG8xKsNNFkQ0PvrHbgZPqkKjRpNAb6MLI+s0I2INVY0Fpia8EFnaW2Zg4Byw+w8w
UBSZxepxRpZfTAgTJ+1AQJ5WuXJnOqWOT6R8nhx5W+EZ6dFWHts5fYG9Jzl5MMj0prle6ZXFpZQl
Hjm8c3Tp543+OkPuYy9ElOyS5QD079z0xU2l2VhZbPVIDbMNtJbJm+Py2HLl/GJ8hJw1LLy+N3QC
+p0Z9++hhoNXOMgoY4MFnBXyKuvtGmBC0GzEUhPrljJuncL94TY5ykSCT/KW9n3eBjtitJlhZIII
iU9BXzmR9nMisb8anvtel2oDdvcn2+phqEgu59l4cOXQXuE2ZHgwYAmb7eVRIIq054iq5caVK6Z7
AAorYLcXgp0UmbKoDgeCpWI7vLdwECPnAiQoU0TUnFRUi0RxCvJkMxiDtS0pmjMH6okZonOt+3rX
ZTyA84TfAekpnsIEJ0mLcakPoyXRxfmWs3uYuuy+UzpWlsa67lAXkAeK65zcK4j8Bvtcb5/sI5/X
tmPatErY5EBgcDrULGp8D6WvXnZY50tz20sOMQSfV35oKR8v+b3m4rDDXsb0HUVfTW+Wyk3AJ5BI
mHQDakkZI8Gid2gnPdGeOUFiGH5zD+qIFmBlHcYj1pUNV/9H7MGfGbvkTeuqXRBCF3QwpDFYeGQo
6Ds5B7o+RkGt5ndOuC1BYjM/X2cH8tqibhNyQdYuOn0N960Vvw1katKIOURN/dpWnFccrUGUmqUf
EH7clYI4p6ro2mtPPNw7QsF/6B3OLaaol9jN3ryMkCXZopbt5u1cI3JnVvGej9UhTLtTY5JjMjb9
GQrGEhlS3c+a6ZtaiXZc9s8hbpTVlATf8Tzu04i1ydW5WfAZQxdfOY56HjzzHOgU7JEk9moaT11P
BIo5NMva/OGQ396r06zdi5pWka6TURchKh/TOzV4p8wIDjNJ6mtiSh8ay3nKG8Q+M9mbTCXRgWXt
ow0QIaedFH/QHreRJulQn7TySY0cayrzUetaPIcl7RJdDDvpkX1HOsEOdAgjo7AtEcAQjML8w9WL
u2giJYf94QA53K/MK486KeTqbgQihv3Uzk8yr4utYJ/Eu2fktxPzOp58X1V9vpqWBQQyTEKpYK6M
mhTXAkXCVuGsh2kHg01kWOsK61GLcH7SQlt5rQ7PmxX71IG1NAq4ho6gSpsqOpP54gnLsHaeTUIL
V5S29boNFY1nR11GDy1qVXVvKtKe6QpU26Bcsr1G49N2HlDsAxzouEoYL5bMR/etgD0GOjwk6Rfv
3GKjKlDpRmazp516g57oc9HbhBAltoVhgcbTkDg6PVmUAZSeOcfIWI/209x1D+g7AKY5xYMj81MW
BTchAem2I96N6NsJm2TT1TTPCRy+ThkDAyF5YXo9rPPketC7ExyLxyWcfR5Ge607PE4Yjpb+jPeh
1Zg4kxq/W427GG6tzoDShT7HTM6RNre9jG8NPED0FoadO4l3024fCKAmuh5iBD1jzSzvohB2ShpF
qHYLCBuizt9don73Q2HprISSjDhGMykT54018U69wfykDaNWgYGLKEjIjM45ODrMabiViOcMSkIu
8ZbQVrmLCjZBNDqlb3AcWEk5g/KOMSP267wli04NwYsucCiQ19OvlGP5AXLrG+rGQ1b0557oMy0n
9SLzrlyH3rkafuS1uCH0M9kgl7wGZ3ExumlDZ+nB9HDGxXBEOC4TvWsRtpfbGrWhhAOouzlrH+iQ
dWMzpCSk26T1pW8/dViMvmtAhakylMvdZJHYKdf6jPzEkfV1bIMUc8JuP2VU79SQE15m5a3l9Log
Zgyb3rQ9omSkeHyYw+ITowrN0aTHfJZJChzm+y2ALhPWF8VY9mXN1pvM2gcOdbAYhmQDt/QUkH/G
0oqTx+bwh1e3hhDCXa/Rpl3lOY+ZALc0NYF1nXEoKplfAFhT0uDTdzR6Zs4Od56Ht+OSCe17Lu5S
CJa7wURc7A4x/dSWU57SktsECcHktjQJ7H5VWZO5aQrj4qjig2GB2lh9dB8iXwwBk7MIxX47R+HK
c0PjqoGzkjTOc92lrwr93sRAc5M7+llODJs7VDbEt2HZJaWph0WLXaouQd+4yJTEiB44xo4NYg4i
5KQCKp7oofEscy0KHsSyJ5Fstu903Yr8uoPSELnxE/G56bEtLbX1YvigYnDoJlY3sUemthHmk5/O
3JAZcR5DgKNjAkBSVNoHE1DiSKO9Fln7wmujc2XlXJKA/TgOhg00PSY2U7Y2h8AfZ545Coar2QuZ
J2kuM8O0exZ5GZ5QU4GwonqBNCgX3o816uaqYlReO9rFRnlwQGa9oCkbVvEu9taG9xQv6YHgTIpV
ufB6Ku9HVCO75eBAK3u0vlDxk8/I7rrhad+iMFqLWaitplSztmeancSu0m1mmgRwQvKttfdmCtQR
cUkUFdnHLGf1CrgtREvsez5rPLwcRKdZkMdw0Njr8WHtddnvK1xI69RZMhAFeXv6XQE0YRXa3i5C
U8HLdgY0RUa/xBGsCugMECQomhH7sPTZrnm2muE5NyjkuxzNO2YQTNkpvYApprVVud4noiewMFV9
5DRaHHLyNGn8KXqi+gn07g9VTIy36yslp/5S1tphkOeKZydrXGvdzgK23fK4Np03HkRn+Jbs2G+6
6CkUByKnHoeRu7/OquXuvY70/MmKwKS1jVMjRxawK9PYPePx6VcSZ5JP8fVUtoOAQzttl4jp0NTp
LNjBtu+sO0eGaPtIv+hzUKCu6A+zJo6aW18XJMmuPMH8OJk4cgm61PGAJWOixJ6wNhPQE11yW7wH
PWdqlqsDjwBaULM7y66804VenvI+3HM2J8N3dm9klbxZRsVkTGsXLM4t9gS1vNqWRuchRargtx45
ybihNiUDuWv4xxHmZu29LqhtPNdHjOSx4carsZaAsWCZWtPj4LjtFX6EAJUaUW2URY1OkddlIQu1
nZgbq7PONu4C4JolfWT7oX7UkmLx87gj8Or8JDqUQFrXc6uFo197FtPdEeR56AA+ydNsn2Ttdvmv
btLrpHL1c4pJfzOnKdpjZCqY2/VbxGEuQvfxlZgEi/njFgQYkdrmSCnJs61bDCpHmpa0TFhPUyvz
h7am5aJB7qoaDidBuuXstkNPe7Fm7btISuI8QXqy2ZDFPjnLECE65u6PttDiq7oB+QXKZ6VrIXRQ
B4W9EXln1PARg2WuNC3RrW7jkxB2geUzF3xyrihuZ7OP1sJ1ZypY/NwqohnhhBWH7g49O4YK0lbJ
Vwrm9nrCJ2UVQoEWa55L2PJ+EC/SIu3Qts6RJGo/rHmTQmBBSKQ2H6rGQF+q71ynDW9dl+NiFVNi
Jez1b6Zl3IxhxyG3vwVHXV9FhnvUlqoXMPq87bGYkxc9XLwxzvy5Mfd4kbrrmFsrqeis9y0k71BE
V9KU39OMvEZa/XrURMuuqk6haGkS2dCEPToNertOy/DTbuwABh7IFJPnfVO29TtyEJpzCQOs+Wia
rnXosFK7YXGRnvG8AKUJeDIlu45hEjzYXkdETBFIzkRobuW+b9Knxg3FCxVgiAcjuNS23l1zjB9O
hUdlntXpE0NdcU7d0T14C0DIHO4NS73lJCUfxvoTUo2FNKC5gSHMtEOAvSTtOTyZ3YueSe1kRtUZ
YLS9S5qIqYJSLN76ErrLEuxNuDAI3HZILkI6k8Bdn17KnuFN1BDPlKDs3UjFlJ1A+XNxJ9o2vSrS
ftMy0+FkC3YI1ey8Gye99AVBXawr6ygkeKcZgTJA8TyWWf1lFD2h1O4QLSwlHJMQ/XxXeA8xrJOm
ytmDTK3eCxfnBKoS3xuo7HrTvFexuYtNx9tWY7zzaDuqibzXDFLHPc8W4NjmpdZQMmc0TKWvo5T0
yq+RZV8XtC4sKZkEDpwPOq1DGFmMrK8BY+QqtJiEghoAufuedtWT6r2z0b87Slw3mJ3DqcpfbNBt
HMcGzq9m2TPnruY3I6SzYMZbkErTWm/7kXZIf9BhCB9T6ylq7eRghaW9rsCurFv8ZWNCRwS8a4ZD
FJDHBCNqwhrT0mpylfTjpvbHiWVETKGzkVF0ayXJPRhye1fbCD1HDBFZS0PTCfFWV3X9bA9NtOHj
pO5M1VGrFm2rOjZJZN4PxJGLxVljisQn5Oxbo5azOdT5+nxqmA7tSt25KWvveghpCMt+Mo5xb85X
AE3oD4O2gboQgipr64exNak/2zTZDTfebBRXfVn+GDLhSzno11iY9Y34ibq0qO168CwYlTYsV6Bg
8TTtVIOzJMyrS+p15ROUytdwIw3AmRyDEMDSZA7VzM7QPUaOh82QO4pz9rsdwp1ql8N1xFIZSdJ0
bD06SwDn69YZ1vqBPCwOFxOIMBsTR8uMHxVefBNbFA5WTfI2m/dXajuvQZVcUlkW24lhBBzV6kHS
eUPkkK3hHlyFghkbNQDHHkMH7+L5GhU7fZnxwIDErh+cYIEKTNgUIABAl2mQ5E8bq51MXOuALTQ9
3Y5m/WBnX241mDf01TpklvGcsQ8iADwPwr0gnD1ZRlxtm+JTCc/aNt0ipWEpySnzMPKxmlllyTQl
U/SBg0sytK9jKB8Ly6YFydE3S52Thh8tBGhaNcxLx5BWNfUQiEhmFKyNG6t5RbKCQxw1/mYY+s8O
mI+v59kTQtsR7A+Pl96njzMpUFDy1kGGy3NU2b4qhx4vKxVzOGX7tstuEtsVfq0WqRWyEhDPXcqC
YjR8QjG6FapjtRVFcjWAl8qtJsAdYz+oodsw33/lIPIRdpSwc2O3W6FPu7ohuL4e4U0YzC2c1roe
mxicxPhsLvrGpvI+iLn+MhexhWNCryVVdStq0dPagU1B/fNdzvV9PxcY02mvqAz+NDycGELgNzp9
rIKdO68ku6MjtG3JxJEMzQuRaaWo4p1lUqK76jVHW7WG5KR4aKZcvaGT/0Cyuq0nUKSCNytq6a70
YkAjqbkPoyl/5L32KSvzEHtWe+5HktbDO8cZ93z3DVm7JGQHCQw0PR59dLpnBf+du8bS4EYwuAil
9gByxlvP2rh1a0wqQ0+WmxJbLDonNCgYnRlwoXEnHteEyNyjRDDa4jsflrZPi1TANb6D3vjsxWMN
b65n+LG1a9DeUeOZm2LA7F1r8tNLEdAKF21+ZczjJpvFcJUgBvC+kvwOX8JramQN7Z1jOTCkdbMp
2VcYBekigQIbORyY1HijsM+Ab3vErlU9HyBZCMY85HAU6UuQ2bSaWLJXAHK+Rw0Jr5EPhC83w4MT
ixeT0QuCB/PGzhI2b6bkSQTKFFtKRH7ENO5AwqzKcI1+5iYy0nWlvktnDxc73so6/SCvkZFy1SGl
mJ3a91qrYgDIAduFok9zPFpPjQEUPeUM3AEK0WwTfUUxPYpUHHs0zDON+V3kYUnTgbKEyLsR1cWf
DL2O2EOxyGtCWw+a+1GRTwVAE59Z2PJ/KDXBvtxLOB1qhD5Ud0tLl9zwJB+oT6Pn2nbviIfYzpMb
XemtuilQmPR839oJmJKGAAvssuIJTKJX9v2Rm3BGHsIZHRrgwGKQAEZzvScgws0piFjBZS2DbeCZ
F1lRZOh1f9Q9QhjcuLqZsYoQ4o4QzsNab2tqI/qI5ZdEGiNz3oR1i6r1kDvj8xQj5yuxXqxiRivM
zasaRDbaj13kVJswTIAO2lApkFMDo0wh/S2DsM5ZvHGkJepucsRy3BbJN8tpzzjYt1rugaQbjF1k
YjUtlizdJuNgb+B+7qJ5YxGm6wcchKDxLzq4/r0BXFvgkGEbD17TAo+Fg0ZYJwrp0Icbjv+e37a8
RLvHChMY35kIyQKopiet40OskI4DGHr05Ii/tawLZkAlv9Cd9u2QXpyMsrFHcTIOE5LEkKEtiu5N
iC3lNI3Z3un2SnopswFj1agUvFLaCZ+TXogcQv5AQ4qFMG7bTZqRmBQRxXMsA/NioxSKB1xBrWF8
BooOF37esyEDbT/M+M8MJxcbZyqGW9pYbV0eXTSEdqJ/psxxuzDc07UZVw4dyKvJgFzIfOfghdJa
Gw6h111W8p7kfZBk151CMat47YWcEBN1xqthVrdTN+h+gaf0MhP7BzPjKiqM+ZDNlvBNYt1t3Net
FA8qCDvK9WjYTmP1VoVNvo+RF9oV9zll9bsRkFMgFq1+U9wwsq0Oc1y+eYCMcacXOzfyvrDNv8zg
TpPE+JiEMe2dCZaS5D4Y+tRlBDBvpD3d1noPOowWQVlZ6bGx8qvguhGZe6sP83GorfBsYe3yMbpm
m1pl3VEp6w4+dHNnLpCfyanZDueeNvlgL0dmxAUUnafS8mD9SNPcurLQfSFFcaxLstY0jINFwUqC
9yDflZZp7UbKFJVr6zlEwzKDg9sS2ozbieJpN1Y4vj13mDdD01sbpWse5+nmaOmFs+txMfsat/vK
0JaKyTwsSDtyHfQjIF9gE5gd122MJr8VagdU31shPC6uhwYfYHPgc/PWmqbzdXpha4o6JPZGv89z
655Vnwk8Mw7LrMVVgXp55doSeh44rzRgTlUW8aEyOIIJBF8rEwZoF+mvNS/S7wVNXE3G8ig1dFb6
nFrXCi1zEBP/PVM3ck2uo7QJjnacPiXNeEjylIZTDhIWsAPRGvFD5jI4HJP8HZLZduz7XTrldzGS
dTfS9l5GL6KzxvLGraAredF6sHm0YUzhpPaGaQtkDSzwSA+7MOG72ON3k5nnpIaz3SMbrIMi3gVB
djuUIOwEz8FGxu6XDNVpMCMDJnV2ZRnlWwkefO3Sqcadx/DbQf2gt/LDCfQBZFZKO6TdxlI5SMN7
3R87B3yjCr/dtLjPZqZk9TJUNyh1rNF78qL4PbCIwjEk6jpv5KkoREK+TxejdGG9Ib4BYFnC1YS4
zkycpTHVJAZKzioa+hqMhHsCC4BN9YnFQiHOjcHSRrEN0qUWNKXJPy9xYJ6GcLofzBiXUPTmhWh2
5zSHqRn5EYFJO4cCnpQ0exOgum1tiRh/cu3DkOIab+R4FmV1hJSIOgd9asfI+K9DwMw/BbsR0eg4
rm0sQYSEgC2hzv8WgkhXptd+DsoLqqkHj/t4Mr35bUJpvcIWfyxJOroWie0dmVXVvpztN8qEfj/x
8N9yDLlvlSxfWg2lUqq7DKUXmRXJN0cTvgy7CWYUraV9rynBUx7fW7Um7sDS2qzJdXk2hAmQiigR
zP4FMtKctvGUmpcipF9blBCDoLc8WYlRMslBmq0QMK6iYrzRzK5Yl0JWeyZazY1y/N+zYeMWU1So
E469Mqf0dghQxFXe5JwDvJH+X394xp9i2xxBzeuA+DZ00zZ+DYg2uLFR42ho58zKXoJ1HD8oO+/Q
uAzrQf2A+xcQc+Z6M6kGyYMyvG2BlJYCczrUKYgSg4EeWrhwm2oRJzFC/dZ6Fe/rOiUwI4RoJGLz
KlGEcyQjTVOjQai27kqlNhXApFurqzBMy3Hn5aZ5NMqMEODBYa6ah96DO2kbNL3ubdWN1dYFkP0f
8tek96fIb4cGihCGri9Blrb5y92DZhFEi4FUlzQvHDWlLS9lEB2TVoueLcbe9AtD5no5M3mFZeal
zqKvoRkRB8Uc10UWV7SuCo5JGmBkHzX1xNpUTNcp6BZcQCGuqs5Cm0rv8GeE9AxfDKXqISJyZo9R
vrmNbP7QG/BvZgliJCXd5kRl8WbUxXtTDy9AmRcwYKNvxnqo8O4yyen05HHwJJq+lhy3vLU3nmi6
3TyV8qHVpL1d5Il+iIZ9ZRpsrobSy/ssCe85tXP4o8lzMiIBUIqlbxU7KjzAtso4wwDj1yAqXtvD
yqkI6ZDLD3YDLDOVZOIK0f+SYIOJR6UNzDvwNHkL5GgKWnFDP3m+GnuLYqQshnXFOXmJZu6ZPkAO
nLuQHrWi+Mtd/R3ur3djIXP1yEQ4B9F0yAl/2FeS7GbLGD2UwOFraUbfet+729GFltVkiOzChfBe
6OSX/wxkzVIzhbjcg3rRNIntTsrrWlCL1RCa4KssfqX9z5zJygCQOjlEEARdFwP8dy9jAMwH5EF5
HVkMcIC5vk9Egk1be2HQRzBw8BvI088/xsKWp9wTd1PmRD94cSDKO1ZVY3gMGmVvhgwW0M+A9ars
g2PZvhHJc62jgNoT+hXvGON4b8BWKckn5KqqRo4wN1td8XD6oaOL9w50ydqsnLNBTOs1UyD08Hpz
w4Tc3QyRdUBOZx2lmlFk201xiXodjU9nvjvl4FDYM4uZloEebfVPYxrlru3FuOmhk93O9QfE1BP3
Z05oQTGfdT1UvlchFgAnCOqtrKLbvBfPcRmnsF3AG0WLaKFeSmfme9AtIWWeXRvdmxgZYDZG/ZDO
1QKdVA19SOjjYEOqH4IlJE3G62rxQs8TUuhUI0SRlstKj4T+aDcw5yc015s5grloGXNzBdGsuDQ9
0GiFo3hTO4ngkNtbKPcxDAbmwGglHFL8AFW6/bn4/dfH+N/hV3n5Paa2+ef/8PePUk01dVL7y1//
ufsqr9/yr+Z/lp/6v9/1x5/55+b+fz387bus/3a+3z78+p1/+EF+/b/++c1b+/aHvywxFO10233V
091X02Xtz3+EF7p85//vF//29fO3PEzq6x+/fZRd0S6/LYzL4rd/fenq8x+/Oazy//Xvv/5fX1ve
6T9+W0Ie34rP+O3XH/l6a9p//GbIv4NykXhhhO3YrIrkjw5fy1ek93cLyoEhdPIqLcF3/fY3dqE2
4l8UfxeYA1G9miAyDMhSv/2tKbvlS5b3d1fSrHRtB1qga0n7t//z0v5wif7fJftb0eUXsljbhn9z
ST/9/Ur+fGfI220HJQqSCUe6hA/8ElGNK0yOiWlGPiJX86qy3AvpCeNasmyuGmt6brH2IowxMVdW
j4RULNnApdoiTeEk0wEGDcyR/AcMHlf/9iH+65X++yvTf91Khe7YHqpsy5CmLh3xS251R1piVI/Y
aAMoXFY7jLdGNNzk2gVGQL0hhtc6jrhNAqN96qjmX6Udb5KgdZAmuhcRedrBQM09VOM5UyG5bVnw
7fQiOJeGA7V/HEmrrMlFF13jblAHqq1u1CfhUN+VUT9e/vrd/CnYmXfjSMOml4tCzHDcX96NPdII
rkUZ+67SDhJZyAldhp9b2qOw1PxsOKVY2UAzZgpXUBQVCYh5n2n3eUzkZwAJUy3rYL38UXjGx08Y
g6Za50aaYXlre/UdDPj6yTPbCsGMKi8wrXJh9Ns+aj4g89iPAw4t06WdqY3VfugZziee0q9sMuYI
6WT4VOEF8bmNip1UwArHlMb6X38K8tdw1uVT8HTDMD3LlQxHjD/WlrEiUQJre+LXwZDjupxOPzeT
QtaguLzG+B0RMRqVdRwciOChrd06mCiZx+Tq9+XqD6vVv99g8tdg4J8vxnB4+IDagKb4JcHYZXlG
o5SksGOm8fLzhrJCeGeMW/1kiIKjufhvsQaNQUTJRQ7KrtU6/T8E/f6pZBTkXJvEjVMs8rzzofzx
MwGDNRqEDqS+6SiOPYlCjj8jtWviKNuKfljQFRMz1QQpPiAsmfd7bSgelMN+1dfp3YQI7o7jnLWl
EwfUPV7q9YCzHWxBJxtpbhG8VqLmsVlQV4HF42r37Wtka2+tM9ogbaEZKs9xaD+Dlsax/uHGxXxM
5+SO/M2CDUnMj/gQL1Yi7v/6htB/Dfpe3jyLHO/btXhixS/Lj6GEqXM/8uYbeoqtRzqoYxYAXnPy
1Xl1MPKs9Kl2iQvLR3cVOKEFldO4H0fGtXSyGSqSYbEixsK7dqlG17quGEPkzUkP3eS6BcbwH0pc
d7lH/7hisjJLYUgL65mn/3q98rJKUBgza2RBF9twoi7VekXAkIB3iL/xy04XsaGWPpmmNRFAg5Ar
O9rOnJ4M6Xr0cARBD14ibobRfdYnxsP2qB+zKU9P0NhKupCafGjy7EVnKLD1Jk8/CElyLC+K6b/W
p/vfQ77jICOCdCmO8zmbCainOyu5jMYAoZkewHwZD33i5pfEGK9CUKZ7KkjuZoc6Iu+DK4DnCbSH
r4ymwLHvOuvojEQw/CREZCz5aBXFtM0bVPdAl9qdA9jFM3u1a2RpbzK12PKbpWy18A0u/85MbUxv
uldA2hN6qgLr5/Jo9aEGnSMlZCAPzW+tr48ei6xuWy8ICBA2xiQtBAVhfmXmp3xOu2wwrZMNnmCI
cAw79kAi2JSQa156Hk8qmZYnU+MY9dc3o/HnBcFjg3Yhdbgeki7xy4JQVaILSe3BCt0Df0a2gbGV
0Wcw1S6roVvTZNTKk/IQAWCC+PmyELttxDS3zKvaeJeUM9NSzq92X8d3Lba5x5rTBy2U107H6efp
tLMz19VviZFY6XTKfNET4ytqIjQYNVXfqNIhgJARItWx7qzX//AO/7zbe7YlpM0NLDGgGb/sQpUo
u5lyPkKUZrPhyNmhtbKcs/X+XSCdx8KJg7jC6jJ4NfqdRNHpxu1C6OnekcQxY5For/IRsZ2jJgeY
So9qjeV+NWCIIl/buHcwJ17mdgqhLUXGJhVgmH/uVm6s31q0L/OoJ5a+z9ObeYkwT9El7a0pLSCO
VTSoQ03s+rx9+Ot3bi7X7tenlr0HZsfyn21QUP2hq5G6pDraCYsoB47tGLAKxokX7SgmOOx48SWS
aBWCMeh8cSiUV94i9rgpdI59Wt+cDGJPkf/8b87ObMdOZNvaT4QEAQRwm4vVr+x736DKsh30ff/0
54M6v2SnLfvo3xeWK/feJZImYsacY3wjC7bNcm7ger1Tb9FeUzV9hUxHm0lqyNZkArKtB43kAhPW
nOES/8fIOb8Kqsy7bdT05GbisXXbjwmV1sHFrk7ACRpCl5j1AkaJjVZ/Jxd/GLjI8FgGgcU2HUP9
Wz6ClMVtX0SoZLTW/MvbL37dm1mAbV4P1mLm/5/f/tDMxiKOajoQnu5hAsNgps3VtItaK2csPNvn
vGjdrVNFb6qG34hAA1geyuCL5pFi0dThba0Z4e0Qx3eQLBa+FwS2LXmJTOOo4eiWRfG5yfrtnx/t
by/c0R3pUi6agsf786PVQSbAtIOxrErHoSlEIHSivLtWtvGtKki2MbXhK04dUlOsjRe2foV4U8a5
IihAs/Yz7+NzQzIowYRHN5lv8fyRyrzs9DzcxxSkRq5u/3zN1m82EY/SXhi8EbTZKOJ/eh210ani
qNKTrd0wl89QHPRvLfEvNHABV7qqGC5pjveBs/j8WBoE9jVH5EcOMj+HltKYPsl6foutKHhoQ+cb
EDr9UIWTdl3NM0un9613B3XbLn9YAWlYBsWy95i7RfY0lwR3pGZ70THhH2orcG8Is4bkFMUdDbYg
BIajoBvZnZ8p2MRDMV3CjE1H1PLiSNky7s+3BHfFlz/fFPHL6kS1L0xwja5LTqOhL53JHzqPCMFs
XOfghk2A6JuacBkyBIH1shcf7MENzln7gpuBoRn6JWCO3VvTxN5+PTqn4TWOj9uBshEMUz4jkR77
TSX07CjL8K6Nte16SKk67M9QNm5JH/i29gD+/Ev8+mSB1ph8ptKhyKUNtmwyP/wSXlNMzYSFzhej
6VxqEwcA05L2oqLuYWLMgcobb29JXybHzUmtHorrRYs81Ml9j8+q9DKwI0GHbEBjCMlGhSFex48S
CTt+mo3kK7FRaokSI2S8bdrTwAtAcFru7htbRo+d7uyVbRDchvLaj2tnOApao1cuqQ/XTYcHYhD2
ez5RK0I9wGbTA49AfujC2J4sEgyqF0Qz3yvLsZ+RA/7l7nxuLutSR9JvWdS6HIkN61O9FzGBh+3T
UQVhp9qEQa0RHl9uZT0lD7h+iBvQYLzTXjOv+thi8L38MejWP6MXeYusZjrWYa+urZGQGGgA1i5z
8sXggdYyb7zXIOiTM9kd4lil4GOY+97SOCfTNisROs4AGyMcJlfSakqkLaRVVBSeZFoi6wnjhhjy
8UZoKAYmHfY/EGlxRSvNDAvieAqal70Vpy9kRl3nTq5dR1p2JwcudS4mc8udfGIf9+6YKAHZBj32
l4XO+PXmQSGTNlu4xTrtesui8sOrJfpBWMwUyN005HgnZqPgwQ3HjunEMerzF7nygkCRUym5HBnV
TBCuV+lvYcBvn/QepJSeyUzZbgyRgR9brG1Gm7l/Obr/etiVPFlPsNc6gDaNz4ddIycyrS8mkrDW
t2toOXHOSzeNr/9Al/qJxASsGG3ylsNz3hXe+Dq3QblX9PEPrXWbS5CmbpuG71XoHQiAbZ7qODCu
o761r+Tyc0uEGtbdhOylrNnlYQJ22GrsSzTKfzRmE7Td5DOSqewyOLh5o7G1EVLo466el2PE6CaP
ShMn2GOkYZFEfJsnjI3//LIbvyzyksO+JzzJ+Jb+ztor/+F5pTr210hLHN8jawpO3b9ZC+LRGWAj
Rh2wYdUFnPUCSmAeef4YxxJFOsw7V5M3/4eOyu+ux5OcswSrrMCC82lpGvqRVjCLKc3tUZVo2HTT
FyH2kLjF3wHO2ThYoLuxx9IN0UevhM5jpoQLExYdRFgSVGfqfzlOrevhT4WZFKyVtsWS7zmGvW4K
P9ykhehmmLzZfpugri1s1d5CcECQr5vBZqWPxoWNfHz58srYuhA/aB+kICEUYvqS29fmR0VOwD7U
UG6sZEUzacgkrMrzitNiFG9p4fyXh2v+UlBKYVAEMeuwbXQm7rKZ/XDdUzZUnoxAMbQxYT7SHRcg
saou60KlNyRINQ4Ct7jtijubXgtxs2Vf3CjitKFOuX4xYN8IAy05FY1xKoPcPmtLqrCrmacVDVSE
wDMW74LizttT2J5EaWXbdc+anYRTJ/UDEowGvzEefvQlzl3Q2Y0/tIwSKT4e/vw681j4lT49Kvaz
ZXsjF49X+nPRgp6LQkDq8HWuWjOeH+w4hLxH3Mri+YcgoifzF2S4YOz7+UGlib8eBiS7zkabw+hm
DOqtsxCZGLoQ51DNCeEi3nQ7QMllE1tPdwYeH+mlC/1MN59jUOt+n9cnSeIdAslZ+M2Yl68lR/Bj
K9nXEgYtL2sXiYV4HYMEifuRw3s59qAiNzRVLCpDZC80tWCnJEN1VJWZPWED4+MjXVzNYXJDkp5B
rv1CUiJtiWe5NMll4Kp94BG1B/WLk3lPXh32AjlVO44I9aUhChobDvQK6ozdFGChJVE+ejIWhGqS
o0hDnIjVLxPB0YWfc3FjPEuSapTx6HtZIoGZmMDuQxO7m7QyfZ/nVYHnfn6twEzQD5mGS+vKO1AX
DPkDLLwy2pPWfm2aOMSJViWYu3OTY5X5KYFA7ObQ16bS8TZ1q87ZbIwHo+LEjp1pQEUa6teYYa/b
BHpCWXVo67z/R3Ht+Pl6mstToOOZg7jN6kAkJdqt5oJjYmzku7Bz9k0kzpYoX0VtvKzYJrMCI7Le
uLohOOu/v1ZuH5P0OeOI6rELh7FJOxKiqBeV3VE6/XuN0/GGsEDv4OXNcMzr+YMYXTYuG8YAMcQA
OOMEXeBQoqKxk0UVZHnegaiTwF+ZzSTD2GRPkhqYfEFXU++9RAm/LNP6QCzl5M+4gU5dg6nVrIZd
TqbLWU1mvqd/Ym/Xk6dpeA0yBQB+XY0zzSE9felWyCGsdpE3N7cw/A8uSAzE75iyTCsqX8cogDbR
fAy8Dq/0ej3AMZhxtWo0SCuHHd3Zs34Ljf+5aEKkd4h9ziEK2407CvvkdC0Elnp8wSVeX4uqr080
/09i6qwbMaf2UWk1/sEh+yaHYnxo4zY5R0sLLg0eLNokJ6aE27rBHIXs4i71JAj5AR3aAH7vLDuL
VIpRPA8t3YTI7BBmwzEMl2EYiNNXXUXOvvBm77L+re3b77iBUB3/eZmwf+nbSwEhxjSWWYdF++7T
LmOPWeoWU2T4JoBCvnsrgOSquuPUgwPaSAakig9YaKF2Xv9LxuU8w8F99+z6gBIofTdg1K6FQ8Mc
8WBnYKrxBvr9QkpWcvpXh3/uZ/bQHMqSdURPqvZpfXfVs2WBmKh7aZ3HBK5A6mBn6iBVH3IiJnZe
kOH0Gfv84prOeJXh+UGlzAhiF+uZ+VA1KGy6eLQ+5gwZGCGKT/SQy4MbjI+dHN0Ns339PfcIvrQn
8aJQ1EtcbmeoukTvtIb2YorJ89Ek75AHikva1XjDUHz85Rb/OrSR9NDxe9LE0c1fq+gCWoCFrtT0
VW1erSTFrN51y/w0lQaSiAQ1TBFp+DSk9laQYLj3mJXu2ZQgQGveCTcm6MKpyDd/fvbGUr5/2iGW
GYdOD5OhEjXGz5uiHBS6ujE1fTlYkFyXB9ZrZPOuX3aJ/iVOwPUpYkqtPp7uwINthoXpK8kk0xWR
5PO86ODxGSCKTIkjGiGqEm+7NKv+fKm/qzssajLgk4tM4Ze2O5GYplMPjuUnhPfATiR80FQfiILz
c5mWpCtUdf6Q5UNxDGwEQR1y8C20H/SmXfkKAfsRLYx91sfYvRUNVp8sjQ6kWWg7u3Vpmo76k2a1
//z5ote2wKf7azEN45lTV1MyfWp15NYYOkaSWn4ANGJt/M9aQb5X9RKFLcu2a1Pdz+WpdS2Yspr8
bpX6eNPE2abkDQnIeQVQOi6/bnTzl0v7zaPnhbS4ncQeL8f4nx89MZU0Fw2avOt2b6ZvGCqHs5uh
uMMMMbw9IFFlUI/u6D5DocZy6pmnIYYITuNbQ6+bFTvdTYybiAD2U5mK4sal3PvLVf6mhLGQQDDx
WYoY0/nU4rUKHXp0gC2gyMzi2FZ6tC+yDFkxbLcz4CDYMMsjX1LZHqs8ONuRuJ6Ru0b85EO1I7Yw
ZOC7ria+pe/c+i9HPPGb62PsKyyHh6tzmZ8WT0UbfEmSE77Qa+qPBZIKdvcfQUzaofXGbVaV/63o
2thi5Edg5Jc1vk2cKu0jnrxbpUEK0cTAB5Om4ZciVtcuzpeTVVnj3bvK4AzSTGj9wvKSJy8JvggQ
sQ+6snZ/vtPi18OPuUwy5HL6kcsp8Of3Ic+QQUS1bvv9Mht2nWEL07w/8sO3sFhivuk0wTAxWt9d
mg+FQydH95ybynXY7iL9qLnjC7biCselER9ayBypquyLTWywhjjEdDsPw8J0H5Zu/5d17DeLA4QT
4ZoepyR6FeJTmyKmkVlLWp7+zEpQDAFm3y6+xDlxJ5Ybd9s8gFOPtl4AhyZNGxroXszwcya9xKHf
snqlMZFfjdAemiJT17De9hGg02M+i4tHEB/9szl8/8stX27pz6sDV80MSTg2f/xy3uxH0eltiQx1
nvVoO8vU4p5L0FsjPn3wHPMxRhWJon24aYgUHmRTXlhMHgY3q6jpRzY/NCb4Xs3nSp6asMeSY0hc
+N31epICANn+5YW3xa/XzHrGZUvLxoL+eSKMX7McoTmRkhp47gXbavUgdfdxnYXCIZTMDo/xNNZU
drJ6LpwJQEWZcqs5D/6DzYCo9eX/6HbC3dU1ZIMo5V123KKlez3ZVyWG0i18SzKgxv7FVLV7WYaR
F4xHLlkFLkG7Ykh2ESTkLYxiMO0lHx7dhrdFZbVbBVQoeOFwxA8kATeHDBPPRRE66vP9I1EutWe0
ymSXJLMPOo+mS/CvY7bNWTgCQGxqfHPNuDnME8dZga9mKyPoshhLrL90XX4drqM3pKtmLtE9FvPs
T5uvAgNSIf/DR4z98AEQ9L7XF8DonGUbPbNqbMtCghtB1z/pjncohf4mZ1WdPBbf/5+LsS1TdyxD
Zzn7vNBiaexirTYgCmfNdNXXBVETGXCZurbJRTd75yZaBi5m3+IGnVzngJvM2/ZpmByLEm/nnz+N
dbD16dNgyWdYKySjfn29dz+c1htIoYqjpPQto/qO58889eRrg3gzyEc05GWIPVo0GtkZ5gBSt0CH
uMWF/JZV2aO0A8pz2qEGo5Mz5GQSfUdk/TJEwx8nL9riOc9bB/9K4TAQrqlZtV7fd7xZMFmhi8Hl
u0REtR7Xvq8dC/v859/vVy0Dz55CkEEC1arN/Obn1daepolf24I8umhaxIAkb215xppwzn1U+HRe
TMRhBKMCBHzQdRLnIe/e//kyfrdustpLWiKSYoBv+ufLoLneK3eW5OQaA50L60UHhExqYBo/auNj
WM/m3osrgy4IHJKYmdx2zOlfkAsEUxsuleEFuh95WXzFeu9d4oEx4qpcJRxk02Zy+NfG1P63FtRv
1iBb5z8M7MUi0/lUVaGGJFkyiSVbKR0ltATzNrKsEqvUXB5EhkGjTwaC7GOOdTQH9Jtw1t4Mr8oI
l3O+eV7H501c3SXUgKwKuw4uoBTKfSsLEyirRpxpqE7RoA5NK6bXP9/yta769GZLTqqWI2xHUnl/
GulORZF39cBWtfZABp2CSptzMqRkalwYqTD0GTZNoY1PnM4ZMjI+8ULPu+mZ5q+HpkCmj8GCXq97
PfSlVZBdLXUBd49disnom6Orkx6iVrQ0G9nS8oK5MeKK0KjVjWVdWz3u855QmV2/xIKEDeCuwBMA
PWxHnWt3PoYLIN0wQPz/+Zd3frPj8TkvYmtKTwspz8/vG5k8bgmu6H9fe6aSPWt9RBYX2fYkBIcV
+W2aIoAv9Io9hk3jA6dOyNupCFW1y2daOfB5si42rtZzclsP7s5wSWfnVoenTAM4aRvBeyhAkJMR
21/cSuupT5YDCS7mq7XltUsy/AHp3H4w5RUH8CKP+JCHa0sQ72aHuC0syjpMj9N7IRejT4eoppgK
WjrleyyG5taIG92HEhnvzEhWN02q3a4464K3Z2G5vKVGhROiVOBQdCxk2QDxoCtc3Xer0rrRp/Ej
661bMM02eYxALncT8SqQjxMXqABRn6NXEWmJYOUi8tZ9CUsFy8O82MaQnWZVY9dfpGGqbhEDYxX+
82P6zbEQ4atHJWVxBagWl1rxh9VXuU2JYnaGOpZP7lEL6SznKj0m9F42yNSnN4oxmhxhRJ+vm96N
yZZ3FIpXdVJiNtOjlHRkgsZ2kxdmu6zr6rcRke7/5Vj4S49cMLqwabowmUWZiSrp50vtIxPfvqX0
bSAHAdyshxzsYfCdXJQxCyxWhvnXAS0BaQnFs6sJnA60NyuEE+CrbMv/861bK80fP2+uZ1lO2dhd
RJqe/qmMJv13Albb6tsI0gJ2Yo+/of2fvVuhomE30t3xI7tKN25KIcrahuNvjVsxHVZOIz4X/fgR
IbU81PEkjmIZu3VWFB4zzziNE6KUqtSLYwl+2TPzD4aquMx6e3zgTQ32Uif7h2pi/EuB7Xw+5yy/
FuNFS7An6Y5hfVq1skDRvcYiyd6PfZzmCt7y/do2HTFhRaSq+MlUEmo/NppP8dgfVeKM+LQFrPBu
G3Sa988Uk8K5Lmig6wydmVY1n1NpYhrJ2f0qEKlZkTzjrobRgR4RNmFePCsbSH9pkzSSyWlIDlpt
20iiQRP1JHHrMBRolEbzUdM777bQut36ITYOaLMJ8g0DJHjvOrf9CuUkn/fiBVrjMbTK+L4uqGnV
qAsIEYT1g461cJaneKq2zpIlVtFYv8WLdxJBkp1Eb4BbE0hOdZV3O5ewgLNNw0mV9nBuZgjreRQu
2GjzGUkIxeb41cBbxS+Xv0fIt7YKl9SuIC7tCsoDl5XhWdPaEZkf5sCdMMBf4C8q//I9i2VZ/fml
RACPpllI9BY2B/WfP5I65+NB0U5ixpTz4FwFUytnw/xvh6Ybhn83Pq01PHGklyaubqwwbJ9xkEX7
DhD3scjVfTnpwy1ueAj3YXnJCNxM3cEFUFuPB828H4OqfEdMBPzBUhxzl9c0TfWLEcbwdsrKOf4f
1JjisyARe5GgueJZnPyYdDhLrfDDUpXzQYFSDj2f/1kJBRHSWzETjbvNIJQZsyZuqjZ7KDEbH01a
f95km8eWCPEL4bDntqwK4Cxa3fkyWwbyXmLuER9HF37NQ5nYjP/H+PovS8SyJP34NJZLRkW5nlc5
ushPm6ASWgYT2OVAkhMc7UVpui+qEbxOx+Hb9p7HqvdADbra1jQbF4vekjGr94d1OKPRSLKVQatr
zuMdWV8TUGpyieNCvCbAOM4iBy+fzHdxGYBGbkRxHYuG1JzaKf5SpP/S3Vp/EXToyLMMGznop3vf
mjTV6yr1/FVal7gkdrZx9I856y9rp0a3cn/ozfpWpLm4LpwMKURYPfM+oAKQ2zmutJfQ0ZA4e4jx
/nyXfxGQcXFcFbfadviP/CyUl2ROaWFvc5eXfoYK+n1bxPJcAiBYAmfum6pubsPBYufFVuUu3vql
9Z1Zbel7GQHZXdMRqB4+uWMXAapmBGiQ9O7/F4w5VlvsOCEJso51GUOq9NkqNz2QmR1DIOe6dReJ
Jn28ajn7NkYHXlBpW9ytxSagzblLFfVZVsnHhkL/amrz6KpjPavwjt0PMtD2SoXWNS05jyKbs5g1
Rn85gyxl/q9vIikjdH+Xzv/SOfn54ymWzKpaX47FkyV3MkAp1w1TdKxgc4V+0zHF0qqsuFSE1f73
R17IR70uXAYuOdVpG594sez9+k9q+dH6t0HFHyZJMac5qW7icegfe70pzxZgRwJHCNyMm/tIFjcW
M9mz3XXtXdeUr04bTaTz8aNV4K318ktvap2Pal5nPR17Mlcc424taEMrHffWBD7oCqQXWsZEmwbA
4ct8BH//+nBrzcZ9aE31fv1HeHoB5LVA7ludtVtJ/YFRHex4gCvnNmH3iavhKmpM9KTkJ/BSYeuZ
Qh0PK9wZFtX4JvKiigARdF7kFcQHtzRHGAhfGIiBqIyT7sbNFQw51hRjgaX+N7Y3awfwUE86iWYA
1ndR4/7vhbqBe1ZW9kXzrGY/jIygPcCsGyKxBPFFzl5QsINgWJ7FIArYDOFEirqF5KLuzesg1u1T
lRh7Um9JORMTaFVSrEiKBAJoZ5p5149lu6UD3D6Zxbzz0jR5Qk06HUAtRc8MT4YDYantQ4jviDe7
vJ8VTBCCtt4UwrWn1vYIdE9D4zAYOOk5KytqcOdraJnTlx4C6f9eGkGOwAE1JAAhEW/HxMKQYDlo
+XRV7ZvE0B9o635g9QPkh6/e07OnluMZp3cDBpDdmiCsiHiw7fax0rBKwyd4QVa9tRhKvQhSVn3c
3GQzkdrhK9wYzz11PLiaBxBDxjW2Z/1hJInaL/sGiOHwGFmk4GnzPD5kju9Y7bkHvH1ql8ilCiDX
BXmws9Nay3x18FBksnlw5paxUgKKVUVhvPM8RbFRBf6a/RggRN3EWQZtRPahTyUvt7pBIg/gDt3H
exveT4CownHCB8JJzqVrxCpQAyjcjWPiIaKWPSpb3a+lkWGuV/mt6ks/TQcv2jiNRQ0U5a8ttIo+
ImlqOV60Mh3265KzKO+2yKYMwqD5oxq0/fpxdFMv9gbJtVDIxz2s+Ow6dJ7b1tIvDtmouzoUCaN2
Yisxnt/bHEMXvFKwVRXT4tGUhDQT1OiYw4ubl++Dl0IPmtr7NMfNvhwYCQjacKRCw1AZNaGOgIMN
uu0awI5nJv7jhlRf49J0LN5WSMPIMobxomPtYT3exuDhXqDoKtjMxCesJd/6byVgHR2Lws+8bc0+
OiZCIDCQxIc6Fj3lXpbE1rbEJBsGww9t3BQjgExUqcYBzY/aOM5Qkh0zO3chgGffxCOLebCwGEM6
nOmDISZoOIu/olQ4yHF+65fTtWdsXbsp8JkW8jCBNmIjtZIdSRugO4xoPGOcczYqa8KdRUosmFBt
Cxd13ikjFKQHQoOOlr8Nkjb/4JB+RGoh7j2rcACVduW+Xz74cEmSVQ0zXzfRLsTX0GJciD6MBP8F
Vz2CYicwiQWWfoS8Xg/eJVO/tQCFW8ZAJcAJSVD39wzStd/BUD1GQmcOq/J8vsl4z28KVeMTxSIK
ySp0tzokuZwgbM8ro4Ml655zO6Ec63LA4PRNsvCiV8jGrSZz++QFCgqZ0/RPKSC7q3JGUjpFt3NN
cq45mV+coSlPzcxanZtI3COwcwrQ3vs0XE+Qpm5CBqbXVX8RCaEIWkmqeOretC1UnGGq78eBDOb1
TF4vqoI8dvvtaAKCXg8JRKWoU5PZwf2o2zrPNmd7GYE8V+1gkxO+L71+/hq46PfGaLQetDAmIaSM
tgAkSBdVpYVdAi0ZDurqQIqOu5Nh/4RmiMbBHJzXP9KFL2K1Sb233AhXf4kfOWszZqzelO3JTmNP
RVNLtz2U41MhqpzcQ6owL/mSkin5DbX5N2ib/RXVZo8Mw0Uv0tI6MWGmrKvHuPCXkom01P+m3TrL
3X7u9oM5m3cor0s443x/pQMK0y0RjP43Rp3Z78+Vi6RsbuTjoCMrKQA9rotLk0nzynFwKtWyYgA7
5tCR6fodCpd4UiIQ1CEXWKuwKSwNsd0QzeER8bEaHUTleZoeRzNrXrvkSEj3VQwz/8Ol4ebXTX6H
Gy24s00EMrryQA8IUpGBy6Ct1DTnVA3TfgFeykXmonk9nKNZSewq6mo0iuCbBo57MW8Ukd7vxipC
trge2nor36+KzrqFQDSNncHQPt52MJC3poLDsRpaV73DTGznYY4ENIkigW3SYtVabkvQG7v1+IPu
st4JzXxab1FqWt+TqDY2yozTa+A1u8mU2nl9fyIZ9AyYhvq2lGIbQVOaKX5lXj2YarIfW1KtSxjT
y3dmDosXBKrhkfPKIS7C4DJUSeKv/57GDXaRCYu3EB9113AMEylIOGbWDZG9J2pdfN94dQ+WB2kb
lgNvaKSsjagJ3JuC+ZKmON0x/51qFZ1INeGkKnk/JHgkaypPosUyHCgYVXW6WzIgPUqTNq2uOFtx
6jzl8jiYCjrTEetTW12XEME6d1OiQrCZVZbyFijktgq/zj3RHD35Lv+GH8vMk38jHwMRUJXvY52i
obFoeBiqfZP3Zv7OGkV35MpFcgW8BhPWqFMf1MKPdHLDrPFL72YWgQvqK5tjCHhfw6WQyicp+oJ2
RAS+VBgXlU5sRHFEMLutPohGfk/c+Z+Eo9CQA1Gp3L1Bvu6NEhOnDCz8gQ/KI56FsasS090SUjvf
TWNzU4/6sO3JithTFC9cxqA8Dl7g7EnkVb508hjbuQ6WFdtK59zMWIbY549jizot9+I3q0nJkwuS
fT3B8Qn6aW83CrtbBKp4dJFFWz1ldJ3QZuqBP+4bXASpPd9SU9+lS2fPUdMriRjmfmRarQUpQx7q
A0z8UTO9QLa82OCivRIxFtcTS6wsWX6Z6CskpY5RIjEhlOjEpLVjrL+MInvWGuOlTUmesQjzhLmZ
l8R3CU/b29E0IuRnG+Spg2llg7oZy6jYpbM8x3g6pyi8oz5rrhgx7WY0CSMIPwLm2g14jV1ty7sw
0/F+98YTDoFrt3G+27K/DHp55Gff9Qp3XJ1tjAXCKup7LL7PWSNm0naiO3CD956YKsBYjF5LknEK
b/pawb25sr2h34maJrgTVieoHDcm0+i5nC4mUIuor/SnpDWzDbbb8koVbXZr4rS/Uqnn+kSaEzaP
QIFydEcSCjx5x9ohqXqMi+CpiJ3n9UXBJ4Lyr4lp/7QQglm/wEgihN+UYQDFukoPoaJFFBMAWhzi
vNjVRXCe7e+ePTx5o3Nfqw+7C850SnfspbfwOm9F1fpowbYzJGmXkLVgAJNkCeDtqEdpjNEhY9Qw
i2Yk0n5vxYa+yxLb2QyY54gq4baY4iv9fZSBYW/4We19JNH8geTvupi6hwEPviPIt/ZqlEJGtSUq
7IhUzbgeImAQzTiBTyVUqEEcTkqH47zZrQcOvpjU1q5cea+1nbavDEx3fWyAOqyLZt8LUr03dR29
aom+lTZ03M4zt7Fu4sy79STR9N9zoDlu/iET+xSBJG3C8MtYpZwxBKF5YvSdrtxSOWIZ6A9W9W0C
Rq1P90yHbM261N4EwA8ikvjeolnzmBGnezPPzzMUTqImkwdpstG77bAfGwulNVte14HzJIr6KhOl
c7QjfTPP1XVH/OVhEu4rTi+yn9B7h146HVO7xYy9nKRSQgRSWCDdXHz18FmB3WTi96KeyYKV3o1i
yJ8h1UUGGYATblMcaT1OdIg7QcwCQV3O5wls9K1NMu9FGdPO07LxOcPNcVaVZzDWzIZ3EaBHhanD
XIYtXav69s4Mm6e4TNr3pHcY5miOg6+uyU55jUYY1+sFoU7id5Vdn8p56nYcZu/HBg915rVMfJwX
28m5DouoDGtPDMA5sINND4kjUeSiYDit3yo9920O5Ka2AItasLlyO3iskIwHhh2hMNrj1PHr2jGQ
c3+IX2moNb7RgnOiDxnvYjXcdpjKGpeNSYT5E4VnewzA7/lBBR13rDbhwE1kh8j3Y6QdoT9ax6CB
jwSEk6xuVDI6LPhN0Fjg8RUkZjLw6vm+rVs2mAn1o8bNyyUE6qC48ULXBK6Ufp0G+xZdFnYeJE/t
MO5s5xAUka+m/EAzY0fsyZVVLYhXFxs6BVH7lV7QzoZcNjC3cPoB8zzJdk4DQOYJprNOFlwYP4OK
SR+iillzV1/gFYaceG9JyP7aS+a/VXf4iMlot6P8nyBod4q0in1GJt99ZEz7JpX6s6dDJxwNuTW8
f5IMMz/oyzxTm0UfyEEUTCrhNTbj1VMPOUgz1byv9Phb1XHkng9lYT/lxJdfdyFJjTmnJQb7/VXY
g7urH3lhJKES6gqwqDbJ3Uhf85i3Rc97THa3cvN8a0X5JZU0xGNh1fdtMB/0buZlAyu+CSXp8637
bNDzNEqWm8IBG4KPViBnbfvIvdgFb4dNTYuKGdyY15nDXtb1xkkzKMeTSJDRZvcpxKy2TASIYlDO
qVlo92ZRX/BlhueO7BBANf1yCMRPuZp1HuKe7K0xf4o7eRWDLBK72Qo3JINdSdB15pLUmEAsbqDB
8Q5qrHGlQh46K18nyJZjwSYxTi6EA4DPfu6luxgSDzX04FxVBjha/HEZEThzvS3MLkY5SxZARJJc
NrOtZ5q+Y1iNmRH8WM9bu6WBHRN9Gc7NQ19Ez0QX3UMJQFTb1dMuNczm4GH8QXsokjNCmU2D+PqL
Qb+VPGQWly5wxdXycyi9GPtDdQ25fZNwtoFZPr3kY18ftUB9aySIRn1MSl+1cJMZyF4rm+WaDeih
BhqqJa/69374brj3EWu7Gj9g8Wx00v860oPsgRod0qgB47K51vF7PE0Jq2voktjyknX/FlpD6AhH
T9KEwhQaIGqipsJ7kFADIh/NHSJo7IgoRQ82UNNXu8TUCyhtpKQ5QR2jLe22SJSTF6eAHqTojwQE
KOo80R6t+Qi9iPzVfwZShYCEX1Vxhe+k9mEjzyR6efJsLgaoAhhN/R+bHep0eslj894eQ4ykpdr1
6HEMbb9cljuar+FE2+vVLBmq0xUf/YjW2j2lwD6nAXqGpot/DMfpLjOJboAv+ZSTELHpx/GrrJMP
3e05WLTjYRSUkG5D1iS2bQGK0ebEA0EqxohDT9eq9U2JdthT9hVnWOpVONsedt/7aeoJjGHZ659b
hHHxS5x/jbM3M7QcKgIRbbNx6IioD0nVbMlUwlt5msuhfyW6+Tov833XBuNNBanwMSnx8vPN6y3V
F3t+csIpeu3GsuO4CUq+cXXxWoXtnaVdGpGe83lk0qK+1A19zdYLnyPnSnG8h35HgGIRZWdJbOUh
zC0Yww6z0XCeD03DBrF4V/QoO06pL7LW2dHXvxomP4V2oHwT+RzJDaN2SqhQsu1ARAWPcvSJNqQK
lDCH2Ya4DoRb1UQURLRR90sAlEFxHzbkIemhsYP8Q/oMXmDwkjtPkMBgunr9jC8E2HbZOV81+W/J
V/ndLcwnToWcjMVrX1oA+WBwc+gkkGk7MMWaToy4ipjxVUbvgivovzlEfGbbIEcocxrNO5kdPe3o
GP/D1pnttg20SfSJCLC581b7Llnec0PYicN9bTa3p59D/TPIYDBAIFiyHduSSHbXV1XnuTVpNxXP
evY31Fj6E9xh6YIaMYcwjgU1fu2mB/3QV1sxXJLmow9unYmswpXLmHahAcnrQLPEqF7N8gWoX1y/
MenPNKoc1zE1f1Qgc90I9V0WgZtgB1Z05jKUv80OyyNl9EHz4zrMvLjyiOvofYyIioX9hdeFYdlg
b710bbb73j2q8CM8TuinmOTxzjpbLoPyDeie4604At3mHWHC8pZxeaxK5lnPPadcWll5un2hXScn
Wrk6jVY+J3/dBBZC95Qr1EbBUnmh5Jwad66Qa2DTGF8L76Oyh3MRg94Ubu6syyyU64yAo8q3qQsZ
lyN4BP7JqQYeDYJx0gixHR0PtZCy2jLJjTernf4Uesru2cZxNoV5tUglXgat/Mna+fnLwPuY5C3a
iM5q1jrMSkcLQj07lS3QPT/T1sw6xwXsviXljjeJFOU4J9qQF93CL7Rljjo5Gd84/+EkVy3tIo21
gd0cU4ZlmgfavuytOUTWdRokQT6aScFuPzeBxXQZ59HZZyq57TR+hYgTzpImsfIeWNTgWFYMEbPy
jhT+1EttrM6mEvTNskzOwqNDsKIllVioYD0qYia0m8PD5ur0MTgApIjJWeg+5lp0ChYM/h2Yi0E1
sld4qci2B9k709oFv/EaXRh+2WoGM7nUK3fngA5tbQRZXqq1AWiRb19wbO9Sq9qVCTiyKDuyWKE5
rZHJE1UAlD3XeKRaIvUkIm7lsMsSfLXDKSHwdNcJ20ycE+TWVbTroh8kM90hqNl7T1uD46W1mX9b
r5zXvYQhN/E+bE2MvmsqR9H4aPBZ02YNAkxlbNgrtu9D5okD5umE8kDFbqDYOLW9DJJ6zWsP1j09
NyANaTqlAYMgPqxWc/DWtVmUiARcv8KdMjqcYfmWKOiqogOz7+xzTNNybzyXQbCNlLUdA22VztvY
JFoprtrz88zwgcY/sPId7z/kKeI2JzW/JjNwYuKtzxosyUOiwMHaxY4PwhU9EMghNJdXOn5t4y4o
Paf9BiZwtu5MsS44zbdBzoa/2BpNvwpMdgkD2XawfQZtzwUgLjpHlgNgnRByfclWkurrQiQLiS91
KJ7QbNdGXJ2GhVlG7ALb1diAuIF3z5VqHfbJkuIPBOsz/+IcTvczNZxQjtVSwNjsaZwMwuecAoVc
sqxkBMqoCdCO6MCquSENHtbS6+kPN0kNKsWUQpAhzzdGFJ9YNCAekogGjWDuAvnLSbhGszmi24Sj
VG69AqhQ/8banSsRBe1JesrVdYBocUjjonnK5xtZuO9tcMRGa2xScj1Rg1CrClVzPYGJ4IWopF9I
HT6VwDKLNaIc/Y721Oms+YlglzYuiZeky74PDvrcKpsB34UanMDCqNycsDCbdv6iDA9FRsWc01Ro
3MChCjjfzLB82e+KDsKLDdJ70te5/0cWm4lJ0ESzcBEh4fb+0mNbN7iUurEQiwJw7K65UbxHovDT
jF9S+nyayFri1QCzRMCvyHEdSlahLsAThuqUVKWjvvahDdWBtVY0U0efsrjbfgzrifJed1jlzstc
7JMAUuNkvawMUEAOHPj8m5NS7Nx4H7h7J7SiTQ/+3I41b6Vr9qkwGypMoomS/7w5R/yS5/lSn7N8
3ihh/NZ6HtE4cAhQQ1Qj4Eiru0uz7ejk7aUuFebWKuPcyb1MTYIpQ+fJCy5/e1ujpC1G3Ob8OAgc
juMzFnAXeveZmgxPE1EVK2krYx82zZ7xenPOUwx2/ZSF7MK4fAyueXbGMPxhOnUbXUrIBT3CAcnG
YFEPOU6gsm53Y8Frqzr3OS7TC0f9tqq3ZkxvE9XXgVdcOhOcN/hjD+1MyfgEpe8wkDFm4oPi3KUv
QTObsAYqEPPaYCflttTAEva5ylq+Oj1TGIO+9qG2xosa1QfmDfHS+S+0Y1Bcrj8377YqrlraHpvJ
urjQfwPtD439G9PMYaKKLdPco6YgzEW/zZjdHlUvU+mtTcLuhQ4XCLty0QvMLM4Fj8MJtZ/zzXOT
OOtCdauGdRkaFROc61j/gViIueWuhQT9cPbp/RNeE5bunFKH4MAuZj3wDgi6J7QY9gb7XFsDiMJh
CY8A/UF96emWPSvL0Q7yhBq2ChrvQoU7YmvxVQbBW61oMTHZzKz9QfqLmgo4+riyQ21VH56byL3V
5VS+5LieDQlanBXCU6zKb4AoOqbdsLw6nSiuOT2b18TKw7VniXT1eKwqLWILuABhqxV72pqsgwza
+FIxIwsZnx4HgKM6Szp5A/RYsbi3mpssmc42dFdxacve8YeExL796i5rpXbE41kK/PFqz9sHlRRr
P+L7NCmdXZ00vyIGBteO4cKbUd6ywXVe+aH5UVbZrfQ42pxOxlffnUCDVfJYU7t95j2MKXm6FN5U
UVtfFjdVYvzKRsrKLSN79UafpVD6GiI1HCdVAM3oB6AsdHVupOEqWGZiYxMV/hhK7xXabBw5M67i
s0OyPweWLJF1yK8HfQaVyjh6dtQA65PaPcthP4iQTAPFme0h8ok3MsZ1joWX/e29dDxWhjscHx9h
MxdbpWs35yZiioIarv1WbWQL+jpp1XccNkhUTyl3ndmpjXJqW8iXV6Un1dlC/q4Y7R0Lt5p4CsBW
ybONWlZvSZTqdDg3yzotv4qkYAke22z05htSu+DGgcpaiclaDXLvKdJVcUKCZUPumJux7KkAbkWE
scVJl2Er2yfd1W4tXst3AlBqr7RdxdzsrrRGWwWpE6+taaLJN8qpvlF+TAtW8hXhmGew2Zlbp0Aj
D3NKIKjjk1vLOUUVDYRaSwsWcxb2vUMKhsFX+BclCy8gcd7EK1F5hEYlYL6+3elDdQM6i6YazeXX
tTF9uOqSaS1/cfPSs089D6m9N0M1Xau6KE9T6mMTo1uZtKda9vF7JfIn+F3k+yKCN9JkO1p7EVN7
qTuwO2AHjAoDUAWQAVM5PWrUW1txglaVmOmBS01JixwDISv20vcpq28YQcfus2/bnwgi8SVKQn9V
V+F4zlSk0/0BhBkfK3qXY705XI4p/rXPoXCPTj9+xchDrBrLdkP3QXpwjPoPPqPgEGoZtd/xgOA3
wn1vk02jYJcvCrjKB/wQdB5GG1AW0Czb8W+fBM66G7NjqTkeq1Nw52UvUIniID88Pvp3Y8Zuw6mD
nn6HlUwcuPUVKbGzmxWiysYWSXEhzhCbNCW5/hPHAe3bQJ9Wyh2+DT0l2Zta+cbqCsGRqtg+UNm9
1ZxGew8Ndu5au7Mbf9p5DQMjFLprJNj3SEEMaCASTV/Zro805y3zdmwQ5YsI9De0ImPddAOE1sAX
l04ZW8B20XoKrOTmTkZ7qVye/5koPTbfYeRx4lNutwvH4F5m1Eu5tsdAJdOrw+MjRyQEjSY/WDwM
IzUlvqsc3shKs/psWeAAzHrT38lReK+9PsjlnqLEDU6OrU3HE5keqyIMaDjAuSwIQ7/KbN8n9E6+
VRqkyppC3WyNm2klkYwcLvbJQOisrTcTR8ZGZol6Kgdwsxze0Z5LY/hRMQuwvAEI6SymnEUd9ns3
i+DQtdWTm34wwFiagfniisLfmE3tnNEmoUd75LyN9uR0M9reccp1Z/kwm3XVbtLMrE+4jMJFJf2J
+KJXbekYPmJFAQfkmT9uT6M0lxfSo7XG2YTn0ys1nwE9WDUvTd9EI63jWLgXt4rzp5wsPH8zm2uH
Ifw7CjIpmurNR1I4zo5+IuXABSnyru555ucveaPgrGIg3Ga0py+EdL6txGOelIGd8MtpH4Ou6Oz4
OOSeuSFPWq7D6UqIdJb4Xikf/hXuhBG7iKn6Mq95SZEfnX03VtNbXYabPgePGYunXI/UhbZag5YW
5mxR4TdvFL/f8fE+GdaQrYZWTruMqOmyNrHhDBWbkEz26N7YrRFm3PHZ74VxmdedcZgfeA1vSRBn
n5xatyroUCF9+rCiMmJXMe48VhKbLqNfCC1Oz6pLWbvlJUP1WHe+DqQIgRYhcH6Qn26D2zSvrbR3
VZP9HrvokjHsMxoTvWj+5scNTINxKYuOpZCFbaQ9AX9p8rei5aBFHVrWwZoUwYdVyl+Vq0H5S15y
Tv0BGFZLYS1YWyy0Opco0+Rla2UW7rpSWrDA74/ZoavfRzD0Q0Z9ot3X2YarOOxKKFcrA1vTkjaN
zIBPG0UM7tYIlPoixsa4oj4SDlgNcCsLf8YsWMmQ63gVPM+cg9LIto2qw23nXHumanwr2/rWiA5D
Ev5odQPeDCYt5XGLMCmXU/YI9lXQiEH3Aa23SSBMGuKfU9CDkgVTg+fJFEwvEe8ioROqsQAHWZUP
XEMhH9kuIz7/XKmp30i/8oiN/8YVds0bob+aLDgqSYNIUDZPMevxxsYs0OjbSqMxx6mibgEWlxTY
8Nty5v2Ujgpd46f3MkxGVDdaCcCestDW7PuBrs6Ma7BHbUN2n214mZZP1FJBxmOtBK2NX9jHjVC5
yWkoMNsl/YbO1KDS3vRSMuHKYUyZQZkvU59BvFUhkiSEKVbCQuEoc/FmJjPYeYoOo+lu+o6RUZZf
cjo8qiI2XrjkMJRVAVPJuDk5NuaWLik52cjigzmZYDbOuA9314b+e+gnBJN5nmHW4P2/Vp36HNiF
m5n5Ny9y68nXp/XQmXTxD4Sr3XU95tqm0ULrrakbhtFMTTRexonZO1uc0oDDwUsQio9g1Lkk/baY
DzjmB3TJHc7LtTQtQMEVWZGbm77g5qca/Kyb7zriRkjBkMsgPJEuqjkDcY22PRieB5vhRRPEP9A7
cRBk2ltsOPmx1ZPwkj4FNfJj3M9OhPaXyr/jYaKLhuMT3vkxuTox/QueCJwbJ4KrD13rNSy6Q9ID
pzSKmG09k5+Dlbjl1q+10zj5zoYEz4TiCJSllwa7CLp29jmm9gXW4fCdxj6fU9Vk7+uGzXNp48dq
qqrY91qiURed3pCs3e6nkNMnEg88RItvjDYj400LUSfw2HaZHBf6La/vhUMfQfU9UjsBE2ETJrz2
Bp+gT757c8B/6/FvlycjSm0SI/fR9imHeewEp8LCcvFLhoj4QHEXAR2A5EDIQijawBRncI43rgIL
w8Lvd49A0q0ajYVxpcXzuJEzFWXNRQEpUNuXtlwbsGlCe6V4Hyog32gILgeSk70/SJrOum4uvjDZ
RH1Jz9x1nrMsJtzqOHQya2/O0Pe4091bkwz+Od+6FhcdPwrTr4b3lBcO93iI8jOmLwwgpQ++xjGj
rzDw9p3j+a90V6r9lAqWQa27ystI+yU8tWgt/BKRneKAxsUQWQuN3UhEvScl6YCG7XWYMui8Bem7
t+27u1ZvvfAQ+PaqsHmjO1cmB9341mTui5UE5qrJKT+sbf1vyvk1MTMIrP0KEswnBr99Hf6lXgwz
g1rWCYKx+OYNq41/JibVZbzocyZ0aL1dTPUmF828CTZlAEzH8AexZHTW7rEF4E4MW3fb5gPUF6eW
dy14yQpZPBmIvmetrZiqJskmPhKPHTmggk2u9OdWj187s8iQyGjE6aZOfluTtdKaGXE+LOLqFuJC
WJCQSyj+F6T0qdpGMoqHz270fiLMx7eqrYOrkTLCejweR5R/9MyuN3X2rPX1uZsHoTQlU8io958t
npltUiuMBPNdDv4DrlH1IjrHpHpuhL43Pz46uEiU5IQvKv80puF4y4OOUkqPkQSsJyyiqfmURsPT
XHfZxT6+dspbn+yedhylJd0vRhxymSiwFrK5NH7KkKNipP/GPnnRcH1Dmrfwi7ZMXkqikZGLQdzJ
Nik1dLh9HLmwTfJ+xBR02nApB4U7+TI6rNDCD39888ZXNwmWE5hvIL+LRrAL5O1DS0TIYebgo7As
fcVLsiz0k+2eBYPiqiuWomdGk7xjPljqHlBuv2etz+ag6td2ycqwxFCIPcs/NTMAiHGxYAvStUgT
bsc2j65tHwbEsDEj7Hv1qkSDs//MyW5LMTdrURph6YUVAgxDMvAjSy2K0eJuZfjXNGEqpr9mBV55
/Rr8C2Ud8Ihx6SEkYXRauj0MjJ/RGZcCdlA5yzKK4USWbepYX032NSrCZT1xdGhA8Sjlcb8xaq3q
MYRt1q1cvujYsMRoYq6pH5wlE3Fhtr+Q2puN7uWx3JKUEYU8oQ3TBtU8UwnEbx4sSBkiW/8tOUqS
+qMtv5SvMaRql5RKCpngw/QIr14xKG1GK19OXGVmErLB2KEyMcYa3iJ2/nMJzF0fkq6/kEG1GOAr
DO3WZN+O25V3HJxyTvLzvJHLxMpmMMeOdCVN4jT9Cw6Wgvl9OoOuFYZ08aRRg9q2nyi7jKxLxLY9
B8IyJeZlDvEswi+sOl4N9p1uv4Wy3m2Hnr695vI+TfPdDGMOw2fXeQmB6vQ6ikj9zDMJqKtciApE
tqqWE4VLoce7nrOmHpCcsX7hN+clVOQZoGpM6xKeNoPTMT10vLeFOggymjOKrK9py9bvlrmZ+9g6
/sg08ZmMymXJUs5J/watQ7FeTzEuSgqZXtf/E/GnazDpsvl4YlDXfznWLzP8nUHLpGhweFUtY1bt
4mV7E4enfCwT/rrsrfl/pEPtuokltbnhmF841VddHGwv2wgcRyxGF7CZVgYL6sb7TnQQQkSJ0upP
Az4cS8aixH6giZ/KTPDMeKsheu00aFHgLKjvIsGk8WxS11zzQ2hylhEQQqbdhf8dOB+eV4GdYgjV
mFQbrSdTQnDkHQ+RSLN+GvE3HRhh2Pmqy0pW4uCx0H1Y5GyTwIKwgwtD0c7IkNPUli4/gV+SVsUF
xIgVAAGqhwoWGtHK9+6j06NmMsArcejWZCgLi4EKhGp3kxZJtCs8An124V8KvZWvhsBPomjU2bhx
4H0G1RtTWhMz/J3UL87sumMzZPwYk7+fGLu8kDLoX6ZYrYa63+ODH16NyTDXOSrDVtAc+B4M4lfA
2/AWK6t58Ux7rezkm5rV8KbVQXdoBoaLylHnxrJ23ZRoe07Glzby07uephbjWnnU6yG9J3WuP/n+
ClNzTa6X2kQm/Rg3I/Zm6AWuu4VxntwxE8Z3DIt7Y0aFsTuv17U1RfdqMvSLpkdbQY/I/XHTsQJz
WmYYYSr1syPj6mg4GhUoYvBfRDNxqeKi/MMCmDWmE3xnPZ1dHHusQvVB7QTCzw76uHeLPAOmd9z2
3zLkKzqH8qp+15SlONiF+Xdq4Ta4qokZltmkBXqrOuvkmFYGs5OG7qrXOh6o2hqDP5Cqrr3ijcqU
PtuGve6c/91UeoDNONrQjV7/5+HHI/++wJpbfSj2GJb/PsG1HbcLwjiKsGmd+/lmgo4X9tV0eDyU
gNfinTN/YihidF0j/Xh8mSKOhKb/O+ibkkFmqJ9N1+5HzkTexzDWxS7ujen8+EQ91foZ/sV3HQX1
kuR5jvWNvimcvB9QqfWtY7nNRtiR9lGp+EVW5u94CNOjsNG6fC9AdBI91qbGST41p7dXpZu6S5v5
zdyLWn1OiyTnMDP0mJN2K2ekWfeXX+HTrjX3vbh2w09eBT9hF1V0lcTWLrtq4zTdRCH/Wq5sP9tu
2mJ2oD27MOJPg6t/3zR3S1nfJeB7yLp9DZJH4+kd0dmN+ik3g3tvYa1FT5OHREOkoEWtuqYOsqej
iW3hIF+mgbC+pCMP5MK1RRehOE+JT4UqpZpbLIH9h+HDXS3KgyxxVyQdjKiqkldc5e621ibmOMq4
635afyWQ1yNIcYt2kOY5BUN8NFIBcwuAJOFzGym13dGC+jNI1d17DeFCkv3bhTKZTjgiplMUoqgv
5AD1nMIso79rOTFV3cMHUEAKCmunBGEGghgvbVwdOtIiW7qjd0Izl42qUubD9TYrGvZXfGUyuWsi
PNFu6OkLmwtaDpOtmRfHXTc5VeXWKrPNs6U6bSeqwNq2lfTOjxsiUygaBmnpHsvuQw563GhBjDrj
TSe0UqJUgS055zapvQtaSBjGLBuR6Wo9KJ4FcDK6O/H/oyw9vtnOUEHoUD1Nfsa5+vF/ZRk/qHNF
xeCHryujCdtnkYDnKTQHEQFKJ9Ywj7NGPFBRzLQhPbu1zG+4inmzlQpwZaodrbIRT66wsLKxvXXb
7gYyS1/JHFA0s51ypVV4FoT3Z2h47owuEEsrSvZj2/0tHAbjTevSphg/pYmbwTLEkw3qPX/xtPli
PxV/w/ne46GwvfstAPrMvBskql+cpPopGSWfZJ9jeczrYUcwJl6RHSt2WRyZL01WUgbdJiRX5rtO
ise2cRnxPu7GvC+voy+OVWUTHKrgVkQoqs9es4ka+L2yb2gSppjOsBH/vXjKP0cBuMou/egA5/Fo
S9lcEyAmBNv7i1bgUhzZb7ZujvMwpuE5H933MJ80gimLrEO8HpXEZwb0CH+mxn5Vh+7UGS2jRYsm
Xnh169HorXskOm9JCSYXYL/ELOH13YdMLIQhpaYvp8RkXBQ9F6TwJ/GgcwcjglOZmWfXoo2SpRRp
qMZpu73XGRc533t8lkgexohO8c7z+wKfMyUuq//1fY8PH9/MG/tm1f2Mo+Z//Xfz+L8019QOGJk3
/++3dsLP16EEtfjvBz++sDHGaxVm0bZsQyjz1q8yxZlLQU7krntNoswwjKLOFhgPTx6D+76+zhav
K0B5GF4xL9F8r3TV7G8xtB0zCHFM7OopjHznZhWn2J3spzIQ2c6ukAUopTTvjvIYzdcQeVVr3wuK
x391Pg2yNWeyRQPzbDWVU/7UiX5ulvyZMpolotpvsXFx+MM2+MNOUh7AsNKXMMEzravU3FT+L2lp
40GpszNE0WIKTYeRPg4NTvR4cOvsd2OxqLd1Y+sa00XNYWnRIrxVQmobP1UNuRdUC8OwVmIWNRA5
e5rcLYxP0MpEl5pLUw9+O0k6uwLa+iTrOF/4U9WtG6J6B6WhvthjHa5spJ6NpwZnAcX1Ay+ltoki
F0pZ+JvAbrAlIuKRnmtfjYBgLdH4cOmzMjQDtcKEZew90bbHOGqqndHU5yBtmms8hfKqT5CiywZE
wNgg8Q+DfR0A0p1Lo9kF2MK2YYUrLA4lZnUD104FM5FT9Mb1yUK71XZicvrpmfgYTUCre+qCodt2
J5IG1smSRQq9tcBVYgE+HGN5CZvcZy2R3JKSo1l12POrEng3aMaGxY6dnwNgTWUZxJgWZ0dC3yar
SEIZdl28rVzANKw/0cD5Jl26MfQ8xmgsfhvvtzngD7EdxG/G2geMVH7GuENIFw987B+zCdNoMWi4
Osrv0dFqREmtXwe9LHdF5u67jk1GkdWYUsPnGmfEgqvUX6MwXzD6FptiYD2PTWxRkP+IcirCXFpi
EtoXd7Vdi4Ns+A+NoDtFSs8uNqmEuuXFokCT5bEZb2MB9UzSF9ZlrVgpE55dSYyEy4w+nmTBlTHR
Airl57vOAJf28VHrtiz4/90nqquv+mfwzNMq0id7rVvda+9jR2KlJTdywqujdclX3RoToNEOliQh
/VVigHXMsQoOWaWdq5G4ZNODWTeUtfZdWO8t6bwB8OfTwBb7IiSDo+qp86PhaiJP0XOmHXUqmBYs
2owuJm1GeX2SvRRSRdiCiFolUdqfRTp9D63ebcuOceHgNCQDWUQvYMNkWPmGTabZ6U3Xmq+KYf7e
En+xRNentPLbMzBFtqi0mNdBqk45wsUeZxpR2eLFsGyemIGRl8yIHfQqZVNbquvkm1tL5jr9O/pH
PV8vXTO6EDJf0MT7K6i4fg0avoO+s8pjwZ4YFAQKRXzNrOhZ7/wMRGDIbLZIdoNTLwRtWVeoNZrL
39MwGODXZWNt2WRWnP7ZCteGE5b3KjAoN1VE13Ap7rKgTq/NwAjO5GS1SfXgFlrE8CONvvbWI/RS
Szlh4XbHU+JwxV8wEtnFndQu/hTvOmliNg7at5jV6GL0cR04XOIWIbtpqgXnK0Fz9Ab2EE1m78BF
oyj1db7GvqyxXe3bRh4/azp1l7XGcZxURbpOA3owGoE46wyEngbiKA0qutu6f50g18/Y40um7yJV
P8zQcyZFUxhr6wL2KGqQ1hJksP7kfZIdmJ5sohQYBUCcY6kwcnmZiGm8lPHKCMt62bIb8gJFCi6g
0RGrFSYStNRYnYrRuQc1yMOUBeK8Ty3xlEVLuyOXMxQUzdILKDYTzmNVC2M7dFTl4bTy14WAQs1f
r4WIM7qAOeLPlQt1bbNvnuINmQ2gakW4x+Bzzlyq0jN6cfAoQx6KJYX2ta/eu75f00QDKsx9zqkT
GQJO6yQf9+3X0I0Qb0fzzoq3eM/w0CzKXNaXx91CfLil181NlBRuteY6o1E/H/z2KYpH+5w6mLQm
86Ure/utbxyUl7jUtn5hHJiyocaRzFzF8KgMkpJL6YefGIjIVnvjh5n4aK9CuCuj4xXXo35juK/w
Le1F1GTn2lMc0MZAL2JjESxBy2gxyVU9b2Y98WG1T/opDykiaWm0mGe4SPSxBN0apVxH8vyW26Vc
+oP3VvRssBm0WuseqSCPomWLnEZFjLe32QuujHZARqTnmEAPycvIeUlDN0d0AIMZFq+2qihmK766
pGGcjji7wEO4zOIGFrMFUkhPQ947UfDHzCm/tuZpdOY9w3iSK3faK1uNqwhbN/73AEWFkia3uAyx
p45D5z+F/oyM/qo5BZ6KyjaWE60Ti4KivxHQJkHY4epI07kVprv2EgJWiYUK0vUIL0MrjBUnhkFA
N2/1iyCFVKKWulS1LgEl7YmLX/tYZNu+iZ6FM33HkcAM63vNCt9SkhjjjuN518Zy2ONju4vmD139
GZUyyBSUqJJ9ttij93PFyxAZNEeQfyxrsZCj8iCTMbqgRGNC4xvEWqJYXEXjvROS9w5cUYaD1KZX
zQ+x4RI6VkTqJ9vvyLLSKFXnZDD1Au90A+Sgn1JQF7+sfDRXCq1DLz+dwnePUTK+GA2iwWihF8U1
LJSyUn8to5huJpC5jNZAkUKoT/O22lgNMwJ6PIJdp1IWFu7EseObZ2OM3Sct4YSqwSPN67l+PHBv
aVJ7t6oe/lI7Fezj+d7j8YkwcI5dounqk+snGdZsTsxZixjZJv99U80fOaTbOjIlKMVJCRWepBZ2
oPkmicL/vnk89rjr0GOzN0TGIHrIDzLR3eXYi3GZ+/JFi4VaD0YGZx0+usn2hILo7NpqOCpMOe5p
5FErr6vgVgvgA2z8kNV7saNqHLOnQ0kyRzZg50sa6dnRyDGPMljhwzygBdNm+IlVfk6FxBRL0IDc
kVtFioh6Jro2VVvnUllkoAye5ILT78EJw3sx0MSRd6o8Ni5KmexBnkRSk+eyFfL8+Mir52try1vR
M9sPggfJO+f9HdWCZK0T9BxsA+Wqr+3kTXDUWBxPJsPfn5zfn0VA8A0Q12+H4+S54zFPIKGNVGoX
cEOGrJPYbefHCRxP//kK3e+bg56wo5ivMLjs06sjFpPAiIUim13/PVz69S2zPXn4P49Tf2Ij69Fw
8fjucXAzCj5t7DHKeLdm02bSvJN6nMecqGOPhx0Cy9uA+slNFghnKTQYXOz49MPjxtciUhqBrqPA
8poiFDxuHw+nsiASUKdoilMQXf7d5FOaoN1xTcp9v9AXHV0g+gLjUrpvpv758YWBnfPSyQKuZSNO
k2o4685PvJep8JjX0KDnhx43iV3TVZPiECPcAkLagadccaGNUM6TAQfwQPt6pVXbsgAHYWMFwXlq
veZJpZ2Uw/W4oN7zw+nTYDmaU3gc0ak+2m9SumRofYaV4fgSBJp8Y/UpN0ILvo20648YYcplEYrx
3bPcgTGQ79CYw93JYVxAMta9BBSOvPXEhcZixIbcm+fRw5D6n68iLIe3ihlPpW6eAZaKBt0JMz0l
T6IiiGX2IymgmupVCGz4a8p22WkUFBZjkG2TKRSvJFBZmLOottghhKyrrmnC+s7H0/0p8ZEsBycn
b9RRABlBBX48PqHzbH2ftqWU/NinKNt1ysDmxS3fddJWJy9u/vdN29KUEEc2fo4EBuPjs2LU/+dL
oKtlq9w0GMazWWKrzDc//pumLK5WS8ShxR2pWstF8ki9mxnYRLIBFa9S1penvBi2JJKxigdFtB3d
fHzq55sA/Q8nfbrpHHvCxd7aT35PbsR15JNjM8/Xhb/v9eLue3O6aOrUomyHcp3VPlo5ctvKTkfJ
q2l1v0P5Htcq+Ery4dr12VXRIP00AS96MjIZrPN36TTlcSwDnZZ9gY3U06snhBD0YhvHRjIQNKCW
y708btjENFtPI7HkqZEXeL7599kSV7M+JT0x8v/5hv98pKJuFQWcxP59ggK37uJnK5eirDungeg+
tdnd1tz+pOZ7qB3Nrc0ksj33Hl+V6Fy1W2xRSC7du5ViW8o69WwHQ4liQ7jCEbR1+YpCUE1W6Soh
wbjCmVjvI19tHgaixw3SlyQXOgxLrXL1PXPtZe9uqPttr1R0vnp1mZz/i7EzWY4cybLsr6TEHlkK
xdxSkSJt82zGwUl330BIOh3zPCiAT+tt/VgdGLO7KmPR3RuKM8gwM5oBqvreu/dcK+L05MR9h8IC
RsLkWSf+6mw96LLd2innV7eeZf50IbS+h6fVy3Rnm0i4qxpYcIx2CKJjteodJj+T53J5q9hiqJ6r
jaqnbNEqlE1pFDPC9vqXSchZwwgAzVmFKmlPMuXWRUzqnPv4NmifFJZii0ojXXqkc6et8bOm37DR
YBdDS5Swn7zcPnpITqyYa6AdqUeJdPPyxD2oBitkhXjJHVoMwdARzgHg8zRI3YOZcJeVIn+IOZih
wuTAzkD1gHb9odVAShT2wB1SD/MwrMOCbbLRJbKCDjmnDpotl0Om6Ga41M8LyALRAVfvDyME20JB
v3WJo8TMRl+1bD+Z8ic7M7omSY9tgxJ9XblOsQr5cJeuaEhHoil3CrzXQNliF3KesOeShP7JG0mN
AQQLI1iRhSG5aKy1NHz9sQ8ZV3RV8itqgv7ZZWQU22GNmR/DnBhbeTLxhh1zLFEydMddMb5XTrz3
hVcf4v6pMoziaEssYK3ucHxOk2UXNxtXZIilGnfbN4RNFaVLa82LxUGPsyeHmnjNB6521G9Kt15m
wBiVcZ+ppVsUv4ewYZQ/6QxRqvZVUOpGrjcrsYW1bPuBZLYSMF9s5OYBzNeSFD73CI6b5kYONkIN
ZnrUAxQGHYmrbEDz9AERy8Fh31dDdXAay92OHatmoMJ2m9d0yfrskcWh2gYFu7umd9a3wmz2XVC9
A6EpFmkJl8vn9Ms8SeOwJpOP1rAnCnts8LZC2JbETwl81YNUEQowVkiEdZjQxhFHQzMFGz9moYBe
my56x9tAnOC3BsSoGQt6wWxiq0wCRYuUqaEb7cYUGVZr+MfRtvsdaXw1x6jhO9qNhFm4ITalrvAf
JuOOvle5gF6GMLoaixXHQWrv1YAOyom3ZA5Y50KYgCuwgMR0NEb0jhvidBDriMa5kisKHcXR47WA
+7l2OMAt0QdZlybEH9NByVnjnKtvpkE4U46dfWMBxsIly8vE6WJeRsU0Cm3eogXpt/FVfpg4mQvo
dety3tFih25cnpPi3HbdGkViteS1VDtDpSdKvHTZ90LbEPu0GSKoXg1nE7pEiQETK2zYkSyZ5+hS
/QeCcC2QDdW3qRtxUsnJ5G1FMTu2tD6dc2bn4taMyXudqmLZNehDcuSq3GvbZEhJ/EzxnFEJ7UJS
u862bQdrmmOQUz0WDSehNrMcRhsabjSttAh1TDy1zTvONQb6QS2GG0IjC/1gm7pLrW7HS8NEPHYm
jQWBZBbKr92kfISyYYPakS74Dbp2vqxlW2y70KV+H/Wn0mayTHnh036M5/xiRPgJ1OzBNMACCe1s
2clw8npKgUjhPkZ5edPIIkThq2eLTmflQeoDO4iJM9qNh6FoPszK+1G0E1THb5mOON7CAbKwYUSY
3nNY4v5LEs89x3n7WuTQYZwwys6BE7ypSH43m6TYSowT54nFVadGenTU7FVqUKzlNTzfNk29I92S
bB+L9FRZDZgvEWzZGRcNZ+AfpIf9xG30jRI2Opvzl4KzNnRyd6lb9NIMCdJlomlRl6OFKQpDE7yc
jczCdk+OYba2kgNsGAb7eYA9Q/GIxPrsSPIhEEkE2dWEPCBaIjm9wAGcrIyVOTq/rEp8xrAnme1F
S8tLXjWrKm6ugu0RhoTYTa+Di+KolXCQ6OA/esEOC2Z54CRJZe+C1XcQX++aijZYU2gF6tbpxjT2
Q4cRRFNInKIR3MMo8J6UU3ALR5LSOrvhlXcN/Qi/0fZh9j44pzbUq0tgN/iLYQp56kevV0hMyVAK
gFN6dR4TWYocuy5i7A+vjhxbZNXBrChDTFUEDU5HH7msZ8hNOGX6jpS0n9Y02ody3OV6MVAtzuN8
WrqmRRJYPJOEiuo5cRNk8ihCG2RhShynHtFMN+tLSMhYVnBc+DzxKgiNngMA8IuAKbMTSbGqbGZ+
AXOvRW02xIaq8kyw+kDp0hrL1sMWnIe1wrJM63lmXkQpR3a/ZlBJVMQBR793KA0OwkLbDjRTLz7D
b5M7/lLiodLz01D5cj9aCELyIIxXmjLl0e4/wswoz5Vo9CXS02RlspmtsC/JhRs655C4rENLGOSO
AOUQeXy1Jr3PXLkif/XtGunzOP7oVENHJsT32gPiwSFVotsH8+Z0CUqENPqFnqnfmBy92SCSkkn8
mK0F1SlNqniY8QQhSWLttoRdjvAx/N1K2aL/rQscJ7iCQw2eXuI2i2iMfmdB7G7KYPhJZdDs5563
0udkF7tjPJVqDwXWqG3X4njqe69fBkCdVo0ePbSW+Gli8EM8Vj6n2MNPSuVbdCofkRje4GVstQKh
L5hEuarxs6Ow3qejo7Zh35cU3XQriDiFr1Hsm5SeqI76fJ2HurVtJiIYNZmTUZCj6ysH/iYPzSpj
R+1N00Jjp0W29VoK56m0YrwshQY4A9D13hT2tO3n2XaLsmmTBa5/1Q0He3NDVlY76uOuaacX0P83
HWlwH5jtelAJ63zbzgxKUrNLVB10oBn309RdtSWpk328ikIQ5hiYHqq2ebKVUvsdFTbABkW6RqqD
CnP4vNkRtkCjkjXSBiH6jypF/h/QxaZ4el72TWAenbSB2aev4d45F0tzf7nZZC7KFphiVSltmQj3
xa/QAESlRhYYmmZFk+Wxz4mZKMIfyaj6y4AbmvbctMRVoh853bkb9Ggrm2g2mjz1s8AMBFtlxLU4
3vQsrjeOyvBuY5N0h1cvj6tVluiMn0CHOIx/FrWc3lQQjAu/eZ1iZHF2kkC5KHjfeuvniENpQwBr
vTSVxOufSIA+ylhPYfc4MaZjwGZ3y7GZB7LKMBaWV/2OMRktdLv8LAuWAdEiL67fDIPJOXL3ZiPJ
8qCtx2UYm+1JK+J+YdglIrkodPZGvWl0g6RGO7wwXXxHkjitW06CRtKFJz9293IgsavOXKxcGgfB
+xczcNKbF4jPUgLirWsatmX5Ag/9E9aGtjSLeNi4jdxK4hBZP+iId1JDVVpEO99iWTayiGFG3GNn
sF4i1fDHcABDXVxspuAzstvuPBgah1DBK7QSPlMkrdsUra7Meu2YMlGBekSk+MTinf4ylb8tSp1j
VJi/mb184xQSrWMM6ozGcnXsC2YzXfTDUlN/rakwSFgINqZmNkevi05EKeqI4zhR9YEiz724qBGU
f1Jb/TMtTibFwbhxrBGgN0SMF5Fa6I6b7reMu2SVmee8rvqzpqG2p14g+FTD0zdFZ0zr0woVVYxF
gdxqpCIrPc1c1CjWR8z2QH8Mho/Le2dUtH30wd5NsoRGE+cwxNp94IFiRAo6rkRAlLBWIf/UCnyH
ec07ElCS47Jd+Q0mHq/SH2svlGsG8jtVBT6ReTAXjFg7+w7bOxA05lhzdFX0ThTuxECeQ6Jj0QAG
qolNqqFMYIlfOG71xF4ARxFANwPz4kn3TYLaY0K6k4K5Prd8QS2FRpVSVDBRdYHM5WBtmkLH7Nn4
OrPDfkfByPAgox9LNgAyBA61jRrlUtjeayn7dlNoUwrhy9iHHcYKhD8AccN3PyLj126rOd1TYVZr
x/ZRSY+A7LHfehlJGyhTu3PlZWjGgYY5JEQc7l8Ya/60ZWptVcyVOtMnWL7FU1IgDQ8nFqsETFyh
uRXmVLDwTMkTXAf095Mhk8vagr2H2QPf7Iz/I4eVXFyndLeWgVevcx6DPhBPdzDaV6BeYjG5NYN8
Q/CwtbWVjv5upOtthskvmyC8reOpfREw8U1nVXOhTP1A9snjmBow62d4owTpvuorZWxMVOWJYS97
ktRAjdrROcux/oy9DjkCpXfnqXhlx4N2dVJ2yKQ00peg+hhIgnsKoMDj1gFeB1wRLpPB2R3bgL3I
M8NeRcJzH4KURkg/P6VOnbttHWR9UjVXCS877cOtOVOO7ZwhzWCF2bVOgbkCHbmyg2W0FfPwRirQ
T2h9V5IarYOiNp9FZ3fCpdOKYmVgXrnafvHZ1l7P5ts8VUGacy80zdP9t6xwGjboi/xjjum39jTK
ySQBfDyUnLu0+HrHvo2udrlTCm1DHnTmEcg2tfp8f9Pv0YKebBDwwem6eFWhQViCfJeHNKvn8DC3
I0XVi+C4+KX/wBqrmPUE6zw1UDA52rFOkghyAQOfqmSma5fVpW0C+0zzec7ZxEk2B9beswpp1SxN
DUZEZfnFspJltQSthvqkQxA+n0Bt3KkWf92SlZPyGLL1uQZSr5rKPGpldA2UNR0aKs+uJMVUM+L4
TLVK5hlWidgkF4EwWCddV4Mmdqp05N7WfbwmUWMdUza0k2FaJ7PWGEfBnV4Ukf+iF+V0mlArbQmA
fq1JfjhElk37LzHJ6inb4YtRqTzynLEX0olj1z3d/+WHuD9qu8wehtZZB9Lpn/n1+0Xkg2rHNccp
7v6lY6HIi3hRzTh12biPSQ7O3qP7sJh6ilmSxGMu4LBhKumUK19DINtqzULnzPKgYzZiUGOLJ8wg
2M30MFuVGcVnRif+OLX6wRGoTidcp/up9oA+YZtyWU2x7DxWniFezGncD7gi2znvItJ4aQETghEr
wuJOZIdUOG5Eiwokk+ieW4S7CLDDEeJvHntXLe4gOiYzYMsZ9c1gYq2vvCDDyMquEg1Zcg0EUuog
/vjieUrjK2rznrcZJZ6OFHZs9wINESnq2EhMM14FgauxvXPsdvvoB47sq2ZoyNa4B8/zd0MXBwii
me2O8QhgFDljNdTWUzO6zx7c6UvDOREXp3UsMQ8xZC5XXUerBHPsQIE4on7SMHeYGZQYAVT/hop/
xZWAfCPTXHqp/O+WEUfvZUSCfWltdB+lTKbFztcnHkahRyHkrmvBPuHFSX4JSl+8D0HKEoJQbzmp
EJyE6f0uC3zBHMn9o0YEQDTqTEjTBpFnpcN7HMOg30zEONCRKbIVIDV352IWeeHEQ5t0IA5vkZdG
jr41HreayKdtVKrnrhGHMcl53QbKzUGR9RMzuz1TDNS7SFT7tuleSyaun6DUlr63SKYKNEwYEGKp
EveMiGpcSzFwDgbn//AVSNy39F7dfCS2jC/CGEmVJHWWvA3YRqmILpxZOVyPwSM7CfRWfzLYML10
//X6tSB9EeZjxWiEsyUCLS+Idhb811XYYpJFI8Cn2LScy8I43Q0ETZBbqN/QW6cb2Ar1Olcjy0it
oair252dT/6DAtaU4UG2Jk9/Y91gKDAZ43Zyrc+uNbRvNPWBAM3vF1TmlKYx17CUT15UOA9Jb+3C
NNhL0n0XmMkq5N342b3QXBtRitCImf2Fuf5t3sH3bQAai1S6q6FJzOe+ZnF8LT8rz8RdzmV8u7/d
TtE3u/vtjleYoePcyrHYyUvmQ2tfMnZGGuHQ78/w0qEeLV332+Q9+WMXrnTlNiSoAUUyYlSHCzpe
5Gs2mrP92tt8BCzFElf2jeo6JIUH2XkjTWedEG6/SSycNCWDLWpru9pp/HiH7BhwCSyrZVeiak4m
a+ul+CIXuhb/wvJMvohHO4JSfEJOW7spvYSumbYZquLnDMjxfpyDzEHkgusSYtVjbkKTn93EnPmb
67V1vO8AXxF890UaG5ZxUG65IfVCXsiPIIGnxsc2ONJaGpVFsEPl74y61VZa1PSrCVv01Wv0T54d
2irvg6DJA3DBHwJ7NY2F/gzYgW5ybfQPSVEcAqW/2jRMH7QOUUihq7dBhaTX0FlondcvSLI5n62m
KPfOqiW3EkOuhwcYeYKks7MBbuzc6hYRe6xlaCo1BpOerX2DsF6ulG3u2GTeE8TVr9NIHxvrBknO
CKnAsM6rdy0RcJKL8K1gUtLOIPwJNysjdY7OuJ/rRWhYBSe5KipOSTyNH66mLbpRxsiT3wMwaNe8
Q+PXDYFz8psBdXU3c8L85pQ4hBuaRoAiEx4UnFtoV2gcK5cnir/JwmXw1Q2j2ES4R3ZFyLCZHLSV
0TXDw33txBfElCGOQQsaGkaeiXEswIVbPm/JMorbVR5Z66T3xp9DBBAqzK3N17UmO1zXmWn+JBLJ
wXRoQLvJWnwoLTPQyRoxiGme2g25/NlFKl7DvABvm3UHPHUcMgKcXGIyzENooP8oiedaGBqdpTiK
fvFGG6/C1CnPKgjOEHVKej57TVrdTogcM31igrUnCTvEnJhLXz7keYBnQNbFQ7/LBSHHGmOJNakg
KA06c2FMLT0Gw8oxIgpt5/dUyoXSkLbMu3RpAbVqGu6LwRT9ShngQZy+XiJiGC62Wx2bfpsOsr2S
cRAvqyhyQVdzUsrwy9zfrftSSENUvKemjFfevDL4eoYFwba6A5kWn6YTZ+ty5lLQV+nRt07yIzCA
tarVnV3Mx85VJ70QNe8QXlpXQh7r8c/e37YEV9naMXbkL5dXV1B9d4GxzuNG3zn3laom6bpiYr2p
JN4cd2bK9qUDB9kKyA9wvZ2oc3KmuvexJcmGoLkf92fVpeVtTT2lCU9H7gXRb3eWlVynPndtqev1
nkxz8p1H9yNozWejc7tHu+c2iPyQGS9iZ07jQ3PFmzpDM+qL7Me9LHN7aw5W8j42iByjPMGfqkp9
HXRpeRtzBEeR6KxL1/s/NJia7wNcYrQMQm11LoaFqodsA/AeuMx88wyUTBgD8JLGVbAMC5U+JuUc
l4dKK7ea+qHpmQDqmf3o6iNQzbkzTNLVqnTz4NSh771AI3/XhNftSwBlNLl78d6VkE3IhSEKchpO
ielZdNA4ehs9m7bisLiSzmzNCd3hdn9rGFGiwJqCcz1P4okd6nYJRtZjkHAUigNT22UyLrAzcODy
KAWOmlWcwwp66tA01xz8NRAwXixxIrOt4YyZYdXBdVxasVHtMx3kaR3DsU/nnJoJdy++C2iZqcND
JBkKF5PMyn0gIWX0eYo7dl7uK915AxTpPLUWi4LMw3leCYLdbnQWFmgxh6oIbQwSlYkKr/QYZ8Pu
Hb3cBLKCdIxoBJuzrj0tXLeKTm2GW0/q2Ys1NsPbfQVgeFUeBxy/667izhjNsl+JHgF0K1n+m3hw
VylGHDx+dnops7DnSM3alaoa+bhBriogJdZkiWKP4OqhR1thI1LAoJ7iPs7z7BS10QRjY0TJGqhb
OZv4ctxpK90teQhPg9qkqnztJviRwqIezvHvlsXUTn449dhdvCh3lnliZTtw+xik2VYXHtbhR9Oq
zh6CAGMo9IuJ/muZ4+vZ8BL1HX3rxVipdehQ1t7f8To0C6z9eN/vwfZoMezNlAtOpZOyz/Q2MewJ
NIcu/Zl1WdflvqjHX3RtgmWh9/V2Gn5BB0bL2JM2YIH4qV3NW/sOuium8xVGqRwrf9CwW/jEeaPu
/E6WmtgOQ9Tj6STrVMDoQmjABaUeJzI7HwWms03Ry+H29W7l/RAiauWOMKoOqwyQAIRCvcl1kACO
PTosvrDEd7T+B84E0E5KM9/BUAiOiWtyFJr3XsFCu2o4uq/v+zH+KR4EZ6XYdchZufWoLS1k2e1b
KGjShvNxXFgtJtdGQzha2lgsh24xjFyabWo9RZWF7mq0eO06Oup5zQP4XYtL1Pr9ua7QlHuwAO6R
BJNJaT2VJWAroCILMD9MXigWTFlc6ZB5q9rDVKrxG2tDVyF46ZnSJfxTUDrhtWjVzmy1BzCvMdOv
Hj5JhPgF1xBtVQC3pZaZTzERupiOaoJxwqxb3gvOPoyvbtg1p6CpkOkhyNrfi9SiMRCvBtGTGq/3
az13ce0qVcL9iYcrXVLneC9RgVIjBbMJpiW+7sqdpq9oEtckWADmV47Ghjg7xe5h7UxDzbXWYk7w
8NJcCxWu2sF5NriNHs0+ss6YAR5roXf73tBP9GrLZYfg7jBBgEO/qDXHzgpeqiBfl9aIxTvvzJMr
rR+FM3BFzEcog7AijNn6EVpDfWxIn21wnAUm3UgQI1Q+IoR32g+HvHFvFjCVpZmOYomdj0+r106g
F6MzbD8aCYj/0ctZmF0kHtKo1s0LYvgelWii7QlvMcfOOoVpVa2+OgQMwRwwaJe41V+iMQOK2KfN
JWe+e659uz0MP7gYC7Y0T7uGk4mZwpheZI92HQUHiF27Q2xWBS020ltQY9h3cSUEqVz1LowFFF7+
UaFQRU2ezp9srFEs8xeT63BrC+Wusc2YCLHUegTbYdWpdkulycfi2t4yGqzm9b60T237MhDYSuSk
fh0Q+i0zHVdpOZFnbVnGY9nBmbJ9jj0TLZyDCLQPtxCvUyTCd8tl5Jt3gHpQ1zyjDaha5Dc2LOyr
qKpvFFbDycz6ausT7gDVjzbRGANx0UWv9rIxF2ODC3vMIHZ+HXC1IvqhcY++5pU7LaKksc/0QEGH
juWPSqTqMtUdSX1NiHze+OYQD3puxyy8YVR01jKlN9ZNTnCrjtnpvn0oF1LO1+Kf2JO/NebRnNs2
6fn+r6bDZdrjyNz5YW/etLp47YSMvjdoSJ1BXRMT+aaHc7EuAObzojWe112NxWDR+YNfr6j2N/zG
xuLAOGttoyP+wh29oWLXwdk5DqEWHql+CHhA5dLr+2Gqo0dqgfiFgF/CS8WLk9m7COyb4drttJB0
VwOSoJZjog8nZY3IG4ZgQL/WPjeuDqlFVU8YUpgj4DWFZhGoF1owWJxrtY99gDP360QG2NjbYWVX
SU6YQgoIvPfNRZIEH/dSyozq9yj/cX8mtEv6U26yJKruKYwn6bHEDfEZnfWW5pK+Ig2PiYHGwCEP
IIOZeTacaZsN53sDgckuEA4utkVWchzW++p3pTOKC2QbX8aovJc9FB6uDoHPGWA9sv499UiX1mmi
9Rt9mPrHr4U5tJfSwFl8v7g0+KQpin1V4eBH32sEe73l9ICoKXvGOm1ywFVUo6M3ySVHkuCcd9+Y
rS0C5VPbpvrPsAV9bg3lL3u+DRNETFuSCQx22i58goGxGErCVTlhAeHq2bLDaj9YuPKyynpNA197
GV0OFiGfJtqDxLs6HEXhx8ngY4pfJDE8v6aWJUS0Sf7ojgll6RQmu/viKJTrv45G/mIXQ/pQhrb2
AHDsoSlU8z2uGLNjAQs2OlaL75E7ICTTRAROSlE3IiKb93B0yecYENZ4L9DmLwWAkxHNxv5eBgpJ
flGaG+qshSMoJ696cfGC3LeZKYZ3bZpdrRFoSAzBV9yHa4rXCmBcFvvt2ksj9GNjWmyshqEQBeT6
HnqRtrV1KIbmSQZ3/4PQ8XhhuOvL6vhfX8qMxALBoOuIEvSKKkXSpwiTE8ll+jaxcxbnEeAsENGV
6zO4vG+M9UjcHafxepcRmLnMmOV9Et8FsGyswY03E4D/EHaiy1j9JAozYrAc1tvY4yPDB6MOUsz1
VYOqtvAiJvr0uCifzGLpTDGqCDrThBPPBzqjbQ99GGmQKMl4yzlDrCeRM7YqMSdEoky2uUkPoig4
/PtzWzVWVkF7qrulZPpue49Hs1HRLaRdtjfaW8VV1B0vbwiin/kEmUzr0SHSZGa9MdrHuK7PhOZO
V2DdgHlTfOMRKqkD00zzmX3HX3kGkuPOs+ircGS4lz721O4CcwLHIsZmZ0MzoSGCVaQI7GHXKCwf
Zdq3x25yw9Vs58RUO0CezslLQBf3XhMmuext2qRca8m3Lj149/girJxAe2IHilBpYraBPBv02rQv
C1V+7fBajhS2tRucolL/vF9MjQ0BLu65/yzR1w95H3+klKgrgyYcC4LxmviEfM1vLTvrKjZE+H0E
NhUa43fWs11o1fEySIT1ZATTcwqG4ED7rn5CQ+of7hdfZoO1qsr0JZGWhK6OVk/XPGtbx8isUAp3
Uvyyk3QHEwJD43CeW4VfEwk8s3AeiyDcN7Wpr/yek3CUTO2FGPQH1yiSvR70Dnu8G5xNF/wNoFvP
ApvWk/NLVnQ8AN4wmkUWN9nZ9JH0QL45R6oI9vePodYQfFuDfmKCxlzaNTgd1MTBUioviW71t0Jl
/vIe0VZGHNBoITzDh3K2OCDCpd1auL2oHB3ihHcCXwjBlNljMzGnigrxENi5/UvY9aUzQKW0NOBW
nDuXVGryxjHU2RcFh1wyrMnMSbTnkiH9Ih8QV8BOPSele6uMnhZjRAvs3kuFcRjmN7MZwvWY97+A
WM0YzZYYphBHFDIqhdyaaLYs7R9UQdUO/C9BZibkNz/14w1/JGkk82O4YqkMf934vfGNGuRXktFF
RgI/gdugMBeRRmfX64LTvZ776ixUPwsS3R5rk6yg2cauZfJ4b7oaHIDn5qejrNnrk/+msdmhQje8
86jID7hfZPdT0X111EziepVEu3X/b4lT0XFJ7Yepcl6HuZNvpkG1dxPskiCANxQDLwyjXd5Ew7nQ
hgOPUUMJv38rI5fomUyImYn4I4FH+NpRlOKmHA9I944YcPObTXTMTWezvz/f5ILkjWKzWvm5UDdb
WBHSJAINAJuLRdGRwmPHY/QY5eXNliGmwszj02pmVa5oVsKO2nUw9sUW9QVB41n2Hak8bqaRff5+
R1uVda4MssO0iZzqzv7l+9kD5uuOTZ8mcGkfS6c3XkkCfcQCDOtWOT0zEnBgcdKiY4/zam+N8XvS
FqR9w5O5tD4aJ3aPPb5T0LaC7gfxgqvAan8LOnKPLm5DwuENnYQaOlH3j/D+XFZPZIFPdXEKHdGf
7v8ybVx1Xx1PGz03dpnmSnQ1+ixJ+7fK9WfYKv6ZFFvomD4jh/tvWEjwkhRuhhtQ+UfkvyG6wika
tdNW69GjAy2PLgE37pYEABRT84Jmp8nbhA7rHic1Eb9QNQnZfUiEvzvoluZMD2pImTe7+0vOGADt
lH0QZjRtvm7PYObg1/BXy6xPlvflHUVTeTLGoDp+JWcjwTRPUfFZO6H7Q+Ah3pQI5SWRMqCFko2K
ZXzos+Epa4YXkyPlvYzJ03G69BrK8noTdBU1qBiMU9gXE2UM/84k89LkNQXLfEYU9K4MNKdfx5TS
K+FtepG65YL7xW7z74lEym5H1I1aDJvwfnzF1OtxJHD6TZs+GRrhFNWM8brfcTnlML542vRj/dAz
EDiO5vgRYdq+YWNyblk6RfvG1OEeJ8NbKdIzqBXmCjpxGlyqOh1Ovlg4yS9FN1D3egvZ2/Lb5Irb
125vuvJkwJLpKXYvTW7WDzZXylK6RGncm+ZminZcsVFGmXvsOOTQuYHtQXirff2/h53eE+//JVJW
1wW2U+nSgpbSsZy/BHnK1DbGMajXUgUrN8BLnoc4BuYIs3v7mvaUg0z3l1kTUELkISe0voBoD6ek
wDpzaEzrB6ss7Hij1dZASl7+Hy/Q5QX89QXCA2TYZnqGZcq/ZN5q2I+JOA759EZvXIpK+fsQsANV
kIa8qqNXOhjWM+6v6gA6PLlGtMsD+Ijac9XCh/HH8ie0qJ9j0xEdawZnJLLuV5ztv30M/yP4BPKT
jkGRN//4d77/KErgJgAG//LtP7afxeUt+2z+ff6//s9v/ev/84/V0/98/tvvov7b+Wnz/Nff/Jf/
kYf/59Ov3tq3f/lmnbdAPB+6z3p8/Gy6tL0/CS90/s3/3x/+7fP+KM9j+fnnHx9FR0nEowVRkf/x
zx/tf/35h0Xs67/994f/58/mv/TPPx4/y//4X+9p9PH2tyUPVxdvv2u+yd/++hCfb0375x/S+btp
G6ZOuLmwHF26fJLqc/6Jbv7dlEJ4HnwAk0vRIg44L+o25Ef634VwLBun+f0CmJOEm6KbfyT/LqWw
GAgKy7MEc1Xnj//9Uv/lI/uvj/BveZcRO5e3zZ9/OMKds6z/25UGtklKXgJKF7gLum385VZQgw1M
q2KFsOUuJusK3HJEDvksx5COgreGbTCxNw4yoZc6C6YHQn2wIen9i8RxeXbgJC38CK1N4xvTttHk
i8PkXyVcsZFiKNAGw2s6BL+Y+rt7vPTzaOG7jQ6XQxGBjpWRBi9a0Bp7W8MSb6vpHV/ScMkGPP4F
xD7TmH41PQ/kGmXxwuCEugjtPTmDfKtGBAKlHnX7+7ciBEiUJgrqkJ2UK71zHqoina7TWH+T9cug
lHVBDZm8/hwE58vWSq6tyMZ9PxLiRNjOL/4+j6wmez+UXnpLIl5aXcOtRDO5wGe2dZMJf7k3+N9a
G9Xl1DjWOiWXEqQk0pyMiHAs6gcahmj2emJoGdPMcsBVqjONaoWzZQyChgmBdmpPB2MEDXr/otnA
pxrc/8TR0d8fSnVlwhAcaGIhpWih7Ee5wg6r+0gX0uwqdUkOjJ09ZvEwveTOoQzjdWJNyaNRbwMa
mqAywhLaHiIL+mdqNZnmoy9A5qdT7J7q2AD/WDvdwUbTnSi3PtSyGNHDjSSC+gJGXE93Ne6pVl1t
mToG4x9ZIfY1aQRo0YDs0GVdSok+XKHuYygXEKNXZr5ET6wY8Y3T3vIcHfBknS3ckeiE1k2BteC6
4XxSqFnCh0wDCdEcb7iGiBDQtTR/tr1ONBOEtr1o2x+VkbxZ7Jx+H8GSQb3kcIq6gC6yYKoQqtr9
ri3CE3qZPNHSJe3HItVwdOA9TQZzNTG0j5C5u2NhdWut8AhEzbDPD4hetBAQP7YUUKKagLZmoIQG
JZksMzlyBPbV2ZDoZPGDkW0aYkQKYeFHEDyaHi9r5AgslfOH0Wk2/VeUjkYdGsTSBRcfU8tCwM5F
DXY9M4kO4OOPHo9BtollGuD3Oywuhu2VawD+QNsaOuM5D7ZU8PKV81ADZk+4BQYkUrdWep+ono8G
R63Cly95QMM3Gv0Pjobf/WrgVmKUOLN1Yf5Ej7H6T47Oa7l1YwuiX4Qq5PBKMJMSJVHUofSCUgQG
GYM4+Hov+MW+5fL1kUhgwu7u1fCm4KSlMG1Us6SF7rmY0vOAnWIJRKzSzNPXmPVAT44oCGlga1Qk
vCWwodKhXWImxX52v7CE7voYPXnya8gR5SjWOYI2hrrhMufZU6XGY1X4LmaHmMa2lG4ae3APrqu9
uUWgDtkUHKoA4pwfEMSNYutVosVHDdhZRgT0P9o/QYrhmSdMlFgmZYax2Z4bpFpHtlyaKH3WDBuE
gRV9Ny24qImkC9mQcW3l0n3uiyrYIkt/mAPjEbN+JZf04UVjTRWHwPZdAMYjy0lWZG5QdSoqyuDO
XPiPNr2HJOUnR5tDbgjz4m8ukhMwH1yGjo/zM6NoZ4jUtC2cftHQorPPLLEvDh7J99PgvzFuoj6T
wkv8U0zhqMzY5cQD+Qgfkt2U+ummY7aLJNqAMajdGwecHU1WLKPkdLaZJtLTOCC/YSSa1r7bl/R3
r92EaWVq83iS1D2TbmhQGUDuuHOAMJ0ipQjYb854t3z/Z2RwRcXUQTMYl5ut90GQO9+3Yi7XedBf
4cyDex+RKgcgfdIggjT2cjcu+D6A1puhyZ5S1vuz4Ofm6kNdSGow4OgIuHUnakKKrSfFO4sjMYVZ
8+d1ZwRyM4jhbuLRH6ppm0QM1PiZq5M10pysERimTgqpH890QAQTYbfSD7lbyrUXwWXS223XTRau
LSBME7lqF7gya4azLnDQ4wSCKinnbUnaBOwqkwqdaVTXNjuu7eA3FEBl44lL7G3KjLd4Kry9zZSL
eLn4p8dyz+UZEOjoqW2JwdpKAipisjLeaDBqZt1nZNnN5sYi6VShS+0aLCsjLQ8+1qCoranSMpE+
DYxgmNN5l+voY6iUgZ9M5dtOt6PV2A4vmOW8rRfIx7nv/iE0V4AJ8QxzT8Ud7rZPk0sGtceTYPXj
2iULz7zAe2OO+1IVQQNFbqR41f/NOf4zTwNgkObiSe+Y5KMDhizYpPLH+BYLMPikqf46t/qYKaOg
EBW9q7ODj7Kre4KO7q7M53sw5z9eLiJYIke9JGEAjocR24J+QKDzKA0ySwh5KZqeLcA0knp8YpaZ
PySUjQWUoOCJtgfc4FGTPMJIvzSEDnTyaRlJ5LpnIYVHXWbkxPIeY0+KUqFwDHCSAVFi9m+NMPdS
Y2jptRwBcts6jQlVKYM05i1Nrxt/dg8ZyDy2JZc+kkYnZ4wbrVZvid1ds4nxth296gQWsKgRXGKW
gQs9aAnj01E3RRSS+aTQA5mS5oMXDGR9UT/sfB3lzSGqTGPnD/ON2ZFOxCFuGHvwhkzeQxmR0fUQ
Qg7WWPanwKAegwRA3oNsmEc72cCb4WVMXNJ8QBTFbCGGEabwkASGXK17SrmARQ/cxXhdOn0fRVGy
10jzrpipNIe5zC6kJ1+5oWQ035hPUc07jCMcVCGh5a3vzsN5gHq94j4ZiMKmOQ6+J2g9qkFAwqxy
+j8PwfwzBWrEOI233NVbpnz4nRwqvPTj5EYsrOjDbNHU2uLKzaPub7Kard1qkGlNt+VxNUO3pzcp
QaHl8KU1e79JGX1Crp4QWGhVoXCn8zSIBLSvaeAlVvyTat8goM64hxph0O/d9z5Vyd2bkN376LQB
Ybn52ckqEJrJ0FMDcyeL5B+CSENUwQcXiqwbToFzQ8KieBSHxcrUeizALr6JapzeKMiLj+qWSZT3
xKBfV/1miDUbMGGUZBnjshZBTAzm54atYJ1R/DKVIGhrh1ye1XvwB8eZn4I8RjVSzCir/iw0xEBd
Auw2O+jUc/7az4Nxi5rg0/I8VmrVPtvUCsd1XIaVJ2lxoJmkaJe24cI56CZmHQ173Qg5K0yxv4bs
vuS15tBN2fNLuM6BTg1jTCKRQNp4oZWjw4fFV1B4Emyw9xPbFR0UI9FCfTp2VP3YgYp3Zuo80zgx
7gJ6obcyU49BoL8WWodk5gBwrwesQjxdvYNL3Adux0HjEs+UtBv2b7osBKQGB5S0z34xIE4y+S1c
pszKhaWW7D18QKENnIVBWitW5GE8ltpyqYnsIX6ZA+absVulLgajxGv2UY1crmGp44y+cnwB0dvI
HjjA01DhH/KnwSBo00sdP2Lcnwpi51qih9TycLLjWVu7LUV7Zdx+xp9Jl457bxDUF+IZ5vBLOtDB
Omoxfwhzd/S3BnP6x8Socflw4Lc6nDAUDsltwQLKsYMDGqTFuO92GJsdYIAnnTJhG7+VMRQiZMWi
RXLUjI03KR/vQ2ps9Vq/aq0t4byDuHUZuFNaApgv/elnzvlJ4eYEW8kWZJKxEDWAVCS05iEX5c1L
NkvCaONSRwDwG5XONrtHPc6IkLPUCmdir++2xtiRB/G7biXj9CY9yZCImuLUYtjaUEtTDOmOOeMj
MUz7adRoVX7AKdOugRTpezy/Da6+EXv5GIU1zO4VIXs9tJ+jOhWsdZwndEiNPqwozRl4bgL8gFra
lutaR6ikcnKbqnoTB0Hz2uFzzhN1LYhOhqrxiOwRDZG1AzqZ59fCFEjZ3Es2CFaIBApGCkeoKX47
BcpWpuRkM9t4nvNPjIBYL9rkx2RHXA01v2ByaERKg5pj4FXFOGG6TPEhbbMa2Xj7a4rwPN/GtCUe
nXIZm9M5suKThF3YgQ5aIgT67COZUOBTzonHm7D0rjjBtK7V/8Zvu8fEYGBYz8S9WYJj1tA3+96w
/L0REOqlfH41jsbSjJslO6oowLVGIJLktgusaWf5+RVR110PGqG2emIaPQvy/XaRvRSJfJ0Y3mkB
GuNYTji1QLG3pWqPJoPpKP0z2nhijk77UqOjHsUtGZB8YPrBsC7dtSmKTexcHI0MRhyRHsi5fWhA
8ELIiw3jHCaETYndOxA/M91uarSKbdPmPl1YNppAbxFz9Zgt9ifF6J9+Kfeo2aU6arVx6viRdj3f
zrZvcW8bU7WnshwJxyRgm0XP7f8T9xR9aBAvtTtLQjryYirtLmpoqabbqx14YyaIRvVCDINKsZTY
ZD0Zx6hy4ZzqxoelTV8kg75jIynxMELBqECO14IPxYohv8taHryxsR8xXn4FC4PPP5aCXE0OE6me
ToD+X3T22w1zR+R6gWMNUwADfNxqg/hNTKJrQoANjXNK2q3yI635XMwW7x+56Ci0PJ/sgLI41VSi
33du/+dRs0sPUk4LYDAOez8wU75fD8Sr7l7aLM3XILxYbXX/xqqw6uhdCoeCMqI+wpyUNsRmJyfn
BFbXj24BoQ99XNvYg9xXgWeTzkBkMKue2GWy7wMTlyy34FbRnTBbRnpOnKcpRy3u/PHNwsocFqdZ
LEZlzy8vFqqG2pNX5j5JUDuMY9I4taCxN22uo6d/enYx7Ttbxc9By7lcxA0CMk5NejWfk7rb4j6y
KFalHK0ZCi5IOl+Kn/qbtuFgNWR/WUo5dAxjMQrM4pycDWOFkcQ5d4ai18znwuqzWoZZo4Ul7Jxe
ozRz9pJfKdx2T0Z4V+gdJxN2qpUlaFkcx2pTYf3bzFNDOLJNvzwiNkeBGWnB6O3NgMvPVHGU88jQ
he0CPvYrGi0bKjRcaL+YW58M2+aQppPGYgeWAR/pgj7bVGb0ldKtxHgQLx3xIR6cXgC0KhNEuyH5
kZr1LIqFuAWialtG8UPMQ370chKyPkQkfeRnddAfOsN68uZnswGLEM3NS4NhXZ5S2dJNUdhv0Vip
kG0F/guPgE7z1E7TQB8ArFj41C49SqQR8xgVvzCaM51IIRSSboe8pNZtNr90KfKFtP/5lfYN0fXH
HM+xjrCVlhYl9AZzTeW+qYzLgetOkoR5RwttZbDIJPGGmT0tnCL7mIvc3I5ct1f2dNMqPk/q96q1
s1Sl2twAq0PuwDDHG3P1i/5pmpsYHya3LJ4/6t/aDweBho8ODDUlgyx7vHJiOdOm2YzNafGktvrX
OGV46+m667G8nNOg3UVxnJxxHH7SCyeM26znF6brX1mN/gJC75JROrNqGWuw/wC21jKglCO9bq51
KWJk88nQ8YdWVraPPUKCsGWMle5wmpMNULOZ63zRFc5ukOsiJuyCdPg7JhGUSsvZUjYdkBorOnTX
mYbKT17fBpE6GOkfpMg4Lb6auf5nSOr9Znf6AllrKfNMPyGKQKnf/Vm7DSXKoXCFBelS+xgZhPAs
dAFOSPMAWMrCn2+T/GJYFVh2D+REPEII+TB0PqQmGHZoH/Nes8UuZuK/SnsawEhfrvFUr1GQOUPH
eMppELE4E2ZyXfnI6/Qx+BVOr5xMcu/cK0H4B4t+WJG1fjBH9175oAsGv/11owjyhDveZmN4Uq74
qdho18NM+iyn5XoToIrBk+nXetreqSurwrRoYJIP1ZEi3hjlAYnf4HTMu9Zvff/dz+uRA2RnrZet
SPYQT2ZzJmutiIxrS6hfBHYYUcZQFTcmTuz4cTgQHSQnAWTHbSmFD+T7oNGOMC1fI2RtNkTcsXVh
xHQlc4Kc0WTKYXR2xPFPhAs1tkgLR6Ov+Zu5/khwU55wVJ+MFoHaAkOV1OxJtc4ZwTddiqyqcWBb
iAq+Letk8kFP3nRXJg10GUHQESwNpgr11kn+bxN6WFgUsJg7KnsW+jnsGp2buCFFsKaasVnrFD2F
9dkbpnZDzpa7hZz2ZVTxn9dv1JNtfTV4Dx3hC6Oj+lp3nh1vTyK52/gu4y0C6hHNmvbeZYs4ALs9
eD5k66QnIIr3vKCzw8WzRfVG/yb69Nszor9S4Vsu+4T7In8NWQoiGl2esVMc8yEjCZkGLAO0IIx0
+xUJg7JsHs91Sp3tnJkjSURctkWjwuqlE6PPnlAaG6Sowmad8Yx2pkCn29RLBWgi52rHePQ36ChW
oSLF56a7mki3ceMy17GVvwpL+yXLj2HWp7rGM5NoM7ZqpxzuRdWcfjlanq74afSYuZia9XufR5+E
Wk993V6HFNR8VfMn8cF4RvGOeQHHdBF5TGdLHpg+f/PH6a/tce7pLX92pzJq43WL3gSK2qq5TtZl
7PRr1dMpNIwDg1NretB6ndaThBVRxVz824YFQG6xVfFxNWAsiGqz+nieve6LfcFVPtSKQOMrKvJ1
MPWPwqJqFD9bt2dwwpwvdvBhlDdZjjrNnAZ7s8sAesig9ie0QGgGL6ThvpBvZVydQs8e5uJWMJ7E
Hw0HlRcBygyT9+VxlqEcDS2cqPI7NN0Jg9WdixcHvIqhlMhoqHDw7818fFY9wGvCzGOoHyuayWqm
/ngwvmn9JD5LSn9Vl+qaK0qxcKV5q876HHSQWnluJGEl5J8V9DoWyZiHyNgZBb0xXm0CMDSGe8e/
HLn6tWyxkXuT8ahoYYigyD0YcSfhALVHP0OTFT+5qDj0VYfJE9U+rc8tkbSNJZ3ghRHMmnBtC+ao
CsLB7tecRShdbDAYxxN7hU1hCwTDvoz/qDj614LmD0uH7ku7F3hokI8PifhxgAxyjJFbniCqP//F
sSk3DHRTQK4OPdMwCwfRm/uI69SqMp/HuiVWaBGuwQBqeJpHth2zc4VvOUk5QQnHYpg9R/4Jnse6
0Ohl4C5810Gt7vNg+jHZ/vil69xpTmafsnwB6MS6hvkno7lmwCDOs8ZiNzzAi3hP3NbeWnQOUfTI
5ZfyxZDqoA1ZmodhdqudjRuNQXuzMbQEUE1MZV3Vui+6SzJeTIpcO00tTCW8Na/E2rOJJUh7YAxt
8UQg+XINDfn5/9gPyNYk7Ap1Sh91qt51fw2cgGl5pfhA/Iljf9yCVPQmTOGIpzDe5sMw/YOLlaIN
6ASnWo5VbA3hkGTWUVZMkpKquviSGyM14cx3+sc6wBw5Z4tX26NUE9f2vs3yv2GYKMWpBw0jB1dR
36LZQWMfIfnG3b0FX+rSxBeCRKg2lv0ydXO30xd0JZdm7WUwvV2RUwMhAtLmnpPtsmT+JzShP9F8
Z40V99emvwreGE9CaeAngo+uAPaSL8nwYOUvMfI+7bG80AAp44Omt4AYZ57+eOYmZblH362IKrgM
PJz+WhvmWRoubFgUEk+pp5T0vj2N56ICT2rrADFBnvV7ozv6VDeujNSOuHC8QzzMD45l5duB+g2G
hmOKPjPvszHbODV3wyg31i4m8jWIreMA4Rk7h3iYEnka8/zTmfNru4h1ZWuzTurekiDlbCNzsktl
RmOeNV7TKhvXExZtoMvODiJT8Oh2nAbiiIJRlZihMl6BkIQUJcl1lmfJEZIH3TdZ/K9tNSSniKq2
JaAZul43EmKhVg1su5qFde5StVUtqNbIIk0NMCu0ZfMS2MytKexrQEWZlJZz88UbWiaWdmkag+5c
xA9h+/Eti9z9gL/xXcUPOjidsFGuFi4QdvQgE/O3n6x4a17b6cV2GfkGdvDW4Jye+vihwnuxkgzn
wlj4T0uTHyJCBTHEgeTE+00ySwMXxwPUNPbT3DenCA1pX2t8SAAhN53s+d1YTrbwsS/B1e+rN8ZB
lsHzHNnaW+JJ3tQ5eWxjiXG/FnuPks7e0cuDS9YbgMqBHO1GTuWObMEmT4HO9D1LqUwhkkypyWuB
qcPru1PEsVoOw9rgYryq2uCzXvgTwezfR+ocLAUoVm/cHdG4L4yaYJ1oHQg0PEfGAA886+Su8sGD
ME/S5XC1vey3QvRdu31yS2IruzHHAEaS8GGN7sdU29QYUTRPHpIumgqYLj3ZEcn2AhcyryA/pLWn
dJH5oYNbK7XydZdHu7pmBcexukvwDZBubb/mwjSf9MZjjJ+CE6CqCHwqDV9ZuoJGxO2+rDeDJX5d
ibE0OFtTaj9QXXy0DA5GBtUQmTtx3Ku+zexZ0e6NyIwG1pjGJrOtlzwxgkc8ON8UndBl0jzhu5J7
R2IqR5lYTUOKn74PYDaMZ+p7YOkjDnuMKvhL2Jg1VkGJ/hgw8tzpk/Nm4D91claBrvwgwPhtWsSh
EuJmpOEXeIF2OQnWeZZszeS8Cqwit1/b9jTOkh834LCRklTk6E91QuUpC1XWY1qVtFjDwdm6EXHv
VOJMqW5cGPaWEGCHyQ9nY83dtz1a0v4l+KYXTM1Mi3YAhcsopJ6a8Xk4tra2DOMRBBPxR+HCfcr1
Zm1Hjc20MfVO6qX3mw+VK/wcM6XkkWh2dee82Zl1doY+X5sa1+t2MGHVTCa44YJyV2QVYR4l7IKc
9AIbhzfyW7EcuHoAE67gjx4p/hkNQdcllVDIp9RXuXcLXZYcfrvVnFGEXp3jZtfiP25RUJ8YybTs
1W2EMF/N+4CdGKof6NiZSDgrJ2hmsBumjwDs2JB5G+3qxswSk3SpJ/HedOn+MuC0wnLM9XVvHBxb
Y/xN3cfsd+ORxPS7ot9yJ+HgD2BvKVfkRACE5jDGMyT5AhT9fFZx8icKxuncfTO4CrhdjeFVNvJB
yYkhO+BDum9RvcxrXCuui/q9Hq6jPf9Oox9sxfgRx9UPIXQClhzbPWDLG6IDtMb1IJkK4f3hhrty
mQPIU2af/LYCfmdphcuXngSqOJmWtqq54wNF72l8xB/gKd7AVvre1sbsvuLlvNVTgfSko6xzyhmI
FIynDpDKvMCAImd4Qkl/KfXukYNutMoaIKF2hzZq0K5UupLDPmZr30MrmQf0FK0anqm0EQ9DA03O
LhhEBmb3kLqagIuH7B7H8VsuZm5gaLMzdtGkMc0QK9y1mQyUiCDn+WvxLLq/nB0vQ6l9d1VEZ0b/
W0TqTKyZJ6Ib74iSl5IhudD0JyS1teGi3zdNcwFIixAKqR1UqHalWYAVZ9Vq2iuAYNDsHE5S2M2V
7o1hOznfpCrYYq09C+9F0/kapRLBA8O82FdrRvH+cTla8/fNKOEI8Gndus7hWE+3Ans3veeSQzQn
uVWNpMz850tPCobrJlbDmatD1d4LV4B7ywySxfpD3XrVtmjlR4r9JRuM4+Am9c5pzbtX1xQ2NW/1
EEDQM66Z4b0MaY7ngCsFAOwPrR+yjVHrW+YQ7z63CQZJhb0aCK00nnjppnnG0XijxWDbkHjLZ+pD
i9zoVyQ+wq4ptkbPV5gjuVYqYP0IXh2d9nbTb8tVpWU6IjpCMUj3rW2qo+QxX1k35ncy9D3/bXCj
V8PJv5KYS6HPwAqYxC6xzxzTAYdNgjRS+YoqAJA95tGwrWtcmY+tATs9HrWdVr4mvHF4EOZrDqgG
WYzochrmy4pVVHW5SZvs1WRrjjoaUwLrJgvY/wTpvZUDbsYf8yNu5Jc0J3LYcwkwUtCqkT099QPX
cACxG7GNqG3ZGgsvUhFIajfk+/oN4SA2M3f84bC8M1y8e9r1/yO8kzYHo/Uegop+gDKbw+W5B06x
q6b63xDXxqHsOGFZcMV7aDTc5KAFLieRIo+OqnH/lUUOJ1KAouFyNOnuk+2uk7rNDwl+JXzZy3YI
xqk5iILZTLSaJDz8gioYTvw7rBuPGH9OEn7cSsHqNxa1klkoM8puKJxlBUxJutd7zXcf5kJ8qYoL
n9nygHVPJITh0GXq1W5vQa6uLTvdsV6imfM1zTkE0Oz+d42XstW+EX/jnD7OQIG6YHiOllZAvfcW
w9AvHpC3Aqkbspm1YbjDbylT1C+T/9VjLwTrOLQgSJIZahFHUVIc48ltAc/HWvbiOdpzw6BBElpd
gaynfdVEfoYmuW2c6qYkmmvsbxHELJj03jPTqae4p07Uj4dTV8aPATVTYP5TqrLyfzU2q3D0GaZ1
ts6FJND/5iD58SX9WSiVNIfSgodNPEX/GeHxahn0RNjYdsMSbDrZz4gU55nxoxh/AP38wou8DUq6
6yZ9NVJ5nF0ObaBXryDv71mO7tQEbxz7rk0G6qIuo49lbsMY9McbWCeSJzz6PT9qczFm9USTElUB
1CCkQ33HVLzR43sB3pZzEg6hTDT7vKL3NBnwFzfBA+a0PYysXdGBcqurLRRWWoN5/4LeeKuEfiWx
j85J7FSwknFN4niN6s8pgELLBwEbcuU18mj1/XXoW+CU1cOUEpvlGvMUVePbOBb17v+vCWLYG9Ly
Mgp4yrPzvHVQfYDzsRqrhiT3OJVr6CAAZ+v23SvKvU8jIkmcQFrrsprPsdNinvhrnEytBPDk1Zg0
/yI9u0VR8Fz1PBsKE4Ini92YBW/G1O6lHRRh0TATZlP4Z4l67Y/QS53h7DsW624jvgp2zI2eap9d
rrhFMOUaa2ZBLr+URR8TS3JqOXdGw79giTc1ZBxKqVZB7n8LqEOJhlqnGdWHOyANL98Q2wcY7teh
TN9Adw1ewwnHHRSj5uG0vEWY890mCI6aQzV1Fjz0UX4THl1sRbIgLeoLJCmGmhUgmYJHJku176xg
FRclPy80TNsPW6c4BBSNeuW7Pg+Yattj7cU/tgLiAfSuCCJWIsDLFf1CnEKzTRexXGjlXbn2qYwK
hlPqPg0Z9VOT8Y9ZtQrniMleJtptFXu/tc8PMf5Igo0h498ZN/ZHvDQAdzxE0Gzvk8uRx51LdJf0
gml3EaGhGyMZcWesLjIObk0fbTWj2eFD9Fa6qvaeZIWSvBCNsRVu+uRG+tnqgGopebJcqDM48Vh4
tL6DsArIzW4/lnk4nAxuKm7w4CtgAUN14Hj9XSUwA2iIh/9K6+arkrSn35m50Ik9cKQq+ELj5Gb7
9sznRwNsqSCVWcSugw6nXsw4RavaIwZu9ICoCPUezOiyrBVqODWDZEKyL3CMuLpJPdRJtvELoamg
/Q4c8nou9zgMJay1XlaucTp9zgBOIS8Hj3SSwTAqxvvcUbuTmvKhK5EiXONamVlYWfI8s5/CYX1p
E/1sIA2LnKPdkLQvFLn8eoHLJukxuuslb1lE3WzqmCgVVMR4F1krTEp+9lWLXaItNj+STqleUYui
nwe2lqTzD5YdLJoQH9NSc+JW8AMZ3bBugUZpGWWQ1BUcXnCGPjHufuB8kZdds3K5UyNm5FjwDDou
gWautZhTup6TB2CuoAztedKbnV3CVi0YBkYaBALKHFVjPMFy5Ezp6Runz38x4L4N6A94fkafeLhu
MpHRnfmK11Ot1HLhVE9Wnf9gMqQvIiOrpoMYpDb6h/TkS+fg0rJEf2o0rtaRSRndCHrV6++qDr6p
TYk5b20H0BLVFN+ams1BhycFaTtxOiZsXFBxmTYFuxxR/Xp0Xiqp/8Pg8d6agEDLQ2JJ2mptOmYN
hEKaCCv17rTGG0Rj2OjMeXtwO5nd76PReh6d5ohz5gSsZMd65IZ62l+KaARMGP0G3gyDIFIrgLxi
+m6brA0HznuRlnMiwLc0MF323OoT++zZ0vbkQjeyLfmIEaTMRHuZnOoy0r+QCB3fRn83EJDXsBdC
bHnXkRKUFZGw3WBUr1OBxx/Eqo23Dicj5Z+x/d5IBY+K3WKYxE20+csIaGJlTCdoMWloVeqKqE+g
DcEeZDU1QSpMbI4woz9fg6J8DKoRKUVgM6tJjK/T+EssnmLi27w1BZ/EMKzSXDEbr/AC0Ne1okP9
IaG7Yz3ZHfDG5fsw/nh+EI/wHzdalG6aQe2tGJCvkxnrUhIsVQSR4kk5D/gO8SPCw/WDI5Uoxjm2
rZ1n5cNpLOaHoQeXoAWQf209tQ/CFOuIM+OpikW8KrQ+YBr4xz2/PZuIy2GdPln0yBmaH4OK4dtU
oxFgXlHdvktjygVzbVF+8hl8cuoiSCisajtBP8YFJVBro/6o6cW3JHsbgafhKKd/5yn3bI9BTrqM
PfOeesK0nu91y/gIVPtLb1A8ItRyX04T+qs6TRw0oanQsmC/2kWAgkVlrq9z3pUSzH3HIxwY92Vb
gJCNgZsLFC/Me+uAUtMcEy53F7beAgoxhM8YYES7mCm5b2a4avozxAOAmAMzlryN21Wisu8k17XV
OJn/MEGAnxqgtcKYeE97I3rzvAe8hBY9XVymPBfOJUVEKZjGi9u3e8OjOTQuR9i0o7aN9XteeHyO
gQR2CGcBYEi2RtXibFcfVYSsOWs0eI8eV38c5BvCUrTK5q9EDvutw1l0hKK5mCuvacukQXfz6eii
CDJuCnZNB3edylSb0BRDDLjnn3oqmZPvkBXFIXX8h0uFqn2snWTXeLmNb9jegFKqHnUcTlliOltV
7QyV+4/tI+gW0LPLA1ix9hfUQixHan+bJt3WYjizjiNotJQ7gdBW3joDMbEduLmvNFL21mCtybRR
aBMR4Z4lZUClM9e7i0yi9wjdHEPhFxknmmut8SlHTNpkwS0l3bLCMHpvY4ttAXM6LbZuiGzQruMW
AaGWgI/cgFiowbUvLj4NQjBMxN2fGbrLuhnxPXj47XSsJfi/8w+UyJexol9ecjwLSRTzubJBtumZ
UCCQbZ8ykiTpzzVBmB3HPDJ+A6O+rGKi7pUXPdZh4hFebbDWVNGVaZOPe43rRl+6eyMFQ+eJ7Ie/
g28uStq9JHksPMttUYYZ6sk6qpKH0X3ULE4lsYnxyoqovWt9n9IANDwPsw/V1M96MWqMPTR7Jwxv
Wwc0wsSivkw5ShN2wRccN4egyj4yiSKHCEm5aM/T0c73vJ/3VZ2xpmTBxsvRBsGHc15QPuXqnvNN
PZK9i2El0dCCaycyJEGyYNv4jXqqBg8Pn0TXdhjUV3g9cI/+QAM4UhPxBdSlXBm+vJUQLsOERg0D
VBJAvouauojF1yDoO5OS7rVnY+p2iWGWe9k9eqyudKnzkr2YlM/jzGZp9YmDompFefCV1DSFOn3y
2cX5hAYPD7Ci1Rw/q8NS276bLiUgkyxOI8bygmU0x92HX5THS9E/YC0xRAaq66D6B60yx+PILX3G
G5nrvNPwUw6x0t8t5v4c7AA4VEYcZnVBhUPps07gnoNaj3rimJg5qfZZQxv6ZZBTrvyuOoAApWC3
6rRt53RQFHqkztb7nWfOPY1N+1HcPrmJuxQ/JU1IbXyYRBLWWFp+dTl9SdygPh2X/DSu4dcktSij
1vEiKSQXGKw/GACE6ui1Tj3+YcAfCofjoaF3mFgHYfR4CB64Nn6ppZemPbaIhm6WlGdUOjokwA1b
Pvl5Ln0iR3lrsCByRwAqGjXzPXOWgSFOxEgcnY6qidJKOAZLhSt0bGZUKmzmZnlSiltvFTD5sPWE
tSPXFqbGxUuwfMiIhtpg7p2dpbg/x4S5ZdA8Fuipl5p2Vr/HTEHAB6REYF9MIbhNcIDEdf03Wtph
yLwUXWpRbDLjeWOZgG4SBuxxWxEqy008GmrEh4EtJEmAdpfDzmBZirNZ7qmDaddFUx87pbRN9DQH
Ec6hlImDtlz/0LeY5XShEDhFbOdWULu8zxzaPxrrCipThKPr/8xzrT9RScFK7056iCO1P7hG7XO5
mbdInjgX6b4symZJADwi2PL5CgurYiFeIa/bq7R9d3EhMU8o9FBG4tmVs8/QmLpyTpO3UYPCZw9j
ctSmc+Qu8U5F9WqFxZfzhC3pbCrlzi1QtAo3O5RFTBFc7b8At0y2zpC/uQH21HyBdPnJS6P4QxS/
Yw4O9Ygt2WYR4Xm6tbgoJENbNzXfqVS4zZGG9X3mAm9ko4LVr7sh/Oo/RYp3scPw2dbsNcZZ1cPd
M3ysXob/HuSc8yhtOccZqH3pfci0vqhK+81zxoSMXy4DYLw+YjhnA/St4t49NQsfhf1nk+oQj1Mm
ZzV1FrEZ/dJ3+CNLBgaixLdtdi4zGqs/xZsugKwdedi1YKN8i8rZ5oMZbMnYcyHC9W81JTeoLr8R
DHDXNmBJOXBQBbxxchqDQWs/OFuRWNdBMLyrocXyDblcPqOeXUj7Bx71o9eQpr15uXHd8KBoBMIR
yJrefbSr4D+Ozms5VmQLol9EBBSFe23v1JJaXi/EkcN7Cii+fhbzcCfuxMTMkbqhTO7Mle8mJbOD
jvyVPytMewsLPEMUA1Rfsa5V3cXU8r3ljuaxSQF6iNcaMDlbO9JnjC9zoFk9zKAq2+xIlQESupcj
xroexaxL+ZlH/PszL+gqwCtxtqgjmQtGRnlpOjSpamfXwUxYvvEH0XP6G4A2VpoLdtQxKOQc/uBB
XdjNQ4SZOB22kJiPiaQ9tOGXIIiARWvud9Ij2BLRoifamjwq/grVxaD/KZZYMbCdprM9Jc7Fc3Ei
1eWv03PiGXTQb52mXZAjoFlKD0/R4KV0v4/RE7mRAxrx46CGZ7Yc9PLYImjSAipaOqVL7uJOYn6R
DrM3ugBAa8+5e4K2toWOhNA2ur9j9RSY3XtKTe3BzLuf2KpIyAuMB9RHM3vOmJoboJ1DQGEdhVxl
mWIt8KHv1z2bqNE0t5R/jyqnbVjhaGd09xmO7+5iNwbRwAyyfPHB7Gzs6k3+T+zK8RG4+uyGzq+M
KogYbQS/M3j3evSMCgZObFISilqJKidXUxFxkTW33iAIJ9BktqbDlVHBWfpnYiQ4heg/AXlbb4ac
izMjDZTpX99cGFYpaouc9LBz64twMC4PPH4ShAnzYP8DLNeDtAaG/JJtpWUq0FUpVPe4xLeUoUPO
HaTnXu4irJfUCaIpFGOxKcVIL2LnbLnHT6voN4IbmIn2s3aPwxD/dcv5zTbyTz/FmGwo0MFyo8WI
mR1IfF/qB5mbLmeXmqQH9siZG9ZSPPWazzjGQtYFBTMWaC+E2NycaWOKfxyo2mWu6CrHVWbUxq9c
mjcS0WwaQQKOGXpYFl+qQsbNJE+EGh+5B2OKfg0HzL4LfoOmL7xCM6aj7DHlIrsqrPJlWjC7Jks8
2eCjFXDPcOr8yy+YBqnWhnaSIEwk1fzupPJAV6fLQBUKK2InvS4GDeQu3b5S3Mdwvm4TqS3nZAyo
HpPMPwOMc4nTkS/oeGA52rWC1Z7LL3Kd4VINaSNBwXLYo66/VwxytuCSP13/3Z7iHL3ZxpSV4HuI
CSmsIAY7GKeqYxR2e2mhFmBYIq5Iu3p0l7BCr+IuvCVtvvWs8tPgqun76U/otOXO9zD3Na6DyPvW
jRUxTql29FUvs35u8LVL8ITqmVXIGtSTqlo1Ir1JuNpJVP6EzbjJlwxKN01PuF759Kvukxcp2/uJ
2DRa3k9d9Edz4FcLkqkqovdZ6yOomlcv8d5lm8iN1CFFmTyo2jGTU9Rc+sxun2zPO1DTtchh/jag
BIIgCl0xEQ1fZaOuuOa3RSZuQzLmFBII/GNdvsWrLKgI5bXkrdpY0nkFoMk7GpbYsQ0MyTqeoJuj
f7gMCX2WsjW9ceA/+j7H/JTuR7ukWSfr3kpFO5tDiLAhMNjN8N5JXWYlY7eJ3EXbmcWaazOYTS6I
qRWee2KqxKYASAUNgwW3O4Yxsuq0PAkui8NE7QPEkvc0xsMEDGpd08gBvnEgPhJKanKKDbXs92Sb
cC65SbkuktMg2P/YtD6kTS256syjJ4HGFtK9IcN+uUF8EHwf8f+vggw/6paBWJv/YIS5KZqSQWTm
jZmw3vKaqw5QY2qE+SHPWKUsCl6irPyuOKpeOCHzDUhvvVQbBAiVgJCvtqYaNDV7tedRf7LAxED4
sNrVzHQUcdsPNBSL+iWJweokirlYIhykP23HUIMZyEPkAkuHvtbJei9VAVqTq8q6KJGZ2vR+Xr5S
t8JNynaCZ16jyay1nPN14dXu2W66YE1049jUaf2Yl9Y/u5IDyraDyVzuRcbVuyI+dy0wbwU+XXoO
OHLGRsEBX8Sqmiqg4ItSh0vxOR0c42TXHoTw+T0eaWnvY/3oGf4J7iiUbDrukRoT4oQ8LJlhhxca
ZEkHDvrLJCdTEESCBcqY2wnQU+TYv+Fj58RInHUH+dKsoJ0bfXPKuYKty7Q+k3DwcOZ2EngC8qVd
jdTBMlXJzAtmD/55zqpTB0vioGBuygCF39plx9MlHEIvQgWQXIuNMNlmoue2zNifggLE04ail3i0
fie38tYz+gnidXcYupAnxWFGagRuhwtN/pbUbeyMhG4gSSsZmSDxZOAB8LMC/SPOaFvzaUstHoOM
JV/XhU2DFEPJjKpiJuMUU+U914AKhhwnz+QrlvRyhPY3fWOnYeANyKfsMS5D2lhmKlINOnXMPt1J
I/51C8w2kcfWRLvEHRm0H1Hjw47N9imJoqvVBumT6es/O6EJpsWfvEkHItNTmPAhBjDkWMNWjcH9
wpQMMSEcdXVBwoi42iydq8adNDXOeHVStE2u+caBWfa5IxYAq6USlAHwglVUujps1Ci+j2UWFls3
czlaJz4y6WxvgdZBLON7X3N3S3Z9RetFMN+agaqAIFMhNmBG2SXwwKQnxFpbtAFX8t6JzrRiQZDJ
grd0Bic+SRc7Ta0PdHS0p5722f441oH6YTXryye7w1U0BjCT0DyjrDmhH9cV52UrLQVDmMjaOvn8
WHLOOCK0+3tmVLtZoyLaejwODshWLKFFhjEjjFLMYvkyGWLDWROefJaFj3chSPiGK5xAgrLdqcdm
2RbrptMveYd8QVgmuieIo1afZeL/q0et9olg/7bEZ+Qgz9oWKyr0PW4BMa8vtbLb1HWRJMnGu9am
q+djGYRU5VDvvsqXj5Qv887wK2C1CZ7rLjBvVA6+5cLDuxfGDJ6Ev0iL2Xo22z/o6MY1h1RbJXa6
mz0KHqia3iaGl2G8+moqr3kIiiOt4c6eFoe9LscBZpEJZrTe9nYzPU7d/BrZS1YvIUnBR2K2TO91
RN0L3av5ArRm2uk+ak2uGlNkmxqfRbysQl7ibmWcfHl2j4E6IVEizLLfNP1GgddEcevyPbQ9cHjh
3RCSlOgyqpeSNhEkmsYvb5zNvWWi+htEEBlfnZKC/lvzX1jq/oyzPVpbrRHu7D5jiYlddOSBcCHl
vCxIJZYyltV1SYELlhRufFbBJ4YXZG9IXFaZLPf8Hv06cBpisA32zaYXm9q2Oij3pkUwV4kdFxsJ
DNA6pzYsVs2MITHcG8Dtswzx74RD/ahGcaIH5IuRZoDfKhOEL+RmGosALK944sPOGIHYONxr6zEo
KnrpPPdOJdaujSD1jMMDLMF0r5T9wdv5aoZ2fVTtvIgvnFVd7pwdlVmEKumqbCf/2Pi1efCUfmhk
QbWhcpx9bB+ByJarwC7EK8bBq5/5jNJjmd5Zf/j1tnXjTXsFrTKYBkDduoPIlL7VU49GEJHBpYf2
JRgBJecEnWZR3k+BxBFdcwhaBhtMrypC3h5qDUPfcTA5OPkg3Dolql1eoVcXHqMBkzzblu+KI60z
4ckxjw2CyrnOKAPJ/dcWJW8/VOzbKdMvuLz4ypgy+MAALCoxNsQyiWh7JqhFuurXEhdXUAa7uRjd
QzX2t45ABt8iGECsX+YWWl1lFTic6Hta4W7CdpW0IXTN9NMb8IlSN3FDXCetaLLoUFO/2JFba2N4
MBvhmBuF+br0VHUDH+7EQGM23mthfvQ2Fp223f3/rznuXRRl082ueWq7rR4qFOMMP0YvmgeJ8nxo
2w81CONUoTPIvjkIx8vWjlD1Mes6erihyiu3PxZKv3RZuzzHNClSN0t9S1n8oVjycKCcBwTWcUBx
yMrNJxaZ49Cc+iwPH+z51wQ16bW9cRotiL5AoSid4OdoCy7OJrSPNpumnRCnaC6/cmwe61rxs1rd
ZGIZ2ZgtjCvsDWrTWkg1GBXYbkqHXag4CAqDGcskjEsHn04K7d6iVr/Uz9xGnReGp7wNEgojtYyF
PwYXhQH78v//S4aJC2puHv//O9MvbPqWTDe4OMtf2OHZwTmnRTrGe4ir5oOEcN8n8pVTEKwBJ4eZ
MCqic7n4YDN+JC9f39LmBHaxhJCbQmN3M/WYxu0bL7vC+psUJ0F07n3Ap9f62bsxeZCU+hDPngcP
jU4YnyyMQ3cHUN1hfhIkKQ9t4Hs3UY6PiovZh+fiSCypaz1gBhMHJTwW09y4wyH/kFpd8xwHlXXC
9x/ivGJ+HEdqIj3efTW1/hkG+VxPwnpMMDc9JFb1r3W5qieJntaez1g96I21RwUCV5QpO3RpyLEY
s0SHwfqCpT91M31NY0pHtV/ubaa+92nR8r6kkCBDhE8Vc9PuBYVEbZduvMDa9pyZTyrMzpYg8FdJ
5lBVXm/AOqQcUrR1aXR3ITL0ToYUKJRRm/duHHYovrdMR/WFoifclvqnxiNO3oyXNvNPCu/mxSeq
y9ZMJfpUUrA8ZTMKaTwi9JLIQM+EJch1hBNnBNfwCFSLzrR0Nm40I518hxkBJr8LPWPWRgZNu2FE
tUNriM6Wal5E0HB/6eW7MiY2Wm6Xa/xKyX1pWCHFfLAeddCqy8DBiosN442oTb6CxVfp2XiDJ5eT
B1E0HP8eXQ4mpQFu58MGR1WDITvfIXpSTsAeDlmv5bJM3EcFEkN+4G/8PHjnDJPv24xxuZlTyUkC
I702AjJaV6ERUfS58jQ3ttiOLjI0fR4W52Z3MBJjatiRzt3FK5buSrQ8BvjMSPuIawDIfa+0t1On
On45k4qVvIkpcjUgrExsnew1G3TFwSTybzWww6322eJbOI29f8MJy4VQ6B0piQvFU3cT1jdFjYoT
Gte+LVz+VQSluS0CQCYJJRxAM+sQ1qGZOsc2QtKbOGLumwC7HkiUvPX6bREDCIsV5M2JSUibPvhL
ZUwhOUHbxJ8FGhSVGQxGUwSpEv8rVwbR7f30k1LFhAFB9sBFLGJixgIOxGgJp+WEKmdzI2J2L1fn
/aGCXhI1d0Yl0KXT+oE5O0U7mf7IOPtvWPVpaCBJQvuaTX8tFebJTMF2aibfbc4ijt/hddi6cFv3
QUcIByQPiLkJO/TSGQINFYHJsTbKnbOTabkPnemKDcSlFPbG+0CAvKe2SVndLcZ/eUhL41+lq5sw
J8oAZspuq5NZEa7l9C32cT0B9l7+ri2XhgCCw210V2cR8aMSpBBT22NB/4u5VDpEkq55SRchore2
qsPUyW+DfP3yQd38ngW1GJsrSpJceb3L/LxjR4tLBhCivqm+gHEb2cfBLHcZ9dicK7q9Fyh8elRx
p1gzgIz+Lc+bqyglUwQFpJ+UtFD1SMhizNZiaHYWtlLRlM/dmBeHsC23mTuew8AAbuvMh3+xz+++
ED6nYrELElbfFhFJyMh/rZbRJpG9auNlBhHckVSswl4B86X0uXsOfUCtGYyEPmfm3wfme9Yyfaw+
GxAWGz24eiMr+wGXPdSBMQ9WVlW9TEWO8ZKO23UUHAhnpWunkW+D7T+Bj9+RAbqzFddr0eg/7DPV
Gr+IpK4aJ1hFVebofVcDtooshzIYut/S52HCO0RGtvJfjVsR+D+m9Mc9u9AdtX3XUlq0TajwtWJV
31XyK/WJUVMRWW/iqv9Rk8vbFmcmT+VGuBa3za7hrYvJcrNwb7xBfcmoc/eqjq55X4mDJdJ/npdu
SmkGTzjAq+jeJep3qJEJN07jfUw5BTTi28j0XmEJX4+2/ViYwcZcPo+UdDPZ/TLbwjLcTUl6VF4q
yWE29gl/xSkMdH6QFjmSqbHv+MbID85LXKwbD7HfDeuk8HZGYV9N3oB9m+td7PHhSm7RGuUS6+n8
4zv0yeQ51/3oTs3cQIWj/9K+Hw74v7919w6Q77lb3n28vggBbv2q5/gfEssTnsRz2IDpbVPrQYtX
loR/AcrWWtEb1DbpTzbHb6VBRAokHVFKhRuLNA9hteUfTm34PgTpcQhcsTNSZyR1NB9Nr+BbCJkd
d91q+Za0QW6vHIpTMOt9zSBgk7LwkqXrVyHv7UiNAvUWzmtEkywivTjUXkFcEPXJGf0rLQM+XJzp
U1oS8IijyTRSUhuVySmusR4UYISa38zs7o2GuD+SFhnsKg9IxiS7uukfRgwfXUR60pjJ6Vs4/ZEE
HpUabrFGwqlj7+DNlMHUHi0qvLS89h6WNEd+J3U3rLw8uCNpcHbyK5sJdsxoGLaQwdZLjF/ZLSax
H98eXho7Jq7tIRlkwSn1jFPbK7EaLOffFHEwzrxm5dThcfnMMuJ3W7e5oxkMDWDqH2Z7JJzitVt7
cM4uFIU4wu+PMVFsQrPAkV1264xmTFrmaryg/Y1E232FtMl0o/hphFPxguQXcik/o+FzfR05N3lD
/tLh2nI8OkLLLvhqmvq+p60x5lA4pREreCmxpkb/pC+mve7Id5nGb29Hj1wXv8poeKHvKpQPddQ8
2L09LcMCplq8FJzpUggibfEVzbhch+FiLtnXDj9sYFHynoXhCtP2W9D53brm5xXkL6GJO6/t7KaA
dfx/xZhwysk+Q0LH9lB8ti0MtITD46Q4aE+PAy7CUuGor+gMI9QZH3tKDCgMMq+T75GCH79wXRQ3
s2bDMMRHTjrivg5x8lnz/NNyKV8WXxLFhXc2pVusmENwzqkp0nJnenYxiIdlEhA1pDg9qj403H7t
wguzA+Nq6eGY6uyx54PlKz21Vk3VfKfeU2MZ4cw3HRTmZlQUWwH/eVA6veZav+bejEIZW9ewdmkM
CuKLp9UxL/PHyMbli7rIGIZ7+BR+h0Hik9xoedab2+RJ+yi1oJQz+auJduGXheArO/1oVwIVOR3f
6dTR+2TO9t4ou00Gsqdrhgf6Kz+FyL5SD+4I2MuzH2OemKM/mfkM0wJsxyEyw8n/lrq6H7RxLQh/
10lw8OGfrUXV/el4/uQaHmTup5s0xKpmXnyYPNp/JRP97FvNOmi9F4uDdBSLdw6XHBWL8MjiCABN
VScrTe/TTD2PNWMhP5nVPkjf3Sn6bef8xgDx1KhRbhLTqPfge4DFGRSOjAMXtikmLJczdwvz8qOz
g1+Bt8RxE9z2Nq25AocmW/gG2OaV2o6PTjYnGZMASugbdpr8qool78sZdJW06toscRG/GvfF7N1b
iYEsh5Jv3kaZ/agOlTfJL2Zzx3+N+E4/Vgu7oFohjLw0bvmXD7wyrM3oEuExsts3/ke1ZNCBG0jU
rcKPu4rrWGyUHR56C9HGkaAFheH6a9dxe1o7LQAhUUksyPrqi8bc8LAsd9Bw4ECDR4KpoqpEQQRa
taugZWyePc9l8TkpHlqcUs9taT15ibGrEHpsjMDrTgw3J7KHDcUKK3Py/8UapkhaTBctY6gRy+TZ
8YJtqQ0SMbL8o9sg349ejfyNWX0FSRFrnq2R1EP/V1U9cWWG64sJcO3J7K0KX8ZwfMuN6jYF5QvJ
rWuRd5RH4cjEFMWJp3jx8iE8GZnzXiCyMDyhjQVfMK01hAgSBIRk6qm+y19ootoNbgdzI7xD/ccT
kDJKk8DU/OmdRoXh0BTJX7Qs7Dy7NWUnbPnNR9QxyM3EPG9bZF7S+vuJURiaMbmR1vg0GiKApSYC
DnP9nU+LkzLfXILrTZXkoGt7OiRJ+BHrtR5n/1kEBchxpC+8CZw8myHhwBu1ILjbXnMMpLZP+gSr
J2PYVPjY6YWlLaLJtgoQmSMaNNBoU5WtB1e9hnqiT5Zw1c4lTqkzNH0qIYIThphf4PWiqzqOTumz
AQmeRgfcHFwHyqnpdkl4iNupOLX6WMSSOGYxbewU04fXMJOLud/kOMYIC9kIdvheLEG8dZRMoW2r
pHCDaiA3vYwdhDuqw2nBFOSdOVswurAeWlzs/Dz1n2cFDIwCmxLcWdw3Lg5z02D397HDMO9gG7Ca
33hXkxkdnDinXxvJJJ0p9/VHnqccZ1JJ3KylTxFjDs3duE7reH6d4awY/lPrqHQXeMH3ROCmUJzp
NOSv0jBeARycGXU9NOHOrJgNBdi7V144nIQFeTl0Ssoc416fbFwfRa/WoubTmVo/3mc0qUMLdVaM
xw9x2H8FIDC5zudPnRGVq8bzL3ZsvQelmq4jWR/HHUD1zyBsaC/HdYiP0xzgYnIjSAsuCZa7MEzY
IHKixht/Sax1zrQ12YGDEqeMeSlzWnYS37njW2OyGo/3c0OqbhgYFMky/w5QGAEfcZzEh0eJ3VNe
kP2NiKn5rfMcyOoaC7QEnimMFkTvy3g+JBMZR7LfTyP5EtAs+gYhIeOS0KJAp8klVUIcbL9/Tugd
KEpGGqzRcrFNsWR5xS51w2nN8JfTfjBFdANXZzcdq3OAuoyZDtaE9XtDG38ux+pHl+1yM3PvXAo5
zATEoTPbCwOafZ5KADYgNFGp7H+mmd1Yi4EihY8RBosMaE0WW2+M4k9jWqwsOyLMq71XSRlItixb
9OP2FV9S4DAEoOUOk3fz7tvzwATYBa3WCyAlZfLrB/LTlOYBDHQ6vnSzSesjlLU00DeaM08OvX+r
sSUS54h7VUBuc0duMrmFrz2kO0xmtHssKLlfxxuf0Prk0UyHnTVP6gSMwSP7NqyQFu98N/615/lU
ABBnppXsporbSZ/QFdOdPRbdtTe29/OEKc8qk6ufqz++AQ5gY9oSsbzmRgqU1v0wkMF4ebboDXqX
29jsRaKuWJk5JgXxthDts6eMiGaoCYocPa1cickZpKfUIsGWONklcOqLZC3Ap2pydxoe2iy52eSB
ueU8m55z7CZkJuBcKxGgJWJSP4Bc+o2i6Xm2asgb7i52NZ3hXHHQZQETeAeiL9G6JaK7j1z952G6
gGwzfoS1hYvJZO8cNS9PE2x4T9+jlIVrmv+lLnb5NMI1aQzLbSw+0whHX6TiPqRa8YVWwmsxcJL2
xq/RiF97KlFG1iJahtuueB5b+4fqtRvSw4lSTNqUe+CKDA9+sO3ZAoCKHujBjruGkfCA2ao9ewMT
VeG/8nn9zFl3nFjtmWhcQOm+QAonWulvdYehD+AQQFRugp0nHqQyT16hfqDeUm4wvKZUjBIuoCIh
rfj2wbnFw4FqO4utL7syhai6a9rSZy/phbSW/JvJzNMs/Tdd+lu+68d4bpZqluE5iFvC1JZDBgaW
PjYa98oo6amzfJCJ1AIrM3jDumih4xdQaOkqy4Gdhek57rM7B9CL7wTzQbuE2LzMXrgSB9HDNlBz
mR6z4df22nFnNdNpEjGhIZZYAAnPFUcvdsrYuyyn2l7D1ph0iQFoUfBcZ1/6qdpytSfCnn5FzMWA
M8zlgTQApVzRBbP9O2SthzRl/hrUMuSTx/aMToBnY9Wr6d7DCO6Ywbct4zsyjSwLcf6XW1iAw++p
eYD4eiNdhIuz57hTj9lbSjunlY5/VQt3iaE6VRf932wVl8pFuKbPcm2RaFl5JflwxwwZo6Q88Clx
qVzy37FsjaOZnlHHsmjo9bG3Km6Oc0iyJzezXz12+yahY6TW/2KGmcwscPMF7sH3+dZ8aj1j4MlJ
6F2K9v9ozPwRz20OS0E/RnV5hnrBkaNwnokqaLtlBpTjVZM9QTqGRq7R/DjiUeBOvrie/0mvyk1n
rGZwvogLMM0LIijW1EhW9XfFoRqq25n87RfVVHslk7c5Fmce0bU9jpsYMTZRpuaPWywKZBdtnJXm
RAxZsjSYv7H5YZYORNZOPFmcyLmwxJLCY5TMErmI+7QO+aPa5uRoEupm+Rg5mJem5hAjfq7zqj6W
Jc9LGU0P0ei+yeSf5g5GaPBYsns0VFg2jGBjflabye/OqfvryNqmG7xCxS3i9A6Ag15SAC+hj9kE
xsmFlQ9vd7Vkbzt9c6mkjQHgqY6key8MFmzq9DQjPBxsY4a/8f8vQCneNL8X1M8M3Jy4WBmiZnEt
ACQMFATlwBtGi9F4K5S59uOXgPbYQ5HfhJ0jVtNm7a8NgNdc+zFB9wUgPFLBgFs7BrQ4jrkllF6O
v8V4NKMEhg/avuIqCnSBsoamtDkoQB/gY7mpMHhmQXP3E1sXnqliPY/1r0uBRPi/ZQynhEH5EkFz
+CmgfvHAxcYB79BHBhoRVeyYD9zQscwuSQws65y8q+mJ5Q7jYim/tYHqOJKnb/nUxzioNy51rwcD
DoeXNMneSvPnqSOpGSxAD9QyRnzjp6Spewtw6pcsHaKlmE+cC8JaXwSoajQ+qGoBoclGZPfpAIQC
HDjl9GsVAs5Q2uQs7mXtk2tA5wwn8xnnBYAjWxGVNnK+6HoEoQWLxI29b2EsiN5ZvlE16ezCyLO3
gyEZ3gmtz6XJXSswJTTZqsI8xA5oROmXrZLsLPr2ZlV0b5HngEtVOOZJyY6GwD7BfJlBjC3A/m2g
AHG1Fo+zqQ+DR5laFvGT81n2dv0uG2YptTSAgTf0zauZtGoVv9AaQ45rmcz4GlQFCAnXIEovPlMv
CNlWx7WdArzgZAhDtCZURYjUjkCmMCrnwuPD+gzIPwbzpTflpi/DO6uN3tQg74IRC3A3JZdQlbh2
uXe1g/3Sj9hH0Fvvi9EBTQO33Ig+Bl2gAJQvRYzfy3HgL2JL7jdMmF5ME/l/ciCteQIAPfnhIVb4
qfwjglSyxsoKi9w1iF7FbCT+ry/9g2ADGoNY7gHrZXt3ejLT+NwOjE8Yrs3OiDjKXtDNlybkjFOb
0PPG8QUz8gNmmtcZsOU66423IOZozSmREKDTXjTfCv2S20C4hzBKtpanXj1Eqa43ji3N1FdTl8cc
mciNsW1Y8AMvk8fgQHf2U5ZirDSd8kVZzWMNwmWgrUgOvKO2bzy7E0HzMcLhw8PL1C8TlzjhFmTe
qQ0c7nt22QJo61jyZZY8T8LiDa/Ze4LZ+E2c6VInNeD4+Z1q8hv5ywYXHrBHQcGdR6AZfkct481g
t5+ml3zaU37HkWLlBWe3hSU0gDMr2rXhER7ObfnQltgnaCC81BbUUicMvvyWLj0PbdbBopOkTbdP
W5A5+LitK/aWG2yXY2JxA2Li2VXOBxkkrANEASCAv7Q4FsiRJ38Vehd7y3LUw43bWN/aZyNLeWD8
Zeg/ZDYR2a8kpAqtLo4IWDcJ1iQXMbXEo/EMquenNPRm6qELjC2vZ9N91ZQAbWafHSWsnrtW4wCx
jGd/Gb02mHR98GBD0F1nk8BEJljme9FxlkqHF0FFs9v0aMhSYl/WD6MpflNErVMfvvVd1exhHLBI
JMUBzq27nVw6jKMYW2EdvpLl/23B+Yk5ZjCx1WAoDoYwnvPqhC0ZIEtmLnzUaSVkIO7UApF26q+m
8NhHjP6RErIjpdcoh/Exyqy7BXBrFPeeat5FVcRQZdmzma248NiBbdhMAEoHHDrWV2tK7lNr8S+Q
IBmUezeY8S0M0ztCKBZTnvjGVVPDYTHYmaoeLH1PgCkAczQEwbagcA02h7Oy8GS005gdJm9XDO5H
PVAlFPrxMa+aezxXkFQ84wxOFFA2MQhIxv5m+aMlntS6Y9frhujKafCeDotz3wf/up5GCimnVYyh
M3YLmBsVhmlrw5n1ahA08+rqbAwGhst4eiJb/iBy+kLtU2WR5ivN9Hfkt/OSFpMdrfK4/p7INN8Z
7Zdsl3SkMVIK6Wf3duK9NOEdExdYoDP1hUX4L8d8PpW2zbOiT4GBna0ZUDaTGtKO8n5dNddrzIfA
Ei7B4jwVwr8XTGQtP+p3NLVenclF4MHH3MdGv1cId6i3lbsrEuO1pbiMZxMJgi3ZTr13Blk0LAT1
15g0n9pEaytzsNGdnf6Bn3vpfTBycUTCS6SgxwkXL31tDj50jsgxXlYzgMdLFQYieh8jXdXJzu/Q
6DjhQaF0zHMz1UfEombHH300Hdyxztiw0gz3kfbbA+Il9d+ycHZjPh0NbMa0/y1s/+jqjs6wKYL4
xba54bsmvNCSi1zR2YSj6dVG6wcknNnrKXWunglzKC05Uybw1v/PpifwSEc3e+nC+jclM4z/enzj
lAodyEveHNd81db0ik3jPYvKDd0E4Cvs1t2pApuvSM1z1+Sncgo3vfaR1BbWF14Srlc9XtHMTuCR
KMwCTkokOv1KkbBIDrX3iWCqOQHNimtGFfXYrLJ6fnR5BzeBBwBi9o1fX2Nag0Pq6uTPrzlqIH+s
hUv/EtvCuUolwWfjX868baUwdPlpvw+SmWiVjf/EIoccuBxXB3b2BJbTMxn3beP4nP1Qd7M2psfb
o532t5gpuxxL8RBVmb0R0AHMOv0MZXksGvYvYs+jM/ELWVm0nSJzO9G/IRDuVmUi7v1QkcooqVTK
pugbRPojYEyMKl90c78aPjJeWyXTSidfeVP/EB/iA9HjT5CN57mv9sYSEFFO/DMWxQFQiL/2AL3n
f35mOEe/8J09nSWKWzH1F2TbqTZja8bywy5JQUQIDxftyHmvkae3zgjgfZxOmaWGHRwKb98x6swi
BvndqA5e6d0Ib1F5tHxGcqJyvaa1Mpnpe4BFoHdcjGpGeQOO7q0fd8WWBW5MkEm6WgZrpx4PQzHK
U0H1XxSUySGX1MQlGfZMxW2ic1ZD+//tAL9LkBotAygXE3XtgMYb7/vM+Z6XCevUvzfAYCG+orfZ
FQpIaTKDg5zJQgyQlknBoXKA3PtQeWAp3PUQ/diQifdkcLnh6oEVe8PtFlyWjFI3Wv7+ItCryXFR
61A71r2HdYx6xfaKS6koTX8P6vKO8wjo3uk8pvZv64wPQGNehQqeB4jDMaWaOGeRCwKj2BAgT9Z9
OxHE8HCjLMAewL87gi/UpFLgQpIKW8P/Ec3vMG0+DUxgKsdxHRNphWZ0NHNTUOSQbMeE7CXg32k9
NEwwkSFCt1uAj+F86pdD3aTmfwESzUY03gkf9H/kncdy5MiapV9o0AbA4YBjGwytGZTJDSzJzITW
Gk/fH4Jl3XXvNauxWc+iaGSlIiMAxy/O+c6z5mDBVA3S9C7a4s9xqar3CpT5YbT1iADLfB9OaB47
5QF8JrXLwzL3FFScMiIuflem0a2nFhxxj/lJqeZg2hgvDTaQ8wvoq5xByI82Jiq4xeLu9rOJXLVH
ffY6K8W8QFu1pp0RpWLDiAmLR9+LF5b74lT4i2sDe3/sxIzMuMu5rFoIyAgvrm5cXGd+0SJSpUtj
bzNVa60/YKOOVt4X2GdtcFmvem5ka8dmDuVAYVL0/t48FmDVUWzRWu9iZJhF/hvNxFdihWC51Sey
WGeZFyZ1cwhmSii1K5KRTU4WXVEfbE0BX8SGFYTqNFkTwwNlAM4imaj0QfqhS0wCznR6lqk8eVN0
6sr+vRqnY+UYF2MowIHVBUkVTnaVNhOOHB9BV8RIS5ILvTgmF8XCKsT5BAulNNJkM7CXbi2PQAsC
X2ZtirelfUZQvhAO4TKtFY8X0Ibaphknpva9uUIsa2/Txj1Hptr4rJMI9r2YnDC54gmtD6hOEflu
R7rXtM6T1SCjjYzVq8duiUSQHw7HPZs4tE4kjS+aCtW5EuWLYebXoic4CTL4KTH64JiTlMEf9g+D
Xl7EFO1KXqCw0YDmhgQvGfCWXcmLX9lgWAAMvUUpCjuun3IelpdLZ06CsHPadXeMX904eYwUTRcL
ZfFQEgsFA/E26qI+jVp2s6IbdePSsJOA5xUpLBKjjoZTe91gb1qCrk1z7VKZCOeMrIPGa1C2WzyY
xjr6mJoOf38+bPNcJhgSA8ZXhv/ETz2x5G6fB1ffCcoy1ufsOlOYlrGpKtRj4xFpJlFGNlFQ/kQT
O0BSWgutRztNIokwkxewRTPzzH/q2yh96ZkNU2gfvTFx98iy2idfN7VVV4Db4FFlrwqBbFBLoyeo
Ei24RB6iqc9ajO0ZGKPp0E3g11nrr1mR41kzNP+1zWbjdA3mIgwYs5MGhdQgmjEwPUJPjxzjZdPE
hA9IqAhsf/mja9mm7wjc0JvEYEyY8l+mqrhauVeuS5JAt6Osgw86NbgYV24T+A0MDkrko8vOpY90
Hd3Yc7cyL2xQzZskyXowgG62HNIbBrldHmqr2V+wbTKogPNNU7uNvnYM2VzD6EhTA/6TLU0iynci
ZZARlcyR49KhdKxWdiaJ0C2IXS/4qYve3kQo/p1krRk438qgfy0t+6lR9WMjArBMkfYWnaMWHpo5
NzBBnH54MTd9D7YcOwOG1IgmxjdRCilYSkoRTzcQgmHUNr5xQixQjMt209xgrZzTgvanpjrczpV8
5oaHwX9QBeMPdIomFXkOG19m7VLT340BDQDdQr3p2wE72ew7YqpI2DdgFGT+VEU8fTXdAqcGCGlg
QoucBIeuCpdmjhWLPv1mhOhDIesyGfX9A46t5ICKDZmyZBxkNe5l/q/L2ffSdsCJtmqqKKiGRU2z
PmQD9BpfXGC6XkMMxvuM+dNi3vcgig0Jb5LPzLCGtTcdW8drLrWjfyEfxZbJBGNvUMsyR8ROHekW
M2IwJ3EfwaUP2fAqjmTkJgUxjhX62pL6W6daFQ67rUZ1G2vCsOIYoEFDSNi9DlR/gMvF9iDZ6VN9
CbPZh2xwhoWYg7JmCjmi9ceoHF7SSaV0MWDvss/AjKONhxhgE3cpL0INRid0vGPJ7tyfZa2zD6ct
xLumR5vsT6A4Li1W/AXyXwvXCo6Dx0RXySaV6SdnBilwWF3dDDeipf8edA2WCZ3eUIW8pHhxKwyn
M6Jpx1BnUaTqSoMOswioPzo+yt/WLamJJHEjIosXlaQRV0kIkQpRfMlsw/PyS2kwJ+IehukxPiEx
Crl444OfkPQ0cjwWqr/WIYQxM2NzbDNj7NgzlxFjR0rEa+oUEs0jyEMtHW5likFvgtqqEZXGQ9Ir
H8wTvKxsHenM5qsgv6Lv+0QSSr0V2T91mbz16nlsiXmfegwYVtb/1Ljpx8VUOKjvU1shl8I0IOKQ
BTugc9/41CyYTErWOiJlNF1Z6Iz7SYe8XjqftL4vftemaybWqPmYzgThe8eAOlIfUcbUIPHTyxzx
Pvpo+PVG8t4jWF627MUxECHgcCdQacN7WD8aNlW5hZzALzc0RPg1Y+ujbwGdyQGUvv82SUgdFIpY
X212j1Cad7qyfwKuMHdAStsAQlsJ98i0GLMAsj2Mevg+tPmbHxViVyFiSpEZplo/nC1uLJ5EwbZW
Jadp/65V1G+BEpu+9KKHgHiFOeqdMJF5tur5F2wIPhOEn0N5dmLvc5jkR9PWq4Gl58Lw+V22O68w
ovYUFsM2DTwXtEX97li9XEWT9zsI9viiuR5CgMKOW7+aPuWyoIZCt/fiFPU+Kbl9gjLZjr5N0ZTp
2qZ41AmI3aSx/dUaN93n++EOYr+UAFCe0g8BGywS44wf+SIr3IjheeOdqIlFJOCb8Ky45jvThmi2
QfWnGj0smA2+YtaQQmaxHww09ki5wbNi5VoyhMED7RVfOKJQQ3PODahxF3ouBQHSPzGAMJYJGmT7
ULLaMbuUhbyYJjvUQF78smUt7vZPLFUh7kTwf+Ht7TnKyR5RPZDzBmlSq/w/oY0MgpHHwu8bLqME
t6pfUrLVcbkoZ1SUCnL2Uaq7DnH91XmYZKz23bJpCPqIUal7wu47+8WHq+LHNXP93UpNEkO0/skO
3DUcvE/0id0+8JG7GONnROfAGadPu2h2m9uK/RQVp1t7J106J+GRipZ55po/w4mYfNHsIYCHUiSC
gVWts1SwmYoshBTJP7qw6VUS3Ldeio4xKhpj7XXaZx6aM0AlY3PqAE5sOZpjyV3bLsE6TxKPq5vv
C4DHlATAM0YGheOq0lhjxPktMHceRk0tfK8D+0etvqBZRbQfTmD/6e2BhHNGYL4IXmr34168JjN1
CgWqPmhfHDZr0zYvVZNtawMOpB7FtyTsnsoJrWfUm/Bb0mzHj/vQ0bsTmHQk+B1F51wnS6n9Trtg
J9PhJZs0kDNM4bLG/sOdGWxEYdwc7Q8WZBjGkfErhemOsummYdbHoyNRe5r22jZ75jHgu7CwUhJr
7pqsXgL25mUMqi07gboTpssabSOIC9xa9StD35S17gshQpMm3vwcxg4CYXyxhXnLGeTCqn/WjI3Q
k2ouInFgBmm5n0RHqPccZGNxCYYTpAY5XFr/RqVureitJlTj/sOY5RQpCVb6EEllM/krGHI+fu1H
k4kJMM+s2Qy1rZa4718nI/vlwCW5pGoKl0U3R3q0OTIbi6lQ7CTB2pwKtZR6dZAjw/hJKz4Sx36F
pPRS9SjxoVPAwN7EkfsakeBzRXySLrBb2ReRJPFjWZSf+oQZFw9bcXbYB3Y9J6oVRMYSK+SLH+fx
Dzf68sYvyxL6mX77GHWmgYGPTmNsxEdQVByeXtY8ZFNySRz4MpzJ0E9dJmJspmZym4sNp35Chdk9
ZumM1Iit9mRnFgHKusEkpsFCHGgJmHVibZiE5zu01Fh0cuzykwjGGch1swwnZFkOkUkblX3g6X2I
hn0V6+V6irXqHBXWYxWj8XMUsrI2yFcmhIcHuLNyfhzQvuPf+iMCXL0xZf2xtvp9qWnNT120DkVK
ZXKDjtYq0weC1Q3HX3UpkUctiY/LPJDsEtlIbDRcfau4Sk9JwkNdslpUmBwRIZKyN3ZLzxzbP3ne
XWLTBa/pOyenqACUgy81cL6Nb66qW5KBwn7f2om1SnSh9kYhSTXysAX18VdlarA0o1ZncM6frvOr
0/+ggvgsEWVujW5+buUPMusg5aJ0QnPDCpShSFcOPSfbVC8Srj9AxfK3zmZTehY9CeJ2X5jISYM9
FgC04YPPyf3c59xyM3nRiGN24amJDSmulz2bsdrkZQtTYQMISLY2274bUU+PYd7xp+Di9O5GNBp5
qkGKawVTZtPxVctRakfwBXtWaktiKnoXkWEKdlkxzu8d/Ia22aEzuFQomRaD1HF1uzgdCkusmLft
gBxAub6anklcZAbcSRr+JeR5uRgHbZtZ0UuZap8J/g/W9njXwwaoe4UHfQ3razvYwHQyjf30aDS7
vDbx6rSQnivD2kiRYT8ceTNDL1obvnfBRxXt+GctPPGuW5DwQqjB6MHGbZO1SejlCnccnWUNqYJs
padB4LpnBdY6eLmDWbaRASeGh5YLcasFLl+AfDkUAJkWn+GE7MmfLPqf4qUnScTymHRVaiWJjPS1
A33FDqX3zziFOuKmN/Zscc9N5AQp8fal8TCO8a+xc07IWZ2l8J5a2ApL36mOKeCshdmOapUW4c4h
O4FUB6CqjpPsshKiOc9lc90OgPH1EEWFnp1NT3PQ8uKWDBSUQJSHRcRDCvhwsEnS5C2WGmFkD0Fc
0F0Rb/JgDvhcRugt6BWQnRdLQuH+2LNvypA/xmEE2zlR+SUmIBjLeQN7/lmHqULzE/4gDiHOOUCJ
DlqS/iKOiesblF/aT48QX22ElNRb3S+7YTylqWiZWGb9CNPlURG72wIevXISQIqLwTPQLi2JMfgy
dH0dmxnSK7N7zgf4GEGtr9G9wB1OBrJf9enNAbiUCxbSxiShW7UCfkqkL/rewkBncOYO/eGeVf1X
ava/JED/Txz3/xeh3aZp3F+J7/TyORT8X1K7n9rfX+G/RHTf/8BfGd3WfxlAYHXdMKRr245LBvZf
Gd0EcSvHsHRdCWGYriKn/a+Mbtv9L2weRIWz1JiDuaX8LyGgXCs6bgAyypH/L8HcFuHff4/l1nWW
6bgPhC2VEja0UH796+ctzHxivI3/Ywxlbtk48FaNr2fHNtWGqzskLYxtdcr0Kzas7CstUF4OpmjO
/B/DZSrVIht/ItYru03jAaA2MxaVm5spUTpuKvhwowG2y/KS+tLVo7fT8uSWeZN/Cmo5rf1OC5e2
rxlbv3GtbTizLYkbpMQxD0xSBAvEDpO+HYPNww8WRTNw03ecjRgnhsH84isaUoZ7ctn5qdwGQdk9
/e1d++vy/XtguT3/3H+LK9cpIBXuPN1QYn7DbN6Av78udkb299CUA4lwBv96nmvFtnTxXPR+O56t
QGmvoCMWZCkA3bLMbGMIrb4VTl2uWRf6aE3WcVSj0qvYcuIzlRt/sIJ1nkN98Ytp+IjAn/OI0jlF
DcWjskyDE8ZrFrQOsktMA9WGBqTZSA/xaTOy17UcUvOy2hBHIRsBEZ5xw/3LSHLees6bDi4II4Jz
MucPsaGXq2DGQxnwAWcEaA71qCyfJRrTw4DVGdyfOT1XpVc9Bo65un/ldZ3+rKUAwwDuPrpeqD93
dV5BQa6MAw8p/TkYPWKbpqF+AO2NvWoyxRsHKG/IJPCjzV/Wb4lFetE/vyXWf74lvCPCUejeye92
xHwp/+1SDYZIAQUl6cau1mYx/aLW8t6Gzq42wEnidYo7603iH1mkrmtBBLejtzbaaWYZvCbBi2ag
drCEzwhC7wrCTWNIb7yOzdI7Mu4zzy20jvP9s27+UoAcW5Z+BmvO1xRIN7TYAIPpfkzPOwVF07yh
mTI0p3iNuYEvnhAf+mjar36wDFxfnPRJXEb2C0+tmfwIhjnbgOu7sJ1h4fpN8xI7EuNLufnnV0mI
f79wbclKG+/NfEjorsVJ8vdXafDNyIldUS0rRSqq0dnmS2NiDGhsfGZ6lYkXkO2kswqfR05gpcvW
wZpErChSjIolGo7iui/ES8uOBHsWIadIDHvrEkthbHpiyxdm14bkIrB4whaukF0GbkWmu5MckP51
r+BP/e2sdd3o1i8eZ8ZJJyZ7Cwnf2k1pM5wUQtTl/+Wn/o9jzLYN2xGOLfmZHVv/t9u1rsEdYqGa
Db72uOlDPeK2ymbQbC1ODcS0ZeVmzhr2Wb5sosBhu+mRL4qc7NV3inId4s6Ex6vS66Q8b5cHYPwW
RRf7W1k45zgOkYs25otZVbgiYm3njfWsSm28szQ9tuR2VpMEAHsEljFq6tAc9hbr4n1b1SQfpWQI
/vMPbP7HzWA7pphPbCmlq5M18K9vc1ToTiGyullKFurLSCbiCEQUq6mi+JKRVxJtMONQRvVROwN6
QaVemGHNjgma5D6eI7HM5pgFTXOsu6g5VmGFBfX+9f1DqNvhts9s9Va6xm9QycYtDGtzrwFkwuFI
h/rPP9H9O/6XE9d2LB6MNJ7CMZVxv7D/dntnlRoGS1pM2cNkKxz2FWMTmjtgWw6aTVMsvTaIALYk
M+okHbecYBcEBEttsrzD/34oOkZYhaaxTsotfFslymMkUaoOgd/4gTwY0RicuB+7myoZyva+f62Q
J6Co7fDB1tZ4yptwOjGEPFcOGLxkam9WMBIzRz7AAeoRYekQxWMeC6fMwWDmZvvv+4BeRpwLsCel
zRzNdTQPbVQjSQ3P9wKOyCmVcYeqwch2mVblrzVewwzk3rLNS+M0hhIXcc90Kh5K7a0ITbxoov4l
3OHNwKX9zy83mrj/OCiUY8EdFgjuXQqJfzsotGJIWBgxMCq1liS0BHeaPsyTnakDelGHBG3pWT7c
wkEdSqcTb4DbNFY6eLLBM7jPrWUkqyZP8k1sNsmRnbrApTzow85P27dx6kA7W374VLi1tWumedML
3vBJaeazJfuXQsXOgbB5SFNDJZ96X0LrwybSueLquEGPNNvut0YY+9pCBiFLZQJwLOjPW3M+xFxq
Xtj9wDJTpcpFZwzyyQiifgfIzH9AA6lnpmlvSoXkaYgDJvgcZY/MxVfY3t1dKBNnp7t1uE1Jzrwy
AARznZBF1iTyKevBjtT5LzrGGL2XZe6VFs1qhuSrG5Npl1iufzKknT7goGMDGEG/M3KXNScfumly
L/OqqFiPVtZ+5AaRgjmdHNls/qcmMTWXvVs+oAP1lwrNAXkXDmYpXSMJN02sd1GnJ3J1BSYXslZp
GWH+6mW7qkN7WjdTR3A1QprV/ShPhVlufNeAbd4YzOtmFRZereoPJsYn2iW9g+xdFj9CSTsTVfKl
jRyQMO5gnTn7ftVIT3aWVqVnMFHr1A7ePRK+Vmbkw4ENiKIVTcpfUZBdfCISoToWXr1W6VPdFsUb
KqP8bM4DKUyJ40Uf8eMuJmn/iD1G8sABRqi7THTJ36s3AmjUym8K+0qhAb2bG69NEBBg+2aEGk+P
CTLNRd5BiMAeX91yu3jPB5V+RBMcWR9K5MFnmPVcIUQr5/+f2Q5JQPbYrwff8dpNUMUk3+gGLEN7
bPdK9MUrsyOKHJ2NOIE8HmE17LHfbfk22LRwLFXarQbY6QZndymAOIZjkJ9TIOsPf93ORhuiOqiZ
DXj6xxRirpizUxGeHfSGRoqN9PQmg+DRSPi37YLx/gLqJPKWwoc43AtzT81FzDRGgatZdtbL1OHE
JPcreg6D2kEhNbP/IZyEIKPOpYtH2JRe/5MaiJzwCFM7K649UWvdBtqpvzLnh/n9S3O6epA4lsZ8
KxDD+tdvYDHYXqQ+Pk+OQ4AaXvZNMd+5bcakHQi0Gsfsw8KqxuE/D/g6i1s2YYR+iLMg2TeReiLg
qNzZpsAxKXQk6HF/7qlIvYXjh8l7YiG/LWDnXBpL2xCtAaQy9Di2dAxnNQXFaMGhKBxWX0RIRIus
j61Nman+hIz7qWoLPEQiy+o9ITopWmlTX9adBc5t0KMv8AL+SZuEfyKaHOIjqUvb+602uD65o3pp
ru8nCJI08A8jU+QA+K/lqks733OTQfAJsbPA+xkmsJLgdwRFwtJZxW31WxtnSPkw8xz4cQCoDt75
/lkbwsK1ASsx1TN2/3zKSkPOD+K/P9YMWwkpXFPahmk40vq3B3XrNa2jBSaO+/urHcS2OJp95W70
koOhxB7/nEy4aklcH7sXgqHGq9JJLQf1CuVukF7Fvf2ul7NWs43/QLVZ5ui1zanrQHVk2bVIiic/
HNhK6z3Bo/H8lEKvAQROd8UBLf0USuushbF1NqTXcQ/TNnlu9Wj0enoShbVH0C62pKDD72w0eSgs
1hTsecO1b4JAlFVzmfq3728lLn3e5xY6A4qwJxRF2kPfxcTJGi6zxoHz1yMQa21mnf0+9YxfJrP7
DMLuWrrNL5JfreMo4+JmNtqHKrh3yb89Yw7IUGgjjmadGh87aa21CYKpSRU9KyaxVxvmubYFHO2q
H99rhN2159obPA28TsTPoFfl99uiDZ5SgpyGwS/Xkesy59KzZPt9DjaRrrjswMcDXpljRydwjBry
RGaqzS1lh7auojJaWgT4VGEa3rCimrsQ8/gK/P/FDruW4C1eb4+p0yKbIBEhDvo18qw6fR+TDiqu
IiWZNNLj6UPO6UpuVQSrCT7NWq9KBIZtFzz6hN3jJsRrC4N3gJPmNygcTWcvooj1Ept5pXlfwvGL
t7zNtO2QqcdiLJRFcHL+yNZ32N4fx1GavcVjni7RMFr7iIN7ifXJPFfCsreZXVVkxo2s4vVwW5pW
9DSq4Sugs7rW9vSLVHUFhgere8/pgQNUc8Xy+yoyfPF+v8+6hJbHreW5o9kfvYGcjPmyae4fTKQj
3z82fHWyPkwWqEDu47eA5fI2nesivzbcBy3KwUdNdgyGcH5sDr0DTs1X7spoOv7hitAK8jmsXdbj
jivJIXgIssjF7CvdS2QX3SEzjHOWwepkITFFqxjB2gLb9E+UG4Nku1EpxG19iE72NMxVQIWXZRtW
7KOcsrDOcv5QlUaxGu7n2FiU4ToxKSjmG+X+waZ5Xn//al6SrZFhX+IaMMM1qsN6xfptltq1wdbX
uzctUiCFwTy9ZylgHiLzQNZDTt2WEyc2ZSYFYdroMAHHizEqsfLNJsCJVxHNOaVfKRVg1atjR7Vx
+/5gjuji82Ldhu18LuFsm4ohOJsmXlp84qhWcuuPL8W5iXiozfYirD9xj1Jm4zjt2bF7dbhfxAMl
L8Q3ZP6zPr81b4E0nZcYQe2KqRNRy0Gz02unudbNUD0AWNWNJvtZlr/qCQhXYTjd2m8+E6nqD58w
KRZyDYTOoURUwonFVkhD+h7Z5A+LoF9qvRVuwzFNV7HjCXIURioHH6JV1PsIVWKTVHjuEuGN1qng
fT0rYOPLvKm5UIZQ4IpKyx/KrebT//7O9AAHTMn9VqUjVr96qjasOcZ5uvnqoobZyrF4Ttgws0e0
85Um2l2ebmO3oLB3DSbVmVQkiqZEugMmdLbl3MaSDvYSjdUveNK0wxgz3GWRIDKsh7a+pAhQURhm
CI6I/nS0QdwoywZ8YhJyonLzrSwR6xBQWf5IOudxcrJbm3bbwMnH1w5gQifD8FPT2i8eZwx22ngV
2AqLf0egdu7Un5XOKVNkH0Nam7u4dFPoYbPamO3dDoQ3WLvMULwAVq1Bwcv6YnzMjapbjUXzaCir
+PF9i8moHq9yrnIyEjiJ1EZMUL/fnx1T7YDdqq0BscH8KOl52SPHR8LNN6Qeer19up+jaUyfkToi
WPcexcp8VBrd66QPw26IPPVYh/SNOZGs57LlCmSDa+/7xhQrbCrfB2irO/4R9E2w0WyfN0mzHnT8
1j+A2Jy0QiMgyRUhUREWgMvOWHGiWa++l1GpO5uk4ATv54MD8jHQmp+WmTq/xoE9pGEl6xQkzqGe
lX4tl8ylFmV/E0penZkl7eaNXAc0hZvSgzc7+ubJ7gnaSqEjFER578RQOmsDkzKaGcF3wVPD85E0
j4HDGMiddSl5llL+WtHz4KC4yMLEPJay1V41Xd9mXVBtJhsRs08AsT/Z1Q8X2tM6dke4v55gi226
m9DiDjLnuVuKzntDEqm5rCp542Vtj435u63pI0eiPDDJfsWNzyquscRbHjDRg5c/K5tYNNjEFNy+
X87eQavRDGZ/S5viYljTM0XXUz1kxZuGIuYhdmlHnGDSTq3RUlk1qYY7YKIIzRFh7ooadlbKAaC8
LwVb8SFOTcEFnUzbTAvJh+FpCcdM+9Dzo61885GaneILVA66viC7umMl96UfPgO7QNtDEHznjwV0
zSrEDmcx3SPWOiIFMcwObmWnr4L0rqmV+o9hwmEYlsTLHbDBIsClVRHokca8fZeE0wcku0z1yoUT
gzO5ry+W67lbP2p+VxDPawMIjhqi8AqgTa7+97OerNEVurHflP7DCYciSECDVJSA8Epwt9kz/Hhx
w/yx0K1IezYb0Z6MQOOUny8SUzXhMhadjZk7NN7jF8ev5RPhGteJadYKhaS3z5KQcQ208YXTBeVB
YsVafo/BtAgFt6HZFkEZ+Vwm1+qh0CQ7RM63bDX56RdPfnUgYNR+SHXam6wFmnuvIfP/KSSNNEKi
GrQEpd+fhv4rXDof2++CnLH47f7ZNBHJU+VyqzqkdmzCia8VMSKwgX/n+4k2H5plMcbhIzQ2setL
doBsy4D/jVHtLoZE2SsVB9WLQrU94Pli9s5JUXjOY9NAL8BIPZDQ1Wtg0iWYZleieyisalWXCJVi
1Vln4GXWQ5SSa4XUuADc/IoqrHnWc7LOg8Z1gUfTIeoeCnhLI0oGfZClxIiWo0NXYb/lJqZuL7CT
vR6OhxaBzwMIR6TOSh0CMmUQjU1nfAY1FihK8qlCoiKPWJpxNvWRMtBA8yEPHysJOQaDi3GUyOFW
36ddnWU9+DE3xnE5xcd4LMyFGIYbsNi1Dc0QvqKWcUzpmNyR3e9TD6ASO4VTLJhmhMhdfua+/9CD
57ulo9EvqhJjQGfiq1BRFiGv7qwrea8xXDSKvRR/xRmYAoHFxVjtrbKqbobtXV1ooqOevOS1HZyh
DW2tOG0oh2GoBqVIn/HU+NuiSz/BpsUPpRUF+34qnXeEl2YdQf6f+N9NZVUHW1eYM9H3vhb15d4N
kdpFH2vL9ZDL9HFKIJDdi8YOWgVdLEOOxup+qDCOQEPCzqsTh1YuoVHhSeFsC1mlEA8tbR938QVn
TH4qYSbuun48kFNM8tz8oVBnAeCyaHrAll1qc/OUmG1pkJC4ldt7jed4ZnO2Le3Aq5xy+iGklw5U
IdYxBVnDhLE39/5sZFe7sguoppG0PzHx8B3CmTgDGEkxOtVMIRiYnfI8Q5PsoYwEca/W+jh+Tb3F
GLYiM5sFMev0e9WXOvFsty9BEgHn4YN0qZDpZcvCI9S6P1H0vtgedWBZ5PK1ZE/MZfyisiK5ta7c
tQgfqir2z77t149ej8pl8o8lZoZNOU+TaLT9Q9tpmBlzzXqyzKA8fd/qBeaEm5fY2XOF28BpyaGu
HeO5D4ur3mh7lVfaFTZrvqZQMQ+WZuvkigfUxqrqtzRmIfYa6JFeJZ1LqAM7o7Kiu0pQr+C0YeKk
HNtmIt5YJ7zCi/szT9nypYlnDtr8BLQGdzjGPjr6omiZuKpR31Szfh7zS3gqbOP9PhDzC75xOf9U
+RBc/BDvnOhZwH8Pn3I3RAPEX/I9kHLLV7QI0VMM3IT1h13f6p405qZGS2MHpba+X11BvW1VcRzN
2jvrArNA4dPYZ8PU7zS3mZ56AlP2TAZMIi/4kh24WLRTE6wNZgGIEwGz+drRtn/4Ra2te5K8DhGV
HUrQ+dPk/ulgk5zZB2m+bW2MQqUr3hApEzimNYthID3l/jZb1FYbN6lWpBfY8wQnGGFPBjixNfLF
gMc5BDPKiJqfUApEOYXzs3GcFIp5uusJQwU/CMN+vhkom9AxZCvaR3+PNYe0Zw+g2H3q1dXWqy2b
DqxwI996Y9APLkIotxeYXxuI1ahEXTby03A0tLKGUjlgPR14D9EB3lSuUgLe4hxjPNq7dGAtF4Ay
uwUTi8mJK3RrdXK46c7gP8ZkGA90L+kDFtKWfK9mg3u4POd1FOLUy9qXxkFAKhGO/mqDChHj7BjG
6ILo1UqvZdl9KATvhybEu9WLQD5RID0AjfGX369DkfB3Jw0RpxnlkE03/5YP3osOLm9X9O6Troki
XsbwhMNankA6xbg8YkxpiZmfGxn/trpovH4XAaIkhTVO3ZNb2z/rpBs/zHy24ddMKQwLposoWvVE
PPUp7DPjR+OluMdic9jyiIzxcKfipHzkJBWE/FMel/RXgfbpu8Gl9rXimfl2evD84TLaDIVXwMud
RWvYvJluSHvHOPqJQhP1Quykz3bH+Lx0EalGfeWvlYqRsrkSpv+MMqxUWfKrfIllB63/BC5V06kB
ZKgcDn4MD33CSMAZOBqrCXPKNMei1aaHUMvvzJUUXF8NJQ00TesPiYo3/kb9EkfCeQB+T23lMY7x
rWlVDN6IYNDrEZ6XKyCqbfDg8bRZwpSzaNnyVXpvQu+/Zf4yThposFnowRxnA2GrxDsIKlRMpNmu
qbVuh6bZX/eVlv9EWtKpZvqpjSnRYeZPnwmfKhJvXmsrhNRt9urEWbxLyZ5ZTZhTHoZWipM5RNap
xb98CjPH2BhZ8bM0enmQnpSH+2ft6CYrf9LLB1ja1eP9BW7IDyITrUFQ0xsoKTNXP94/5I7aYpKZ
9i5iJ6NPEEvZfT7QCW4yO8iYf3ECV0pLt6NVdEuZ6SwLTSP/q6HIrIHlGboqiJcnoWxiHQyHiBYh
whVcdGY1IxcZIW0DJ0Zz1VlPXYcZFWkOLmNmiIaLwoOQg0Uuv6V1/TI4ZfTjXryMEyGBJUy2UIrg
NWbKe0xr/KDgvLV3erD/puu8luOEti36RVSxybx2N52TsuQXSrZlck4bvv4OkO/xqVt1X6gGtWRL
TdhrrTnH9Cyr2oSaDWIrx42Y5ynLakBo50mrsotUCnvr5HV4sdvw7yYR5slHDHqLkv4HkD//i0cu
Sev+dP+eDPiSTKJhGLyhD9RfMk1zRpp6/cpgiNmpOV9kLqg/slgKEo9MTqHlpTaAsduj3hWYPPz4
p223+47FJrN82W9aFwIUFvf0JNGpbfMJXVo5gQT87iiTpZ2gA3gonLGk2yUfYMnS2JMYXYYiPKoA
/dd8Ni4mvNlx5S62q+9lIBpbzSYRRpmC9K5pcQpivh68Nu6c48QHhwiVIDmfTL3v24dZ7+hKJ95A
nUMCj6Lbl+A1f/MnU967SfFKp5kuIRGyd3UIf3+XJIHQX4FMc7Y4GSsyYoBWFio18p9owfUDFYrG
A6IQxETmAyS3+c5ha59uESjvVgJFZDkMD8ICj9EPsMhH0z3pdFsRCnZfhshOoUCylw4EitS4zQ5G
Ku11RSYYkTwBqJvOODUjlb5DMxI8qSApD8PrI4RXa2WqVfBbKI8RgEzRgb3918CRoaN6GdFFhBHY
9gWYG2dLo8ZI0dgVYwHbKEcLaCqsufs0nDYWqv2Nhi2NrnYNn5QTa+5OFaX19N1VHCa60ys1Jnu7
MtcAApobkWFrTHvDJdd8Z5P1Tr21adReaoHAjIUqM9J4k2Q19Mt58eoE9vNYimlDCJO6Who0jHzS
S9y1T0yfYazZmDJINPo7OMr6mHDUZYqmozlHvVUplywxSRKa+w+NQzuoptgdmoeg7kPPMYP++1Wb
OJhlGd2dM6D3lDEvWQoL3InCnYZd5BUNqUq6ufVL+jSB6QGK/TK4XDbW5JqMr8xsoxCrvsuB96+W
9gApUT1KE7BW2qg8BugxkXYC9+Z51oflW5lVL/H8scZ8HtEASm555iKrRkkyPzXH6ly2dfJk9c4H
KyiWqLLuHkP0e0GpiefCIMHnv15JCZdchdLgN6p+EWoezPmbenDq+SstxxT3CLaNojLvhrsuYxqc
dU2AYpHetP6q1E730OkKvqylGW6ONgZXHn4RIs4Ce1nu5X7eeJj30g1RteXeDqYMcSvFRzRvckX9
hcIfq9f8XKpyRPNTPWinUI1tlJ6d4hmG0ULRZaZV50YNLdUq1t9jLIcsSXOEQK+zWDtUgdGweM6V
hyEgAhuXF1C2afAfGKzHpLjO3ZlSS87RXPQJltabpqqb27JR7dHfpyN5dgpwQNty8/ui4TCy4WqF
wgdgMTUvcaQ9JI6v3pbezrw3Aik6f5+6jvFkWd0pIQTgEYr2fqBN7i03cxRN2Ybxz8NyyIYOdjST
hCCzua/tpsajP9bp0W4vMc6amjualXNnR4IlRz86ZCbpqaa+a2UY3pdWa+L60yYwEncb+K75RAYL
13UbkvztF9eq9v93krasPcY6rOkn1ALiqwS012EPgxKINbw5suK1vowETkrInZRP4uakuunhfaPb
NE8uGs0Kt7EklCXr4i9McP3VsgblgFrXQfsdiI+iLD5KJ9dPdFzemyD3z7mLM3oQbv3ZGgLCdi5f
Auxnh5Rx8hbLIzykbDdFdXmoUjd5Y9G30bSEtIosVvd2VqbqznflttaIwpu7tQQMFpfJ728a9aTX
Y8Q5OGiJPV+Pm7OZNQTyLgOJqKlHfJv0jok/c9O/T8/vO2LuKuMOKHtyrtEsnYPWma253KeXj8AO
jRymn2gQaaqOszKU8/fDKlbQQzMDAPVaOzeS9ponZ6A/yjWf7XufpsLoII2LExMXZqSYM1fLfDUt
8BFmJ0JPy/TkSWDBojnjXtO5w+9EyinDDI1qv2c53coejmthNqyNCv+hnKdnlgw+o1Y6CIRpF9Km
BtKO+95S5Fofc4KO6LmQZUP3NWYZPmqGvPnKSNDKPLtonBKlcDE9TYHJaHGpIr9PfY0M6/1y4rJy
T1fK0B7J2YvXJCU1D9mY6lszDOQ2CtUD88/xXQ2aBppTPnqh5MmK4qqEJNZEB3pvKOpcV94VDKZo
4rsUNjdaayW2zPOUYf83K5Bss1LD9EVPqMkI28NJLH6HliW2MsodRljWMWP7pRC+85uwVy815HMT
0n2zGOcPYWIwD82YDMNLxFwEo2NRSWL7+VKD0j7UHTCCqQ7dw4BgZ01w9Qj3X+Itw8qz5ZbzwRTV
XmNPxJP9H4VAJuttXuIhj0vt0x807mE5p2QtquGUYNt/QFK3NaaMkEwj+JpfyKYVb6THPfkwkEi3
ZWOX/d9X8kMQCBLHEd70pnkYneQxtBoMJkxmOS+gJhysrkdlbZmHTPT75ezLKgAYdj1tlz23dP+2
wxj/E6Gg6ILF/XE59UMS7KmFBnGgm2ZuzabLN0Dt4Oz25S9kT+/mGCBUaQci7ijBXLVg6pdDgyc/
6/tDH0O8Mkvt6usEkSiBVW5R5LSrgOiCbVb5lbd8Th0m3y3NCH+T5LCxjSHHavWfV/hUaFEmOvaE
8nWp3pdNlKFkYuB+y4RheYkTlkjTMe6ZupU+6QNXZuv3L6DGLC+tIHjFU/sHG9n0nJkEnTJu98wW
DNdyT3Pb3QiMam10kXKs5nZsOlQXmknipijGJWhDwhmlmLI1trk3s2TkYjlqcFAGDn2PHFRHe4my
JoKYJ4KNWauvRR7atJCRv4ypFt+GyNjndGHpI8YNxeksspj6jDugULdFpY0/uJnZtRV+BFpprFLT
+BNrTsdDL2OOnDn1UxcH22IW1PbMnteaMBHUFmRiaEV9jPWs0gG599kuQC5CY1cW13oy9S0OEQik
okGeUjGJLEPECRGkyYs9NjYrhy47hoZunbooICCj03bL6mRRtITJWG3aCuGJiwp0g9levZTug1Wg
C6vUAUZxYz/ljkKEyXxSKvPp6ZCQRPzbILYSeNDRSiosBYMfPJV99WLOVyD97epWSHEcAJRY0zhc
/FkYkIkmx+iAHy32NR9vcl3sJDc80JeZvJSKqL3KgffAIXEyZUJbsXKbLzcX81DVBbuX9fIxbxD7
+8hYTlGMW+W7WVAM7ReWr/QUyKjEtcyrSVTzqzbay1DHkoajUOkjqEeQLsMibRjb+uIQDGq9iV0N
VA8RmkGGLqQtemIPMWkGyMw+itH4anuuDc36jcGdkSqJXj1ksb+Tzu+2WIMnBY+1PE9VrXkyrvSH
VGNx60K51nZoFJlp9gTDnfxsxPegBvaeAjSnie50m9Kp4p0rXVrPJJ5fMjgc+JDNr3Jq60tTFSSm
VFNIoTg3hFMf8PiiwMrx3cKgzPXdMsClzyRpCHODx36ELGl+thnTnM81EEyfdOb70vLsUh5ruPea
1bxiWHrRaqKNFyVWGbIO7tWC6AkDb5a9LB2F1gIDX1H0Y8Fp9K3jM9N2ATIc4LekV8UOhhXkuPG9
l2PIGrKvV0HnnGrViK5wn7fL7V8QCXIMGKKuljlOMfwenC57FvNQhx23j7JnbZ7CsGMwnN8PZJ2v
li6g5DYBdHWm7hTuEQaphq2Rbxv0SZ6W3TKnGdz107BaKt2EXxuDMWHg5m+n9c8J9e3ZdDIQQkHm
YbSdXqYJtXUkJ5JFRz340HT4wYaO25LHp76tQ6md7EYhcW5iNdqmRr6pwz64qBWNyO/Luuob52io
UYnhWIONVfREgi8CIUYrzfFbFLKsj9KaPD7/Tzl3O6wpTR7ryZCHNg/hW3alSaVC5rUK9vDSZr1L
HEu2NQLCvMyBU8o2DNsjCRwWZR+YkJ6Z7Etb1+9GFBt3ox7yW9A2wVkjEoIqGarJ8kqdd79fubUK
oDDst0kTSAY5pJobsfrZdSqgTVvaXmMG6c5IarjONJPXPZ0h0FLBcSkWMysi63Ssjt/140i6Ivmz
KZ+iLD8GQDzESRo6/LQ48NqartYivSEj4TJUwIxiJQDWQZFeyIesHiXSO5BJClz7J2QccptIVCr6
uPk+RxB7oJefai8c7fi2dEs1GIXENtB+I9zpGCIIINRCH3/kjdz7Vti9pdZEPlQP4ThKxqOo3BH4
CDnICUEHVCfaU9FBOjLj83JqmGr+5+86vXfCB5rhPymcS8p4xoMrXa0fSjfTd3yfl2TE1jX5ZDyh
zFgtJ2ofsw4AnowYR38doYS/dzoBTX5J2i7BXdm5HFFDjgaOTdmx9hMoe7xlt3SsFKSoW1+ozMmm
IHH3AN9K7hJREhHNkGTFoLuh4zE53nKVu6el2CSZhSVlmuePZhkSwjjl1pGFiLwAPo5o3gGXIqur
3Cid+1iZcXyKEgUwA7NVxK95s9ViOa6/d+laIy6OX6BsMsho65cUgOA6n5dZMiJKUcxn1DCfW2E0
ig3MwswbW7pNduSi7jJ180mG8lBq43BUsuSCVZnHka2INYYpRJC2846wmqVOLsd7FHWo7MeEiOZ0
zO951AQ7ZaYC/W1z80kvTzgKFEz9Xco/xRxnlWARn0Er08kUtu0F/MlWmVIy3wxDjFhA3rnpsJp0
QtjHhUPwTaFWEfLfvvoRDENEQTiW36+WY99fHVhnFiVsHUjI/kPXMj4AlCYOThQpD41Z+Q8WISQg
XjCPV7Lo3gazY85bxMUV5j+tvqkSN4Z0wTbvhLihzrY3lq2UH98TXKAZ2OF5FmdlDkSRi2qjBGS1
S4y+/N79c8Q47FmZ0vPo/10UpNrvzgQipC9TkyGGJIU4xbqaZvsUqmP1zM0bOBOKR5LK7ExsCgvn
aGK8LOq3725vDb0ena5O96uFe2rVYjoJK/6TyOgeyc69IU7IQatRkwVgvATgIKckHvBpWTdYjTZ6
U7FypBntUpNxdG6gU1RSaw/oQczxhJFXoMJ5NqJe3wVKDNgdoddj2bGoIUPDRrdNE6Qafgrdkpuo
c7lHFfqh5BddVTCAt8Jy39oBa11jAcaPND5QcBpQB/C44ytBCeITQIcShHGyZL6CtkUtcWRb5UPJ
6GqjkMO0w9IwxhkKFN9gnp0VT8bk0g+PckLGnOrJncjkRWsarK08J7qBCO2cIFViBgAGonT/GULe
aodmpdgELYNVUy4mUyxa+gBpo3jfuCFtjUo8KmQXHPl9whyvaFFTSvDwD7dBzWctgkah0RyOGEAy
BxNzezDLKmccXKINliBp9YqIxHZVNi4D/qZQVgjif2lp5mz70NyUreNDHSegxVXrCdHURHtdIZkT
YXoQuDqI/arn73/R447fren+EEMAzWwekTnmIr8haEWh+kznM0mONGIDKpeW6CsU9dEaC4XwgPic
TcVoTgKR1pZRPU3gCUZTF33wzNzUZT6c9BBbqYZ2BoKU+elM5acR0ogKbGUXJulvv5+uU06+ukQ0
yY3rhN1tlahxsDNM/iK1ah9G0jaJbmy7ixp8NWaxDXtJlYq9ax3kb9S42dbOisHrKjRwndHPQmz6
IBGaeRTmeFA0fWe4pdxmBmpD/NUgtuvXHrd9isX5KE3tiylTdqf7b26WjdIyPtKlku61yT1MUg/P
UoXdJ9XJ84PpJ/PC6OqAAK3HbdNTuE0Z8FJby4gj6PozTWmMx4bC4jEYmq2BG3oV1Z+ildeqYI1h
js1X79P7wTL0ByimzhqgH9bSoJOnCld6fTI8SlytyehSMRMpuG6Bza0nk/tB1Js/JJGONo58j8gl
zrPmTQYAPBDUfOo1D5VAnXOGrMwzZwRdo7x1Uuz7nGDh0CgpBYV6D1t13KvAc7iBN8+jhewSslRY
+s7WbKU4yYTw+iLKaBUM/bUMPwbYY2vpi/SxkOkGV4TNRA5rMPCU17oaFALVO1hpMw8BG/PvgAiK
qxQeepJmNzSBcdompfIckrFVp4G7EWr/yx22/pghP7fzHYBasfZTIbyRWFsXRcPuYNNSP9Rt84SA
wSaxrvRgP3Rlrm2liUaT+xUhByWTvy6OTODSsBCHRN3SKGs9jZj4qk7ubTu9coaM+whx01rTEXHn
gYMr2cX/PXREr+DcAyzX42T2C0UHqgfUulLtp4DCnxo50vetxFRLH5UbdQxZP5+aTZ01pD9Ujb6q
W7h2JdZoOEEkIQ6ahq3e4r4zdPhy+5Jz0R52uW5R75KAGnYaWRZ2Abk4AYenftII/DUYxY4eY0rf
sH4OVIa4ssIBJpKHAd7TnNIBDKZSyWWYKnfX5OHjmKvqpkhqfVMqLrz2qjkUgfyhwfWFwZT+yQaF
AB/4eX0205EzzOQSuT60peSPiGC/tna3ky4scafldxIl6w0GEZmXlwmjxVFXNzbdZy756LfTcS6k
pk1kg0ALGwCUCidhb7QepjJZBR8YPTWPfCFMgwB0C+LgdaUPITWH2j4K0uTohvYlJSFqNRhMFU2u
HjIp+byjTC8vdv8LO6MGVy3kVzUFnmygtgctP6O2PNL98K+aPaIrApoeVP4uBfRpO5ZzzLP8qNQo
jeOUWk2HdpOBir8WIbOMziX8skfYswhjvXAoL40BDz90GX7Ulq/vBKoBgWxw3xTqFX2gWIcGl5il
gxjXrQKXD0G28IuBpCRYSXXdutsrJ51tkdozzwJ/g5uq94QPjRK893piVsXTc0+qPMIh3/8h2k7s
Wapq215DdjEY3RfJTFy3YRBtHI3bQDy+pTE5SGUUI+TpyOiOCC0n7HcQVX7yh4+C4TqtF7npQlFd
R/scZT9Vv1EOOuiMTW81yTYaSUutpuDOpMjw4AbA/Cm0M2ipjn+k+JUU4u40CDDA4oAH6NxoXyaw
BVGAyW0HOOnoB/su9h87rYeQOttvs/C96Gp5bYx4N9miuKdl/qaQWgbVJXxpQQ4Wlf87oJzZSMe5
OkTRHbmSNkVZZ7ciVMmHHt127yjyQzVT8kJZDxBReXSLMPcQqLUHAtS2qTEzR8vR3KugGgxt6naa
SXS3GacIpprxAPwtutjzxoial0mNfrTm2H+ktEI7NdjV0IgeEzU9oxODxpSm7qmomeGaTQx+BSXy
Smt063HW0+hzZWI2CYV/pL2HdvDphFF24eFkQrts39LEdWD2jGT0uc+2Xx6sEgFmDtf1oXop22nw
zMr9GIvmV06whBZRTGPFIreEx/uQoSkIJsf0JF2feKgQyTQ1CZO5PZxby4Vm19WnQhDsJSGwbEhw
J6MEGKWYiCLACffUh45/bzT4mZPDvDmpc+Ve03LydNbEoNODAzgnf5/YkwK8nGzzph2voI6J56zD
chckOEENaDpFF0CuS10SqitzAqky8FdHyXh0kv7bi5oklbmxLQsUiu4y2mIKj0koO6UyDT0Y64XR
qOueoDqvSQeYKSMwIQubNrDNy9Te8QvpO6lR+6jcUTdtXb0UZoLeNWQxq+X5JQJOgAGJqMsGtM9F
PaRdWh3rFtdKrypbF7Dk2hjSs6U71b63QfV1HZUIKzyA5BGnjWFzK2L0Mz8RrsqQH1k7Y0WIEHNa
gXPQxw69WQqXU9B32NalxsMKXCLLO1nfeyMxPIweOHGtwryS0EamoHBCr7dF7DG1iYCuNfbNon0I
rTjCVN0ipfInQU2t3XHSsxhyKOJbz4egDzVEEGm5yXh4oeYcALbbybhnUv5Spzo0utidoyz7965L
67MVTWQ76P5pgnZ1TJRdH6kgoQfUZ4Epx10+6Bddwp0JpU2Epe1uhT73q2MsUrBpSMaO8dB0qrLW
J5gcvuKYYIg6XD/6oz201bagz7/qdBa1ppb8ckG+r5UxMVaMFtwNdvuC1lz1k4LjEGid+RIWjg0/
0ax2Q/ZY1AUi6gEdyYR7B125ScaQ5MQQACGZMjO40dQrgQkOuDShEHLWpyfCz2alg+i9zGqdE8uW
daLnxjHHt7XuWIBtwD6YhCi4/KFYYaJqe9OZsWxSRTYYzOo/NqWeD0TDisFfC/M1w96RI3zqjQxb
WIa6NlaPZQnNjmKJDm7j7Fw1S9d93GxllzKewZx2sDWmorpenMLySaGaPQLxOpQjsnFn3BdEp5ic
hCea7to51ZiQJFZItlSVkTtIGcQ85PdAsjvSKl88OrM6G03SZtL0gK7mxB1IGz/t3k33EU2zcLDU
/dC/OVVTntUkNzeRnUfrmjphU9JSIFiEBGozuvEAT/ZB1X4NfnpDe2TAy2fBGk6F55vDR0su/dH1
kcww2yYZuNXqXUPDa0X5GpwUY8jWgE/g8NRUyiXwdK9TBGGMWk0Dz4W2EyuslkS6r4hloHrHhh6k
zpF51t5q0uTiSu48fUXJJBtj5+eEzzoivE3tWG5tQgDIT0L4klsn0roACKiKvsI/kW0Zbf8IZfuT
zF7yu+1S3Y3K1xBDm6tAYKUxHu0hac+BD6bUQdyAdX3Ix9cyJTYUPWO+QwbDFT51LNxKgN4zM3Jd
NxZoRDWjOMZ849V1eLA5PVdRr6X7gI/cg4tqbRhxjxs7xZMntJbarsUi6prnrCOG1ol7PJNRoqFY
KOKLYZovbZG1N7r5XUHKXmWrhyaUct3w4EMCUpfHZSN0krcmkP5JmjE8bFEt+R2lmi2Q3RiKTtSq
L4tt1nfgOAOu6qx/Y9iTrn2N56djOuUxUkquqeWlnqrlMZ5vWf92l1cZCjs4pfPb/2u/WI5SeRMH
5g9f37u0N5JjGznqM0125TlB+FklPDTCeY9Qn3euRWiT816cUt4Qm2McnaoMXpKOZoFFRuVu+WrJ
qcYYuJdE+Iz9I1xo5FRat7UaRmtl1aw4a3wuQWfdTEGx7Vpie2MnvAqkLpdWVDBakgkwVNIeJ+yK
kelcc/0Zg4D6JsMG2ERRGK+dxboyaJ4JxbSuhUC4DNAfnFbUPhiYeC99bKP8xuEQRlF60zMGJmof
Ea3sFOYxA0TDw3wzgIE+OHTYPWBoMRExAd4omqvvtXVCrZ5tIQINO9NpLa5SkfLwKG7u2It7nKrB
XoThj7JrCbVtLqYdI4iIym4WabxWLBeIGFG7R4VqzkQ50VRdddad/DopfviwbIiv0G6p/4VEZ/QY
VNK5M7NoR3wsfDBf8JvrUN+PtCGuVdf316GMyU1JTXIfjMgFhuEqbwTY/XT9e2AE2gtzM/FMW0Wx
itcuGKk4Y7V/yqeSYr9zVzTEih0lsPrgh2NyxDcQQnyWKflLQ3uYiDbYyIGxkUGy7D7XaF9PiJO5
LLPrW1tqw7HMlGtIj2U3lIFxEV3qbhvDpfRTwElCiNCQvY6XkS7EQeiTOa5s1xGX5QvwwtWTPswM
Cd72b2NHUrssb1Mk8y7UlySRzcf+vWV5tRzze7xW6dgJ799Xly+oBOiBY0D00dLnPP6fH7Dsilpw
vzbE7vvHzf+x//rWNoMtJVNU5f++999/fjmWKzoeHkFixvITWDrBPB6rhy5QwULVTmAdQ4Igctqt
pXVc9mEDtAY3YL7k6xw0AN5RDxHIsBxb3rh8Qc4QprJ1YzDD6yI0aN8yFaCXA556HQC5Z191/ggy
RE+L1BIPREirbTrlEp+i62ZP7RgQ0QnCjtuNc1a1uQdbmn11+X6ZGYaGVDOxPcttq3QXK6PXm8MP
n2UdI9T/3fTlkF8Acvl702guTjcZm8G187UISwKUuP/XnmxNkpORRvu0OE1nxqw+FXUnrlp7LHOE
9SjIqp9jCSavR8LA4wPkiNl9lY5Ir0Vc/0r1yNz4URE/1KOrIftoqtugWfpWlb0gxjt3dnWXx2ez
T5JDVdjqcXAspPRaVx6SNnJPAQK3vYGN9RIL3dl2A4G8Oa2DQzt3JsuWW6BE+unOzUorFzruOWD1
dBSOY638aTOnv9XzZup7XF0FZflyzGLyf4s4lW8MuGMSdYo37uz1JkQSwCXFxqfavC67oVQeLUeK
TUwLfqWhcLhKI2+uxn9eDeGvoR3yg0HjtycT/BqlDZlfTaOGV6vu3tOUFQAsYIjPE0Yr8ix3+L39
57kFFmv0cyTTJKUM7G04IK0AhwBhPByvhPkg7CkF1i6JDalxfCI/iyM1gUuTl43pUnSPmhi2/441
jfFnCHvtGGuti0Im/uEQ43uq3JtiJu5jYg7uoxKW4KNt34uw2eG7iEYk52zAszK0QHGzs4qalV8G
5SOTorgtG0hA5c3sDNq77VOEaf7D0JA+mgH6LrJJsmfWv8flONrmaUvvb9xlTtp+GFPqWWriv8B5
tE6YDeHpjdhkx8L9BRDWiUBND31M5F/cbrsxyl64gneBjXSOhCdINzhTQgfFXuSCaHdG139JtJSu
Hd2zlcgqLHE+mVyKnzBKLZ9LuwjOg01cokkPT+hu/OSgo59CtSRWgsViOvSuF/p2ucqNMSYnzNLg
hKKZB7utRB9gN8lX8ZX2tGwUMt8bKuMXt4TgbQM6e8hCvd1bQ6fvc7e17uQ9V+totrVXlP9jHvwC
2LxXEIm/dzU5ZArSnWPnp85DVFuYT6UW/LJRIkuGuq9ofoKdJN/vEILMeEJcF37/DBDvL2ocpS+S
bj+zECJEqt7Wnlu7fF/+Ed2d87Qr5xSHKhKXgXzosnEUFqjzy0TXwm3mZoe0lES42Zm+BsEstkba
5w+NkhYPUdNmK6cuboaRThDizeaRcPDmUfig1PBC3pZDtArLk9oNv5c9pSOPSouJ1wRDQCOPyfbR
oqf4nGD99EQMvbqeLXmCz52FCPlMPM0Kih/b/FFqH+AUZmplbt6cQn30w0A8+bX8nBQm9nkSmHfL
1ZVzHxSUbpFRfGZddw0kxXytdtYG6zCKUy1XZ7p78ukSVWBVafZR4uifp/7TTiHi7z0SQHeb+INJ
Xg85YE7B0dzoUWusap9QJO8jhbSDWpABUcKygHRsRr+KRj1Fo/27GxPlzGAU3oSibtJQmPvIbE+d
aXdPlPWY6Sn5tlXvPNKSIYJXLbpj4chuteyWlVY9+RYhYxok4CLVryT6+k+G71sbV0fkQ+/effJ9
lUqY4GukMeKnMZFdUSOF2sfO+MnoVL8qpv67xXeyUUoVBAx/2mtdTozXWgweuuu+zJ+y3gEaTuzq
vZP97zQK6EoG/QuWGMbImTkcUrxFY0HmtYKI8Q4TZJ3SVJ+j6cnCnIp7NdcnMibOr5t3l2N2URT3
0CpeKq7AI2oRaJPzISuDlc/HzmN+3v33DRKIjiUz/7R8+3IcLT4ndMDTrWuZjq2WrwRluLVrRizL
9zMktVjY9YnXt+QxLBtSqdXvuK1/u8srsI9IFv/fL7ulj7lQk9vlzfXy5nH+Wct3LAeXjZHZn1Pf
5qcMhamaRuE5AqcCL1CAgOxjH45+3Yj7siHovTk0rNJXlpUojWdVntK36X0SjG3pTxlkdMnxaNg8
eHNkag82l9igSf0G1mxOCfPFR11b9tpUFY3LM4BencTOdiSncR0oVveiu0Q2mLIltgxmL0VuhsYs
0NTkyIB/Hjinl2UjA/H31bIrGtmf4ObQDG+iE7r5v5sa8DaB6/O+TK3wZJeiOqAI/dEWcQ53Nyue
Mx2bOAPjZcf2R44YM7ySlNLz8F7JSe6nptAJ6R71m0+++dg72uOycbqaPwCrY2+yXDy3tjFu9Zh7
b+sPqKWdpr7b+phe0hGH81iU7edUphjTgu6lq5TqIFsbe+B8XECUavLPZAIaRbxmckgGgnzswgSB
N0GkNfK95ZJwY9WJevODwkeXqSNUqoX2FjTjmUaI9ctN+KedTFfA6uj2TgWttceo4QIKRbC+vGX+
QV00uO+1w8S85ibN8JNOMMHA9UUBwjP7Jpr3MYWFSYrTlx2MN6UeonfSOxXMJ3p8iSxwSrZqCK8n
ZfW1dvS35a01P7od3OCHy+CZ1BxfXjubxy2Pj3FLxiyp03HrUJ+yDpjJ8GHAxeplDuaeOLIT3N12
dbeQV90lBMIT4TcklNO2w9bLFzKNdkSLBGJ5x/LeoBv24KfsY2D8qJJQP+O+ty4Icmsca/NL8Dal
N0pGQPQOoLS44C5yXV1HAdJsKPVBR9+Jg2Fh9TkpUbzk79+e+93y2sQrRfJgoqxphG4s6qNNPPb1
tXHT3zVF5s+QUQrFvPbbzMqDAw0FDw8O/TKMiI6Ocy+pVPrr0Nk70KgENvW4h3srfe3bjFAMqZwL
Yi6/N9O8uxyjbNsNYGaP5AO6PaIY+7/f9/1tmvkS4MTaD2NGBDQTzXWX9AHSnBZR7rIJrCg4c/sO
ztOom/tCN5kuMOorkuk9mCJCX1o9OisqncuH5QvD4IiNkfUKBjfel5vlS86dHurpjJ2vLYh6srbH
a47rfiS4hZu/X4a70iu0Xr9Z9svAvfyeNEK5l1EF476Su9hU5OXf8ayYGRj8kdRxanf1GB9xYzQP
mhpmD84TGpVpa5gqIzOt1i9Thf6RqAHxE13NHMrV/rBNi/m6M5jkImvVgzMA91veYacl11nkvGTj
YOziUN7z0TA3A87al94CCT007c+4V1BZDMVwD8JCP9F0tOfOYPsT0hvpjG9aWiAyLbCf98LZgTp2
13kV1XvhoLkbkGq+8oRiYpSJ2QxVdRsXV/mDUWObrRRr65aReMYtkW1hB6teMXsJpVEmR4VPFssa
X9UjXKNa84Pa/ilvy+I970dzN6QIDtHr5O+413B7hW53ba1au4my01ZFJaMHUrvklpYe04NSHWBj
cLpRfrOmbpJ62zIa3FGahEwYRfc/7J3ZbtxKm2WfKH4EZ/KySeY8aEqNN4RkW5znmU9fi3IVTvXf
QAF13ziA4CNbtpRJBiP2t/fa/oT39KnH4+NFydS8wOfXXAKIBofObj7ns3HV1EJ82x24Xyupf4dR
Dhy+7tpz2tiY6Ms43cR9Mt5bbFK2nHFwCItcIAjn3SWedB53goEVE2rKdgyenVx5x9QmptHyvl2X
uEyRN+iNFjD4AMSH6We0zJc4oufZxRuO3SemJQOLwFjFC760Nid5iVQSSVo7oxF0T1LlNxGX2SkI
+nG1LsoPNVUubTsoN2WMTV5TxmY/n++T6UTwsfC6QI7ggrKd3ZraPUSM7oY9kO7mOiuO0hy7m7V0
1ZZsR7fROTkgEg6Tz4PK2Qg2yrt+0JdXe60xBkA6rBy/DOiaJ5xMvqptRfV2CNR3FsGyI0XS7wrH
2AVqaH0QNV5QU2V776hMGrMaiICipeLS5ugpOHo8muXKLymqE72ly0s6dPpu6Tp2rnrev7B/OP/8
AfrQYsD6dnFnZG18YbBFIzab3q+UwRYeufyM0Ek9hbQaWqez7pDFCT0O9br7Ufv3oESspsOgPFGE
Gmvh8tDlyvyQJpZ5raXj//Mp0j9cB2Z59/MHfj6fhMZ4xETDuZCv+flgtXT52ThmvG5iXhPxtmKz
Eml6xtJ3N85Z9NCvH2BvGHeF8vHPZ5LSDB8KGfgWVpvrz+dNK45OrZrDMI61fhsu1fCq4Gh1Z8sc
zhjQh9emXdWhTr8xiLbus5ZbZP10Rwr7oNlN5f98UeIAfW4RGA4/X8TQ9IVS9/Z+bMzqWWuByZul
7ePBmUkelEQsp/W0AiiGXKgW6B4dEkQh1lMNdsU/hsVmtCHISplWOn1QCFhPpvGJ7Z5LOEWuJTgz
P+ZG+P3z+TGiKs9eZPQQp3l8rrE5+e36BVTmeLihtTeiX/EuSBRaeZ2hfuEiOhp2Y3wKyyRX12ra
MY3Y1HAUNJ5BJNG8KeLw0kWO/jw4EI/UoawvBvzfZ5SFb6XJlb+/WQ0rXrLcNDPBOKvX1S1D93jX
rf+Lj+tmKnF7YVsXb2GJAEhzKGZx2m4fltBPzLWGR5/3QswOQezmY7SgfVVrsaYoIw7uSvYrg/Gx
5s+tJN9MUHaiPPnKR5j1Zc+Iq0MyVomQrsuu3ynzlx50rdtoi4TFlmwSQ2r4gNvLkkfFCcU35HB2
6kMO/sRJ0PQazFppZHm93l3mtlP3KvMweMD64lPAuw+4RveLZQyHYUDd12uHEJU4TcYSHX/+b9Dq
0JdaAoId//o1VPggeRBQHT8nm5WgdqRV0H5cMTxqyp5CjXto2YrwhkoBL5MX7zxpOU/jKb8Gzq0q
6PMkll6e7Xx6y6HR9xUO/S7QmSil0xM81o3Vz19shQ11bVJWgyuxT+pIgkSlZGvcOIYGGUfkW6Os
P2wzWbYDYo8XC+vcsES+0s33EEaCKpAZlXxlW3wY5kB4hNCYYgcFLT35cTBD07fURDxDrjjFY6Z+
qj2RWHPUtYMRhBejDzOGQfmjFeNLbPVop2Vxscta9WYV0yPERk/vomczmS46TcXYDs7UldxEJLws
C74WU36T6iTHL5dTsMgvghlw8tPq4mD/ykxeeluhmmydZhsYeU6NKmGzxOWBxiISHIG+H/sKa96A
QSOXvOVdiV3LThLG2SPKBD8u+I18X5eMOceE0ZKEj+q2tlZ6+DCpmQ8N4qQBnVoCB2UprkBEnM1M
uoPBXwG5IQ/9jhNC06fYQlpi36ozQ80gRuvl1OXaRmC7UiDFgJ60fVs4VJpOKdo3O0HYQ9qOhpye
bQIkg4LnG03rsjmWFEYTCTQZv1ZUoeeGHyll7LV9RzsFmAE/ncc/DfVVFw7Lv/IAzlBHpc0IR6fi
8efFkS43sTHeEmiDz+mS3IrHgDnAMRA8MiwJfGHqygI/ij3skPdemeKpl9BCNEj4YWARZjs8D8uu
UVE7M58qmGhvJdpav6DdSjyPbsIN6QXRYriqLRnz/dSjgeBwo08KXYKjMrPpUWWgbIz611j0wg21
mC6ducDdQkFOYJs43rgrQDtvGp14nVlQ4FJQG6UN45lDk+3JMpr5m6eDkwGjQD8FyvAYFRomqpD6
S4LqsELGpTyqY/KoUT+gyWA+TEXY0SXEHAksl8+zph/Weg4pzzIahzOOVxgZmP9wwxwnp7vZdKhC
5FSXHQL4UwqsaxeuxdPTClS2HPObzRb1pObwJ19/ZJzqvhalNAI2XjQxKqTq5a2tk2/dEFRwJC+k
Tmkbb5i0VbHYMu00sd3VtPJlT5YSMEaTxc2WVHFHNbEzVc82lVXht6jyrV0nr1qdfqHrYDUeKCwG
nhqHV+Z/nFZ/wXo+tdjACiVVN7qcKEJdxvMw+tkMbFQDd0s6piBoCbIgdvIXnnXdWh5YeEKMB1kF
B2jCbhTRpdfFf+Qy4hgZxmc5LsJFZZw3oFnl1rFoD6CH55Rz+veW1PKYOcdbu6K3hVrZK5MbfxLR
k0OxAgNA7eKIkClzJ995sLOCqffzPNpQvrBjVCZOwbxi1JhQLAb/+6ojm1P5XZTqEf8COQeaitNE
+l2sf3UcVbws757pE/PCKZ1wHmSR1yKysdCflp5yWzWkIVydw18irR7WH3LO4k8zuAC75BQ0u8oy
UiUeq8W+7OcPRdXnHTnEc9UnFYt2khIcLAgIqoBTdYNeCs4mSZvjdmvcZTSR+WOcf22Ru8xFOi8Q
Jhd4Qt171LNaHaU9vjbj8jvoF/a0FbBpInnm6HzbCv0EJV24Hjht+pt1blKLqztdlE8WVpyAqh4d
RDgVu6FWTtSbN37WwRyICfhfLP06Gvns7rWS72OOnFtXjmeTQDjew+Kpu2Y6IMGSKbtqZ82qXPyq
NcSg1IQKN7AGc+hbtwsHQFB7DbctAalNBnMrbPNP28JMPHU6vKkiW/te8s8KA9Ut1rqrYauvQTk/
tFZ1WbKeGVBNycVUWLzEeEtx9HNT6em+UkrG/0P0oo+sLGj7iSti69GU9e9JOOcxkhigslfTUfdD
10q3oDROwUsdBWQTqiIF+CICwsAUbmvvGlBBgIPAw6iawAahY3TRzMFbavOPWCjOEjHjI5LCXjoG
p7rLJp/A2bvAJKF26SFKZ5Bb/dkkBj0N/FXVaPsEVw6IhudsoQiQcXHHfFfv+vsZVdAD5eKhrvix
SQ1VFQpCbDBBI4LbWUi7eHmJ0unB1LvhkXtuYB4nAWbnvyFdJjsuoBB3iZfH81OCUQNzrYw5nJt8
ilJEXze1o0WPKcq1Q2Y9mLZLAeetiinPrIGwKkAJWicgsthKHGzNb1wY6KEOvsu5rXbx2F/H3Hix
es7ZOIK5SSkI0FbbQxd8st0+2eYOMyRvzCMELS9q5mOg0k/UYFpepgHKMn5PimsyJLmZtrbk1vc6
dqOSs4ou6q9RbcmdmtEtaoZTQElG6aSHSXLcArZDSVC9joWq8Y+Vi0sj6k9leQxr/Y4ulqMRj/s8
VnfCCO+b5nNR2wvIsT9Gld/JIfrMcPFmgxNt2xTocfgHE7xDWqPm/taDF4FEhpn5wLdGvV/bQNYt
T43C2gscItxhzY9Ln654MFUaduR25qzN+4BHZCDoMovIAnqHk4NCkdTVgix3Fw3/ejY28XbJA14+
yiSQf7AgGVNBUBylI5bTQlqm3yxNyvOmpzS25SnoNsS2JPUzZPr/gK0AzWLK2c2chPZB8CRSNO9D
ytbeEdV3pWe+NSyTJ23ZeI7clXWN8QJdaVPlKCBoagfwrH7FnmzfWkyTMlZ53aYVZRlwsznFOc1D
vNLIPlky+AVaMKVA+Gy5VqkUh7R0Z8qCMvCid14DPX+J2qb9TsfaNfqy//gbLO2t+Z5RTUSmOPPm
qaExiycwr4XY8r3lh8XGbEP1HnfnmiDT87zyTSK+JF45Zg7QjEKbvhWwV9V7MXIoj3UcaUK3redw
/VWhCnn8ybLkQvuIFXVnmrr2vRTdXsUA9ckey43akmGjDPDXzuIkksl8H1X8QiiwM+9m9kddc0ta
TZSzyLn2xGh/FbHWwPNDMrcZR9CTd5krVR7aFm6Fmhb3Px/GkLI05fE/ERKV0d91ZjAfq3kRfjNZ
7V7BsfIS2gCb4Cd/lsMAkfLZacPMj2bD+pq+kzDJfwXCYYwMlu+D0u+3WbEph9NMomQrTWsI88e/
gCQ1piEhT+FKp/lQ8lPBS/tJE/yND8NuKM6OKF6SZZw/EsO4/AX4NsPcnA2aVnf6hFism8t0AS9Z
btumtLlsRH4vQAVf8pX1mctpg8NlfrNZo92MRAIY0jFx/ALE385sLLDVLeqxovTm70rnkOcML3Zt
sZkBCfXPh2Z4WDTQMWZmlafChBs3zO8R06Z1tk+Qrpokb+Wcjsy1ZiISNlZOIYpTL1Rmhz80iKoD
6zMjWXeBsY37dn6n8tW1M2X5DDvgrQOTSb/ql/ChY4xNiKYXF0Bvn856mJ0oKHwl9sTDA0AZsdD4
Lq+a9MxBSt22lfPrJ1ir578nsoui5bwHeHQ+MxI2b1NPd9JSQ+Qvx9a4YUii2LkYDJ6KGOsTK9b5
dq3mwVBxXhky92e7iKEisc2912hW9IGLt1v2dXB12tK6NN10o7Ukf26M5W0Mi/l+qhdSIm1/iLW5
fSEJASXTRpgd4+Uog6Y6acYo3IzMSheaQC1XCEImnYtRoA10NvjVLmPygSvtQC3gY8oPc/75Qw1+
UpdclF+uzBk9t9VjJYettKpr88MEifG3TrrZ7uY5wYLKdVoblnXfRol86HUg1d6gYTv86QqZanxE
g+4wjQA0sOCM2U7QH/aySWfSImQGtZLK9lRi2ANk/9EWBHv/xuZAD1GeFZHmWb+PIZ6MHbIDVL2x
GS9gi19aWcpjYbT0m9hkuX84s8GofhCx7e8Vp2qgw4KdMC+gOOUZ/CbTp6TnnzU4Zcaz/gin2SDA
0EhvDLroa2mVncVg0wgef7hibRRrTwT72Mxz4yMsMQlAj9PU1g+TISbxy3fIYaZgUYnWS++7XNB3
Gr5lvRTL71A+zon+UvTd+MU4/0UM+hvZvOYR3ILpQS3IGLfq8EGLtJogHdly39XV+KAiXyXt0G/S
kkrQv9cAzYnYKwWWmyKbOnq+AYys8Ucn+FNoVXb7m6cc/qBf4APg7F6voLS+ZnULi+iQdaa4hObq
Tsx7G3IrtTHSTh5/PjAGjg69Yv3JYMLLkb7GuTVVwMpVhywWl9cSyxy7k+44zFb1vkTU8FpJVhNE
pQz5b/A2Tx1x0UPjE7NcQE834rPZfavlbGOhMCpMFDLd9KM4W7VlrM21BemovOZd2Y/UBNz+vhDh
SK8oGFbjKc/YTTDzjKlUXby5Izf6w0fHif9uZd10r1PAsfkLz2qwV8MrpI06nS2Ai8nIa0oMNTxW
8IwYbMxPi8JwVON0fEqonGYF0l7pLcj33eJs5DjNT0YD+SKoGX2o5mde6czh1safulmQ28oFgugA
Sy1Iqoe5G2nvpPqyMM3pETtE5LJ1mV80CljaaoVzmsW8JVCQ34AEaUeie1foU/ZtquIRAq+dHkxc
UJsgDh2EVQnvaKVi/JBvh5JITN/Dcu1iQj29OYh9NJfK+e/TYSaQGJSFTien1m3qboK33aJuupZa
6Gf588vJtEZU9JpKlPVmDTDfG82HUothpzqWV4RTSA1vn5yE2AN4ce4rajA8sjb5tsh+LWltc8hM
zGkX9lwDC5BMONHmZ9VSGOoYjXptbfw6I8TNTT2O5ovojcehhNUacYX1Xdw92muva5ddncFZw3X4
AH5eSsh5Pdl7HsFSiTOGxGXzNK7WNhufuYh0+9iXrbKf2ZV6PSHza13T/6OvcPowz9NHMrYJjlQY
lnOW6j4/uPSstVaJHmJzryoFpK1xqYCojpCSZNltc20vSSKV3mDPKS3G7dvf0K4ND0yb6uhBtLMJ
JsJGcu8tAqY55AgJ0RE5jFkaXDNV6tbbouDca6OvET3Ss+2BiFU2Hxiqhy+DnLB8Z161BOIV5JpO
GpWQNaoS1FgoLLdKYTMY5QMO6yjloc/jJUR4gQWso6//3Pwms6/dmt+/4q7A4v9GkuI5sZWdDR/z
aEzmtK2Ya+wBGTLBn/v+BndRoQs9qbYhk8+U3D946TDGgNRQRr3hpmnpUNHKTR9O5LvtloopERgv
g8rDBPoDcYCfh6wd6jftYHMd7X+I3v98AGdj7CTdxFGCs73QtMjj2BJvwQdA66RIKHf/Z5K+qvx7
441iMRK2VE231/+Uf++Hcbjy0lm1BL2NTnWcBZLLTNbiJ74uiX2eGHj/5hGBJ3+aBZmMeiGKoCDU
RSrVuTJp9o5EickdimMwsChQ4/HXwNqBKzAGzaedNjup3/q12+zng2agTzWqKQ6Uq8dPM1zeczvP
7//8CVkGkzsoTXgcqeng8Tuc08FRz5bFTdIGevUxBZLeR7V6nPEXXB092FDuKq+ioPejyxZo+8af
H75TkKr6vgmqZQOor35XrPylUWZiqJpW3KktrULT+nk7sAp/AVd8rEV71JLVgvyYx1mG6CHrK8vF
1h6UYWvKSWWMQ3TLClCfKhX++voh1SmL1Cya5tNuWGdifmjEp6ocQPBza29x5FTHMV2to0y/vLrN
w09HDJsSr8Bve1p+Q/htng2ngu5i9PHJTChRVAj6+BJSynuqhgeQe8HvfOxfjSkaX8IY6kO6WCOR
rGwbZIZ6XzH66okjHAnvxNdQhkR8pvra2zHY93mT62H5h/D6Rw+UsNNNZw+cFq/zyjCLKGvpQzZi
Q0tR8Tyb+R/yH4ZulERS5LKn6ZHD3IqPGaica9fHeqlb40lOr/itOjnknwEL9cYOgY07Jrw7WFb8
EEH+2dtBDPXjqYjzDOiUTE86yaO/H34+ZzoRQXtCmVdmyo9/repak+BCUviXqddQzSx+yUfMtqFu
xpfBCfKThQjPrUf7xRBl7Bz6sPs9abfOQOHEI/t7nDg9OIb90k/S9KtWzdCr24jDZKLsKCToHxaY
Hh6nf3T7ghBqD3h6GGbO08MEBsVZjNfJynFZB/NX6iRUEGR9/iD0EGbOYpt7R4nLU1xOp7QXgmlB
ZuwnXQ63RbVektTsvyaL03MtcvNhjmt5nHqBL4/6v3UD2/gE+7mcUwNIVoCGvETdNV0gH02lpuyN
aYiJOPGsghhhPGql1tGuWupwnGuBwhFS5dBb6Gdt1gNhRYkCWeFzPB/uyA2p+6r9M8LNPRHFjU7V
+kFAzuCVWX8pdY1f/vw+LPnopDnj98+a8v9LKhX9vy2u/09H5f/p2675v0sq1y/421GpWP9STNVS
HdXUODpxjP2vjkrnX0T3HemYlAZIiiIlhVL/2VGp01GpWCueUDWREdZOyv+qq9TNf8HPoW5UUzRL
lZbU/jd1lZpm/HvTm6pJh39D01THcHTNWvvv/ltNGNmyLrJpGsHilbIHkwUdzmTVFpHTlg5Y5TQR
0LeNV3WSjIjn+RAijuAvAlWkDMjC5p7KqpptvGGiXGlo9e2Hlkf6Tmf4q2V2cbT7xLWsdsUDU/qu
MB12sXUfdHpxQ2k+dhTG+KWhvgCvukmzdLtIRdqOTLkZuyknP8S8E4W3H+PYA4n/QHbmYVrww4cq
In0a9+c5HD8Du+s8dVzV7iH9wBizuO1YJ97Jlopxn+cKKzeTRLd3SuZZhOwImRm7KX0W7D0Y7Stb
FQIBGYrGbQYEVVXp/MQMu0NX3hU6qVE8wFfbwewOm+1gxMhtjoZPxqk4ZlGDjOMTWuZ+kmVMMP4Y
KT252PC53VSKHT+y+3ALjtp53WwrukxdJ+IAo1MoaXX1pa2Wx0zOF/hi18nIX3LO7TtG0W9KhJSu
dYDCx9UnNhPrIkaZ0gHtZgprk4JvAuNnz3jhaQoN4tdrQiWlDjcPgi/FHBzfhq5jVJbtCRJnfif7
3hfIpWVIs3BHLo2jdkR382g6Prl1ttyF2fpEEc8VoEDmOlgNMug7dDcxr1mr8Rxr8UlckZKzx/Dc
5cFOn7ORLSe4xYX+Mk6y88MggSfE2nKOIwHInK4acGuEgMQ3ujGq5NTn7Knp3W1mBwKaRlzTAiSy
KbrE9pew+IUEbwIrRhULIsU3nH7ymoBaKKI1IFFFu24oj3USFJiC1OXgxPJZy4seQoGN26ZU9iCP
AB1TJOShuDG2NcOFUVPLjMSm4EHlbzKgDWIP3WLUZTobHcoOZcQeqEWzElv4EDJwoPXOdKUH7TZB
MM4769GKOnoOS6Rvm59nSEm8LfuQKbgzWAaQe7PnPbBaVHHrwVaBzGtLcCypudq3Mcof2lCzWqYc
f0aBp3Im8kqNfJ5tpn8CRncHJazrDedgfSOUst2RBPG6zqH7OC2o8eGnJ2w9GFtNb+4l7MotBdqr
yTwbvMl2PvLM6Lyh75RnZ0leI6udvT6IlY1z1pfC2tAI3qDuTjWu74Y+EroiDjMhbizgg9c7nXak
cnzwUg5+fpBxebqquoS4AShnzpz3KBbE3hKkkrQUWOKYGLDZyzyjSQkYwRIuKgp/Bo2W+DqhpdUe
wi3SFOo/p1lhs4cGUDSiXYyQKggKT7biRgkSfGG1xO8Lt1e7hx4Hx05hmtkpGRnzWPulqsSsZhQV
zUzSPX0tmySvPHamRIcYEd2XoyBWFxD1LBF9EKOXTYlsCJ4D+dqpoAoLFeqUNG0XSEblYywuqZNh
jFd3dCegqs5BBWqgiV6xkj8nvH2+mcfg7GX8YDaIdloXFq6zsPNkUMsElBB2qu+xomdu1UOGFdQu
sMO3Sb4RD02XXgUdmGobMhg70whVn1N84tY2Fvg6hsNYBOlbmymfYC2yTaLleGxBHRUENzkJMqUk
mE+FmoNLC4coOWqFSW1zjGwTLWeQd3NTPw41TBwGihTGWsGFuV2jVbu0ScgFqtFvDaPmUAMUXjiQ
eznwCXLalWeFyU0VfeVWLA0Ye9hexLZ5VXKkDjQT3+4QywsaLfdmnLzopRbwVOA2stn8rxbQzwAJ
66ii8yvptq/HChiogW89oGR8mLf8kONBbZW7ZNo62sBVJtoYwI5juU43wOzMo1fMfmhd5MUDJ2hg
hkyffWDTXw+lxLXL8LWOlqMy0ItDwgGaD37+VAnjcwA8GlEjTapTIVWwN7Hwlx4tvh0KQnc1UmxE
6MTP17zoFDQnaQNIlyzStk2hUVcl90Y90u8B7tjDQoNy2EVHM4oMILuJYAVSLrj2yQjq1qtSwuUg
qW1xr9UqTXQI3lQyxJzvGgWaaJ2G/I5yyTl3+9Q94TWiZd6s8c3YEDVnxdzh6TzaQkf3D0gYUJ/q
IV0jGpqvRtO4egaKRZN1cRi6dBdnTrft5nD1w9Djl0BuGNFies14BIj2zai2IWsdK3Br5XnQ2afn
jkIKR3yVhkO0kdlEm3Q7pTIMxjItF5LT35PhW68sRoaacVQlpoiiwYha8NhUjeTOrEGZz+M+EMuV
vj/jaezOoMJ7OutmLlcVv4pBEJkCDINrKHM8By+jy8LgButs2MqAftSaRlxdMFyTVrJ13E7pPjQC
DptltsIDevlaV5/fcTsQtQ20b0aAlUfI8z1K49HXdISylhlqsxAyXns8tSTwwnncsfEB9s4QvQs1
uMALT24DFYKF/i2OdcwHQ4PgEht4YgQx5gDxNIY9fqgwFvksHGxFOg+jiQ2HRBKZfR97uF/s05VS
OLuVDdj2tuNbvUZ+d0EuoOXDHbPyWVL/twUmht0vjh+jskg4Fg/11lCi3gtwC+Vh6y8xZYdcrEpj
b2LAeg+4qx0xLRu9DO/DOuk8A6hC3j/rVSC2TOp3phV9aST1iQdDKCTRjEmBeeFWxxY50zp4xGp5
thzrmV1WKpLXGUoquYIc06GDEKwIqndR1aTxSVx6cukJZj5Cc0FhgzhgXDHpYj/WgDNj+5AhU4Ek
/+SMfm4Lgce+jc6wfl7nBt+IMcR8WWofqqGzNim2Sq0sOON2/SbulFPB3NMfg4JHI3GkdF6FOz1g
TaKl0BvUPmEUdDepfb+mkjk1QWdmHfTnkoLiDvPnMJr3KfkFj/AnQ7OZ8ogI5h/vBLQS3aAZAQri
hAiLK8f2wCXEB3hGWx5Kgq2SmewDy36RrzC74v2AnXZP2ApocQ0QPpZnY2VjxGP40gRKv03yLNiM
wfzOHiZx21CkbpXErwt7oDacIXYFRbIX6/QzBtvp9sW3OgxPYTiOW1Wb4fyTIR1lKF26JOOEIW2v
Trw5cnxbxtzGvKZFJKgr7FYjyYwMw8dGV6KZyro1FtUtRxokxGbEP+dqCfflqPfynKPj7SlNCUFa
J6cmw9hhLoFXwyjYpmFO0HTBcTRHxeqI0IddZnJcx2qy13VqfvKkJSLM8sAhQlzqdp2iLGSCKUSm
7UhhCQk15zGgbkrHBwa7MXzpCvncyReZh+Fxsg5OVyTbZMyYQugtp76uOkwKTvwJkndWoHEoLR5n
bPS3smUHXzU20yIFur3tKCpPX8vyqb4sKgvkq+m8OOEIwDU868mEudRUdsNE6IeaGh4gC2TgRJAV
rE17uaoYQl3RtXdC5rsib7f5LuDNuWuD9i4Uc+ZNdZ7uWj+mQ/PQ0h4ZVva5KSsGdVJPXXQvKt6C
vdUGT2o0Bq4zp34pzf0siYkljfEqRazxrC3uDSwVlIgqpa8tJG3BjXZBtl+M7BWGgmB3GlBVi5/H
50y+c9AtLKcc7vQFEELepReiI5iIsWAtLLVaW+ueUKJ2m04KPidHYXnLUbXBpc9bqZ0KHu4AVa1T
NLJyBAzcPJhU6jGT+o7OVa9jT6YxXPFRgVgdkybCaMLyOBI14hjDsNK2ml+pHiMHLst4B1MVfyWK
Of3Sbj6G9Z40X4Xf+jRLbd0QCyI5psZaYpZHfTQgzVbHvhlDKmYpVwVl5TWWzrrX8aJFk71p2SBv
uFMSQm7RWykPZm4X264tB08vmu/EKFuaOab0YNmFs9En9dtQcsD8A04VWOJnEzunm/aSdXl2e+z8
Xs4s1dVSuMmDNb+h78CphaJlEVgWdDHt4mS5hUVLoeoIJiXGgt6tr4JDo7ASBxZ6WAkBstiOtfaL
8stbDp3YD3K+X0s4r3rSfeHp59tV9lo9QdHKg+91n93U3XdWgH2ZdJz/Bl0VfhmpkDqclSgBulBX
i63B/AQLcrBXRwDwArA6IvaLWjO7LgL4fHM4kDgcOLEpTxALAa3obe3NFCCn4htg/Qf4sUPC+cAE
ubrTKu1qrTFA0BQ2zg0yQ/sp6s68nOXJppU6b6jc7TT9U3BCJvBqH1Cg9W1Lebuah48a8/9wQItW
2vHTdpZvO4ArCNwSl0VJKCQuFBeBnQdvSSS64w8ihOq7GG2VaWwO6pNGLB7CGg+J5SNj8KDoItvM
vXLsNTbhY1IfBqDku6RaMU7Bs2h1eolHmHXiMqR94heNHDx6UDbOQO9KodWPLVuflQFwB/De3o9q
tC8Zy9+lJGFd+a7lNCcwvKJBHcKvG1nGn2mc+Xdzh9dcGa2tOlqzD2ZZWet3YyZQUXcY8gorYyUf
e8UZTwbH2rDthy3oBMxoxXKYwuR3I9XFtUZ12EwwtzGSiDfatO4g+7CUNjqPIggH+Q87t3totK7f
B7Z+TkvzGjpWf5ehYgUK4A88Xq1n31gNmV1HpOjmxWD7mTaUBoZUTlqG7Y9YxrCeFn7bFiZewYbD
G4kod8GJ5SYDOmNjGvpG7affcwTo1hxUBFX4GEzXtuoQDvctO/y7ergpoJVjJRG3kQtqA9mzdXVt
+tVb9lXoyn0LudG4Ln03HYGv8baGzIVUK2YFDcZHTchnuyt/aQ1szAiXkNuznAXDXsgl3jRG89Rk
3Dx2bv8qrYZdQfZMCyvrTdu/sI1J3Vpl52BEjH1Ni6EpNBrH1SdrfcDbB7ygFB3Q3deXwi9jGexs
XfsUHDM0ddwbUbVPcOe6AWmJJuNNzRdMQdZ81xukXpV55JEIJVwjGYXK2YPmCIPkpIa7ZdHXnDI+
olnn7CqM9kjqsSIAVFQ7rPbwMGnFwJms9jv2bU9m4OBCa+nILDWxaZT0HepgdeirKN8k8Y3OSm0f
dtqTykAqJNTrWzCVNx28K5Dx7R4MypFsrEI//NmayP2H4Porvp0CJIasHFiwlA+PjaVsYxgNncaN
3j3U8YJtm7bAyubgGBLNZaFLL2RJoDLynqMe1QdJ7iKgUjc5zSoybmyLvYlf2NcUK8NaN0KVXN8U
qAdUGGX2ulizh7fTfGL7DQ+MUiraLaqLrJqT1pl3Cdk3TNbWK2BmOMlo0DwoqcUKHam4OoOPzThF
m4Id1xYEMptiDZivfdYS9cWZ2UkB7CJwzl58qMG7gao7cxY5MDGvtqYIIUGFPKWU0g0Wi0QvKB6X
0cxHBYhIERkZXtIyUa1L6DMxW26edxhboZ9LNiXZFPiUVxBcHZu3ZSqpn5tgKNqDBz0iOEz2Vhg6
hvmAgXP73YruokuQn1AKOb6VGNGs/JrNw8WIgfUP0zUf11VfB7ubddTmDknwxlRBunEQzN4wEhcg
NXFIcN38B3tnshw3kmbrV7lWe5RhdMAXtYlAzMGZIkVtYKQoYR4cgGN6+vtBt60tU9mWab2/m7Kq
rMxUkAH4cP5zvlMI+a4LfbN0mLjVNJ11wUcmBkQzl4PvvX0tCUhjYhZG8COvcYik9Jq5XPQAhCK6
lK7EDw20G6zltvHkcOmsCVhZnZ0ZDS9byDLEeDubIeTwRS+33BePXVCC31lS9vHBfxDpdO5YrsIi
wyxOnfPdyAF4S5EcmSYL5poXT0CCDXgKEnaLTPjRIjZzA7/Zxquw+QQ+glxBCoQgXwittgA6bz1V
Dxm0503tZ9/k2EN5NKHSBt5RulDbqih4G7B87DV7HB0O445LYoeXSjJ8bIsLEPt9JH2+JynePQ9Q
vf4W0GeLtfOL4BrCSS09Z7V18ksK9JZm466pC020azOyxeeWwA3g1NwOnc+SixR3k3Tpv6IXrYbL
eWdmE9TxlpYxquMGN+BWPH0E8yjZPQRs9dX6y7PERQtKErHAikHjLhHlVhj+jWF4WOC8/I7nVYZl
cKiFFtvEAD/eGdlXLI8/Z4HTWhvFZxmlr5ooFiEL76fh+mfaeIHkUfgocbAVS9RuOnw2m0nKKJya
YJ324etxdX8pC1yHZXoJmn7axIO6xeWMA9GtIAaILjmUecskmw3W1Fj25zx/9OOJWPESn0mGcGdq
muHO5HRM89c+NooWaomjQqgh4IsFk+bech+Jg9xh9kS4UeBKCGx1tEzhdG0DQrWuGw4xSLYmMN+z
KYpDHhmEiWjbQdkBZ/XsG2vLd80C0LpYFxnCHIvAvvQ5kQwD6iV1BsnJW9KLN8iHYsWmk0/7nt/b
xC+/OhyqRPLoIEeFTUsYRyXlk+5xEFhlftJzhBeVlcGmR9qoclpJgqUD1E8bZxczdARhwQi3e42t
7EFIPYCICQire+I0JujNbHTlZZADx0/StdlAxCry5De98Pcs+rtJLMceouhs0IyJtqes9fUUyafv
V0/EpT5cTTWIyPmdlMlZJy9KXE0ngmWEBXTjeJq1q8NpI39ORSp2sWF/bUhY14Ux8sgrir97nr01
/2EPdE1OdLHwUF19pFaMdsmOsR80hCyH1dVUy7HHjk5bAaVt7Ym3GLaUEbzxcdoDX35Io9UBay3L
LP4K37VOTi4+cdcaCU5c07DQ/qhiRpXwKPYZx0sf8/kcK7hablaGpuJpzuvm+1KzIKV4V7YprEbO
EJ85iSVoSM6jFQsaCRv9U5WcJkcbYmXqE/xb3TPTgi0GtBruJ3waMcwwU2FUmTxAm4tDqCC/9Ayn
OeLJzzl2dkMw4EQmu4b1ezqmOYuAn5jjQ9ESNuAtxxVcu18BR5S3EtogvvBpg6Kjd5JqOwtpsAOH
ci5pROp64NJzXT2U+fg2terbmuU2XpTeSrCshy4zcGjik1zS+8HoU1aq6DaLsi9xiYxKV1no8CHQ
wL9i/AAPEnxghXqLp4yrAUCLXLwMvcfx3UyHXeGl17JPKZ111G4ttWTEUMGinmhUcqZtH7Aac8jj
bR3tj7b5EWHy2sY9s4LSNFblJNRe8iXTdbSxxxzwSvumE3Ifi00AqQSp1eGy3sbDCBGstICfmJ8K
vb5kxrixqvS+hghnLFdyhI9JG+2nqH7tVmzxsGIxFxGHk2WRlWrjUwNOVa0eY0RbYJQtE58eAK7L
b+PZLeipKr0CRg6a1CCeCz5loWd/38Ht38Bk+lZOHvcHX+b4hLnZlDQZOHQZz7Ag2E5ZGUb8FXma
5vvcwr7bvkI5ss50A21MjB8PRiVgheWniGq5jfJsyeI33SJQgLdayiK0hU9XdkKA3HiEjsJWwXKy
9RCPprzeZdp7CJ6m2sKgD+40WBHb1vzNy+ZLyaLj5cnBc1m5KrzNUoI6YM67OPeFNR5xmV5LTqKO
dg850k2de8GmFuq2WxtiKBxh/VnUz6LGM4zfmsEEF1J0l5NntRebPQuWyF2d2x/CWJ5Hs4VsafUY
93r6D7x416UCLtXtWLM85OXBmIf6CUbRvBmymJ7l+LYgyoyzctvHCB5m+RMsTL5FT7imPSACbprF
NQ34UUeYlE1p3vlL8BYNMthhTrFBJzvdMWP/sFFTniobOBzK2sGZd4bgN284cxJGfS5Ps7wjVzGG
CSycvVu386Ou0adiDjcK4XczbCyUgUvXBtVl4Kw+ZUuAkDnfZ4z/RpBBp9wsvyyR6cOhcx9bAC+7
wu7vFSL5GSPzQtioqw6Jv9zKkooPI/DfbHPSN23N9N5LbqqKLEwZMBChR+lt7HdCeQcWFtJtBZnk
MuBrMufnX36zyEMIEYOm7pVfRqdNuCrJU6TMcitb785vYkDctnvVrr6fOk1bst3t+k7lQLwkPQZv
KP7JpqsjNERmDTqfPhJX/awt29xoOPhlNL4GJG6DxvkRVMNeBhWfX1nxdtHJbZxBH22W7MSsybou
U//md80N6CVnh/3v2xJEV0wcHFSM5g4S4BFNw0LxZGrXurQyWvZ8pOUYAmU93XUdQg3gjUODIXhX
0r63SqbPUyWT+2ZiiZnY0QHQIBJiLHcRdB8VpUI6q0PPxDu65Bf8GesAVqzNk+S5uqT1dkkKDs67
p0SAvb6g3byAY9jOOAnJjDJedY6j6cVMnb64hfFORutIc/YPI4J6PJPTxaDrMeLA2j4Sl3A4UzXF
V7isSsW7XPteuATQkLFiITXzvELhqT6ebOH6FyPnLAdBnQpphTeCZH9DVomzkSvZJ6dwNDhSjmxv
IZvR/UAYkt9Z7bxl+urreOclODKwaFE1M/HPxgx+nQJnvxdQVjiLx0Ib8Nn6tcmqb5ydVhSf4M4B
hWn8rHT9Ls3ZPooBE15RS+S7XF3J7Q9cqdwvkdnDD6FP+eiWICdUMtD2J+zvDn6+XVrMxBHiOtmS
/eruLNNnvJeSySXSvpOW5sTWdePaR0GeByyciVGbT9kIJrTLqIaT48GW4fxule3BWiHXE6K8HtL3
gU4QNBi1ThmyVwD/v2oHcVjjoWFdwRhHqeKMb61ZE+pd69QHjtuUrqdgFwqPGGVW35T8Fk8uEeqe
+pPNLzQFexVA92iVE3B1Brl5TGrLPboM6nHg7XH8kecMglMaRM+WF7x6FAxZIMu3LbU6zM82WuNk
7z3ztoRxSDRzPLPmtyGeKOhbfvBeidG7Cre6qd3kruQ73aUWwHUxxl/JInO4j2i2Xusqvfi2nAPE
dKOjqwvpN42RQLTpvY0WT3Cr6QCIyIupvHjn3QGtDDo4Hi3nAX/Bp4vFmGe1ukv4WDXPfwoo8gy6
jDdcXGXSDaEw8OqQJh9LVCqHEUGUZt+rlFaYQOHYpBQCtcBKn/BpdFsYvzxmusHIVmt2Hr87eYV7
qlZjuCsBLxSPjCteZW+Dpp+Q3Pwlpv8I9TFUloBSYdhcdirE2gQoA9Dufh12cExily42Duk7gnOB
ie9XHWn7XSva6OJKkh/yoU3uZDw8Vyn3CzPPvvEuDLRcpU9GStnw0gl5mLwHwzO4v/CMOlZBgtOm
9ZzR3+sQgArtJsTQmOmBm6SS20NdMGHvxAPHEIuC2T39WF/npEbMlBzPZmfZc6j270hHfWWWKHe9
ZV7JwT7qFfNNIQnykr1k52o2T0iM83Vw4oJLK+5tM4mceynVMZiMt1ayTrRMrYj5gEnlIvFgomDf
p/gumdKRLkl5lQh//kzH5Vsf4SQZA+ebAPNJ87jB4S6u3gfazXfLBP2akU66QRHpTiOb5MSvN17U
90UG6bGAIwKU0tswodykSeN8lWuS0C1eyB8REpak29LG73ZxSlwmoIbDJd2Q+9oMR8HtAKLkvqxS
cN5J/ObUJ5xwz1xjziK4I5CDZNwk9ADP8x4C9CdB+yTMXKDFjptB48DoBqgOTldEtcEmNxQbXRJd
bfauBayQn6IMmIymi7ohX8spRrpYcwFcEs6crS3XoolTF6ktf+pDPNMfua/EPije6EEEB6yc7KDz
5qmNDMbb1RgRSJKbvOHumaCZbVQXQXax52e8iNaWz1cSU93I+nsb6+cq4STLSacO+S4sNF7os4s0
nzqKsTbdYOyGtEbDbQs6Ryh32OQlep7peeU5ALtGaIgZeNEbX5YW2VGNYjfN4JKSLIHFzhQ+AxUZ
9Z9diU8Mthb6CAerBoDGjhrOOlQ9sruITHSjoO2ZVBanKG/EwZ6YqnuE6WNWlaw3sZTg7lR6OYis
O3AZtI9shd4A7RQMSui68WX26AMpxyMYdLYcqPxboweqzEEO53eSLMSYtbkv4hjYG42pRWtYh8mC
5x6VzdEYq+/TBFmX1lGgR+D8mejBFEw8RuJzRbDMlPm+DrDZOMXqjHBRHpOMy3VVNd9liW83cQes
x6uhaJg79GR3b2FZ2HRgBPf9OnvMYUeAOyjRTng+A44bOASbGCdC5FqvY05xQoMfYZ9OMeQ2b8Zd
n//ohTVSZuGu872PaOGZnOoFOsyEi6n3rBuC1w+yzzmQX5KpuHAExkCQikeKQulCyCnsjNeM4bla
smabFUYfLqsPoS8BHaDOl3dB5X9i6Jn2VfSa0kSzJT5zDpo831Rz7+7B1fUt/Ui9jWTsDMvAgE42
OGiwrXZWfDfbEW2aJeU4LaeiCbYbg7H3ITPQ/8EhhPZaVa8n2AbrgDxu/M2CyNSVPmuOmj8kDaMQ
e6isWg8lxUjpVmV8X8jS7nyHkxeVFBus4ja3SuOWr0BdzFPj8qTJhN89ELXznANXwN9r7yrL3XUq
ek8XwqL9eDMyKAvlwHA2L+ePOMJf6vfDzpblMaHXHTM5YJ3JNvXOniYK1Qu4bLK3AK90HGy6+qF1
E0JzMAwXz00PU7F6RgaMOk3m29uhZpmayj3PEZwB0ZFeHojKOt1rwm4QBgAUCHo72UN5U5M2c5sn
b0EAzmNSyEh6No7QEwk8Yi3cctPCQIYXX+OSKWfRAFKhK/KYeVxqmgrnTGzrdDPpd8nkhkwAYXsm
XsRDY85VXSFIxaU99dINSXQbTftRRl33VKsvU2NckyW5ujqjPhs/WdzczUHpHbShf6JZqd1CW1WI
NX6dNdn7bMYW3JKRI4n/JadeY3BxfCjGIsNKdMMgElCzMPPl5FwhkuSrLbwWuAk7PplGz0Sk6T1K
wbnh9xcMq2C5XqwCEDnX4X4XTDzi4B68E/6Is3+oFpPjWLzwkKYBAnEfPHaifXSs9EL0wt1q9tad
i7sGJdBnndqrxDi2WUsreo1AKfBWJXHzMPYNAyoLpYebAgpLnd1LSi73FuO+beozFXSYQhq1CzTY
IPjGXLUITRlDUJ53Mb6JELWYQuldiqniMctyTriudWMLY+8zL98OC41YkkjkgNHvkPo2OaaxRcHQ
CCjJTFNPHhImxr273MStU25nXfhnL/Hoo56LR2V7IgzU8k6Cez4kVbIz8/KaTKN3i8fQraqR2JD5
NGo5XpmjAqhlh9IiU4SWUGMAFN4stkHALq6Grc/CNxucq6N+3HW9ec7d/hIDd9ngqFjHlNmwCyhM
33TcrwjA8lSsr5BroahB1MSSmaQfsvRforGDtRcFnFvIoZtx8dQ08c9Z+xQcl7SyZxaQiUjjIuGL
pSdu/IZL67thtO+u4pds4v/dxTkUHIx27yamr8mF4GfHDc5A70fnUEgx1Xa3NaLioSP1fWh5iHL2
e5R898affuL5TjcceWlL7A0mqbWagTESbpqEQuBICChLdR68qb4jj1oTv+TLB65TzCWct+FAdHhf
jNnH5HZAz9L0uaEiKeC8umXdGELS12flJS8p1USk8W/NweXYK4ivFlYEE1K4tzZjFSh2qXUZTTBC
kIyIFSf2N4+4IRPcYZPW8ONGB2E5EtjlRL6VrMaU+aQQCdyWnRfAja24v1clOa1WH/3YJ/McpIxj
nVHucgubi9btmSI4IRsynJHA48kV4pAY/q6zKYa0cr6DwErsS07OuGgIXxPBa1O+TUbQaESQVg+J
6C7KNrC98SHDKBiXkOEAu6/MOxwRTHVR7eN9lrpAwjmsZmLOLzBytwCUwHL3mjKNxM64+1CxRdtO
gcJi7kyOkKHnruUi/fswkn3w0PihURxtMcRErJH2XMIEIXb/LxVNQEKcPXIqhwEDPcE/s8RD1+yM
YLGuWeXw0E7Drg34p8ixcPVz7FudUaUSBJg9e+dNqOJMCe8G69f32TSNnVlOB7NyozOJzNAXlOUd
lOifkG6rV9tCR8Zl2QXEALpcP2F23NtBVGJuEq88Ad02yZdPmU73fqw/qb1k9mCayWny8amDxONy
ZrhhQZ7kiEvG5Hww3mRwKRARuSXaDOosd8nJ0pWvv/BVwcKkPHA93JdMoXvawaFRciYYIBQ4d4bN
fM1yU7i2DFsCjTheVMcozj5AVG6RRl1YeTOn88xSpLIdzjJNuDS+PMGQqVC72e8h3OAc5Z6xbVGE
ws5VYMjXy4LOCEzGzJJEC+Sfvg299wNQlwStH2wsZksyq5M/N8eZ9wH42czyYU7n3rkdGq7e+DbW
oZb/nrc1Z7AFvwJDXu7SpflB/ksbVRKaxlJvG5m+I5COl6R9LNCdvS6hd3VJgg2K2TG2QE0bmm2c
3gt8fgJsiCkvwZx4G78M7v3GvpnVxLNtuYoijGw3ezdRsdyrAujcIiwHKy33auwMetfEyblLHL2l
IRCs6djuBs5obLh23hH4xiqR+u9UpvAtJMN5RPc+OJFa+Qg2MKmGOW0v6ivNVe1mVB2xQ+Kq8fQ2
pMtTUZOD8yzs3jTEE7Yfh33Pnp5xGzv4Fi0ImGupQCmjm3XM6tcAGrGLLAvH7mndzuDe6OdmnUZ6
EuCnlbUhx78Hj/07NJGgGT2kl0gmxi2pLpI4A4Y+r/jo8/VICh9+O8koo9aGSAfJctCCXr+ErsWL
xfg4bDnnyMo8Gu3wUEr/5/p/FNB5jvmgf0z2lG/imjRuYo8vNJ5RKpsCjKly57AUbBhNjpWJ9zuk
ATkMqASyagfeI7DYapowzPjvmcURAb26onfSw0TnFn0oVldQkMhb9HHYbyOwlgikIrzVV9LjNrxu
R6TDVysDh8R6E9Y8qVtANtcOzuSmBwKzyRUYSJSyAmXLuQFk0DoBgwwqpA2TwedCVI8GcU6FOjJf
UgjPG6W4f0H/oD+k4aYKQ3Y/2LwtaRPfFEFX7EfLfaaDFsBrHFMY5NoX1PUaR6jtoC14+5xjM+fL
7raJQQ7h9IjY8c/5lF3cQDyR6N1VBDfnnuFARMqGmbY+JZhLj3g/+OFKu9nXrmmFyggOHJx9XJTF
Z2odCrvNT+Qq967nYq9d6GYMquMYSMqmJYFAQhUGSWjrOFWDeXCy/llAkSzQ+I8NXkVIlHrcUKnB
zQAW0YYGBpmY3WW2tH30FaBDur2YrSfVJmmlHUJq4omwQQkP/ROlJM0KpOv3jjfznZAMqFWbHbph
eMWDdYy5wMEUZYmYabNpLVhdDGu/55VQJ2XHL6Ck2oeIn84butBARd7auckoL5DvNhzesDEGNgGr
7M5dBDC3Yj45YLXY9/ZtnUOt4/F9qOgd4R4vROjNkhb1ihSPZoLMbOF7JNEiuYvLbSuEuuE4ixUi
IyAxOvkW8wjTGclloxcBmEEY6z1Wa8VE5nvmP7pD+a2n8e/gxRWTfONB8w2S722XLZeXOeRdt0Vw
TAtutj4F0jKgSDWWpcu2GeEcKUm54yFr/VMZDc2tBtVMHMRIYBOlrOV+vJei7rmOFY9sYjCExLCb
Y2qDluac+NGmn7KvrQ0+3FtBEJmCF+og7RK6I5ZlF/1Ln3IpwRlBIQaBy5qpSa0xkTWe/WC5NRGE
4cVm6P0KSJECAH1DMRdrDQdppHfxqld7wNKeJqmv7tD5GDds+8i8oty0nTnuIhLv3eiwwwn1xj3j
k540eulBa2Wm/SWqGEKn5ZRjQVlCarKYRCe4DNhEOBG4TY8rfKH6WNbzkeh/zi6MrZgL5HWEsrxh
dmecnQoykevJJ/rK4C+qE/c6i480fmJ4xhCmd9YcIJoiCVVdvbdnm3RLPl5Gx7tvjGpX+Ii7s/3s
4J/ZWLAC6TPiZOib+KMn0VaYHnvMS6vFZwzy+xbn8dYueJcEikdJ/0/cY7uMs/Fbn7espQ4OLny+
cHF0GDmGe581yj5NtocKEDksVFX3ZFb6tfW+56Q7Q0RoY18X7znMIHQLdWjyDm4x5TJgTJCx4vnG
muIPy8yvUZ3ALbKLjzIAzjoa+iS6KT8wIVJITEW5rXO0moUGqW0NTTvMbVzhucVSQBnZmx5wy0ZY
4gUMVdaSb3WyMEojaYB7D8Ntv8w0sAURPlKQskKFDor/vuntS7t80Q6BEpouWqTo27EPyj1Jj1vL
pNdbV8GPbNTJISAnuFkWbDAJ5TchNaMXMTL6YgDfh079acxVxYWvgdGGYIiau9ihV7Qpd1UXNsEU
3c2O0xwZDXlt98JpyT6yBhKCDjDXsz07bTdsI6sx2OUK7uo0CMZYMrW1PNu/6FoOTbblaNOUnNLj
tihvV0AFLCxArapu35l/m7j534ulEA8jRV3BWpm8pEi7WucfdHhgJzGSN296MBPXPiF+E4ths2VL
ufCENXeIpy/CEV9t275LA/WWlip/yqlg2My8Y4cOssNIl/1IBCsi8BlTYGhTRr5NU0nvVIZ/XM5M
PaJupO17bQbeFGkqbvyIOkNZluowUZoWemzckVeeFCpDWMfZMcckPo0dT3XuVztgfaTkFwmJLaSi
WXIZQlWveCCb/hZmADxReDpkTBTogshJD8qZNPcbP96idyLADh00Vt+gyVvw261GFOQF6zupkenQ
rRKHXPpyH8+OF3I/4amiKWhTuePq48YHPPmdH3IVhobjfYiChhGDGCm4V4Zk1K8xQvPM/lQZdHDl
BEtz1+WuqDwuo1MeYltACFOQs1rH4lLZMaMFrmP1xZ1bAJWYUrO9WcZznMwLOylZHyAkZdIdXMrH
tlHQUuM6Vs1xYSReGnZ8cSZyS5Wl6z1dA1iTPuxEO4dOp6gBXkd1QVbqrdsgJztWdRtHNeOJHJ+U
9q/15NQXh5zvZohG5kzqMJRc7hOZ5cherTyN47xnrsnbNFEt4TXZz8DAjzhoL796i4ouLo/qmPp3
feu/KhtEsxIq3et4vdl1PDhZlr1EMdkoMaVP7Cn8Fdz7vTYoKJgcAJVVgpoJIalvPDqJtbo4dxYC
03YN/sDGLY/tqim59VOgAsoHlvLT4yH1gqIIK0ty7bsjEV/cxwa5gMjGUAaUzk7Te98kxp4JqCIG
OAKZiA1LAdMS/WKJ9n4qzO4c+yQGYrP57qaESrLIf4oMdVxEDlBvNJ2tXGSxAzpKTIPe0I0bYM+d
Te/TZPceR5SCWbG9uGbJb8yYYMNacXnjf7pes297IKEFI5gDx/F6caMbtrGllvocuZgMi1mtWQuM
vLD4KFmywEuPikWj3iNLtudGJufc4qqOTRSzscyR1TVFAMqb3pygIEuk0FWTGhd7P0/WsfCMcKoq
utGNTxCLMKgGZtGAeKvHEQpuoBXH+dwjXyCHe+3Qr1XN4J5wHJUMXZ/N5dQW/kPpJEYY5WKbwciD
FZ9fbUml+YRLjiwM036sjscewgZb18BZcarnazwwD6yA5RFVNBnm65m2Tm2wASt1sYBmMlhlv+r6
mlNiBbgpqvZJXh6RRPprwXSWypnoO+WeW/xSDFWd6TNWjgCKNmLNdXCLi2l1t7e46k0/rvZ53d3W
/uIxFBuGm9YrKByn14h3mihXoMwb26Iau/a/xG163zS4bk1Uqm2v/DVHkiAfa1oB0vLG7YO1orLK
cDH4B7t+KjNzDmdhXEjHHwhxcYaasDVMrYQzWAMWTWPlIdi7wE/Nmt5G/t3/P7U8nz7/8y/bs/4u
tvyS/uir95KgctUTPfzvf+K/csum/LcrhCcDzzJ9fB6kk8cfXf+ff1mm/W/LDWwzEFZgCdcELPFf
uWXb+bcTBAHl6wETRILNhIm5EvfJf/4V/Ju/0fb+N2Hl34AVgWC6xr/Vt8CUS5v/+ueksh4Iqmqh
5InTRrodac+jp/aRKf+Xklfmn/gYRKybupghXa+/CZAf658mfOEi4Tm+WNPZf8xFO2ZPTFaN8uRb
Mct2uSvjjHFoIU4OI7KIAc0yVqiVxZfatV4mlFA9XxaWhYWZRQBjBmstBlUmS+yVc3WnAW3m6GRT
v6+45G0bUsa8lO77H77D+//3Af8P+909/vG++8+/1o/1l4/t+9KVtufZuFT//LEpDkFlonrp5DTD
d2TDe7vrXibbOYk+2cWVfc82Gs4jKLu//3N//Yt/+4NlEJg8FxSp4K5bc+Z/yJE7BjtzV2f+yezH
vYr9Z2NAsIL08z5G+tweiVmKJO+PUtI99w9/9l9/aCEs6fsuWW6Hp/a3H1rVmM4X5epzAObxxP3f
2kL+HA/Y0z9VAj8kmGpqgCMO9lGefGunKUZBHeiX4RIaKYmmavcG9dTUtpmDsL80ToOjN36fSye/
/v2Htf+nD8sD5Vo8YgCApP/nX5Qxz1Uvlnk4V4Mlz79wK0XR/5Tud4jl8I5V6Z1xnrjnNaY9D4Z/
l9vGgZD3GDZJ5j+5g4Zma4sYUwC0/Oe2rL/D4i72WcOw1KXHhT7XkxjG5tFKJTYBOj/ZCy81gMCD
j+vpJu6959aqzMd/+MnWF/DPjwC3YofjNgsDoB77t6/ByDzU5tnvz/XYGPvSjuMHZTfPMiYdPSv3
0QB0v8fk9OsgcVBocc+4wXNu9UZKQMLaooONV9uK7tEaSTP57anKI/VMsAcdh9w4O8+oiZglpHyj
2Tn//ee3/vrKs+AFgmfI9LhnuaAa/vgIRxw4GdUyf3PIF2vSGk+oM/lW8Y0cXSxtYtEkfxEiDqWW
xU2jKV8vs3beyjTi5G208vrrPwbCx//w0da357dfre84Fk+5A/KX+82fPxoAaXcuKYo4B6luDnXN
MZs2t9qeLqrQaOUddtAmJtoymfSWE8Pn2Sj0bVT18z98FC/4y0cJQCrTAiuhWYCg+O23hAUqD9Bq
Ol62uqNdkfuMgfk2KYb+UrrBuHdtbz5QDzXcO5q5haABlMP4Tzwr37Ksrq+zQ1gEfpuxVz2mZKbK
6htoBBXn34wR9y+92YTXIu3f6j6mpK/23pspIGU/uhfyKc6j2VLWBML+vi6r6py4yXA1wMbLVgeM
AXz6izhWUjxe9FeyTxMElwmCoTnVR6x77TPE1Qo6tRfdAjmz9gmTMAaH9IMWqipvVAP63V6ijACX
a6KADNmjSzfkITbT+VLr5ZSgH79mGUlCAQ/vBBWOPm9nSP4R0fTXDY+t1BQeF14bSsfvSyrGdYce
Id2dFUfyZz4DyTSgxzTulj+SamhvpFac0qW9fDIudAegiJCJuaqDyzpHExJqVdn5jica2RPctk5U
8WVSTrCt0vGG/BJo35+emzQvQkagL6ri2lYlt/BAqZe/f4Dt9QH98wMckIQT7N04vBxEnz8/wEbm
1yIX6/lfowNzaKCjxYzzZ20oFIeWEvmu8/ifo8E4PPnKkbR6MOlkOwxJqy+uNVRHJzb0rpqX1xGn
8+08qvRoxfFPmQzdzcT9dWoz//APH/uvi3UAJcsygeOwqQXmumT8YVdztSdoaenbcz+Idh3WZUcd
mOxradRf4bAGGySAcZsNBJ0zMIncEQjTNp4Rv2XYD5Rb9y+6wJIuJtAoZlq9VDw5e0brGAnoz2Bq
N+oD66b3dVARy4fvoFEKMllWI045c/ZDUdkEoCenubc4vIR//wPKdU3+/XvxWPEsLmLeiqP58w+o
p2zA/R6os/Cm7hCl3rQ3plrsc3/68HvofNKnQ2Dq+3dzof24w73kKQz5Zl0UJ0xrzJxYBSfhE50A
0HwrbhyT0FNKcwATgsPs9P4+9VSK52XEaR74JJnEkByyoNtXptMdSuCsuxTX3S2juuCm7h5p9nhX
WT7dNYtxtWg3gfwsAetyvaNUgPEx6+uA2JCika3fvVwJzX3sUrvYEIqj1elDwajcWguaJRTEHPtw
iVnGybr7MWJ7dOhIq/PsGXiEjdfKDI7FqDEIwXJeei4ZGWLGqabxnegekqZrpqsLyQy+VgrphGah
0Emn9Hn2andf1wmx//ipXp3nE+jBUDTeDXNYZoAoA6RUHcB6Zk7Mx4qfi5S+PWNyMpxHNU3l0gmu
le1eXKP3nmZSWYkDmWbm6bqntP0HDVPqnEc+rqAkyv9hu/51Kvr9qxdiXctN25P2yiz647PdzObY
OYasz3oi9bs4lApMPd2MnO88vClRF5bdQB+YX7KNmymDoIkcN71V6CdJe3FRSH4RD0kwEJ+uWvcM
D4f2ny6OiRRgrhwDRKpYPasF93rzrWfaAkwkil8NQxpHmtCiG4T5nZdNX02rE89Yo9Q2kxBdRzMB
s4x55wq8q6IUti1fJXMp0mn6hzf4eB46gjTSEt61LTuGnDLFEB17z3Y90HbmZ4igTJWujLYZd8yE
xLxlfI7ilrBFK40XmuFPvWWh3bdQ9iAJN9sFHteJtjf3XHSu+w9HVPd/eM94v2wWPoQ6S/y+kMR6
UgE90P3ZzxQnHtUWt6oEfzhrbLAqwt0omBZv6DOCwOHAgCG8Q+sUGN+1V3ivBre77XuQCgkFglbr
VgTOGA7Z0Huudc97mEHMuRuz4SEX+Z0/+vUXMlugS/Lmy+AXAt2F4VyA8KYGU5xAnKu9NXbjUai5
BamwLX6MuRwebO2AplDtaaYgEvYSeYMywAL998uO9dejorTX64LDaSuQnCT+/OzlRTqy4JTN2Ynr
1cIL/Cdcd9DK9MEcSPCiC8NJLjPe/6XsPJbkRtJm+0QwgwqIbSqkliVY3MBYFNAyoAJPf09yNtOc
35p2N7RhT3dVCgDxCffjS6se4Xw+xfodA/lzMiM/rqr+Lw/C38XpP+6GZ+Aa561pWDwJOaf++Yr8
OemIQfLFDl/2ioiItdk+B/9zyV5TZ8INlsia9/ZkY6Os6OiyzUS9HSs2Abh65zkQPvYpp4aahemV
8KMgAdfy7x/bn6cRRSk1Fwpp1wIt7NJO/+OOTWeZaAItyk7aVs1yuwYoQLAP5uhpUXcA6ys7/074
2FnOzMj+/Xcbz77kvz+g5y+ns7M9IGKGYf/ua/7rKPRkXRVeZIodaRyJjXqljp9B1O4W/M+jYMy0
GmP1sEemrZnvIA5wTfsyRz+xIu9KmIEfZYn3jnTCVdX3xX14etj//SX+Hx8PaDS+QRbHNvfa86L7
r1dYRN0sK7ibO6gdZ2klG+jLge9oP5w8CgbuoqQkIqkq/9LRGX/WNlw5XMLi2dQxVDZ+f3L/9Xt1
jsAp6bh0YjMvwPT0R9OEg6vKPHBTPz8QEtdtmyICwONsRtEOV7ZI+v/vmzcsx+eNGxZzGT6BPwos
m7W9E1bJjAB8Dipl/4yylNiYEUmVQLKK2ucM26Z8xOFw+/eP/X8uDC4GaHU0fKbLiOfP3sSepaXn
zTDtCMHKNnYnj5FABx4LDIAYO/AYOKb5l+ep+Tyc/nE1MnkSpqEL5lBkHNjmP79rNE4u7gwpd3Om
B60GON5P+4ZrEWPx5Fj+Gi3tXUSJFtCS4Bub1DF38xdoFdk6HdLjmIuvMXvRE9noOvnxrnGb9E49
Qk98Zp3pstxX8RtnvVq2PKz20sRg8O+f238ujP9+Ex6Seh6BrCZ9xzcoM//5JqqR6Top2e02L7Sb
qt03y+5CZDrsTZQHAr+JR2wRxuDtPJmWF2YfBTUOumayw1Ej2uU3XBD6xky6MxQcxGi+dkaJvutZ
UB1Y7jQkPfFHHX/2jp6TTpk2B7b+p8lNHIQgiFkARLxA/AFBH/voNJAKIyOui4OX+1fZgwKNXH2l
ud+lidJSz+OTREO8R4j/DqA1AwXVntAykSxnUgOMjje9sck7JFr+0G0E0W0q0d2EeF7ayp1em+jx
DPh6yEhfRs2EziAz9Hte5GTwDaC7ph6RbcgsncVMIzZ9n14b3Rw3Pt3LinM+OlZtr/ElT0cOfZTE
Q4fOPisXJEfevdouVpofxVszcTqwuyIP8t4Wh8GLivXYqx3lArdgUskNgn9OmFo9eyJFqoPO4lSX
hn5Jn6EyiQI3E016RCS9K4Oa6nBpxt6x11J8EHn4rnqydkSdtCcUE+VqygSRJ/MNK154ElkTnmvi
kE8Qn571pLHt+O8WLaEmRdNDm7Hi99lsvyFDZTKfNylUFp8wj8Smi0kvxji251ywwSCES1Adan95
UPzZVbJxcz3Tpas0uej+pxPDDOyj7GirrfdU1OGvfqJhLvhI8QYi5P/3a/x/7tPnb/NtEJP8AZPe
+qPIFEbds/qpSSCmzuCdfpmAe38gtIgSE5uek6yy3uYLcQuDSDZ7pRs2QdvWEoWBekeuXeBeBweZ
q1gCB8RdGxq4fQYClGEQ1gt8g3iXsHssbeleibwXf3kDf047PCYuvgs0wLJM5h5/9uDM2pCL5dGA
Ioidu9X0yV7gRF/XDUkLakD9CQjZXBima/2l9/zzCff7N/vguSxGm//HUDPivsQIM2wrrdhPFXOV
uPlLPfEnA9rjdziMcniPDtUPBdk/H0BGIdj4hWa/dYgQ7twp30IfwGBnA86sEGxvLI0FGuIiGebl
0hN6sS1K27/C82c1XNb9rQ3ZZYunpSkdv/z7tfN/fPRMSR3Wtq7pIM764+k4dHUBMFj023qOP1w0
54dQ8zCXwh4ZrP4snrFzEmzf3x7LzzLhn09ln4+dyxZAOozVP8uI2phjpzWMYevMzskZLGPLe3RX
JbmXvkCu1U7qQIpEdYbHGalSLmbko9sCytWyTKO/DSX/5zIwDTYwtg3XyLQdipt/fkVi6o3QdaVE
6iEIT+3kemKgcOUsR4UISSoghgEPBZ6PFZT2calZyA40g9S+vJniB5+g85db4n9KZdintDI6zdWz
nxH2HzOD1nYUmu68RyaRxEEd9mA44v6e290WCUuxYgZUQsBDVaUfGZRiYY2GG1sAtYKqjMDvnHQG
iowZjgRLiWbYhLbXY1tt/vZV/lkQcrvS3gLXfV7iumX/8dmlpCjVwD2brZa7F8P5VdcccrnRSCRb
C1eyXLX9CMvQt3+/cF3AuX9eQ9RChmtzRwn6CXi9//zWTLdTQkNvu41ycHCVj5JV9G12cJ9/2GjM
Ws0z9vgYse66TnSmF4/OtczX3KflUgcfslZxxPBZGrfOB2wwj9q8bZVWX4GhGcQuikOhLG2Zti1K
a68XZy+eqDJ1TtAYoYIqwYTnaeduOxLHNxptSqKbxxBA3dqRWP+E5ouN1nk/Exzfh5CWdSEQde5i
y07OZubjHkbonVf2L2VrAWkaGjiKpDx6aqHPffqjG/tqif2ZLW1lBv+Zlusmku/0Pk6FvjRYvLwn
A7nPli8+yilhTA5ATTydmDHrC9mhvM2zq5rGkhjKJPrRiw1FQJBMKv3a2b5Crzi0D0mw19J+9mKq
cHg+6bX8gsxiKRtL7ADKk8+BdPwmQEwtpzYkV/b5V1KbklsT4/TxyRtadw1JAjpjsC1zdAsFa2ws
W1c7zUk/Xyq7NQ9JC+2uVCLehqDsVtz2w0Xz+5tDQPRr3cXOFbQQpAUU/B0TSdI8C/2O5y1Fd+h4
e8RU/U2VV80vxKmkbNh3RRKM45NoUM6nwm2qy4CH9dKpdJswO15S4UQkd+n1zXnyyLzus4ot9SXK
AD2GaLuWLKhgroSle8sUYZ68ql9FYf4yql47+Lo2PaBSUFZhx0lS5DXFHPqreld3bvhV8UThK8eo
VXZ2u5GmQIOTh+MVL32gWcI+Z6OjFo0HCb2wbfVFRB4ZR/T5+7qQydqVQEghR+E5FLi4opix15gN
vNQUeVFfzuWpJgFz7dQafmJDXKc0KndlkhK2DneSar0KZELe5Ew+6muNmGCHkbJAzAHE9flVkxX4
9MMDFLVAgSBuXHt6F90x30Z3NHjEeijiRwx5MD1fHOZez9djjlOtpvtjuJajxDW8jWh069hth9mN
rinzp4VW6wGyKAIwIusE8Jq5GUbPU1cNt7SJ8L7inLIi13plwobI3dbfiU0n0YbVGrF8T7f5FxL/
6kdIZCXAR+SDumzBsVCgUTOTIzKrsNrBmux4aKh2o5zcoNlJsOJU+i0G0HIxias03Mr4JPVq9bvt
qBU2hNohS0NpU37p25QQoA4qgxcTc1INxMA3pD4GvT6XQT1Exoeuvmbdp1nM81en1QHmYhA6pTnu
j3ZsAj5+5yJF+lTMV9AHqukzGzp2z7IgMmFCkBHjKvjBLB4KQaWCUMGed9oexZpt61sFMgVrAd2w
VYUSpRr2hFJ7ZfDUX3SZQ8ov8EzHeq2j7H5KU1xNHaakng+xhfhi0VicNJ5EFs/s4zSZyIMM0UBU
9r4y2jZuPNwY03lNj4RJOY+y+aZHatqVvpMFcRAOpvPoiV/YSxyng2mcp+KJHJhT/cKRA28tcer9
XJbtFzYDYKvIFqTh2XuejQF/HNcq9aZDSzbKKVMIfLIO/wmpL91W13rjatW3HusG6DamL3H1Eifw
VvKxOsaZdtN8he5/Gl9/n5MVdJOdTbxdH22k5So2Opj8i8FvNhLv9rY3h2yDJWTnz6a8M5d/5gL1
mwmA5V5X4QWT4N4vNHtHbLRY6o3S8F9lDiypXGMabcg9uBpcyZE985kbt3mGkeNbWMNSLfM2duqp
IOlRSBHDKHZe+ebEiTzWI4RneP7yPprRilRX8wdco5+lSxp5XdjjRdfbzeCl+puJN6PS8ZSD/Iwx
hvjEhUuYKKpzoBdjTI7mWexHLwa1Ua0NP5UnY7AjUIg6Q9B4IDAhM9NmNRRlS74zoS/o8KxzGULj
q/S+XpmWzM5MTXnjGY8WS7OMIME4ux9b5uocCuk9H6KZ9q72wS+TjBC75dugeKWpPttrBabloOv7
tI5+aPidjhwf3k5vMWnVonit9Tp+NVzCABNWqxOqrQNHJQBMkdz4SNyTCq0GQ53xXR/QWYNhGrkE
nJnolj6sX1gJA7gQsD9xf4CgLl3MMBQfZFjUFb5qynGvbepTlDeo+8Ln8ibRoOXhIzy3KT1qHOsM
78fqASTxEld1dP79N13F2OLjU4N5YhMD0L3OUPokF/QBKtmvjtrm7tn4Sa2Jz6N2OuMUS4BU8yhw
/VKbFg0aXT0aQZKZg3WICv/idUV+qcuIFBp7LHZSq208eQ0IlHHf63iEjGzieItpBV0pXioScWn6
1bRNrUJfGdIsYW/hXGQGIc9+WcPWgErbDMOBzBli2T3QPYmm9jg4rlac5wGfDRmgTZTfjFK+to3W
nEpV8xSSYbRkxG29i6GHeIeGMFDsH0BLNsWaUO17OFf6vUqMYTWMzQcK4+ISDm5/UuaTSg69H+Tn
V5YouCDS8ViX/lE6XCuhPe0ijCgr3YVIB7E/W4F+Cs/Ez3/iVXiLDVp2GuxvYoy9+yQ5tecOekpS
D1cUxlzWwx3j6JmDjLlmqKc3o44arBhJsUz6xCDnpMgXUocOnCTmXc2pcfEr/c3n+kav3GZnL5fY
gMvesC4QSe7TWLsniYJj1o3hbFdXIr+TPWlVJA8PnLJNfR1Qe1+0BosCvu4F3ZZ9Zw82EX6XsLLK
5jGYZu27xwm19QXqlQKJy8kfDe2U6vGG4lg9yIjNILjYwF2nAf1bTzBbYQMW1Q4EXpcE9x69On7x
isylJFfqoPrWYdnVRrjkBVZ5WSYM2nNjU/m1HQgx/aycxr52VRVuesM85aUPSJT1M4waa+hgy40f
tKvsYvhdC+rS/gPrvrfA4sqmm+tB2itSm6qNZj0JJkJj2Br94vx2jxlOxaBa2vmQv4Yd9eg4s6TT
8KUA0Op2gu0padEl1tpiODLQy9YqmdWGpawCDhU3gZM4EzC+EPpxFHGNtZ19M337LeYYg77zi1iA
yEimN/y7G1wmUPLdZD4yv8nWMEBfQiJJL3rRddtqZmGe1u0b87fmpz2nwSD4+b0ay0+t0JulVljR
kh+QFTOQLL0yFikYedyyoSCQUBcn5mpvhg/oWizDUOsPJTiLsvWSA7kNWgsO3TN4lXr1TRKcskLq
CTdThAmo0vTU15hhYa00h7GBq6GqX06mmPQgPQymulc0uNG0BJJDYnbag7XpjV0KbTgos6+wNcRS
4Rhdd5H/MoJSP4bS+QW69jYbFBDNKYJUfFedGo4zSddOBH+xMb3hkchsePT1vQhhyEUz1FbxTKcM
Q+fFlCY8jYo078bhvovJBRtS5pms0/O1UYyKUVqSHnB5hPvEF4pErGkix32yFszpC0gAfgGiF3uF
/jJxMO+nvigWnU72jDG/5714ZiyxyaBpXpb8yDqUGzxRYiN9pCRFNn2NKHnXlccTsMc3ydPfRYA0
iaPwYG+ieJ317txDUzzPOiSnfm42Tl7BLSmHX47M2NNhQmFl9jm7JO1aNB86mv81AXjNmu7zKsI8
XDghPywlJiqwCXtfQsfXQXWE29zVQh4/fEOmUcIJyg+zO7Vrg6/qLNchJpOXsiW/GAf5p2/W+mXU
pwa/hEae9K/KJ28WNACPvihjDEGk9Kkn4jxoof4s4Pq8VEZorn1uZEaEHogLbayJgYS1Si0Aw08B
gymkd2laBPvenBc721PToxs6BpjNYAAmk2KfdJF7jBs0t7nUipWnj/5GkjBwSHv5gjjIu9V1JjY8
seodA9efZKt133pysXtNclx59biJk87ZYEuElKjqS2hGkB1M9a655tWTSDowKjebWppPhXuoDg5t
MgDrHwy5w88cAKNdU6+LuotuoDcy0qgjQrQ5NjZWptTai5l3QrC42TyniKfTV3WdZvt+MNYSBi62
u0FbOfr4s/YBDMSe8VoZjGygPus75j3q6o2FvjfDSl+4td8dJ0NjTT1Pzal1rCKobFWd2yxXG6eA
ANF2pryhL1tGThyo1EruinBtze3NHaSeZFPBpixo7V6modiooZSfXQcFpmyw5Fl0XbfRgE1idzh/
4HiE7WBv1Nwx24X4c2i6cKfFA7gGjOU9HokDy/DkUNrRFjMDXphQeYvBlRiGGapD7W7N93mMWT7M
7WWGDbnINYehv89rzD33qy6y4cPtxmgdSpUGFderS4b6fVJtzWY1uk6sWXufJ10e6nusF18YS3jH
VBmr3tScw1STT+HlOuF6EAu0WZ+wOBngRTplnSn/UjoRniw9BaQdm+jcQhFIt7ngYFbwOqd4JSsQ
7I77jls7pJHNqqvpwBW1s6w/Fcoe+KyIvFcdjx9ggm9ekgZeLuJvTRVRUiRiXidV87WGtvE6YjHi
Kii1pU2W+bq2p3QD9kyuXcU0svaUdqHUdPfIWu+KxGjkDkjCknZKIduE8yYdsASNObkGqF0upYTy
DLulXGNZPXNrDgusC906zcb6Xe8Kqg4oxQMrnK0NNoUlhQd6qHBPCaC4ZSngrgyZ8+mN5Ge7DJtx
bMflZ4xDNsHAQO8Tbn8/FS2LfllPzAvAlwSajlIAM3LaRE1+bQ11tKKDUTTltSDtgFgIXwYI/89t
2xg3Y9JwcmBXPvUTUjIXD10wsjYJOIxzNADJT2qechVpdRo8p9rrOql4cgpj5Se4xHHc0MJN9dvv
6WHBDEB14yffH2aF8JdN3CSGZqSHhqQYq2mP0aOtShW2S4S1T/18FORuV2xrZOyhMFXQawlHcUvQ
MlRpzvm0hBXjlMOlKIAisLa/Rn2FMkTz8SBFycGg4ZwLOS0qbzSwvOisqeQ8QilQ6Qa1yCfG1+hg
jhcTPyGDhclYCw+ratFMMLcbdW4FRgrlkrQyKGxLPfz0dRgyPg8ldUhV7f5zSljWHUEJqyNkbACq
satrLtaO0LTEQhSRuWbmclDVYLCJld1hYOXOHY+fIu3vDXsO6SRlMEnffC/YnMmZZMSy2Fr1dHg+
17FHAWUsDYh1eXOIHLotuLIVlvgIKYONxY1BlIsj5oDQ5SWnf/wC6ga21fOSpQs/JjY8KsIV1E7Y
1XMpCB4idqVxKMLKu6c++A9voiorYyeoI7S5EBuxHiJASDmpwSEy1wyJjmVAY8a3xvH1J6NhEY7t
ciTHewmfZ8t5+i0Z/OjipKI/tK05rV0aqS/pbCNQ1J3vCtO+n7vn1GzfiL2oj9zajE2m5CNJUXZT
u+9EkaMkTL11gzJEM/uN5Bga4Cd86m7TPtBC2Qhn5zfLycFASC9gM4RjtjWPhgm73Km0J/6sQG3S
8ZgZWkDrrravFOH1bTY/3TEv0NUE9Q5MR22MvE0mDIjBxXCvpR2+sjebgB+EX80m116rXs6knXCQ
wYpa2JNw31pdoLqyp3qVisJ7w9lD1k3bYVN6/r8hoeZLGB9EEyI8970YbMKoxdck3uEk9YIQcf1i
EBaOJglb2HFqKnQtxSniDy82CrdjmgvnqFEWQp/a59z6+0nUwOuhvoNZmpxNiO8yyNvyUI2kHeZS
3ZvZ+eVEcG/w4vGyOmhvcYPeMoqr/mP+hD3xvZ7i4XMsw5/9wGxndCUeKSsBZNC2Qaqn3McFd9UQ
hytKcuQMQwSfNVf9Nh7cCkWYYeLc5ASZDAhBHfbDTJCx6Hhpt239KFroTsTVnWnaoQAVQJZLHz+k
gEhdOXiomtq8R7HfkxLz/F/CfRBrf4IGYa9Fi5fJsB0iJ+J1myTzJrPyYTM5/rx1CkgtIpr59Cjw
Z2fsN0VvU/gnZXXyom1l6mIzxqn3ABFfsDPsjB+8uCURK/mmb2vSRoHxrdEUNntufO3uaeBbRat9
G2TbMAWtPIQ7ZNK3YXrOoLItrLLKPuoxi1bFRFysP0r93Q8/nNiZaDJya5lM/nwbNBoHb9DKAMJk
iwLxyKVgE7xuNlu80GBVWu9lgmF2kU33s6oQX8dhGt6jplxRqOo/fSUeHZ3g87yYTk7RwIeNjGkj
k9R6TVGZ4nR2n48tu2dzT5eDeu9X1jEC0CJUi+ZISpUiX3pNsViiVfMfeWewf4M8hCwGxeZkYIyK
dRYzrF/9bZPL7pQmSPTM6Nj3PBj9Wb7y5g6jEdZ7QQt78XPEcG3+xSi1BNsnEKIoYpSh3Ld8aM1V
gqfqCBNY60c8Q85HYTEQSGg87o35bE8MUr7gm+wKt063XYQWtqq+RUaVvA7wPZZT37FbzrR8qyUx
G5LQ0YieiV7CJ55QWDa50rfU1GfwQHXEMzR7C/Pss4HKG+QwY7Z8m+/8E3vXMarW3XJmbgGQqYR9
6rteHDhuYi6mMZwAKZg3+NwO2AArXuf4am8tU+tzbifddhJcJ7LtnhbeUhwpqqq7HIk+L3MusLax
NhGy1y3an2XfVeCJGCwAFBTuUXZfdBBzK5XF7prXFx9MfWM5ilfDB/umcyA6IfgGZQHK58bpDySk
PtEdvcJi0k4H28kbLG95vMlUCX2lp89NZep+T3skaGk775wJIIPZe5++382vcg6zjczCkpPZis6D
CV/PNAlRMmP3w6s58AURpC/gxThxh09kWundnfPsHlEWrefalivTfyvccvymJ+KrO83JQ3cHZ981
frz+/c8NFw44hr+XwUBChN9/I5Rt7Z65DffCd/gOxzz+3rbtpYad9xY5tA6mpnlbYgb6B4F2v37/
C0qUb8jlwbTX7iPhc1tFdu9dStTf276sMVNG2XyCtjusMx6cL5EGXKeHcf9db/t1MTbWj46n4ij0
tTbpVoQwPWPgK6zvtuBLlubYIBbk/fDKo6uaiQm2qtr4scnSqApEQgSeXcbjOkWjsKtm+ck0P/6A
m6ZweLeMWytWHDMR5NTHS+Z2JqFfsb7KdEg2BKaYN4p6Mnmi0H1PymwT9TzA8s4OH0VV+YGmacPW
nK3oUVL7MQAxxPcx8VnXOuaXyHMhztgDdFoc1efCncgJK75Yda3eVD0UTDL6/pvdWQ8dPsYPgeBe
S0pybYgC8N3Bw5iYioVTVPI06KG99rACghyQL04cobQvSH7jWsi/6p78nBnTj3Wf3mq2xaDNcfub
8EC+0SEUdfTplUmzzsYCHE49m6ewkLe4Nx5JCkOxSmq5d4XiFn3+dfQ0rpBBl4FZH5ORPGwy3PWb
7l4to9H/8xc3hWJoeGO3InvdeLGzzljPIoLz0JVBmhktrHj7oVKmFZXu9QfN+lFLshWSvvcJ260g
1+kA+3PdgEUrfXmp2/a5YHTN72LY0FyTz0e+xRHGsPcQXXNNhrY9P7NSN8NAqqsfFeYq7OWJXGrK
MIJBypo8vMhnTGE7bvWsrj5Lt4oCVyTdqp2dIkilCfKmI/8pbpwQEyS08dAYgSWQVgjjLPL3RTzF
e0iz7q6KecDXxGs8CYSU0cC7LDEGKX3zK7KdVT/WVOtssgJ4JdbHhBEb7jJxAnCnwPOME7wR+B4b
PRbqkHtWfiJYL10bZn0iUMZjGtapZeEC1WeKXSy9pNXfGPoQmFeV1hsduohLfgQwkaB5PvajKXZW
RqJZgT9HxnVoi2Tdx8yRptnsP1B0O2k9fnM9GkrdrfJ9nIfNY4qLb3pfTSe3z7TnRPkZIodwEvqb
ekkTCltDsi0sbXvGKxczv7Otfkf4XohcwtM2HQ6cC02ZuAD6cYkzqJ+lrUF+HgloFSpCm9bNbz19
SxUMf0hRmFhZpK/dcni1ksbeVumz6g5DH9Q7yieYzQoWGt+2pb/hrE6kN68mNfQ7O6/lhb3dtEDf
A80m8w6GCNOTxsvaEyOwLwxB5LD+zC0w1Xhv029THjlkG0juv1HLGBuR+dfVp6KNIXflNtJiYwAL
RBWwhZ6A4rMjrkYxsFwbyUjiIty18qnpgYgkAQv01OVTM2+LvP5kYJEfRG/XS7YuOhBI7UL0m38I
Xd/a/7ZhFCwlorLwcT57pDMhhcNf4w0Bcu57PpuouLzm8luEnofiwQbWZ9cb5hfmm+Cz0cUBOKi3
sT3NgW4gpB8Hc4VG5x6FxXh0x1jQYPswoBJzxC1kAUttiiI9obQLvOj5FCHXJ+9Aj6/l4G3SHzZb
u1uL+e9VsfaoG+61NmerhwCAJL9Zh7+BdSGAWGUEqXDTd1h2UGgbllIWlJiy+1H56tQb3kp4ibuU
Uy8vZc2cEXP21XEYIGaTpY7SapwliHgHhETxQeYH7cWmoQo7NEXXb/oc2EVn1V/k3H0vCT3W4UXQ
zlNjO60aaWvSnr2qaZ1lOl+eANHbZPj5DuPyC5Ktmz5kZJZbxsmpLecxYCdZ1nrz0YfQXTrsrnub
hnHRdiFbL61pcKJlr2z80l8CUj4gq/4NYeBl5rh5jucbYmrKfu0MrnPK43zaxVwQW0Om4VlDS7t0
hmTtNywQMOnA55h9HH8ZK3hMkMDsxHeM39kriZY453EqEeMiQbH7McPOSJJhY1ccg4bz6rMRZICj
rYrCKmCMEx3apoLk3a+GNTefFYvARZGXxdUyp3bFG8fWgFeEFKn04BbtefDY9FS5IzdxJH2Ke1xq
v/8YWJbOkwxBwXL7IjBCxcQIa0earzjVeA4Ig+3UW2VlLvp/ZpiAEhZxHPVB20Tscp+3lAybgU2/
b60tlXvnFMjGwgtss0hfsrrzgK6zDOlmMa3bWOCkeyL/pLTUS/5kkWOaea8b1Z+avn0kKr52jSOv
jIBrBOnEbrLPMV892Kq5zxk3dlywGWvU3IKaWLE0mv3uQcBr99IJPI4eQQcE+wwvGok/Cy/K3k05
5q8Nli3CosZx11g0E9r0qrfElAtT2gdt8I4jlzo5cNatLgnEoWaWu4L3hVoxs5poZceTOOkpqNfQ
qTzg7TTfv2+8QjTTeZKY0Bw/uRSRN91b9ebXcLWh4vKI8xsi69UUvjA8fngAVHcz2S+bxDY/JB6K
XAnjoQvIZtIpiEAj+PMgYjJkM8+3l8AKjP2QF1xeXvZaDNwXNrOCBIOIIiPULhH1ttWxQj8aeHX/
KmwZ+KoOEWqZ/jEzgHAhflAboDbZXEHkUJm6awO4YXBHDNdxXB0Uj7WOaSOU0sGHED6S014WRGRF
TgdJ6V5JV7yQ2eMhsiI/XRu5juppXLZZY2xcpzmAJkxOJo9u1louqAZCUxGJzljlNBbKTmW8RiND
vtZo2UNNj1CPLCI5TwBC+g81t9QenhLblKr1GI89YofSd1c8TCZMIn1/4iQmDKk+4gHIJjsNyPhq
N4aG0sDB+4Ctrdiz/6kOlfcAQ7CJ+0NqTmoP+IrmALo2VlOMflWcp4vabMwL0HxYOJHZvDFQoEJw
k51Q3Ldp9KlcenzoRmrVWvMX3OT1Trc94+BP0MlY3IRPc2F78U7WaHxqmj2uEkQw+ww9whmdwcbU
rYWaNTNApsNiv0enaI1mt84scRt4RgIDs7/KoTj8froD47PgvZGpqPuYIMu63UU6lpusqc59NB2n
OPHubgthjEV3woIsLFd2y8kKCdy/YZoCCwOFNwirnw1zvSvlVrJkqrkF6L4k9ykK6tqel7A8/U1H
MAdT7InkuMz7klqiuE0RKt2iTW4z4OOGZIuEj8MYHO41MK1iKh0eyfk3K/0e9rlxt7WJwDLPnR+W
6b4huQ3oVdS1L7TpagL/WvIgVQQDmTQXZQT6O4HYUttNsaTSOZPFYX66afyzw0G7dNJSXztGRYzA
849m8nem768djIAjVBQSsesoMKZwuBhl4T73Qi343JMMZ+3mwyTYF1P7c0KSBg+WbNdYQRuaXTKM
EIPu+qj7FlFKrSw+VzYnIeT4zl/KnGVEnjE86mBUUirBsNiS3vmi5Zm18D09W8g524EPx1gWrXtF
O6DIaIs64zVLi5dSY5s5TSxC3LA+NV3tL9KMmj0K1RmhdU4JahPeMv1Iw1vbwQxiGvnVBwmdJs25
eRafnf8+FIo+FGLgsneKj667zmOCloIWoq2ZB2ZDglIOoA4LKHQTJFFGZfsjenJa1SDJn5JM+B2D
NrN80rhoby+AttaoDloOrXavWNgtojyGjuvDpYkLJkvu9EiZmBwKmdsXxplG3/1IezocvSeBMNK1
D0bCaWBEPGlzMT5CS77bzvQjZIC2DrFxcKykLzhO1sVQQYls52EtihJ3Vf8ySgeClXw+ZUAotcQ9
kJgF8I019ZKLACt9QmiH1r1SYJF13pNMkeLm2vgIn0TJrNomKnNpFANDYDYviUNCPNce8bnJRqA5
QPICKqRHBQFhM0p6djYVW84yi8mrdn+U2bw2x+rSNC+F6sDcqErsnemgTwS0cQX5WbuGVEQ2/P/j
6LyWG0eyIPpFiIApuFeCoBMlypt+QailHnigCh719XuwLxsxs72xapEo3LqZeVLJuGkrE/uJeNBD
UUfLlJDsh55FY9pBB2BxpvO06GdmRipo15+e8tx9PjR/xwCcXmjlzAhFLo8+K2+k7jCmuAFitqG+
64nZk4gPkfuagpb5ZQ75fJjAsCmkND/k3j5vPbhFIJodfa7EmF2XdnT3s/4wM/vs2ZBttVVkUbCn
NI3lJK10rrJehoBxpMFXOtCSipfbv2RtTUV4gZOzyaxg5xZDH82WGE/20Gzg+38m+tcutIqePQFE
m42eB286O/lm9Q6j6MXsMhD7FNzTtgFmb26b/lC19X4QoxV7OFc8/q9ajXWtMrh/OjNAUHJknHJ+
G1E0f08B9tMsJNy4Rf5barj0PhuOndWwmSBOHBrUMLH4ipw+f0pn80lLqpUMm5r1HuxyRl6b0SZ4
CYP0WoRfc0opBZobGykQePS1HvHAat6W6c9UYqTp1knE4dGeOQIVHFLKHx2YUtY9QZw/W0gwpe+U
pVAXkTYOgAhZzyNs1bSS/1FIk196565q4ByNaiAkPznAAZfsVjX9wrQ4/q2JVWwF7tkJ03nqc+UY
PPEkVfK8bB9uQn/VPnU981jrVe3YOUGTI3jnCWuvZ8i4+VJieoLBZy3Np7nYDw1LE/QycYZU9mcJ
qv9E4+SnhgxYU2H7Z6XcUWepAHQWBLO95SK7g1ECBFmDzcK8KnouPQy+4KwL0JEPflXEssoAjU1T
EYm8+i8L6OHNh/HXLwWkLnoreCpNyId+FnV9iipdwRSBAvEiINHzsAKq1CO6RP7fPNExnU2Md2RI
Waanw4/WmHT7kRLNbuR/b6loAg3bm84XYzArzNmkyDQ1/zMtingqBWFxdh/lCkc1nPSt8jRcrin4
FCkFVthpf12btVrRzoiWqj6mNglvWobEvp7bYudN3n/ZOpmHsKEOp/7hSQPd23i4R2l8zP3hHyo2
anuQLiev6b+8vE4PKpSfC98N7LL32YQoTQmDF9OPiTsKKTTmSdw+B0AM2W9mLfOhybLzJLe3USJ/
B+ebLcB9Wyaa/URwn2b+m0okfSHt+qTU2qPOH7rRhGYIA3I3GBbApeGWlOM75bURZAr65uDK9Ln+
50r0IVNgJyBAGXQPfpB8GW5wNUFF0TjGx0tj67VPcxjsWA9jUr8OGhsdgID5I4lYDRNTxXYcAJ/B
NsqAz0X7PyWkuvh82zhCYE92TXFdBe8ImnUc+t+Xd2vOfmuZP1duusSjSKCM5s5XzZABBnv8aIT2
9uaaMxjY/1FKKWlQ8OkcSO5cH2fhp+e2XyQb1KHKl78htExqDTDNTiCNK4Pi3D7kltRLXvw+qGfm
Iz7ipYlRefk5KBfJoXjoMFbYbwlSkzu1sucSClnkIDBcRf+XhLtgI3RK3fCzz4B8saxnorNwozjy
q1XFfKwnn2OoMA4ruEVwIUgKJppIOPAXKsRxyGdzby5YcReTtAyd5rJVsP1ITYcLxy0jZegAsu+G
mdLk3j6aRfA0FMHb2g84BET+nM586W3XxzZl/ErZntjZIsVuWNACbdoESVl2+k7XFpB7lBVR1gdg
fUiKTRvuQ6oEvEtLFB0FFeAjblEV/CNEdc+C8yi2IITYKs0cMKX+WFy6xH7jhutElaH+aNa1dRJQ
HrWAK+3AqAm9HBYbV4qxAnLjuIMoPiJfgr/kUeMWTb3gfujpp24drKrPIzef/WbfpmxqrkkKlesB
bDhSwlCd5YYErtBL75VHiWvLUefAgGUBMO0bxZ0xWKxdFTr6WGXc0+bVoyPC4h7NYx5anbm5W8u4
plIgWwGgcqMEh1/1N5odfQLXkOW209sCdzlkKSZgQiyRYT5ZXtBu1i4gyRNehdBHttbJfyY4jZns
4yGvG7kbzeUu6WYyS4FZHWQQMTPfd0AfdqNqtspKmwM6XB8yqz+PuWmeQpNDM+EI3o0DL1xqLn/D
oqgAPnIOhyq8630PDy31T5HsXhLkNDBNd0sI6xND2I+t0brdMnnHnAYUTWHhWAcTnC0N2vjsGfaB
P0ZDRUlkr77XsFbX1a5/fN/mHK5fls4275MWJlO5xE1dXidLm/thdGewvx5+4Da4XxbnHoHqLcy1
GdNO+dss2efcaP/q2R5EEkp+TqolP07AXIhl8xL8F5qqv5SM+nHbm4oKevp+qb6xDnSFdRGBQjMa
867BR0wWtreqI78zqL0BxfLJbcjbfWIbJx32tJ0gulp28nf9/78VodhrGy4CPo92fGXW2XqM8meb
oi2ztnAeps4F4uZtnnFzL8xf1kRpnkCDBSFvPLDUQ7FEZBQWsG1mrSzoeTpNRa9lG7yKGS8451ne
BVXU53UX+8riiUgYnOtxn83Mzlra2W5aptfFHPOjEg9WZ8iDQe1vvMjyLIA67AF/4uqubY3sTxtt
B0xuaJbrxD4vygWcu4Rgwc7gPk0QdsAFY3WHxLdjL+hxCCx9iYx4182UpVBL+i9fTVDZbsC+6UkH
a8LBmZiPFWnIQcjHcvEJNfJirxp1CXPy1Unus7e3sOjTZjGCP9rhVSYAUBj3ne5pxiEgNk4C9R/v
1A44CN4WPuahulQJV6OKryuu34yCbTXQzajJzJh9iK18oNxzND5n6tu1eAga2qhMDepa2ymFfRQw
MErgvArq9W7suMn3y5lfPFUhNAVQP0K/RY7w5tPJ5+efxtzdhkLIk9r0veqlqt02rqWS0IxY58uV
jrUhBHLtEyuygva3XKWHk+0w5eV7maLhpjXdo5n9SMFvfRkN+2yt1EwOrvepBeDu2UTxHfvi25SV
ickb1ciuxLfv89ohIpsigQSP/fCuteaWz3ehRdNipXgikgdKuv5MpPGIK+sVr9aTNcDgXJh7MaKV
QbxMqP7kM9+LwX7GyQSKZSI5o+iP2Q1p73Ag0aSzJBxPwzjtnP5H5yzspL1ysQWGLUObdrN0vdUr
XorMhr0FiyMeAtaxqX3OixBNuS2byA3EU231b3Uobpnd5ZFe/fFY/yuX7Lvhy7Gjkp1WPUSqpe7L
6CsQwjjzIiSjK0uf6thwzxrqmGonhL1PFBNnluH0j1aHZNjkuISmtqTW0Vv1QyMgAZFI8mhcMNRI
h+LoxLXdvKbej8NK6NIt6CaNUuwRuZg6Ut0gjmCDa24izP4p0WGU4U4wu2RyZPtC9OciennqJzUy
wrSU0Oj5T0o6Y/WBUxZr/xKOOe/9xYd8o3xMYuVxBbwMWe7VwpO7F7X72vnYMWskqdEAcRLoEaAn
KxvPxp4Fwnx0OL07Nf/BwnfAvZvBJcnSeH7UaP/Mnc59fZxWJ92PVf5R+9SLslqckMsDLr4JSJLV
SZxjIu2nzC9fTd4DkWZpUpdZfVfoFQchcwDdMGhu1sIo0/C+KxuqOfsuXuVWNtRQONWEzUOZindb
kH5w23aPxAhN1y4yzJWYG2luips+E3sfWeWFxSrPHj7JIH8yjfkOFd3n+aHZp35s0sp8DPiKSp/O
BttU9yUMtnPf3Ngpv2uproXR/gzCF3Fi6+dB1C9s+Jy9V4XpsRCaaDtUYMy3UwyH/KX1YweCBmDN
5ZPR4JXSA4Q7cPWMVVvJRHvJ1RMvxZX3Gb6orrkPLeadvmJJq+yJamtXP5F9OkE0aPc+acjMb8cH
7pXQh5foLHmSG0hT+7U2KTz15J3T8aSMHWyeLPmemda4Dnz1SA/c0ZWPhRMSk1RBAUql4gVbXEOE
phOaHPtmae1SlYd7ijv8q7p6lbkTqkpeqOtRz6Wi8QB0gNmY8xeWfFkS20CaDt91aN0VQxoPCy27
icuFXDIklhA+akr5drkTgqrikHaTUhzGhaO10M0hn25BSt4ZMsPF5qlRFZWIZuDj6U8FDVwiOfjU
T0caqHfqMODiXsDK3iMlreZPn7MK6QZW31jvEwcBM1uWUzOH9sO6dOO5cNPfpJHvQHgkwnZB7Gbg
rlGm5d2s9d4NPb6dpiZthy1Ri845mrl8CcL6QzUtXVVrV1Fx1rEVsKxruQCLMct7NVGgVv/f0GHG
s1zvK9ZmnO3hjirKxxoN2alAhroGl6V5oS8ol4GxD5O6jgppXuG81NFk2/yr9Q9tyS8wF2sgJ+aI
m59Pve2s8DY0IfUgIkCCA77OZ3YnVtMhldN9Zl217gyHl0a/AERu96USy77PFQWeYgRymh62Z+O6
1OFjWE5nCw97bI3hCUcG5d7TDusNRVEhrYCtLWLgSAwFJmjofuAmlxAIS218TSGTlwP2nqYPGkWa
gAVIp5sCqQTw2Gyk2YPglG1Ng5lqBzRYAfwFMN00BkX3BSM7FqR2vy7V2Uh5Sttjst2GIS4Vr9oN
3qfUY+WVxEyaB3TcH8hmF5UNz+Tb7McBq2xZDDRwjM21ECUwonb4kHUImybLj7oAV53Q44TuZMC7
15d25IEyaak491nS73wabbzEf8zzkVZReCERPhZy+yB7RJs6OFGbPDaN0wJD/DgjfuyKkbqZ1m8h
QTE/ltR0r7L6GCrmErsb8NJ6/dGp9PPIcMKr1U7jZvZ2pli4NCblV0nWkqHbOo5JQ7NAwmLG94fD
WJK+c5JtpzYrE6ZY8Lng/uvM/LayM5sYL/d64T4SCiTGHKotdd71KX8EzvGEZCd/MOpSm6b69H6l
xXAYHbY1nvOSmhvBJXNw+RYMOpW51Ruzs2JMPSKscnvBgRFSNeMYL2yzanZN/jv2CCNa8+oqTI6A
PjPXaKRPfadmenDGlsLajBE77149R+nzVE1ThBv5WJvkUer6exYoevjiYleRg/TXMIkqz8Vag17b
4jt8n9zholVT3FYv/6pdPjDh6b3iAgz4UTKvm1cKfcBs+5gVzBEbxog7I2jfTI8sFjt3cYbpzBHv
ZCfhze296YdU5unufpzuixFrSkEN0WNKX0mwOI+GoJ1FtsMTry8dTYJRyR55th3cspP7VTbKiId6
joIMo4MI/y4m6WQHciv7WC4cy/Yy4dsQk4wYdpW95CwDZEZ3ucY98KHWMI+AR1xUihV6xCYECuJP
mZIjLSVnLDLRCvnxONAnT5138yAZQHCtEv9v6X1zitaOamHRfFW8NFVw6aXcWgN5ZjxkTQw1j0s5
o47jptG53NjWPlAaee9L+URWkQEkYLIHsNEP02O69p/r9sbPuT+XxgVAwWPzHKhA3AAoGNhoOAxM
nH1aUM40A4gwzZloJCI+f88tooofzhjlx2hZfx1fT5ckZdUQ5PLQSNXyPHA2URqZRq3bf1vqGyhM
cjaT+addmwfYCTRIrY9+1YPEq+r3QtMIPoUg+/Gx7bin06DscahPzKQqbJ6CbszZmGfyMi3vLI/Z
YRRmzKLI2DkLFy0z3JZDcmV2azw4+xQmOk770jXajpZKE3wc1SVZ12o/r/k1lTR8Vdo4OCRDdr5D
nxstW9ggLD6gngQKVVW7qc+JmhJO6PMW+4hmO4q3zGrnu7ZKyj3n2y+1OVMbXsJxpXYSK4Gt7q22
xI1Oco4nXu2NLqA/SbEuL2n6YZck6Lp0nl0KBDnZL2NSB/Hshv1+EifXEKfGgdzo5w1PkN9hUhpI
zhG8YkJ0xn1deFeca2w6OjxYcsJnVwccK//nexWjjDBXHXCLPKTIgldY6qdZWh+5g+4W9uF5LOxX
v5Sxb9gsnrM6v1qW8c3gwZpCieGqx/oV3YQ1BFNrZbIgVzKEaMe7DkTGezn234q1l+7nbBdmKZyT
svvYTitvxHYDZVfG3ajebMsm9Dzw48DxOtoMxoe2DzEfp9k9nCdo5Kot9nSjP+CncKkdKsqIao9r
29AeqUTOKnJ1WSl7LP+1TtE8633SqN98me901gc8y5GbozWOXZ9EuV08sOOqLyvB5qBwPnuzaa+V
5R4sC+WuTMqY9z1sK9zmHQXrzFcf1fqKDqVOztJnsXrBWsjNn72LqY39OqiCt0790zTNiWrW49oT
DWwS2p8GdvXYvaxbsSwCFY9obWmj57HBfpya3w4MJGQOnk8cxz/UCTYDql8lp1t5qKR2if4XFJ4J
popF+JG5hm/0l6KiZarDi09TzUyrYcXGv/WTLAJWnGOLDivWFOYd+mC0NKZ3qzOswf3a+ZEq5x+s
hNQ3esG1DNUzV7cRH8G5m6ibT9WKtsvabaFc2bQLWu2mle8l1+qFF+0+D/5jnUr8baDphQRBi4LR
PrbgzenkWf5DYrQO3prSNTFQ8oKEaKkpQIyc8PEJK9JkRQXFA/CC/tZ5gdyqCf0l6zM3D3LdyJCs
6/6ghyH5LYDSRUJcgw24as8DbqzYbGx65tLzMitWfAQaIZyQYjnBRMj5Zz6DCkDjweJexdfM/IMr
URyxy6+7VYKrl1/YYnaBl2TxNPKq9TBtcA7rE6Qo4norjPgMEXaEaHFvDdNJ2P69hydsN48l2UkL
qVw1iKeTDf90af7raubmlmVZiEVpB4Y4i/yAl/a8WP1pqYO9sqrvHL1dIhkw3fHCtsEZH5Nw1nSu
Am4f4NCD6Wgx8bo+IT781qRT2vK0LRnDmgriqrTWeGYTZuj0kZD9p8eG52za5pvpyniwFUtscls+
afP9Jo4fjcT68qu/WnjlveVRA5HOvz4D17564wYIqxdLy07kNhdmd8kimDpnK+cey+jzL1jRaWq+
5TvszrxWxHyaB7+hrX686qKXe1Vh4reNivcGrJd4cQYK0cWQ7jq3+ZcCrL/Iyrqza8xYvctSjX5l
8QzvbL1SBPljL9TXmQYbx8V6wTz7AyxqOGk44L1fs/yGfV8c+rFh1065RkT5lh2v5veMiLEE7M6K
cCzxEosjIdJ+Tz4zIXVRsVgu/9Q96kNZBXy8rfEXTw5bxe1fSc0F0ZnSj8pgUackVQlz2Gr+yutp
oUd7i1amBDX4o50xerd5upQ9RmffbucTC0C5Cz2yKRZXpprJ7pSXwLrz7UYlXXoCvacE5yxtwAj/
m0RW/bIC7EnOmAgeLEoJfsZ8mwFo6AZfucfqsuOqopLpsuKD4dUT8YMUDisEA1/yhK92WvIP0VI5
No38HJ4BrqBonowEXS3rM8rDJ8khMY0ONqTwxWAvwrC1gd7VtRNLfQTsiEptuXHqi0dvCNMd/fOE
TlLnmI44mdfAv2Iav2JlzPB/Gj/UXuJxG5aba7D/Srz+TGMvhiSmmAxAAvuf+ZNnTR/rhKuiOd9A
tOFM2eq9cfy/qQ+fIwr7uB74pYgTITo3pgbOP4YzrxALFZ/XLAmCrTmRcR//uzyA5QPV8jS7ismZ
kG38DnyKq/oKhAV4KNcqXnjiaYscB3P1dxrBmXqbqZGvReu4464Q3I4J/7Ksa+nGSclqlKeQgAY5
kBas9yooLgUHA8oO39GkhOAK5fOmSTXSECTgSs3IVXQpdzg67aF9Tta0Q+y8Yo486cwI95CTvcic
0OYFfRZJVb04odT4wtdnivRqWqQerEH+66nWDIw+PXe4zwyxjdA2lNZQRkNRflejg3RtVhcTOkRs
zRMPutQxeGpxMJV1X+j5E/kt0l0W7heX/9DAbxtB7Dzxyn6npszhcjiA7/fOhBD/VX6bxT3pL56R
17D1Ps1iU8J5tRQ+Rc3uPHIcpv0p7EQf09ntchnpnua5JzzrLDY3Zso3uEhx6hhAPgnk7qjaoQkT
+E286vSuyxiMm7755cvCXFpafwsbe02rvp1QXLKMmiCH3uSBNPFG16l3ZDsYeiXmHP5gFVWr2IdO
rw9pYcDuogiVt+BMC9kycthEAE/37nLswozUvdN/EiD7bnLjItIRoX3Ee07mY2y57SL1+F0GjM9H
SQmH9EWttaQdsnofTZqwMpZIgkE/shIjBa0NwR+R0J/JRTkGqUjQIGvZOIB+DMrsbaBjcqyOGoYF
nkjQqrP8TJR19r1Wcv0VzLz9eDTddYb+4d3EYLLM4nlNsQ+ZTgJElbUrQe/hGxZrim5AtVzqb5M5
RDUV1HFjkD26JKPkRAzKv4Hqmp2/1QCJns6c3IbKljuYn2orxnXNrFMxUOab36abjgQl/maWx6t7
WMw7uUFbV1zEw5ybR1frYd9qMoiURlNzh3y+s4GWMOJjaA00wZyA4/xUWGODZvZTcGlJK/64JH20
82rXONlSJqc+LeKRWCDvoPwRTEZNc5y8KxIonQ0DMvdazn6kW9t7DUWeXFO0ktCnCkn14EJyua4U
M28AK5ehx17m4BwaHq3b6OQoaVlm5Bffy356n6nWks3vbGLmnIX5PdYh2LQ2iAS3+bOFv6Fcg0cr
CH5KZhQoia9gLXAsdDmFaiQ9BNV5B073jRhaFCQGdnhy+C070xswwtWt7gpneuoH2ufnoX1gtztF
Ik107DjZLUuPK8U8aGHflcKiWpd0+JUVohHHFG1GVBOiWU4j7rz5C3+Ec2wkBaBC+c96Qa/Rnbzr
TLaxqqcuvTURrektp5ML86SVRixkyICT7L92Iz9YahQ3MgO4Kso1pIAVKRR/M7CRJT10CqNitwTs
nMl+4AHLjmEFOy/nfp4LhIW2Gs5dmbGuMJ1vCvy6fTMXbwk/QlTNRhMx5r0NI+vONV+fgonCyKZL
onqtH6txWp9E6pLa4Y1Nfwyr0ZwWhs6bOfWc+skJwv7gpfjPHH7odpgfEM1BjQi6dqxK+jEenTdv
S7CvBltx0yCkKYpvkFx/m5AyQJF/GKkJam52LpYV/KGSDt9GJk9czI99K4OL5VOQlC6UuA/E7/m1
ntvRo5TWYi1gmRAIZxROJasnKj7cvVBwwAsXXV4PsQKSIqsABbCiQnLCd0xA8atFP9mT+Njl48qy
vrbf+K9dMLzgOczW+55Yz0c9eFvbA4zueeuRW+KbyEFPzIZ1h5sKfZbFQDRYBOLS0aNmORMvbTh8
JJZ48R2q44oOUaAFE9AvEy98UnJguTCrD3P7J6Hsq6aJ75DrZxB37anLmMDnKonDfqIprbQxn4Aa
wkf7wy4aS2aVkaktjWkHF3qN6Nzr9/7NSTC2BNTblzbJSz4bnSz71jFTyvHEye/Rg/X43uK4YsGB
RSYZXWqZNej/scwjnODdniyBnwXipEr/wS94kWL5ypCfKGVji8QUU6YzG7BkQhX2XqdKxaROAwuj
GxrvnuLAPBKK0TBH6GL2oMa2IWoZcAFMLHtno2+imaH76LzJDkBCkBplvZ9y7jMToc37vGbZ4YJJ
wJLiXqaw/2VtThN0yWapLV/dVasjw7S4lu6tc8I6Mj2Hs85N1F7CRzFy+7XY6hVHsQzYQQgzZEb7
ms7ID8EMaq0hAUVo77u38j0DCu0DiQEcvPtYvRTwdcBNp81+qTG4TSHbmtL2noJamPeZbn5ce+xO
mWRDVOH3gr+RKdZZeT/5ESGMYzdg1xq1Tfcy63dgN8SMlakj9kh4emSznATX2wSMiGiAr+WV+kdP
34OTmn90wLuShsm7JIWS6tos6JPs/1HOh8ESip90Zc+Iz53Kc9qw03uK0Ou9NdLfMLLNbN2Ju/vq
cZ/npXUpqCOew+5kTNZEJWqCb0Dkj2U9P0tqD8/2yFlcNDiTFp+vVus8UyzNarMlghE811kbsjfx
gNbZFKkWmNtjSTh5mYnJym55IA18Lfs1amo5numeAPolroXjYQdEzGaNFU6/3WbDWSdcnC7FaxCb
H6dggnfgLIfSwK6kMhkFs7HyBGS/IzSrtnbPSVkk8ZhnwWHmto9gyc0iyJc4ZG5vphhM8a025G/o
5RS1p76BjEb6vjIC6Dko2GhM7D7I+EQJfDWCESzKwFLGw/oJwYELhaoJSNbWhyjO9UCjdOmGp5Fh
iJTA8kdgcfBy8FsABhDcl0MgKSHu3YfWW/nz239Anb4WUGBZXXnFvvbCO16/LcVhh2bYzBf5wt0y
/cxBbFJuZqpjBRUy8uUbvK6Fylk/iW225B2HLnjvWwgZEG4Rv8wKTxc87Z2ElrDHKpjFosz2xIib
A/0dj4LvIIRADDzBRwOU3V0k2vKMs4sk2aQQ4136RmbfEBxRyFE5Q1ZDnJ8tM0SdANJWk4FGsQMm
YPRvq94aT5vhycOrmY3mS6BDvpEri/3mAwe4F61gcmrr0g7Fv8XSHWJT+l4Z+bthMTf5idJ3FnLx
LjSlfwjbMTwYbf+rJ3Hr8uXVV4sB2C77atblGFJjuvPE1DKI0ApdmpiJAjhru7wJ/0rJxKWA+e5U
wXTPWWSdp04CB6EphJigSWDM2DUb5WNUy2e99G3sWsB2OIMOc4XZSefvgP6Zp0zCWHkBX8HU4VGD
wyN6RC0dg2ZIYQXF8v/5hXNA32tob8Wz1WDDYVPKa7LJX5Yx/AwC41PV6tEzaeV0i76OZjH9k2J4
7UgpBKX9kuFM3i+eeJzsEc9bm3O9aPqCggn+yQmKeGZXg7zUnzoYelHtkA6v0gr8Vpe+csbSBltu
M4n07H3Kw2d2AHUXvkFGVjYgvhhmp5W/Uz7hAMyq9le8dDkmFSCXye7HhZKL2ETbagjRysuYaUM7
bpvshjnmadowaAb4wZ3F0jmiA895rnD4a45hmiChl8mJhri6IyDbBNirzNlDdl/uUpMLUjIUn3rN
EbFMCoocFjmDWA+ohAF1d/aLURe3uthcXmWD3TP9bLPsmcsSD6zdVGd8lE+lwnFKHi/ia1qxExrs
/ZrXfDbx1E4NNSjmd6qwu/bYAliqGTd+kB9D6h8PnkHhB49LsHxhOUSKQpuyZtvlOsuOTXYYaLB2
ozRn9k0u+1Hi4hisgksCiwlvvFrutrVKerpM8VZQSpuku6Qzv5JtWdsk7YORc+0bMVqexsGvWDw2
6U6NCGw4wIQ792eDOyPpoJSfBctojz9oani6TZLOxGDtjbdXEbCO2tVbuBGhbQc2DZjpQkRr/G1Y
y0aYPt+VtQODx7RAeTn37IL033jv1u3fzLY5lozpOzC3IGU7DCSE7oU5yjvY9gflMLqaYfXV5UiV
buPdDxiwjrkdXLOcW0qtRySkDjgjuTQCJxqdSxtHHW5fFUmpTbfh5gpSgXKYPnvPfKXtAswZCwV2
dgFOsmaJ1qwkGUYGJKrbdD2sj4m7tZNnJIhWlrRwaQwyZoEmLFrfs71O6hThfHx0ZV0cdcolT3R0
iZouiGpAHrS/NvdG5+KfQHFX58YS0MnoO8bwQUS04UkHNXm/cjmWhtjAGuTF2FkbrxNXaYmlFRGE
VDmHZMTyBzv5ehEwhzXPx0BGFvR7QOuK/OOsaRCXC8aeLMs+SGvw2bkkg3I03rlrs4NbT2ncF9eC
keXg5c6Ln1G2zMcs7NdcdW8VgFMWnLwll8YH7Ln1pHaoHsKlQBti8xD1AK+wdw+fUABb19Ako9l+
+woi3eQc7YCCbkfLL3tev+2MclNzlpyrM7cTOf/LRyRbAra/Fdd1uC18Q8xhOXVB+eQs6tUZFL3R
jQ182u5ZkTt8r/K4S7oiom7DxMhX/jo+L+su5NHCGR9nAAbjpsijMOd3Vod3DOXDKznRfSXL12bF
6ZrwFU2K6ZWBgk8FF5m/aV8ib7iUJuIwoNsgL3P/Sm10w4xea27jfDm6M8QOtioeMNeMnLQHoGIc
mBfTbe/jW89B2nHRDNiWFhIlydHA4zbRSNnmV0skj5fgwhf0dRg96jcgiGEq27mrRYUbHiZPv1Kp
fU/r2Dmd/F/+DIM9HnuP7+kM7X+n15XFHQbwqHbHI2XKZ6mMf9Jz3COvksGbN6P4n5ZDm8uWH6d1
z1Kupyh3k4KE3d2KKo8L1JnIxaO/He4XGlv4tl6rLSkSWuudvXp8baoRb81iPPEb+y69U5/Mgm/4
OMd9itGQ5XfiT1+mys8+hkaV1M9hWCNTp2MMzUwwQiNhTAVhaxyN4zL+lLhVRgfkgG5CLFx+dhoD
Bwq5U5+nsMArbGGQmO8MwoeHmtU1Ghy/cAMvxQ7gUoEhdlpi4PfEkSA8HruFPRra+S21sQlCNhtL
+T7wtjhTzMDaUu+0pHkt6LnPZUGh7725/PEa4ycDYUPhFiQYx86o/FVvXToJVtvyKZHskt3+plda
SUdD7CZzaKLM5bBiXYht5BhgjyM6stmOGkPjxqDvdoM5sBMCJwso0hi2qy5Z6UOog6/Uwf+ZjyzS
2x68AnbohCxF+SisDU45ujvDXv/NQBd2XIgex+K8oD8g3tt/Nt5yrL3iCbwTnvDCelDKzu8neMth
UmGuTDuCYW7RxLwhBzRdOGv2n3wav6SDW8Gd8T9o88HR9U/eJ4QnqvfGwflTtZTeYG2IAoZ6xJ8h
Nl5bj9O+8zuDyiEKG0uSmbyJxL5r27s8nf9B3SiOa129t1wci4BHvnIWmu2LYdj5Y3lHpn9mPeew
1jDOpeDviEZrNShDVCWwC5x7KojgRrrfzGP5bjTWEY2QZhb+5t9tixCZhgQftfU8KH89C8/49jzX
oTQ3B54gmxaexHg3FqSj8OsAWnQYc2q+NngpYtXiTmJ7fPOMrdB16N8r7rg7Zn8zxjj6QMotvYZT
+Wg77otTG0fYxB2LViwKs6J6qwfHTJdEbCTACSZsgJRcUfZR0IjQGVxtS3DHLCkfEyTFll12LZKS
F01/t/gTLF/uLEnI5+dM84fdGdWhhDywdzPrzrFfOsh1O7vwk4OYbAxig3PrzZZuF6yJBZXNbgha
zB66A6V6xv5/lJ1ZkuxGeqW3QrvPjRLgDsABmVhminmOnKcXWN4cMM8zdtNr6Y3pA4uSkVRbqbse
aHWZvBmZEYDD/fznfIejFLYMF4UxNu80w+YUUPBpT2IDMT1kKjISSMaGF88ybkn1W6nBHtFtzBGu
GuOlx0gbw9hHEPPMJgKabbPefGysn2JkMBNVOhzNBM9EQWiT/UjqozfSKtAujHzZN7G/ZLC3oSQy
JXDoXM0oeWo8TtD+LKn23rXW7Ksuy6OToXi6zasX5iGJ8+k6aVG9qSINaclxhmuWoB4MXCSenNwN
TVrYgguDBXPwVpiIzUXBLHaRm+VlUNpjoWv6yQttSdwgR5kUK4OxYtPhop0curL9znlQQ4g1FwCI
00K6FZW683BvLjJkv1XV3TmjU22pxLyJYdWnfvasovY1VGsVWlSAi+JFIXQRaikX9owSiymhomrR
gMIdrIp8Wk9WDf2yw2ISzvK14jjSbSA7M/mxRi5CK6NgvN0awsalSfvqZppubQuz9GRSWgB5clx2
LmbqKYKI14TzUbxX/grEyglbTUgYTUOCLPv3PhyIENB3jFtlERmuu9GbCaKI3e9G6RBdbGB15Ga7
MQCLIkuR20Hy4wRLXkjfq3iif7zIxLqo0Lpq0Ck+0C4rgJVDOOxxrKKGvVO0dhqeRDHi5mJiAnLM
GxCP+OlaMZgbYbUfoXr3B2FeZabhkw7vTBdDVCJ4QueduS9NS669QX9unS7ckinO8HDpOL63dtZg
ApFEifJYrdz2ti3ClwnhjACEQk4nQznWswNVvCVlPlIkOGxaLP5EI9oY8bAl7xJOq1QR5Co4Lvo1
Qs+kcEVS16dgDzdtBRrU/2JAm6F6MBkca7IdbTu9aqN7mqq3sKWrCTutY4ZvpREc4I2RA0DYWFSJ
8MhOluDQONcs9RguYI9Jh3VgLzgKUI8xMiwU7GIlcl5F0TgnOA8IbJfuVIxRubeq+BAjQ2NbLBZU
uxInMD5S7x4DKrklQmbVXZ755WZMiu04u1KdUvXLIU6/6nB80vr7wsfe3fm8KksIAcEI369RQkkk
59cXzTHomFXx3KKFulOsoWxugJe3EbTAssJPQIp4Q2r4Tgu55VrFOyeyubLaYEdOHE+txGymr2at
24a11Dj8RqllHessy1eO1tMTAb6XBjeOiRlTrb48jGIo1rIW31U8j6hnLiKjbppLAq7JgsMF1el4
H5tpoXrs6lUDDq3z/TcSbviaIhzS6ZStqFJMAJ4vnRhvxuBxqEmKC3Tv5OwbE2XVwQg9TwbaPqqn
Z8dBEhgJvcsq95aymBacJukKZ1KG0STDJWHTnjZkmx45H4jpqo5pPJfebKl19GapeYgemKq7jZ21
t2ltcqc7ODqjC1lDdRxK+9TOCJssEqu477r9pLTvwiH4JkckASUIaOeziUxGV4vl8DfhzR40jnEQ
m2aTSILBLC021OVVbI3sNRpueUkiews9Hres75dLm0XGKRjBQGvMVyTaYKQ01nMxHQZdPA+EKeyZ
TNayE14mASndkjRHqAXwMeGCEzHeVDXfXWgxnB+nfGi78Mb0p+gFQ8r9oLLgOy5WdHNShxbeRR5r
Jwi8/ug5xOts9kGtAz2usMqTYnYNjioul621FTk5JSurydo4eX/FrUQZOk2LPzseq1brMrNLu4tw
tWJpC/TFMhIvyhAJCS8MDHnEnl5Os52nlMxeqrRFZmeQnBdBeAyctF16vfsah4ST0Iaoei2DvZGw
9FfRzWRMYgG87HFqY3flhGHH2skkNMHlg4/jOauxdRlhRSDY4Pe22rsI3YFNxcWySVbCdmrWNNgX
dJ6tc44KfV0bx4l1vVBJi80njpadr++FRB1LGXSRYsMQDNR/qaL12Ku7sLI46NkwgaDyslX1FoOW
MeIch4PHU82UNXEAzFVrLsu94SUfoDJvWEYxoNJTGGtsx2sst+Z7jmo+pobcFlr8JMhd7yvdPYXc
/cBoELiZIeL0LS84/5YThIUlU8hNDlyMiZtg26ZZP9u0+4C6wNvUMPtRInpE2dgVM8idyZt5mAzj
KR14ONtBtKZAnJHbwUq9LwdnL4qTVq2aZNzlyj/ZngXPvwvMXZHBH/foC6RGbtMFbrXu8D7RX+mv
BpRZkGke6PBmUdQqXgYeApSVm/1+KO50WmAWToNvxfSYuioON1gkF5MVk543+9dS6sz7bI13QT33
mjJ4MibHchhQqtxnvWTEr0V8aEZXbgPN5r9nvfMbVl6iJhpCCZh5rdhrMp4Y06vdlGRHJRTNn367
qAyPg9L8D7NKZj+oidpBlnOdApotCJEDboU2nLDEHJzhtwrMHAd7pTOiVxsFM27jgxWBzElT4OQ1
mOWa5mB7pU2xQrWSLVGGQOpylXoPdtrAwcOAQfsW5PgUYoDqcWqmWvoQ1wBWQkzapNi/RAhWtKwI
e7vQ1nK92FdmwNmTc5vORH2RNu73AMyCCUO/c9ZK1zl+k+OMvc++QpXIy+nOw9UJLLe6ii2AKnS0
1HxwS8qDqr6+wc9RsXLOvY9pcFV+ikl19Gh27FeIhFcclDuyp8WugdVoaujXEKY/GwgNuKBsoh6v
cWpuHImJKVYuCI8cSbi03uKqfVKBfqPaNl8ltbvLgoNndvsoFjkCqHOb9QhhOuKtpwPJMtYi1cAA
sNeyZMeTxGUfP7mYSKIcYCPnqGrmOyewwDuqFsmZ3QpAfh1WLgT8CC3VZduQAsD087VD7tAk7Gby
wEmrp9wJJHnFV3PmATo5MGqjC6zjGPUH242t5WDkL96060On3SmLykpOZ5sydm/KAAWAJyuk/Y76
3tatl3lhanyvcGcn/aG62ql/MHz5RjhTLepAe5FY/wy0cz7IhsPebHMsmi8N4fLBZNqk4MWv3cq1
Ae9iG45zPDaOZtt43YCcS+upFz6ScM/8RUmn35lde8jmqHuXgrzc6N3E2AMOZ2M0e5+8+cKwUZLq
5kGaDGs5AM9cvwZMOFjG0DHkqVCGtbJafRPSr7FqPXRouBMotsNzU+UXul/RexqYCKi6XyUWfqQX
n3Sm7d6LQOxczXpWCbO0gOyhnccYl6zi2TBI2iDP+cnYr3uDCL8XiLt0QHjRoui9p4GVXfVZC/j4
Mu8wRf7HWBbmQuoB5oUIc3rCuFifGwOkvoX9Ua/dxD33sSIlBCFhyYd/Zn6RX1yfMqOM+RlmT567
9jyCzY88TBlAQ7nOgCtUAC0IPjFZnqA/RS6abYQJ3ePxUqcE2Bs85X1DIlvDE9W13VcIe2xLeXTE
zB32dVV+xj0TBT25CtlH0GsCosJF6l9jvExdZO/Yeu4nk8xcYXpyZZhwJpsGz2W36UtVrojo07aa
GkQWrPTICm23MnvF5XaReKOX0FJnDY9OGATildlnV2tyPmqJU2CwAZiXtUPiLzt1tBuQY6qZunr+
tRlwRPbVsx+Vj9D6T57Pg9D17IOrW6BL84RwSPVlYqHkqaDtzKmpN03oCegg0zfOPXYExJNZBiXR
8fEJZ9UNAgjGpiGvSVCGt5Vf3FHcCcvIxjnQsqVLuGhg56brIBXko1J09jqqdiMjhMEhJxQMh6Yu
Hvu0ZVvHfguxbEaNgPVc0Hhp47jBMxWT9d3aM//ZtT/iaEK1tdr533arsPAViny9BZ7EWdCt9gHQ
6owDJTmXTT8OX5Abu4qYkgOL3ZigE1nZQCewS+9rSWdmN9UX1bTUBHcE/GaRrkAaTmrmIELOzkJR
PBPGJ9bi0/nW0XiccFvHYMUwJWAjgw+Lg60CwAhTNWmqVeHAN3dwMuuRYixJhGFhMd9qCnYlcWS8
e2Pks8nyUbKZtUNcw/zqWZVBivIjKsQKYl+6kXpPBp/AdAVef466ehs8tahtLSYWk/BMvkvZ/5Ih
9zckvV7TpNVXgto8DubRK7mA0pTPGRGRta/pN2E9naXWggyjYHvPIXGR6tR9T+13GBnxNtKqZGm7
/SFLw3iPge8amd1pcFs+JG+e09fRwVHYf415YZy7rRZu/OkXMJCCgaGx6d6hvCUrk+k/LgQTrhVY
31BVc7j02mA3cmYza97uALgQPdXvAocfxmWcTmbtVrnsEUqABXNYb1cU7h0E9wdvYJLdyl0TDe+4
5dhEq70PrDWR4tmZxBv+joZGX473uXY0DIA2pomZZAiYaOG4fo0M7clIM6IfEzwJVDt948TqGhR0
pHo5uUYs1E+Mc7DWDzhItMq/UaZ8F+kwbFeFZW9anctPtopfcEpOTYYBtuNXySrmLb2AQZRjjy6c
+nFs6q+gZuydNJ+K9B4Zff+BrzJ7x+AOoIEpfE52XBBJgQ0dfGTgpNpZk681lKnYIxCX4cOf5v5k
FlpGxfOjFeM7sUlu0NASVzPFnVJnXMJuK+9lKPd2Bo0ToRz+5kCSV9gjkwkcyj1YWbdDucDYrS3A
Iw4LAl9XH5gE6dP2DRfMpeeoIoLaBrmbLoPK6JbS6t01I7QWTxZXcMs02yhG8n36vfSnY1pFF81k
YiztsF5WM79idt+KJDjaXXE/dbP5T+U0U6a861kuNjahUwTzTdk8R8kuIeG7cCf2t3UvrwxmcLy6
3P7xm2vJZ8a2T2nuzBPmvQ4WIBE9ttRmoOHbt78NiQzIR0dojRvP9Uf/YvnY2rzK2bVGw53pC7nR
3bu4GZulmyF6h8TBl5X5GlXdN1sVKJ4V3Tgzg4nKJL+CDY6nDDBEs2+m7s1pctSGYTyXMe0OCTvD
TkP/G4cwWcFQhr6FpNra3lfmOJ9m7HI/o3+Nzhqwwpcc+KJmdPqxalZGT4HiwAwWWiCuCWl/Vao9
QAD6jtvIo1NFPeugnzF77AxiwX2dPQc9djEgobCTveSVYXPGqTmx4eIAF7fBsU7R3uRBCHOjbPAi
YHhp8A5M/gtmNdIeonWZY/nPWTh+CO6PjRv0Pk8/edC5Yzxtz73yolOIaYb9sEyjgEqfzFwBfjgX
mPF5PuzJjt0U8x6pkRhdfQZ1mtdntGjeWa72laC6cJlXJKMatWwa6LpGNb3HnB7BGnGRU2JjlZSD
QRNikdO9dXZgxkxk1KKkIlEvkhg3Tkb/UEz0dqlcptt+dE4TuuNC1xo4a2zawT62O4M88WkGmmLJ
QB3zQ7Yj06QBHjGSvV1gYxyYSdT8JpgEgrckrKpDo+SrgkyxMmXSrjQ5OxNVXa9GF8pc1O/NLkiW
tEoF2XuuS5RnktmooTcN84RbGbBW4ayYleadrj5tFV2EbhnwDYj4KC+Zj8RkpvT8OrYCQpSAeUsO
/0x7G2Hd0IkPXi322JMmTHPDDXf6iAwZn0eoRz6Chw+ebL5t87WPjWyBvYnJB/mdCHLAusoartfe
Qi8JeeAOZccjYGJINHGN9DwS1rQmuMvRlzhWWx6NpdIPYmCrbdH1Flv9Q0ePHpoANnHmT4+kRHep
E5PXCvpsUwmDAXM15w7r8NVAbuhoszyQV11FvvdmQ3mGlZHflyVAK3fSEanC7DHJJXmMtkI25pTo
FbSODL1+7w4cE6zpEAfsfbocXIbhYx3yH5wJ5Gwr8mHllm2yaEfO2YVAlci0N7+adLrQimo9jKw3
GtJkK+HHl2HNTVvZp3L6VqLiujMDuqFGvQH4yuvcD07krCIuBnK39nIYhg+QIlsGmCeerwj7wltV
YfEZsEiaAc7gXnPWSUhlh6og2WMg2IsQ+53ZUJCQyq1BNn8J3v0m1RjWG9GwCPEJL5J0em4rro6g
G+Gtpi3ZTFJedcQgVqiKOJHqd03IEcaQ9rCkV+5cNXgrHez91BCfpOjUXTc4DKhkgFWItK0AbsDz
27uM6XDfhBwFktTIyMkG3m2cv+R695BSUHi1W4fkl6imA4+GsuenB1JF3UB8h06BP4noIjbm9JyW
Rr0TpJQilO4NUc2AcQL07G4odkTYuN9YY5jjwsFVYXAS0+yXplcMw9awpfIHSmKNTVijMQUtV727
KoU3GQ2HkhAvSzGnujTtmfiiH+lpQjjOaoObEcERWKq96jnWcuzxDn4ZHONWEuYpm1UTBQWtHLPF
aMBeYM3bkjEaCixRtPYSjeVQyqw8N9hKo4fEm1AMNSB1Soq1lpqYCdAY4gUShQJEWnV8ZARfmxUh
Sh9maGPcJ5OEp6roEVPBnehv9DpvGHVTQkI8OwoI8WEHjnjuNXucRzXjVAiW8Wz0uXfBy3hW+ahF
/cmS/pYqqH3ojSa7p4hEUsLcJuxXPLMowoYFtpj0OuT5mGuHtB0uRg4kdST3kNs0h3Wds1KNtdEn
LiTKExVubkw+NgFbImma7RcHp8Iba035PjlMcTHdmNGd1XQodg5QJicZnqUZ3Aw95Qep3e1jh/5f
JLppgR5aLvwqfEo9xrxKs8/YTZu1F9tM1J2pBI7or2mJAwjMFmesxvuiMrY8+j4Ju/2MHZxD5QRl
3zQ402XJhRb2aClNhJU8OhCRA5cIM5pESnICjba1fLc64IY7K8sqoVk024DuaZ6IHgaZBEcYoN/P
sFmDW/oURpBx4EIZdZpyY4wPtcpepOFcw5wqDbCHl9DIniOnuidgfor7gL6viA3gvORFJv67WJVH
zzW/G1OrNm060MWjL00CXEvMc7SdY3RYg5ZIlyzaZHPXFZpjV0k2IqnubspQHebN5J50wbGkFAHb
L0b2snL2EQgdjbw/7qJkZcfhcE6i+ohEvC+R/1e5ySGbiINY1Km1pfu7XzsOIZ224pBZBcfpfcCC
tkPf5+nOkT5DkxgElo+0lbhdyEyUDqIRTnxI/XCL+ngXAYTYzeUmS4kK2DcBWSi7ppKi7kiTmv1Z
D4z6jl1/zlEzebBr+hkbolV6UY0naFs0jHfdPV5F3FYmngIufwLEqf7o6MSdCh6sOHqZARScM7JK
cGA1gFe1tfXa8/KMF9sr3glMw/axs/i+atJIctriJhH5OUXXXAyl+Kang7IDly12EUPq9VgRWvdU
p7Nl1H8tUOuYxCnM5XOGMiE5xlOpXxUjAkAgMZAD2IKVFuLSdAfeewDFTqEfCJr/DOvxPgVbO5Tj
z3ZQJ+zHxzGhYZD/LSw7QhTy1Y0XVBev5iiTVvqxRYbnKDg7YMRIwrW7ARZB+8pcIlczYVPkrfCu
gPEaIYEuahCEjt0+8jQ7dCOXrSY+Q3ZwQhX3NaoP1pPqrvXLbV5xJs78fGVgL3ejoD42g8TQIONs
b5GEYSwltynqSFtJfe+zJ8udY4O0yCHfgLPN9qYb2PC0JBtXk2Pd9uHWncKPmL02EwbsfbJ4rNxj
Hj2ZaR+s7B5Z3R4guIg80hd+xzMm00rUjqn66Yv+mhZXRoGfqtUuMqy+cwu4Z9VDKfNpIqaEnQ0q
134AA2hdaP06TGhbG4LmYMHmXdRQTtj8lK9qyD80XX3XExmANNHYo4ueJLr7HE0+dB0c5ehKYikF
mkShf+p6SHnAKPFwU7e5t3Ln1Ynrryz8LJz8gbPwa9JYb7bMrxlLmCNnAA0nuKFVJ80sg2Unx+dO
T7+n5qi50aJNjReXABs9rLc+ubZZR3magM8uMrZaK58iptBLD4LHzLKQU7xMJzrHtKRp4XBPq1b3
Hjxm+oEvDsihLwmeMiwvMaGicLxLIPbUVCWnA5+zRp+UFb9FxqzRFHcDFleMlupec/XPWnTsECft
oVQNW50RC09Yh+95EtA0IDdeRtbIFcnWyUv9xjd97fRbOZOr3lJnrJ9iAwNvYQCCkGQW2IYwc/Q5
vKSld9REfUkK5m3oNgPyKzbBm7hvvsnXsWJghCCzlp+HJLmt6TldYzJgtGDQiRcJfJjSeAuHZjwZ
+bdWwvUyJza9FDuRh8uj3dRaLa50bIHm5GENVuVvyQyARE77OIBsPJemwsxZzMeOlpEa7sDY2dNK
wa0C92YYig+voag89x2bWg8Xewxr7JZc/5tTGR+eZwC/H2KUXcujvobmc8uvIEykHu1BBSnWMXvr
+8k8ybSlZ9WsQuKmdrQbOqpwaMTzT73RnosI1ycENlzmFSlF3/6MSxfr05CLYwOmPK9sTjwiJ7Do
lNoKiARzNGr+zpZlV3uHqm0mJ8GzxWljHILpMUgMDtBSnKz14OfVQfRq2ztUOXs9+eyxcN8oGigL
ThuSjTh0H5711FQ0G0PCekwy9gdGjp89lWww0uriWNotMjLPisw/40ykMqTFOhS72gcEJ2bOzPQE
8Q7dwj3Tkh5+ScYPj9IkS479BsP1vRam+6Gb2KP1wEaGSD4oU9+z6BmbkefOtjPgs2frBnPa0WmN
c8nmvQ6dF9dFlGzC+lxbFd4ndO2IWfbSiiP6uIyQ46n5NPv1wb0yPcq6g+Pcwr6Tt0/J4JS7RiYn
nawUjJ14D3sx3up44aaooUaktb/0xmg3DQ5zlF8IoWj73nLw/ffBi15VwS3WFOMncAl/4WPNgL1R
EbpAfS9h4OC/DJ0KB9uY3NQ8+kRovpkO11wYXNLSeSe4eD9x95ht8hSKBr3eexjSYSFqumkCir5Q
Lbe47fSZhZZtSV511XCgg8MvX3oXt27p+M8p9QfEQAmV+uQBOIhAEcT5H8E/0ZLIX0dRc3GFSeAi
nneEOna9SjK/ssaC83PKDJMr1qvUufcbh67QglFUJzjFOQ1LtUZyrbojGcUb2gCLUXl+gX/qLDDc
pAl9TPWUoCcGzTqbcaz3kKmTTR9a+cZgc7+HLN3lywEg6Q24AhbTqbg1OiRwDThZS+veOkq0aou8
xlngCxDqBafoEzrynVHdxn6Z7tzOXZR4Jhg4wP5IB+uFps04V2+JrhPW5aTOu/U5ZPG4rAkgLEfD
I4wQENiYGvC2AndOAkRmOelVso6mW0w+jJszpD2jOxrJJW1pHgr1fMdg9y3qcTpkOBuX5JaZsZqC
EFrIXCNqcP0H5BdXwVPntTBbo+oUORY5PiRkRZ7em3CWTEZlwMGun2U28IbNz4iEAuG6xOZqiKn/
7AEJTfHwip+6uASOoSHg6Ona4yCh8u5cMyfbNlbBRwnYHcTNi+Z51bObZMuZ0cd7abWbEpbogYqk
HX0H0S7pJe42FzSlHz2Nhs6xyDRepc+YLx9Li/EK9QKqznf+obSt7i3VYlCtIa1k9pA/1/r0AjVT
W4jYPjWRD6slyL+srvgg+hlsekd/wlZBWK3e6axvC2H2yzLQdgDrAg6cOhxh3puy3GRZ83Nqhz1M
RA3DI6zDZrC4IYhiDIl/VngTqYHrLrF143V8yyBm8Gp12CPKUj3LCUNSkaPNe4zUF4Ysz006UdHg
G4h7c7IGzgs+ISaNdtKc3MC45DR8ckQGylP1VGdpgXX1qSNLEhx1iWlUu84AdyBLVukKGP0SGx0D
Qd88owzBn6kQ1Lr0kzHJUbHd6hWzRZqNXDzistsETvdmVoOAn5qBuTMpuYs4YRD7zK/p0LwNKMAH
bNtYfizDW1R4SbbgYYIbvUC8gk5Ojml03jTscTlFxseeTBuVe6jXAJ42niFrOMBkDQLJCCNhPmIW
brNKOPSRmyse0vptbrTal1aI1DJqR9yisJzabd9njwZT8oUOmHQZatWraMezmOSNJvpTWNarKBj3
IjLfHN7WbabF73hfw7OZxUfZSArnUuxzBezRKoWJQoRoRyDgoul7L2ovJnt1IRFeW0lKI43le6q9
0wW0kxwRDEBeUhqPvc4NOUWzy58r3HfvfU6OSD08Adyyx3XEoNLEiXWJ8C7a5jMmcfRtw7+0+Mbh
lzKglkWBq9JCwekTIiH9zOExq3dN5l94izyKh+vnAsjDQg24gALeK8bY1xbjhGHG4znraBntpMAX
jVIMbKjZ+p64pyb9VjfpiqlvdB+qnkuWSaGQsmqV6wyotiV/WonOFoUKSVzoOCeIBG/RXd4q17mx
EsKv6TB995N970uMrhqoSY4HCP805WJhBA+AUXKAVkE+urCnMwx4DUoT8QBCeggVQ7lx2/zoR7bE
7MGTJwgseHy5RnLN0IIViW9OoFS/LKeZKsoUl+B0AHbB/BnrKNicrV+SyibqoxevBuIC/o0pXQ82
Lei6eTuGbb03He06Tfq9ssrvwbDPocHI1LF1tcmdjnbvyH/qxjG6Dafy2IKCbBIVzeGHbtNGnX+0
QS0v+xrp0cEaeg1HjGKhp5iWRVQGm1E9U0CGTSWFeFZybpHuRwOENieNusfyQaQAuwSdpMZQXAwH
iy1EC27LUIvrNZR/B70PWDPtUaICehk9sv8NVgo75yp06+d0MBSJbTZLGQnOdVPYG2J3wJYmj5lr
9sjSGpyKiJ1j6rfiwHGHvSQEJc+k51SpkzEZ10zrXtJ62vsphV6z7JCE+LoUFDV2tgB29qPIX5AH
2K127moEYrDrZCvOPs1BjPGre2nJixaBmqKD9MtGm4G3CV2UpBg3RHbDXR2tK4uSe0UOB07LOekp
zfAZnAzeaxHTr2KO9c847h+KiM396LjfpequsuexITXnY8yM7HxxVes+F7SdCEERvawZ/YfOlhak
fNtPI6hxD4jHKIqzQY07D3k/3YeV3970hX6WxuitmAuxkgYIQkNdXJBk7VOAxLFsWrM7MlV4goij
IYh4eFXt9kV0+Q4Ad3yVSRVe2gh9O9W0lyQxsh1blF0ENvOIUItNLaCvL56K6BZT203kiO6GWV93
a9utuQonBZinzDbU6IgTxe8E3frvonC6rVk6ZPt5XBIJfY+ErZ+1xO/ZWhlY88V4Q6gTzcslwI3y
tYgc843th8uMzag4cgr2mXmkbvuKnMYIsbOrLbWp5pKaXP8oG0aybsU2AU9mvw1ofSRadEPlCDJP
hIrSOHK8erqTHAoSgvEU5CdSTLcuxpYTmyL0WqVbr+2k/+Rhn8II7U6laFa246g7y08dIsNpSaGP
rOYpcgC/K7yx48J8jBqMzGNf40jgTk81aDSlal/aXMSPnWQLlIrwleoYpM84zs40I0bgKwGyiqCE
gA5j4UYnJlOWGqaEIQY7FgTlTTDhGXFTEZ1pCegOE1dmFwU3hVTWpQun5KYQ3oTsMuy8IE9umvlf
daEIN5CO/aU9GTzkTELx7OdIYsx/VInWnLSgbk4W40XWxvnPkq1fZotkPw1mfMQzHHPyjSh+iGxB
gKjhDDB6+4DilWOeZvbRETkYgd/+72//EIUDM5zOvb7ozZPhjd5hLjoa+oRBqkSLk6Y0YP8kGmfX
+f/aOE1IJ6OH0uBuwwRzA5xfpFM0pilmwnyqTeBShE+964j9GLTZNmgmwMcs5SgUXnvVKXkn0pow
VKB35FplV78Z7GusK+uquvENxJ7c5/F9QETR0ZLP2i6GL+TyhXCD7El6eJCZjcLOFuG15wh9oGRm
Ih5LDqEgLHxra+ktJ9ufXgE71JqE2NRhwsXiDVeg6O8AR92XindCa8nhEhhCX1SvwfQAJKa5BK14
Jfcjd3pd7eBh5off2s55TnoX1yq5M0FUMOhe/vjlX/7+bx/Dv/pfM1EGqm32S9amN3mIMfvXH86P
X4p//Nv9568/lOMIFAyOEK5rwcTUdZOvf7zfhTTH//rD+F8mK8MYaG23g0OqlrkKqt1kC3TcJgQS
4cs7zwoL7vIoOv3zF7b0//bKpsHrQ2AVpmG4+vyT/eGVHX9kPmOwDZAFViKFvYkn33RQVrdC1/Hw
gqLZurH0jvXIYjiJaOdEuEA9jIKx7GBYzOjYuL/Vprx/tzPc8jaOppS5CQOPs50EL4ZJtxc94I8J
bLcFh438MUlD/8JWCXQXtKgI9ifQtmLby+IKOBRqBu0X634+NtZcdVuP0l86w+38maflNg/C/J5c
pX3XuPbOqjbcb5y0AV+iHNPR03i6fcgYZmy8OuaQEeGkd2CXnf/5W2eIv751UhfYhExdug7V7Kb7
57fOiJqgj/S82IXkrZaJ0xJxBgc3m3/X+VQ1u5pTLnMIGg0tq9dPfkXVMdeVQf1Cnf8PV5Axv9qf
LiGpOI3YrGecSWA923/+aUKd40ze0gcMbYZprmCKx0oldn6sPUU8othv0TapTfEEVj4BOxXxFrNJ
wZAA+RBPzSWre07nOaWNZavOcHg5uhV6/Wg0rfePn/Zf/nTB17/dAB95McKkD5q//PHv26/88o5l
+N/mv/Vf/9Wf/87fV/f//vDLd179cr7fPPz1v/zTX+Tb//7yq/fm/U9/WGd4CMbb9qsa777qNmn+
886c/8v/1y/+8vXbd3kYi69ff3xgPWnm7+aHefbj9y/Nt7KYP5f/uvPn7//7F+df9dcf9+3n//nf
//0vfL3Xza8/pPM3yzQY3hmWZWEbUNyL/df8FWH8zTGlqYNJNi3XxHP445cMAmzAl8TfhG47rm6g
F+uGobhK67ydv+T8zVauQaBaSS5TBALnx3/+4r8vSf/4SP7vS9S8BP3h+pKkRnghYdpc6K4txF+u
LxlmZSojQSJ+9NwnAE71Eyjz9z+8G7+/6B/Xwfmb/PlFlMG3V/M/ubH0v7zI6BHOniIE/bbqGyrm
O6C5cTOsporzfx7E/ef/5+vxdrq6bpH5t5Xl/vX1HDewHTVzLF3lT1i5snJt0j77kWYtKFwqxV/+
+esZf1luJe8fnxanEGEKJjbmvKb8Ybll+wVWENcmhKOiXGWTce4MY8/HTly9AskQ67ALrZSeFhfM
OwsvOeV//iNYf32L+QkUZkHLsE0uC+cvP4FWjkZtYsOYB08brwQdhMOF1xRq+h+WJC7KP3+YJt/e
wInI6uzosHn+/LuKuh/yhhJaGGYATabCdRf1f1B3XkuNc+kavpW5Af2lHE5tjDE2JjcNJypCo5yz
rn4/a9HTgLun2XO2d1FlrCxLK37fG0hXkgE7H3PIn3kYnP79t/1WfEybZ+rZKl2Zqf5WRlGMyNMa
23dQ48K+urt3dW1aVjapYj0GIPr3q/1WI8TVLJQFVXR1Xerl59+XZMRiEUNDqWImw+gqjv3NUPK0
+eIyf3hhlqXiSerZHu3D4WM0JmblfoOWIsl7Br856Pkq0oZ7xOWT1d9/0UEfIkqnramW61gaCSpL
E7fyoXQWDLYhlgKXqmtATxHCJmin5ZqPSGPdbiJGCBnKMi485i9+4x+KyqcLH9T7HKj4ZIu8ILkR
Yp1Nc2knOs4fWJWFEAvnCr7J33/qwYjr7adqumM6qm1auhwXffipRmmUvQHme2G56I0VHooDUN5v
x6bd+7ZPYlsNceOov3jAfygytmZiEEAboLueIZqHD1fFpY0KHRPCt1Q1Pyvixr4JDDdTvvhxX13G
+HyZ1M59P9aAePhtam1jqBWPZqMTkPz7M/y9ZDrAuE3HMg1DdXXv4Nf4c0W0Hl23xVCO5GxVo29d
WjDPxnRQ75rh6O+X+7100ifyp1t0QwxyDgrJVIA8H3JTeMUD2wRg6qG+YU6YV40ZekDLsoIjnCkN
djhIc71Wre598YNlXfvUP/FjP96CuMUP78+0vSD06CYxQplAD07dnY0IydoYLKzomSTBFwoe9WE8
gymybrXxprOJHftA2BiaNej7kfr4+0PRf+9RPMfQNZsBKCN4xzsYwFeqqStkfezFgNnzUazp6ncI
9fBfsqglPE4+xu6M7rjsomZrq3Gx6sYsOUPwM0S6h5gqljEmuHdYCYkSzmskk/A6IHK/1FTNXbdJ
35D4V5TqiyL6e40Xt+1axCgcJh+GKMIfniQK02WLfBjKojYzsIEMuA/ToA8xNELDYVGM0dUXD0r2
rZ9fHs8Ix3DLtlRXjGM+XzK3yKNonXFT+a6FWm3rZencLQvF8oyXMaqwKYJwDWLkpYNHFm8c7AYj
OEMevH5r6U2kiaCiREVcPs6wLALtFOZe2u7noWJU1FQoE94ZdknYF3CPBc+NObirQrxL9JrUGO3f
DJpxYopkkE2jvRsNZpihb+3zsXWcTRj2sRYcodOTIs0GaSlpIRQEAF65Rwzd+0U9VkQQwYi1qbGO
iShCli1nt2aGhK2lisOd4o+OeZWPdprhPgsnwc/XupFqswTtWePV3EC2io7mZFAhFxRJHfOSI6PD
Gg76YenqJP/JqiPHYcduD7i29AKQnIkZMCVtay03n5lAx0G5zs2wpORPvu8iexLURMdtML/V82Cb
qRMe5a5no1OfDFUfX6aMAzoT0dfJCcOjlizGdGbbRJiWkZ8EICLwC0e5Ix8Ap94OLbI23zxVr8hZ
RTMa4RBqWtV6mXitxtp01URxmLqooQOrak5bD3AulgfGi56qrZkjrKNVGG9WQ+CoP0I49cm+KLnB
u8wo8vrOstPYOm5nNwBsnLl93GzSzC/mF4gsCWzBMTMqFf4akZL0SB2rimC+q5Y52rJ+PNS4MLX1
4FpnyqgYOC/ZPQKVDwR6FWBMnnhC9YiJNedxUo8CnuCdgVZLMARzSzo0GhhVamZO1nMxwW4CuuAa
pfeo4AIMoBNRIM+5G63AyTewwoDmQatOyE3ksVbkw7qdALCRtybeinarU/KTUOiZw9pdFWZPTnJB
wDYiSFEqXpvv0rTzheUVkWKA8oUBePQs0cnaC+NnYrRb24Q5dAUN1iFThyHsRDLZRNQUCSc/ye8U
5pr6llRi2isrpiiJgdzhmGIjiCMvGHA3Vr63SJ8uYo954LGndWiRhXrZ5KfMdFsEc0MEOM5H9NAa
JFEjPyi0JY6+QXAD9bnxkdANPb8FY2FTUngbCF2+EPmLwZKOLhziH26YC5A5yGW3ePTATwb3gR3Z
3SPYWJf8C3STmdR2XcWp8dIkylweo4MCXzDUoF48zSQuIY+pU+XvhoQY6NYK1BZiMBpFM7zjOCeP
osdaTMSeRCQ5oTnvzmJaBZjcJCTQc8tDfwA2BM/YNu6tMDRLNKYchaaHIPpkl2ieMtiPiodI6dFf
3uAGajJcpEUzJli4BHDR2kidYVayZWa3yE+l3xUCT2BLlkE9ICh/rZNAmFxji1hAjG4yMdGi0ZcK
MVxw0WNZqsG9U/euv9NDRWsR0R3yGNEpo0XSMzf6GG+ZsUoQn3JiNcAvIkxmcsZqNqgI8DTacTc1
PtEupzGITEb4LjzrhCs3RZ1H0YlbhIV5QeFyUO2qZzPoIcJ2RYecR+KkeLgvFAxWAH9kHugdWDwF
GAsGZUHtjeiZO1PVP4xh3BXnNL9eCQTKsHuEAJskRk0IvkrjowIFSrG/0QbFX7e1MdSX2PVhoUgQ
PeSXxJWizy/gIxIhcqvFtXtupW3ZPShaGrVQqcfWxf8gqHDpXc4ZjLgUAZkc1deTItPCET/VsLPH
7+gSTuQtAletr+J2IhW9KDE6Gvdmpanhdwq20OMdRveHB8kd3qqW6+qEeaOCZ/j27x3O76MjERMy
mI4wmMZP76Bjzo1qbHuB5praUSUP3pVnTLeyHW3UVzORP1+KrlRXXY8+Vf/cs03VZGuJm9tolJLv
KhPTv6YAoOjLb7//+68SneRhJ4rCI1NYUNYWFM3Plyp0PLR83DcWgxchJ9o6CaS90D7++1X+NDpw
PMu1NWhotoyEfBwdjCSSG49hA0hT5dJPgMragroTovZbQET2XOeLl3U4cyS8QeFkIKwBKVHdw+GI
09YBNlazsTDjNi0eXLtoqdYGsnNUci3vkKi6CN+qt/yl/1UkbP/Ytz+qw+jWp6jYfwqW/R8MgVm8
zP8cAVs+PhX/+vajfvnxMWwmjnkLgtGh/AM1lGAMHY/HF49Nb1EwRbf+MSzKt8c01SIgId7SzzCY
5ogwGPFr4l06xZIZz88omGb+46qe6bKaAavB9Pa/iYIBAP9UASySSJjoEKE3CTJgIOMeTHpyuvky
1sDru96oLAR1SEnn46Gje2tWIaKjHfbV+GJ0yFAHryX1HvVxJK+g1h0NGpJGinKp+7UH0UzFKMTG
x3iq8FtrARtYpLp713hwjBqMCjmH08Jo10CiL7sx+WZ6qAy1aoE9uotrKszQPahnoeq/1BgtuBnT
clBWLnCs2lg0VoI41q6I1McKjadjZRp6tL1iEChbkZuFWOlABMNv3keadAHVc9vW3o0FDXepz/mJ
iQEF03HQCm5xESnOfeQXqGKo7SqtPCGcN51oE5JLjmmfDiZCInHv39DLvihWg8hQgXq8Sw8SzGa9
qS0csz21ZlwfwbNMss5bGrl7Y6QZ1DvuooF4mkdP+IzeQkAVkqQGRMSVkSrjCXw3wHp2vqlD9Twz
7ZtSdTej4t6EYHgXqK6cMdM+LrJSKFryUQ4QzrRH2HSI5SKHr7XuTawqj8BSz3QPHCuemYtGJ6vs
TSqyZTNuflr4BHh7b4RQqFAMQXvFUpHeA0MyEylDlb1F+62/RR97RbZwRYBCKCFzHgY0WDQ5jAxN
Hm/nOpuhJp+smbyBDNsswcRRu/ZBXEFeWOzCPaPy1N96qbbKR3E3PHh5WVRLN3npfBtrVMqm9GmK
wydDZ5hclNZGXrVDLeTt7qrK2sur7osXUkQnmtgPPs18HLXcSzDxkDvCGroDE1gVrwqd3yensYG/
h0/i7Boj+IUjHnVv8c2v3LPcUm4dzbmxogS5xWaL/cTOcxIYIequQlw8tqKnwTT3QkQ911BYIO+I
UkbyLUX2B2ND1Hn94DZsPBF2f0rH0cOQLBkAG3hHocq7L+a+OUJ9+alN0a8gbUZeB+4bidhvmeet
xZOAkrbx2km4wtTHQ44sIRUfFyvkCUjf68eKg+OWgflnnWM2794AjmyOPrRJf4hDawd5Mao5eWFa
DY1IGOxouqHP/ZyVjkEPPO01KJ/tyiKg4fMAVT1CvYE3aD174CbwcXTI9lJmMNB5Gpnbw06/nExQ
OLIKCqX0Dn0uBi8N83FOYKOWi0ETYg7pkwsJ0h7rGW0czjAVDoK6VKEMnVZk9O4Tk7IsVxQ8Ni0N
77HPWItKL28l8tks6pAWeZepPVzK4phmPCMcyW4BV4ANpKgEIa8Xog+ag2R/TGg7Ca9QtiL4Qy10
NTkhYnrz9vM8Zx+W1LZgdO4KBm1vVaUhqiPfi6CaD7qz8fzmIoWQhKIRCNEweppHHwmv5ClBgq9/
wuS3t6wTd9ZOxA0Wg7VnPEZ9AeFh8hAUm9i+KIeykokzl+JO4wCzdywYEIJ4kitEjZQHzDmlE1lp
mktRW+Tv6n1zH4TKjXk+ueFb1UgiajAKyLltwVDiLSWatakma9cKYxOFc4gqI25JFveKGY24BF3/
8ewYG3/Rx9PGGoQeJmeBdvkkTqKgJQ/DhHbCgqlP8NPed0CfdaDbuWjMBsNfOVpFdRf35g7adWT5
50r8YKK6CV+O1yQKaUSRl/tjzffWdnslB4GgXZuRuQsd/6bIogt4gysCGHulKL8q09bnMY4s0sSp
Sd6I7INtmAdFOqgMPYum8lVP9XoTuMkJmFu0vwaevbg7xDXHUgKmjzEZfbSZVjB4djezuPucFkWr
RtjrWENOEX2QUjo3thM+AZa8menAZJOtUoJ6fQILKh7GBu3Ax5ECEyTBKUa0y6TjgckyCtaK9qg2
RVb5CvnrfSTKaWV4N1lvbUwCi6ggO+fUD7TPB3+nZLg44HVIDC27miJ3n8VGv4xwmCVsrvMm2oVa
o6we+TRB8jn7otsQheurluGw/3eR6CBsTNzKM0mjiKHrh8BVW8AiJd7x6gv2fBwSPEYAZe2KpcjR
6XJjNIAQ0D9G4eUJ/g1PSnyYdXahWAj+tOJ5Azf5MjYpLvw+MhevF1aJTnzP0YjiAyY4uLE5GGBI
OD/q1tvnurWfRV1LYwDFvStLfQAICXQj7cyE099S+L683Zso5khPwD5KXpzcOEEl5+mLp+Z9nqLI
u2PsxezEcBlpc6ef704JLGPIyvKH74X7AEKdGtNoI8nSLMi3PTEpps/V5rOIqURqGwMepwxmRJNZ
jY2B8gHixfQssoWUJdOv4idddPVdRG3XyvDEqepLWgQc4U1jg7so5mSute9SDrfy5ATZVPg3lIk2
cjdy5EJC84mKC2lp2pEzv0Cg09pmYsigpoN7pHXKK/oP66rrHqso3acR+nQUx5IgFtr1tEa9yYfj
X7VYYy1NkzGdn8YY5loo6SPkjKn13leUR1G5mjJ6MEIkPkqngeBub4hg8HbAl6hGs3kbBYYNiLUB
gRQqXa1ySntCv1uUlAymRIp5Yj+L9yZGd64ePyXh5B4pJV1jiOEEEpHpWtathlopWmVrwNSB9wrp
2ljIJzzEJj5rot1JhejAYlZsCOzhU+HTxIuG0ZrGdmWMzr6xgTC7MW1cQI8SG1mKsjnc/bRnOzsq
dvfSuulZPlHf5LArVCw0xLprea5GiVd6kr9Uwvy3xmJBHFNqIptU3g1xchOJdlFcOhiELSJjiAaR
oyPZbKTDMxnJcCEHPt4QP0U0jsArln6b7BMxiBC/TrT2sajtrRpd4Qa11KGsy98mx3YhvsXyAnIM
KNqlkngdmLPh2As6JCqsU9enUevrEumOeV62pXMmL48oIbW4dYtF0uJuEcOJloNLX8lP06J8BH4G
5FgjAAFdnKsaWy8wwKJhqWgM7bFUoEI8GeRhPu7LYGbU3eHKUyGGvUh6baMA7DwSZaLHLs+YiUH6
+F0j8IrZANwVdCpbCGSMSuWoZ9Kegr64HgRSfgphjInRgBg/0aVC5SULUSUc7ZVMJr6os+rnhAt1
FrkQEaW3UW7WSZQdZDs030GCam6eXbe8QegCuG2+V1oqJ05KzDIK8wZ15GeCzGCFDTS5vBjijK0/
DKVRbF1TwfeXKVLkITydI+/vmfNwYjnOutABq4q+E20aQJZwDABLeytacsT0EwhdiTasWs+oVzGt
xkK19J0/YdeQN6eZCT0Y2u9Rl/R44Vnpq6VGr6iZubhftHhZeLDWVBSylLJj1JnBTI2UgtGpdT/R
LBQgAdaGWuwU1bj1/eHc84GOulponejosKFCjk/RiMi7iTpCUXMnIbaHkeciJhLVJ2oZvU4IWHZZ
0h/FRrcqRvKyPXj6IEja/ZSouETYPAR3GkgRIf6vAcxf5nr86oQJyuQgqCH8rI2igDuRMyoJk1fQ
mES+9a1SzDu9sE68Mn6e24zWSpxlapJXOyGKFA/Xg3Pv+gaauii1EWlUlo5QqTC8AgB6rH8b2TX3
+nBlVMPaHPurTMOpS4fj2jYVClmleuEPwOw1QNAnaQ+fGd3aMxv7ki8KjoyWfOqKsNn1VDKrJFos
zTAOuiIXXdKiV+Ed2vMOoz93YYpfjUYTwT1vLO8tmEs7a4rP3KrHr6oKr0aXSXQWnEFO1eisgP6B
57vHnOE6QHaIJimHnQ8iN6eD2ZjaOquffYdGGrFq9C5qGMBIYJYWk+3ABJpZR6a+qrBf6mxS86mu
ISVe9aeY0/5wMv0Cg8n+aOp32I6t1B4HaQYm3mocPET3wtvG1u8Ci0rKW8YVLcrv52ZbJkg1Elkb
SJpgr44m9GXvYglBMJKqgDLANlWUnrRxsC8HSqON3S9ou4UOopJItLJsSEQsHfqn5ayE2mZeDXkI
IvYVU/tozciA36IBocYvshG1Yo7BS0YGSkcNRu1NQjTKQUkFAmi6mjIKRjDglRJM2S1w8mGRMxOR
5UWWi5CfsrKm7jzE+GNMr8MufRWlo22MJ1W9gomE1FlBLWHOMizSsV4GilAIEAUoPZliG+v2Sf2h
FvOrkUw+cnj1t9KLlaUXCDkfqECqX3nMUN0zemX0lIrw1bUF+hcRs5ExxyLDwcKmcVsONapOoEf3
1VR3S0+lhgEAusAcyT0Kk+jesEIKYs2E0VTHKw1BcICDAA5GPTgbf/iK6yAbwWtoHQSQviinv41J
CCHClBYRI8sygM59HpPAI4UYlM3PoZgq5+5TacD77S2GImLMKzsDOVXXNeQbmKVBOOtRlTxuaFUG
B1svS7n44paIU30exIlbomEHk6AKZIkIv34YXdr5nJtDPD5rIsLgjgzBNV7/ZEwnfaCvo7p8FUNa
iyGTrhMDEoNwMR+NiG/8/U5McaWDOuwxLdbJooNz8dyDxp/H7U1a1T7LsZCwBrDVG98MlUXpjhGD
ova+tYvvmVrcF5OKm3hBQ0q3uFThXiyrLKVjysZvjTM+J+m0rjsIQZqXHYkmG2PApRNll2rQXo0R
diGTnt+1RnT8VvIHfLl8JXpNTQGDFUMxplbKMtIJbc3i7CnacDYWe9h8jFf4s9iA/OmCRGsXi7Ji
1SqBp3S+bb4Yxrq/lxgd6UXAGRaAMSLgB6PY2rbH2By9Jx/zpx4FewRxoNIkguXf51O01hRw2QtT
QxbaTamD2JShLIv9Q+PAtAb0ZmzAnewMJe3fnhiUIHc7ZdGxYtALkuKHQeCTNLRIr63bEegoWoyD
CH/BXZ6aC/zR6T5aoB3N3Ny7fb/3hSPmlKOVWLT2q3huUwByLDH1/eB51QkZD8SkXA3VzkCEZSKc
Hkm2cpZQPw1aH0W6Yi8bMIBw3ioqy2u0qnBULmseN4EX2HPf/AkmiapwFBKv3qpAKhE/vjSpUF2K
S2J/CintKqUhE1mBBusIv2zuMOuicXBb9QxZSrx+yklZkSxPlkRGo3VmZ8pKTy1C7v0NFKALWcUz
BETX8p0Cp8aaivZgHGGxeTD4rAyr41E0KIMoNX8v8EAlfivxEpBg6NRBjSDzQWQ3siy6qcl9zGYi
n67ofOsZ8Xj81NDhYLTRBlxZDDc6hppLeR9VfIP5aXvcIvq3rnyOg70BB6oxNeLDJZxz7bLQp6vM
pTD0XZwtjZ5mUhMf8gQ0mERzlQipDdGPiIGTqsR32IAh0noUjEN5UiDLlcxIpGkBqjo97x9hiWts
OxyKV0fHByFjgcPJysS1YeOrxnPbgnz3ca9Yalp8rmvkaaPS7E6mVkXqp6MfSwdr5wGI6wLT3aC/
ckz6rDputeFk1hGMrX0ff0pRlWBUG0RdEvowI19PNl0fBHnkRnQI7Xl04w5zfaToKnW4iTLEiZ2z
GHtXuD67NstcVMRotlPShSjZeY+hjQSDOqJE4Dg29k08j7G3X+YMCns5RRdyRyTytX2ZDI96CucW
Mgc944QNpYUK5xKFCPwZTAzsRDlGU4Gk9rAdjMfIdQu4b4a+rFT0gdGsoOtuAiTX62k9DRgn6wk+
DoC+zhVTqY4CHUl+uRc5Oh5Ukl/XEyQZZLuZ1hVbTIlrRB1xqq37HShoMSPlV8o+toPufFIF452G
WB83zvG92UzUOdTsZIdX+vq3oD5T2+5UHoGWH8rTSrkLTP9+hK+01EzAIvm0npV+hwCDCylNQRJX
AxRAL5xUaHoqkXqpxNML5C14r6J1k+cSnbmC1hqDiVolgU1TV7HN04ty3YTdRQ4s6ShHD74Xo5cY
pdAwfra62lrGCOsvQotyAe/hjHi8jeIe1a1mwjgYJmNFCyegag5fRWSc0UdzKasBwjsWqgvavY0r
LGqghbLMB96rm5rFKtbb8ouOWQZXP/c9hgVglCgBcSpDFdmcj71gmJHqAC/ziIcPKiwofULGS80o
W0L9wgLA9GYy3KazypToWvfVC2ib8VHjMT6kBD3p5D7xY4mg7o5CRCAiZgPmnUEVpXKOrXhT6WTH
0Tm9k1UaPR7GjnFPM6vyYgtd34Vzdz+41X1gepBUZ7o2nxxz2CSQ+NNxmVr+M47t9UlpetDRCrTm
Rbvrh+aG5Ai+PCGsNF+06GJAL7s4+epkF1ab8WnRDc9QgtheDxho0sqLQhTJJ+uRv08sZIyTmaIv
z9KvgGbh4IhMN4As5j0hPyadGmOpKsxUNAYy2/DUCY1nC53qtyJoBvZTV0WoodS0VjmDYuSUMYmi
dNlq1TEyLo+VyPxOE32WBOwim9P/Kq/5n5KWnzKb/+8Q/mKk9J/zm6umfXwpmn/dItVRNB9znGAW
fyU5bfsfz4E3QgjR08Ug9N85TvD7/wB9Z6orkus6kN9fKU5HI/tpOoZNL6XpHPHvBKf7D4l/aguT
LkfzBDngv4D5G9rngR/wds5O5lUzdAdEAXSEz5UvBX2Ra0Ni/aiM4szKmSgDO8OYJ8QpS+tt/XYw
MbbK5tpby62qq2hvW3Uk0d62pmnyc+ufjpWnkjv/6VjNe4yQlj8K+rLayg83TRGqf1/2xqnaOuLj
YF0czIhYva3EdA4d//EkMGfYh78+UqSaPyxGZqZscbD2Ks+4C8o02xlgPJeKWKwmYFAgf5y1blfm
ne60L0neDufBOC+0MFwVDs4kyTxMD1ZZLfNW8+76YDy2POxCkB53ZvMIYSZ/O5EV3cpvdun5WwAx
CHW8LyewwU97RvoJje7KdHyEb2sDvix9q7bFVtJBvolM1VYuh3Z3zlxNfSpRvGGqZua7WHAhU/ER
Av/D1b40lwcb5KL8sKO62CXg3Ai8iq8IkAVDspPbSNcpqyAc41UQTHBrEeHbx03dHyN94u5D8W1G
xW2BEyVoaQ3jaKMBp1cpF2AmkjX40QKwUl/se/EBQ4wPByU9q8wHImpD0GHRy7DvqKwCj1Fsu9eC
dt4HpWJeoxGEbEvvB8f1WFvXYVAOZ0HZ3FZZ5h+poWr1V5jNNKfIuTJAb646NW2v+B39CRCm6G2d
3CDqCqzMOMAsl/3sWQ+u/naQPBFG7Ceo+BebYRR4OivqJjSMk48fcl2pO+OHDXJdb5a3P9+5a+yn
GMlLbUjPayMKr31fwVuc/CIqlnZ4PTYTMk1Dg/i6PrTrKmkNJE/17rR0UMp0tSraW2Nsr3LIbFf6
iDOBpSThXZIiwziMXr8t8wq5G31ECnFo4m/yW/rrG/yt6G3d+zfCe/pJjPnnSoMWLIACaGqFsKzx
sGF5yHtrHWRegFoCwwY0VquF0gzhtTMm+clc99VJMKruVdkAlupxdnshtgDPO8weWh9TjtDEgtNq
dQx4jQT923byj4sOjHZW+oGGprOKmpXnF8clUld7RP6KveogLT2Jj8oZkJP1ahB7YkMNB1Kj3rBF
CVvC1lX57HTjWeWnD3qMmNMSeKlyKhbzvEcGvHBmBEy74oHqyQ/6tVjnZn0JQVzDFGg7Wy28fjMx
tW2MWHYgDCyJYTNufVv5tj1utCe7zMgiZBbsvVBB9rNXYndtKc9KmwGadHxjn5HOdmMkr7/1eK0u
AG8G2JG5QcvczirpoK1kupC8ZfkBnJMjoo9rgtFFdL2eoTSy68hYYkQrYZ06QXRZ+Ihh6FONkdEQ
nIxxN95ZTb2HlLRORDsiP2j1/K0l2hG5mMnG5H2ZF3juzwwenFqLd22vZWdhjaEG3c38PfDVnd3o
9ksYzdfmbAGIdb1hpYJ920FYzM4I1f7ctc/nHcPs4u5DX/invLr2OcABQJ5oi0kGE1icTYd1GOBw
tCzqQjt0fyR2lG4i7BAwqUAT6VQpscXBt5Zl+fVw+XDXD8u/fT08tpmQvFJaeKCmMau3XRVcVaQ6
zrMoim+LYelnDQY6hZDtFa9Zfmj2bNKGZSgFp2Be5OvXi1CkTtjFFUeMSu2v5H7vh/064n29pc/I
VMojvr4Go8qzKh/ya7x+QBj0xXAZ6XW983FYOLLstnwMkv40GI0AvAQKmaaLjVFQu+Vjv0XkMnls
MizmWuKoJ3aaNN8UJdtkcbIY5vZ6DOb8QrFbC8/W7iyYYLlPlhVCNbbNlYZ49ve8x1Mwq5vwPEOS
FEskBOBRtMG+sJ7Ch14IcGaqOiJH7k7XWVJdOGJ9447hSs1mf1NFFpagnYqCJ+s7L3aOpxaBUh94
9oPWnqPj7Xz3p1w56Ts8z+RqPMk2LQ5yt4HntoCP5wQFqoB0mR4ffVH6JLntfWJB6XMcgxbPJAnJ
CIei+HlsM8eGi+OhHb0gl23gYEzXFavJ/GCqsw2dQ2fMUPoGFj8uXXkxPaipZy+VoG12czMZV2Gg
3E1U2GNtKOKjCaHPHSp1yS4TNHL5Ta5T3Owiyefg5GC93GMEp4oUpDj2fXNsVxegXXjifzidXKc2
8boMu0vIOMVq7LphR7rD2iU1RqJZgYxwa8fnyBDZL5ZvXVQEr+7krjrGGG+79nC333ctnNR5KRTj
Ii5xuLUxcllppRYe1WEboJjHHHku8wu3GzZUyWMSh3EAkSE+VlMTTd+AANfbt89bD/dTxugYtUaO
+LxfgVvdqV4jTO6iKrlTpvnjh1dqmxhO9eZg/fu+AE3UnVy0rWLXjpl/EiXT1C3ed3k/Vq6zivxc
H9LxRB4qN8r1h4dlnnqlJFDvxwJ65JxON3Se8ZKIUf3dnhDPiFp3eArK9gy5JwTJ4wTRY0J80SID
jN5aXk0QO0MV1kKoJx4Jv4SqfvtraSZXeBtF1a1O9PBcE0tim1zS6ane9/xfHUeW4MNZ3q8XcAW5
9PkKckls+3x1uaeVozeUlBFhbS0Kz/AEMpfwBApsrMwA4VrWyW/vH4ncEKSg/bTx535/2jkcff/k
7zXZ+Qx2IBdpGIbpMj+BTueJSc/niozDq6LDVFJeoli9bufavXSdOD5rEr9fyhrNkOC5yw2E3kI7
QhH83+td1je/1vdzNCyLSp/EEOJ5dASW6tf+cr0ROM+p/xjV3pXXwhdaULk1vI/+XWrfvol16tyg
yRqRw/TI5LOjKNRys/yQpU1+kzvSO5pkSLBXX8iVbyd3NT9fEoBRj5SCQXGVJmTgscfBxIZBcYYz
+zpUjehILqq5m17ibfu2VIg9UMcoF9GYYWdoPcz4v7v+ZG3Tqm3OBx2F2jZKsucK87fYt8eHjGHy
6n0P23rxrdOmd+0NjHIU9TSbQdb7cml8MRo4QCTJtygmuzpAL5DkxuFbRHurQGzecF+UINUA2Vla
pa/kxLDQ1mmnKzdyIUlOBqtUbsrILq6j6bHPnC1wvAAKUc2o8Ndi6avccDz4b1u9yKkv0Zk/Uulv
rLnSd4aZBidNqaJ5KL6Rn/r5Ta5731qUvrJ+309+G6LhSsvnaDc4KHcTqR+J+tbNeTIHPz/khqLz
sCz/tU7uMtPJLuWGElwh7GRxHCIAP08j95Y7ekjxfRFLs3+vKQ6TQ3jeQkgats5ByiKw8GJTR8hR
Vt4i7BNF2q779WE3ESVVLretyeiwDICsRs3p+yqUOIA5w4FbzZFlYo+cmPukgdwGGv/MnDpzr4sP
uT6KzXRF2siElvlpg9w6Ys7YQn5ftZ0HV6oAipTuVeSbjyI9+16NEUT4wmrOm7Frzg3xTawvTBsH
KblvEpvJOfqM2x6XydtZL7wLx4m2NWHzW/KU7oXYVsFUfd/WiCXTHG6KIp1Wha5Um2Yo4638Fg/T
z2/pr2/vW9+/gZOLt4ne1Ou/t2JQGWimuBCwViEWISoAiDyCnBYQdcJBhymH0AlBDJE+e0nwpWjM
lVN6hOIn5Sx1qwsAKz2gZ5beVjmYTy3qHIVOOMMekvxy+df2OImm0wHLzyl3lTMjC61+javMh9PI
DfJcEQzbo7YYIF6B91zGxazc43x8BU0O/V8CJFPr8D8wLkaoSQ+DDzAwbXP1Wg3Rwc0LxScXqsYb
HVWIDf6PxllCp7nS4KBeG1ku/AzD4EGcMUwgJnJG0w+SK9dAvgUrDOBIAxpNMDHW1ThM36M+A0Cq
OMOphrnDhdwDHbQBrzpi9q0srqJ4jiYwZEeW2QHpc8yggvS4+7XlfcdC71Lk0ElU5wNRbMFTSrEa
vzYrL7zWB7xewHQ0x3Ldrz1aKFRH2uhfVWL+aM1hfqz7fgTGgEW5LkIM6LhCmxxdOTHjxKfh53LO
TO1S7ijXockbkzyLm0u54f1cmZy4kpNbwHFsYZCGq6p1830XjMyHxTcHP9x9aeWYwMG1Olgv95Ab
xZFy1/eDLHFkLY78dVq5h1wvd9Oj8e20ctXB4Z9P23jFF322+1thBwMF8Q1WDwwl3TpEhbR2pMZT
kvvPyYRLPXlW3Digj29nlWk6EOxsKxcr3JcWVh3PuDgxJ1zIzQc7xqivI7Esjq7kTqM4h9zzfXd5
SrkoT+mW1nmqG9lxBDNsH5lGqS9IfyLyvJVr5sGY9olc7aBAhyItUpopnbpOloQj5Haitt3CgSu5
nrVo2r9t/nkWjSgSygmZtSoCVC5ccnM95IWdFhdVBlqMr/IDDWV/m5ExFmvUwax3H3Z+320SW0Ig
lVs0l0nLcjq56u2rD6vtGKEqH5GjtDjDGRNLW8bsC4fY25lcJz8sIgs4x4h93MEhkzXVGzvErult
3fuOYAh/nkGu80rL+0KdQzMPJv9wZzzVZPrF/J8WChLZ51Fb4JF98cpWeUqaZNUSuwDBACoIHWH8
CGUf8d6XuL037t0HuSLKS3aVfcoEOfcomeef+8t18sg5msd9/0xLIs4qeqm3c30+/9tFo9h5dXil
yZg1l5n4wAIiVM3q4m3MIAYOTMHf1wQgyS7KeIdLFBQLmoMEYYVrT+mDo8YsTOQnPes6n+14a1c6
qVOxddRGC2FffWn6tAP/Q9l5LTeOc+36iljFHE6Vs2w5+4TV7sCcM6/+fwj1tDye2d/UPkFxAaC6
bYsgsNYbRBcZV24AOR9XFcTsKV0uORH2HoadbUTowZNGtVnJNvI0ir3L71GReb+Nisy7GJWnyV/u
VXCUe8oSdHLHvP/lDmpy58t+em0kr/0xojC/FV1isLGRYAzV8leiVOldLKvjondUjZ8kydJmFWKJ
0U47x7BFqWtA9uQMsLPZW5WRL43K9d4rC79X19dex9FdYCuard0enTleLv4DyGj/QUHvz/Fq6Sy6
+qDP2MjiBNMZIe+4plPRu2nSFcDGdo5CvnMudMc+W9NVbkxWNfh6b28DfeToxwJ7VzHt1i8+pKnT
9tMAuULUEGSJzUbg6uMeEzGyGxG7uTDP7mTJ/F4PVv86tFm6shRjWENjH15d6KxmY3cXrFL+YyH8
AjRA/kMB2gO2x0DkSeEIM1VgPoF8mg61X7kY+4++JNMvo9GOW5Cp98aRfdp9hoEmXhK1/gurQ2c/
hnL7QNq22kRW0iHbRSiaNn8ELlRcRKAGfG90CwNuEfpKahy90LgXUeOm7UMbuL/AOzV7RNrzE7lV
/ZrnGgBlZF0n7UUO65qrihFGWvktEn23eZrIYjmNuywcYyHFO7EJSwBQrqM8hmc87bQAhnwOnQHE
T23hQGupxlGLsweR3BdNHiV3Hujbk4hc/gTLWLPM5bUaEJbmbX4GbW7eskHd6WGvLcRVYvb2I5iy
QzflaUS/PkT6zqld+7G286/9GvTj9QCIc94psuf+107OmKpin3dycHxhuuHZ56BBoJPf/Pvf1C7U
CsqSmUGsArCE/kq5rZPmhB0Vtoh96vdHNNbRBZmusiittmZZnTjPVcZOTJ7CBCz0MHO0SyyDo8AQ
MNkgmuTvaqlLjlY4IoaVYkgz6TqAcAySbxbOBPCKISOWMaoTbaT+sNB+naWycVLJCYK7SVMyXPZA
XYkdSTFCe5qZ8ZDeARhC9GpcN4mLXkqrRsFPFRbFAvXtZD5Or55bY/pBdbCn5tbXoj4gK72HKSzm
dA7bu/qStSaWwOUmUXvtRcPgZTHkurE1Ykl7qU374GKBc2mwhYSbjZ5glUbPuXXGICaCY0YjrkRj
jyX8r7Ct91kVKxvRVzotFSIsotbXYzOFJ8A3lbu+HbTF2fwWioO1OHf/mSu6xAxTypeu0dbbCnfx
/a0Z23zYA1/bJEmtbjQNnS5kq/6aco0tn4KV6Y44VnT6eTS7RZMmxVGbItFV89bZw/M+iog15nd/
m8nBagjljsL9X31iCjWcdwWW/rojx1t+hJqcLjtkMbdaippOjPnHW6LBJyN3OeyzIUlfFODfoj9z
3QyhzTDEx8zz31AOIBcFxPCsI/h5r+j1kzn1GyRIMEvv3XUqWRD81cEHruQWvTLs274zH1ItC55q
eCtTwkqvFBGIjJHu2/40IoJ4mua1n6Z5waoIHf8/8FgaxNyvjxRro6Walo2eIUJD0yP3aZnsNbh/
TjpqH4nP8wJv2z6IZpKIWxUDyvu3Pt2vYRmoJMKvc9I4lg88ecafu8TcL6GYb8hDCimJH8kq6gdf
Godd2DokRqdmMPC80dmJ3LpwzgN2U6jpplDRTRADvmZGK1OGAyz6tC7Crx53hpXs2P0cdaRkq/SF
81iAoFmaWk5FdwpzyLGbCLdvjh2E4ZBSD8zyeibCBmz1uZX1o4gif8we0YgWgWiwIsKyJ7TuPCf4
HspJuk/gF24avQcPPp1ZhukA8qVPnvrgGnyed+uTDCrX11rbl/sazR72Roc63YgZTRMl0XPVwqBT
VJ9XyuC5RxOpDbRpIvlNHr0tSjsAu/42FUOhZg9+3z0aRYvjZ993a7uEFONmrX/CXsI/FTLpXBkl
YEQq/JNpFAna29OAiDu7P3HY07dSidLLTPQ5reGfSgmtHM0f0uWn+5CUsNbo5VSHwvfjszbW76Pl
yM+hyTZNT0iOibDMOx1jeMySRFipSFqjQOyur5NjF//QuC33IvSk4tUy/OZseqXy7EfouWvGzwau
GdLwmvGAIFxwzE3lVbzFRBe1uT3n2+BsZQ7OO5F+AV5GnVMcyJQEdY1cIZd0O6ndjmViVC1IKH05
r0munG17JbB3zuiy+kBACndFoG/9HnHeULUpuQ9YKk2Nl0DjFSFEXHzBc2dx6xJXYpqYIULRyLVV
7TEuqdZU3QO4mY29Vl1LW2ZZELyaWTagzDOMx6jz3GdnOPtWG7xiB+TusVBJ5yJUnURfoKmcbEWY
1em+RUzuAjPnDTP3b5EyWAvPdPud42fJU+3H+zJGAFj0B1O/qsv/2o91tLoLMAmciXJoj1HzUoSi
JiqqoWLgVja99TVjvclHeStVsnbEBzhb8fJD4mQKb43zJ3TxKwF7qINtnfo8ch/DdXZZoO48Brjr
FdoxBLa49Ho9XWqjZh97juFA9LvijcTBOIfW5u5bMpNPeePysAfFmx7haBKqcb2qRtTeC1U/BrzZ
H2zdd663j9O0L7cnQAFFP1sl7EmCEM1/G+DwBHUQjZbBcw0TS9uJkJ2Acq5Ghb8DM4AJ18DZ2CUi
ehedreYp6F3LnnEq53BAsXHRB1hNtyEFLNFnmBOA1HpC1f5v01LjNeo4+UAqkZx7fbiMJPcyAN44
ZOEoGawMrfEfZKdwp8Fiwj64rXn+j/SZMWX5P2+6VI7wQKRQV9EQ9eJU+fc3hJVIadGmbf6eT6oF
CfuvvdwGwOmww6K9Xk/O8/vWytEV9E0d54tp6DpBDF2b0kBfuYNjR/GzWKMtE18T0fkU2nw3l+LI
hT5Yvs6kCtT0BIUyMe+8joZtkt07PKoCvyDwDOKqqZqn0mqC7a3/BoVAdPw6KOYLTMRtmiN3iOdX
l0xNZ2MaBU9RiOxQm4yvqhLzTAWJRIqrHF6dyYTKIcd7ipzuOk0arfaY9Ih2iw0Puwt55RoKzgVT
4UL03XZCXyoat8lftlNfwtsn857CfO/PJ4vtldq3h1oL7bPT1ydRl0yC7l7BR+BFLzGv08PJxgOa
3EHyBn+Jn3DyWmnlCcOo4RtsHBLEqVd7F5d36UzJ6+KsG+x9O7T0eWsPr1plJJtqKKkXTKGYpgJl
OuQKzKbMxZePDElyd/suT1yZNu9l1MynLzNSbYheJ5xxxRTR1NMXH6uZp6bL5N2t/zZXfOb1oZGM
7Pp5YTaAeUeCC9n2OLqQiVYWuG45y9wxwotoIF6/j3DX9iJyO8W+c6NXEYh7oH+rW60G+Xnr+/I5
GNzI/7HFQjnxHw8QaHeyMoCMtCkt9+XUEvVRhctLlr/XvprsyMv5x1h3YN6AuJ5HHD4WRmXAyxSd
/zYsBurceKsqPd+Lg2btnBvTay8iiMqyWqiu7a9FKPWNcpTd/nI95EaR/LPILA8Bf9vYDIoBO7Xv
jW4ROo230PB3WnTlgAt62LwEHH2WWeAD4BlH52zonWKRP9Re7BRAregzp3RBOEjU4txiLaJx0LGE
cUewTV2bswJmWYWXC76G97Y/LsV/KlHJPMiR6S/FadlF9+2eQvakYdI9iBmlju9YlsbZVoSFZdo7
iAx8xaaTtaLFOgD8oFvH+pgecr1f1OyWTmY+kDUsavKMii93S6+R6jmO2fhHiKFKkt+d3NY3g+ON
MAg9f5MNaQvqv1cuvlWhwE5y5+JFA6Sq6Sqc+jLXVo+S2LZbkeLwjgwopcf+neGrlE2mpiqoL4l+
Dn13IhoDeUkd29nbJn4FgM4ng6Dhtco8zMpyKVkrZeftmzo0t37q3tdxXx0FZK1W02jrY8xAsZIl
XTRSgg1qZFVHEd1mCMibuOvPZ4gZgYc9g8YTP7uti2KxU5XKP9bujy/dIrRa1T+SqhLBbckU66MY
c5sft8VSXBX6sa3s0jxNz3duh9EBDr+/49wIGCY0sHlUMsAydtyT7/MDfqlG+Nz4OmYjePR8K5L6
zol195dZf8DmQb1BUvJlBoLwR1Ur76nppG9ehDtDSsFjl6scqFUsKI8DCn3H0KqtY2BU2TZVons7
SrVx4U99YiC1H0yfPWArS9MBvPfCedqq3vqWmuvTeIUK7ZFvwT22oPr3PxexF157wr8upqFasc6S
30Zoesb2EVuIZsJ9k1psDOw6RaejgOBcFLWbr9B2C+6D0MBfb/Kv8ZtajueVbngLSY6cldgcsPqU
9+FwRoJ7XYBfO9zWP4vfxor9HmRasV9oMcv0beQzFGCWHd4hj8x/VVy9+WgCE/y7QrHH0J1qZ8m5
tixKakgWUj9iRtZAm6zLMjomTYMECs7C86iw1K1kZ7x0bcfAohqrinJqRHhrykJed1qM4Mc0TTSN
GXVrDQn68Vkpq2ZNwntJ8s0/odWi3/VUsu9sjHw4Uo3WurV0yZ1ldgjXtzDluRjWp4kBCnacPDwK
mUWI73bszLRWc9ZhjLuvkqRIKUY1QnpKyZdH1/V5ZbjWS2EZ3/vRSH/mUOzhZFA0G71hIxVl/xFJ
YCnUpnIXA0lxPKOz8iGT0BFE2fY+ruziIQubYCk3Eaoi06AW1NbZlZyVGBRdnpJKs5qE5FaEEmQ8
9AsNDvhdVOfkaeKnGLfE41jkKWb34HFXRYWdWJBQDvFjyiP4lVJDEZeiUzTRNHy9klUDB+yU4stt
jghZbs21rffSLsK23Jr12BLu/CB8xRfdOWOx4pzb6QpOiTSXo3zA3YWwizIsTUpvspAfrXnkBiwr
dj+84sPBScZ6yVvV3Xt9Xs1TUjwFwr3j85jKmHcbangRjSc9NW7h3kkknS+1kfZ7ZSjfb+NaqdvL
Lu/VhehT5eobRj0hGwULgNk6xkAMhcn8W20k2GZhhHIIOtk6KQqOY3xTku//MiP3ZIzcc/1V43h2
8ch/alMeRESh4X2KpjF2GpScp5mZAontTzSNDaYZ/UxI4u4nrv5dA2bu+rwVMUn/nkzodbsugMdp
1e5dHcCemyenoVakZ+in87Ic20dXqtqLrKTbOM6kZwRD+0OBlOsMeVQcHXLcGkPk6ZZiNMZIdeFX
OejiHAiB+Gg1i+M7vBs+HQ7ars3WpRv+/h+Enpasa1wiJvtW7dCP6qVJrBF60BDEy9ak1Kt0dnUR
DfXSU59nxhIn47MhgCtlRYXMD2qS99Pm79oZD0a2blVKqS4edosR66hlgBYE1jdtChRW6s6hvxU9
t+7bVF8xkjsxgMVMP02VLclZtznciE2Qydht+siYgC6Nf1aAy5TMhdJtYxln1vWTETtA9pVmPPS5
ouwtdJsgR5b4Bl7BPHGwQ5W2fcKesdy1HmK6f/r1XguP2ZghX5RoF14+c2yqnEeRacHNc+4EXX4R
Uehar0rrute8jEoSFCpbke3EYOvVzoJCXLwWYaCZ9TpEGGYhPs0cymFnqZKF7LhbrVolQydDhbw0
uqVxkHUqKyXyLrjG1/4Hz959q0Tek67xAstRmljJQVYccWzB2RpPlaqUgh9WrKFAFsXNgzt60rrx
JxZbYLaXeETOU0yBFLsAoya/x53EX6T1Aa+pSfsfOXD9XzaT+I6g5qwhpGhoXyVeNHCdnoKJ8XuA
t5nZFs2doknVJarVaJdXEWaV1Dsuog8VFIVFP27WIhQDo2Z9vauXlM2QObX0YJjtLB3ndo/o/QzC
658LsBXJvSZ76pJsFJAAS6urvWjcxChWCD58w0MTDWvPgsGFmG21l6dGTBGhnuK4dx253fzpHvE5
/VC+/cfpVYA7sk/gDxXFSbwLbXDQIFP/8fuqSrnyu0Tr3tQ2TRA/UMKZNu0nlKkRV7kf81oP5PpS
Bla4FX3BtKnoCoMB6gDV2pI0KG5TZxMF9jFB6BKWqMURKPM4jJrK+ctVi/7Tta//c/X/P69DQrA2
vHEt6pQGgOCZr5NYE8diEXp6GO1FYVKEuOOFn0Ixept8u7fOWmijf598Cz20C3ibSS40UsU62FmW
ne0h2iQTukM05Ou1eeJo2poErI8HvZOeTUub66pcfJTRgCAJSKh7eBrqBgvgZOPbesS5QEPNaSKj
RlCb+Wv/MKMGb7+4D3e5wpJs5lUOIT9OXz2Et+Hj9cpahGlvPUqZld6nKsU40HknzdGSVyynqg2W
TlANRBgiyW527nDswnZ41tKfYTKmr12cpntNxzdOfBZMA6wSbbnaidFBR3HBT0sAo3LPcYL/gfgw
GfeklfgfXEPdecT7L71vnLS4VK1xSjykJQwjDLY4lSuLsrcQNopz9y4IJ4xsVAQfPBxvgZ1pD5oc
alszUPxVZYTlu219SDV80C83uo3y8r+//9jBfTl8kqIyVRwEVNSmVd3+SqYfcY/CfsRMnk0YkuMz
1jj6qvJDc0AUetG0Da7PJr5Tflvc+56nr0Uk+qmsWSU6coyKGDYNmXdgYJuu05Mt2uWc8Xw9gzGr
NsoMV6tqq7XInxeFmd9lZjP3yni4iK4069tVK6X1QoRiQFedB7NsAAxON1mQcw7IdzyJSDS9q+SQ
u8iqtEB+4cDCW7LGCmkb5LaXfQhUkk2mPy/lOj6gpai/9FjnkkAZnkDSedsitMK537ZGPcGhxrmq
W7BTp4f4+siLRxne6hpVqb3XyEiD8lrCJHCszjpFr2uDHAluc7ERfxrwpyniDmu6Q0xOc/ND0Vys
v50cflzrNRSnnKjY13+uSjEiYgq9Nk5atvW9R/ODCgYTpV4+1bJ59yUPIMJbXzAgnFHpB9GT8To6
3lIGteoVVNlcfebbqb+DASI9e6H7rrP2n0XU1Gf4xPZTorpIQ1j+mbKT9Kw2fr9HjjWYl0YjPUNS
CtYmqdaqA516gYCTXlirw/uKP4gfycYDxo7GQ+F32QwhnWIv+pLcWWNFM6xdxAr2kis1qO0M7d6J
VRudlj+xuLrNQf+K3dnUcOw7oeUAQU3BMFUc4nySFzvfzZ8EjEIAJ8SVDpN+1mcOSPMh57CHHPen
eUYGAwx1rJHtgaKfFUQH5mbJDkqbQtHItWecUz2/nxC9u6E0AgTncc47lq07+zItLGq0PQU7Th5d
fR9VpX8WTdqX0cke7kRANpC0M5nl56xRx206domOSAFzrWAqPukKadspdPgy7e06PLLihJe+wlsz
6+I7EeVmlFC/CKbVKLyIJokpcY3wq9he/NWn5z57+dzGPrb1j2k5/KjcVnuKzBx1UaJ8MnwMpfFT
RM3tGlWJqj5FkftprIUUtSD1miw8HFd3KH7LO3FVd/14vRJ98DDRbetwjAuauMC/zs53Wqa4lNus
Jo1n12tFh6eYhDEu79S8t3YxDNs+aeKDarvw8aTBPTVdMi4lSp0XVL+ChZ769VNqFPC5O+oWfRv8
DDlPfjdSha9zj+5aGKBk2AYcOirE4i241B70juaQFJL9YfrVL9es7dfUwVpYz5XkKYMltnBtyEj/
e0H9B3PX1kBUcXhkUWUxZfgLvCoyXT/tisp68rHAm4lXb5c3xRz70ngn0te9BFM1l/EREq9eMZoE
1e9RWYl/j97uFaOq0W8b9AXu/+1+8XHiBl8FYWyUpTrs06IH11Kj7fOFEWA2QO45DLfY64oklh06
3UFXg2rOebl7yksXNSLH7J50Du0NYFdJUs+6HuQvox2Mu97KpoosIZlCeWl72sAiSWh6KPK4RV0c
sVnIXgwjmxdDEa8bA40sD8WUDdyfYm20qvnUjMZFHASHGusAG8DzQ9ghWVp5crH26tB6klrtEkCV
2niGr2+0vtjJVZa+GRLQfFwblaOuIdmFFwyqZ5nZPieV+Syy3H+mJlX6e6rVor0vpiIZ/ZJ1ubSA
MWkddRta8gJl1yW2LM0eGwv2dPgb2EeVEuxRqzv7Q03Gi8lD+SFrxU/L7803LU8mY1F3fIG1BiXS
NNsnnCZ09jxq8xCH6bAoGpIUslS3S7vw9XOKasIKYLB/cstcXveNXh/MTrc2qtQ7O7TUk50mZf3W
6jp5j210thlMyIBOgNRI0+fWKUfoaGnaw3iH3rtHCbBrLhh4xYswsOvHqkTUI1XT7pmFC1E/LH5f
A0uKQU100rs1jq/8JOV3NgBHC6HQn0aXrPQm83ceRZtN0fHjtHoanwfcyu/TvPjoQ015UzxdXlSe
UuyiCiKkgtGz6McJwFqXYNtWPe4eb75nbPzY9h+75tzzcG9HZwg3OVRpmFKIY1PUir7rBSKiRdT8
HAo8XhqzyZ8CN/ZWqiFp+7pIvaPtGckylgvvJerM584ZG7Rew1XTGPrKzEJ1M3CmmWda1FySzNVW
WiO3ews0Kwuil6+a0s8fqiRkufS15MMoxpWSl/UesR5kOqLc3lP4t66NCNE3x9S6NPyFGFAspStn
4lJOsBhhFeGe66UzXWr1mO6j4NPHiMk2Ss/oYmbxVpWcatF3cnly5UDdNWaqrjxQi48AHlNeOHr6
U/PfutEfv6e8mBGfSeV7tUDnWwp1e6NLnnon+ZjQe4VVfFReiYgP96S2jdqNnD3liR6tGr56e0OD
mS0pqQWE1+9JR2OmrrZhsmM1fAjE7mNqtGmXIvrLZnwA+fm769ZPVfJBRJ2LIQkUg+r6Gf/PPvEh
4l/A9fk10YAJmIFtLEDZe49NW1SnOrHvVCn0H0WXadQ7DC6HM4o6/qPtlAgrg0Fei8HQsBPgZBQD
ROioA/k4c61bcljNq75dQq9DTXisz2Yt1Q+1H+y9OCKNpbTxplAMbdlOWS2o0ziuqE51LjSteVAb
79M0ZEEnbZuXyVZlk5OmS5wOFK9a2OWhN8CuiUaESTTw9zOMFOMdU7tzlQzL72AHNZd8peiSOuMd
qZT6d9+IeMwCGECxFKPsMvL/sEQgz/D3DTpek5MxLXZbBg+nonz1hi20NBmzMFWfqH9SjFmx1ua7
brTXJnm3+2J6kY9odkPb/B1NY7doGhMz6+m13v9t5j/vEzOr6TP//At/7guQj1qjZoqqUetSTnGb
jvKKc5CrFsykbQ4n0SOaAVDUWkKEaPZloDJjTgEiUWzb2CM5ZbrDuxgmw1Sm4wHPTkbpbkQkGr0K
jDULRTlXDL+LQCCiQdo69rD2U2U+gluCA9g4Z6RU3V2gYbmehs5ZdIkrKaBc03ijxBvjrwGyW+Uq
TbzhFDrVUk9GFUkvNqxDUuQLM5IKYCep8eArobxn/xDNhkT9KMnzPgaK/XOsVf+pVNpuNaSuslNc
RHt1XfNBDHvVNs8QmSIbBXurNi5YA+UPUZ6uhW+umXbhwWjIDYqwB6/IqmXUq7JHkXUY1WAuYe6c
5c1JitNkQU5KBX+fmTzmnZGdvHI54ht5iitJ2rKVqJdtAgl2PYzjN0iC6FRGKMOSmbafmly9aBRb
vyctJRQsv8sHoEF4AmtU0v9lBtnNbFG7irqGyKOsxrymqKEmyZEzcL5M0OR55l32A6KI+1Od3Jkb
1MdhFusb1yo9jk45XglWbNx1cabsQjIlS0gXxqucSyu/N5LvioTImJjB/17eTaQzZEopX1U54jl+
gt+wgPySUm/mcclZWc0BuYA5DSS7218hcq7feIdg6A89xlkeKYJgVksVfNAqRL0eJ6VfnqKfSDNH
HyXc3lkLFPbFzhGNZFMaPQ5toCxcfpi7OHDqFY5q7dHwk2HT10BZhqD198i+ZZvMzuwj6cZ4FZZI
AvAXQ5RBo6A8eEi748kejUetGOBGqJm29WRpeI163gF575Azd8tjD/9gJvp1txoXmt8zbVq4+qL/
NE1Gum1WTyuYNKR8Wm38nhZFULwj5xev9uhF51eIiEL55iF3sIxN2z/UYVGeYiVyIb806oeC8ogn
m98DWc7mYx05IKMcdVfVJU7mplq8RFlywtvJRO80/plKXfloFUX+X1tf4wuzYLLFRacf9WsMOQwd
utvfkSB1HylW3GTDE2gd51Lqz7bWsPAil7EzWgfGAFp1b0mAWJYp1c257QrtvlcVpDXoj8Zo2Q7d
Au17e67lfbQVBxERBvhofArFKOYwWHDm985oxwdXCbqVX/b5JS5xm+7JdrxpyXgfCFyuY29zwyp+
VWb+TRti+0WC4jlPOiXZUvz5VdeVvJfkiuJNkw/vvpVeULdSH8qp3weMv/B0bXjHyj50s3OHD+j1
5J9Fo7zqRnStxHlf5AUocPXHQMUowowtvV4bGVLthaGFaytu2VlCHKdWaafl72S61SkL0NLtwQpT
jw2S3HcHEePR1R283mioSiA5+mVATMG6jVvExNop+2Vi90+1bt4JJKHAHsJyjw9TlwRp4N7PrRiJ
CbtbQL6Uj7ZVF0tLng5DspwjARL0P+oA5qrqGb8su7gg7Cy9IihgzKOwVO5GyOqs/wq5uD+3Y0fy
+3Z+c9fbTcPTf5VBexm1wTs3utttrKBPzxW0glnmmelrWQb1CgHOZC2VVfrqW+Zbg4fGXVCMwYMD
bVZ0D05qbxBPQOJnuinFnwWHr9I96L5cvwTZRtfc5BXDM3NPlbici7CXhgf4N+dwEgRKSxcrLqN4
9DAx33eKhlzw1O+l3hlQXfGo1QNatqOC1Hi+0uuaLTg7+QPg8c/NrU+26m6pZyh/iym3ARGCFO2W
cJYsHPSqYdGrSXzvFKmzZLsh86IM2nUQJsXBK4ZsG7Et3CUgF/YaD+hGC5sGjZBEWclei+1WOCYI
zIb9JY4dd47YdfUU1SgM94rSvMpIoM2ScNC+qe5UA86zn2VerYbIdf3ZaKwRdkQwElPAWRN5gTeT
M4owrlV/b7zgQcNaLfzVAqbYiooZcrO73G2iexwfNHxfgp3L+nYvxqjoXMe0iRT/Z0zU5P55n4MC
56LtUvXKHnD0wARU6vgbgcCEG6vtstyfDBThSNeeJa30Ls6BuvKNbB4c2ZscCrxfMBW3vpsFb+RC
FBaKPjoh36wh0R7pqyRUrQe7pIodIM3yMzTnPP3Wj1Ip5NmoptLFVsZsXbMZ2PUeckkeumuLQo2H
t6zw9oET18dKxj7PIpM3I/Hp/QJymqS69kvK67eM4vKL1UT5orCb8axZ+bAZNTXfam6jryIp9vco
pQSr2K+UvVYqAdqCRbwE9BW9aF38jA5A8xOUy6qJdP/bEKHbkZuDfwcxgpWmSP2NV7baPSrUPsdi
1fiwune2zNANYsx3j4GgKeD/0O2n+iTSxP1RDIAI+n2lK0OPvgE6cvJgmHdtV7+VudO/tvYwrKxU
J9c4IUpqRV/IjeQ8DnFXHOA14QhT68Frk4XA1fh6bETojOWxqbzuUrp1fd9l0YM6zXIyLd4k9YAo
zRSSvCPzKfnfMT1uTtQT+FXkkJFuIKkxQIwfTRly+X/AVkPTLiQkp86iy0qtYFPG/ppagbaPox7C
hWc5az2vWBnkWEJ3uWkeI7M3sZBou/fay+9Dvh2TheIyiqIMd8kw3w9a633UowKx3wv0J3k8XTcG
UvSdhfrZrXXtJa+VEfHw1F+K0HHaZi5JPGnXUX6sDj390//O+5j/ePehkUiCWAXBjwHWPxjeSjdC
kTYL6bFzUgVsk6bhKDW2Z7lLol3Vle4KumT26GZsS3Q1sX7k4AK9mof4NneA17gdkNeHKrkKgzx9
zAsf87xMM2/TE4zTrh8dQ3DdXedOH21MbJLKxevoStROxwZIfRzvazK+GFIou77Jove6avV5UIfp
nR6V6ibj3LHBDzK882CNzk0p894TGNkem3JxU9tZEVlQcBpIZs/UaSXIjSR4tDyMa6bqvI/g1SOC
8TPBTBBjf6IhGr+OTfeBcrH+Q1YGyNzXgxKMEw0NA9nEgQ9plS8wOtI3rg6c0HrUKO0uomaI8hc0
ImdAzKI1QLFqb8sd3ExxWTaUI+upuY6k+uDMRWcXV1Qix8FGm9IASWqOk7XVbziMuPqCifkSdp2B
z8BYm/oGshTaQA2q4T31tAdLUdl02m2zV6TCOtSR2S4rpDWekCrx0NLkF57kB8QYjB/iJoQ1uckK
m5WsceYXN1WRx2Pp29qTFeds9eOzqub+j6brlrZa8ZQUXoZlBWAY2H3frNocXx2lruZwWYyLPETQ
YvFsONahLm3gH8rbSI78owFcYIUxgLRzfP3Zd0moxYBsDqTonD340HAlJWP3mMKJm2w5hp/YRYS1
zhcEPB54jzZ86iK8BwKn/H0TiXDklKebOLYWf24aBFKgRKqrjNXgelM4/UvTsen6L7mq1D3KLtLt
LQCgdas76MwC7Ayex9r7phi2cui0KNyNeYit1ZRlrFz2slXfext9ykEWWAvM0Md1rjlI5KUwTg/G
pzw2Js1lGZirYr7m7a9qwrnXTd2vSvIpG9sIram70MLsDvXm18RKXOTR4OpWlfqCjKF7El2iEaGT
xCsS7+HhS79eqeq8SbpymQ6XqNGGvT9pH1IBgUw8Xd0a0Rd5bb6J0gMrlN1ybpMf0mgCHMeucVAm
CqplgqdV7dQ8qBPiWYwOjWwcSufBK/tqqyaR9hKNzooinfkgYw98X/rdQzyRwDK9cjZKEpkLaVS1
pdSgB5TlZbrpyL8vxFOr2EO6cQa7uYZiNDHzrasMayOvfxk5bMweoP6KNI5JF6EUosUO/vPiZj/+
j7bzWo4bydLwEyEC3twWyhuSRVKi2DcIqdWC9x5Pvx+y2ASHM93bExt7g0BmnkwUTQHIc36jjZZ0
rp3RuogX3EDZhpZcXm7vvKptNhPZebVbk5zmdQbzq00vR6in1QHoal7J2GX6qKIGwbmIgvQJ4e2P
/RO7viEz0qc53mhT51VXz8kIwj9t4NjGbbDRxScK0+LAqz8azlon783J4A+QBtMqbRr70sRB/kVq
/I3YZ45ZWxxS8sNuH6vt0zgExa6wtWgrCoVejD9UGuvOOeZX9pJFD4WsjF9Bnz3fQDBgvbT1pEm4
MkeVdcRzRbrYXcP2MmrKb0YTP/hzrhNT2KOJReprHw8RQHEnvC+90Ds4Ul3vQt/RH5MswWkPrMrP
Rt3qcf0rg+vwmuWPJINzSIR/nkjS556PQxnoBTy9PsRkZWO9ypD7RMkB7MtcI7JIt87/TllNyUgN
FX8rRjtokmU+/rAt3CjYq3v8OV2oBA12O1Z8bo08RHuttl7btNrUSaP8jsuhjBdvPF0TXpIAApr2
Ngl750vadM8iokpDNqxh8qUpknLX2ll4UJK2fGzn5JuIsBCeKIxuvBTc09bNrDdSzYdehkwjB6my
xhJkZF9vRnRaSNcnrRV9SYfwTlOT8kE8fLAoZ79PPVn8G89jS6vR/A+t93mexz/i3z/9Hdn69+f/
DLeh8qNQqPt3LSTNkGrJR1X7eXKOlaT07SFMwSQ5jt6tuzwyT4IYIc781mMDpMNxWke1J4El67xt
myH7AzkFHj65iVOpDzbVc/k5ttCDN7lV7Ua9ibaml5EVnqHFAmQczRo3TY4+UQlhLUTU6GRyZ/1q
6c7XzI7Ve9GS/QHvn+g5DsnaKGbmHblvV2s/szBk6fKfFkC5a+HU0l08dcMqhWF2NzpSSQ5iuAZN
V0P+a38aKNW+VmTWwC5040uktRiHV8lDPPr9XR7BQp/lv+8qx/L2kdLXh4rdacoecjO2Zfc0qPJ0
TsL2N2VSu6exzFQ3ajp/azpUFQqedT8dE4M+fnf7WImkfek1P8YKHbhUTwt+H7627hWn+o6s/yZT
C+tFH3VvBx0425ll0V4Ds7gkQHlfk1Rbi7qS3KBLhOp48GBF5bWXgugwDKF58jK4KOLA4xOEYl4i
tzbzhGZeVferV3neUqHB1+xbkHsIbWpydbKtsbmnJMajtA3HjWYM5baKPf2+4u7k9gikb+0eRMEK
1jaqTW1sPdqefK8Bg/uuAJhZ5UWerTyrKNjwjNtctl8CI+t+2HhWY5Je1ZtoaqOdWcmKyx2gf3FM
M1xhcd/97kOHr/wS9+tWe8ae3PlldNKVTfG+oTq/Hi0YC2Osuk2jNKs+DexdrDfOKR/qYW/a0tGb
8myjjLDYkxrrDNDVL9hrD9sOXNw291p24Flzrxbg92pAhz/auH+wKbb+QcmJnI3luL4X2FvYIM0x
ARYj2H4E/EkLzMapg7aQnAc/iK7iUJaycpJiIHxzVyxJlYtUvLEpjFy59NYI/6Avvg128VCaWfEM
8PZZqZzkHhEl+UsuKV9zX7Hu1KioL6NRPUAEANKfRhFbuD8iuc3Ocug/OvC6D76VhjpE7Fw/SySg
nc0UmOkr/oHGrmjlaiua0mje2wXbQ1Pt+rvWxPvZl7LsVZeicF3JbXBSnfYCTNMG/4yKmKDRBA5n
JZpN+AD4Ozxa3vrFYEwSk3TNHCLaqI39Jll5tu688QuVkey+TKIvvJ3Ud+MQ8U2aeuXY93X3Vba5
UwMNT3ckSX7y3O2vqd1pl2Gw9gZuG3jZm0gCc3YVg/Lo9ddusKxjMcU/qDES0aOQcHBCdMlu7RBF
XCTr1WTlDVm3Kcgsf+U1pt0AveexNjex0sA+BWt4GD24s4dOMbp9U0vIv5hadrqdWnrLNok3Ltvt
597Y5wFlq5Ib9BjqBM4xq8eHcoyMezttduw+N5hp/Mx7hTe8qMGT1OgecE0qUFy3q20Vvk4VQN+I
nc7YRvWvXn/qbav/UseBc8aoAe5wmUCriFtIJBG3dCT8vL2MrwSGG9zTU6ktHrL5zNKVh5Sb/kl0
icEur9Nd32u+K5qAm9I7Sal+xJSE89oynqtY7g59bVauaFqhP5F5i79HUmY+oy3cP6Ztjh8ArSKH
sRn6XbsZ5EE6T/MBNNnbGY6b3a4LzO9L1xK2xDowiiltcPX3mZZZn0Dx/iq9wj4OZR0d7NZzoIQO
6T7UFf/Sh2G9CyotvqOUOG61QivvJ7uyNk6KtEff+w8OT+Z9nubpCT3i5hjw9d+3YW6fNZRSt+oo
T/dD2eQbD/DHY4tRrpvovfxcJNeqMkAd2FN6Rdc62nd6VR0i32nux7ANyXsl1avqZRe55JuOQwSG
tFn9W1S1mgtSL33QKLvuAVLJ+65oY7fMVeh2ZFEPislqvSHNj4y+dG1LU76bbCxUuTL/sIv0SeEd
wq1JKj70Gl4jRlT80iGVBdwLX/2OT9gHcf6AuH67r8bmzuartItVu98NBlgZ2bLJLZiB+iIb9Q/V
TKNfmXkBpYnAAl/mB5Pa8ysq+4Vbdkr9iNxLuy2TJj/bQ3Vy8CrbeL5UP8Awat2sphJQ5oMb5FXy
hxywzXIy3klMG7cN6IX5aZo046KCI1kHTq980/vxQg7EplDpKNyyt7Vslt/DwMApypbLI2lK6zGr
+z/gVghn0pQdcW1e07qNTlroo+SXduNd6szbF8P4ESmFDy2jwaY5aNqd6fOKhGTRtQWl+7sDTA5b
83R8HFO9B2Feydsq69oX0hMUSIgI5xdnu8zTq9rXOTiAei9bfnKwJsc8KFOUn/lbxrtRbsx7Ry+d
ddjPclVD5OxHNRzPWQEcfwgd79nQ9frBqoZjDDO11zBGKyn3+kOTXEIE+HZUkJuNAHf5/C7XZh+W
BwH9ahE2ByliN4haAf2qW3vVomn6LMtd9ih7OSnTxjgZVZe4mt71h7ZV/M1kK9krRIw/qLoMD6UD
tSPXgp/hfM81YgcDEKnASog87OjI5qELu3E3dHH26Ku9Q76yrX83nQoxz1b5Q6JkgbGL9aWU9Wmj
KPGrPVbFOs805yGdDxDs+5Ua8Y/qmZIqrUgEKeupsopNgMP3gwic/Vh3dqQ7q6UPZTf4LQY3lnkV
EZYYg/mAid3ccVssMZWdD6qh66eXUfKDjZ0X2UXySQDCGeT9udOSsxM5v1mx5lxmf8A8qJ8mTQvx
71YRrHVguVfe0XJs5VJAUHEn9LWBniCK7yS1esi6ZLwv5kO4z8YUE5gmCfcFO4W1brbqC3Kn37Vq
GH5Rn5tAKvOiwm67kpJ0VTdOvunJfXO7TPzpKGFwFuiScR24j+zlUYrWSWkqX8zIt/ZeLGWINGZ8
X5XkG0CYZD3ZNS9ccjGeJw/0SKoZ1jYytQE9oDjf2vJonfOybTuUlNonI7fSvehbDkpt/xlS2yp5
NQv4F28jKBLW9Ytd9/Uqs/Twa4eo+7pLDe0hdgK2qGAhwHPvIm2CIgAhAXwPQpC9WvY4ozaXvtLY
ApKhekqpM60gZQ8YetOnpBpGf1MDqViyHyIttP6gFoULgtt4vv3oa7wlh6r8XZak8QjydDrqEkyT
lYd2cjjOqYlS6nkRjL9JdZi89nIAYB040AxctkmAB0dQ6R0CaJrpxoNdbUww9EYQUpD00/AsFxjg
hRPmaXYhS+vSmlRKe473OFr9o2/6F7jRfoA4kESCJW53nlLlV/JpUJKlMoPH1kAbN3lrglJbfTHz
MboM5DVIhTTVl7jI7Tsn1p/5/zGfJwz5Zjr4nwxxa1aLWahgJbu4ddlRABYEcTEQlbV31xS/i4YZ
BPImt/p4bVnV9BAjjbXSlGaAmaBND7c+1D52amKDvZhDxAC7BTRSJDRg6MHXNXZlI+MFeNZIGxyr
PLdt8naWaEW8QTbSQOarrxvqsMTcTrkT8X+VyN0WyXx0Ew0kJyUZaneqON5FHPg3cA4tTCsNbZGL
UZk8ANLo2pSYVsk5t0XeYK2rMuFv4/GbORiVYV1FH5agRzWup30e2dgM6TC72sSkCj+gBidnaKqU
4x1VJ+1BHkcDH6/Av2LWU+1Ga0z2uF5TDvAn2GjjnEK4B8G67gxZ5zENctMpVLg4kf7aQeq7BN3P
UcsptLZjsXVsErdFGFvH2qt5F5vPsAqss1unaItDY91R5R23GJc3G9KmlCgKmJC9lLx6cRD/hpnA
rIgiNV+53ytuE3n+E1iUcKNHlXdvyvxThPF3NlcU4NsK8H5r8GiZm+LQOyqoWsMhOwCvjSF1sMxj
1q+lPlEftPox1GuIjbKJ9AruU/dIIqCcLDtVcvBMTMyySZFCvFbJB+ixkazDSdKu4lAGUAJ522q3
ii+/9VVN21KwUcvDkFT6La5XlDsKeuY5zg1nW0QzTtxS9GMTkmlx0LB+VgKzfuxrTEMRwX3WrW7j
xLJ0nV/UvbZWXjQQq2cSBHgazk2jSPGMG/tom6pFVKG1iwNGgfz/DgmmhFps/rvtRTnOAX1/5LsW
smPWh6uBkoY7Osm0MxzPPsWV9DWI8vixhyGpt1X97I9jhZ+3DempUTCBlapnR+sNt0OjmjssTVxY
vJ3SkZrxGu/OyAFVQd3y7rLI/KlMU/Tip1F1COWAipDjxy8mbJmN3tfhXozCiEC7M9AL0CuMYjOB
ym0sPcm2Lj/y/ADGQvdgdfAWg9xcmWw0T5Y0ARjsDG1vaHWyRkXEhDEV1wg2gR6DB25+SUkl4F9h
y2vy+oyOsrIrch7vUmwZpFgC9DuBiW7EXNXp/F2hFO3mNrcFdMbTnjzfHMwbXr3NJ5DxYjTuyP3p
41TemsC0eGCNg7wVwVmfUN/EL+42KvtxtqlaEmO3ucPgrS0K2jsRrHWNuq4C27uNJmbdom+RlnsR
LIc9hbeOkpD4EeIpkFwqrPEOMx7sZ53uvkP6fpuGU3G24xPok/AZV85OkftnSbG657QavsKici65
ng37soO8KWlDf982SNCFHZbjmhSat75G+V5O6KndujrECu50is2eXKBzG7FjBmgeHO3e7u/FGlkV
JmieZJi4ZYObWlnPK15orYFPJyffh/gN6+33jOTU9wLnPwzkNOM+9YxoHw72sWmm9KE14i+tHPsv
8JHVI74WKF47g/9SxU2zJdc+bsUo4IHapUboHMVorldPaZ13D35oa1/b73WZ+ns1yOV10RsViiFm
ta7hre7qiCInnhbIIDkF7iB48Fp/nibzqa6kpep+CPhwqqdKsY3xpsMK49GDhPnV5Md7cnRgvIPj
f9X4b7t6SX4ULcno9fvIHx9FK5oyJFCz/nfRqvihoW+HJeXWMvg6VWgH2QM1OrFq1Eza1gOZso5M
SbsfPfntoEsHS+r9+6WbF/7imHj+FxG09Cd6q2yCkUrxp4Hcj2Rs52ALLMEihHwEex10zPr3y3kd
G0ajUpQv8OG3Yd+Mr/ZkeuupAdQ8Kpl8kVXSXWCn1zZaL/Dfq8ANZ7MTcShnUxRxlmiGzdc74xlu
4X8i+pT3syTH7hAz0Le5y4AIFqN9K2GMPK8sRiH7YL9i9jg+zrnX26p1ba+SegK410IqJsEyTtkR
ubC3Q8SrwjGZD+JsGVjiloFPcf8gZFl+MhuQbWL9ZZ5oLjHLlf5ByKellrl/+Sn/8mrLJ1hCPi1f
+zMw79Pwpystyywf5tMyS8h/9/v4y2X+/kpimviUSjeW2zYIH5cfQfQvzb+8xF+GLAOffhH//VLL
j/FpqeUX9l9d7dMn+K/m/v3v5S+X+vtPirxDxduhlrsIhPBqF85fQ3H4m/aHIUpRzMoS+23Wrd3q
cX5b5da+Tfgw7T9eQXSKpT7O+utPtFx1iZGpO0+bZeTjSv/X67OZYevd6xFv58sVb6verrNc92Pv
//W6tyt+/EnE1Rs4EEbZd9vlqsun+tS3ND9/0L+cIgY+fPRlCTGSzH/yT31i4B/0/YOQ/34pMPXt
esThBw/fsb5rh8DaVCDiXdEMulkyQM9qkDuMgtEy8Hq3vbVk17m6S2pM/erK4Y1yHhaBw+iDiQO8
coakXh3VHM+mtRj2u42uJ84FzC8MOtHVTU5yKh3eAgu1UHfqqFlrnaISXp6lS5kB6OVs13YzcxO+
bsLSDc4ekp7i1BhmD87F6E213iYuXYsVnOdpESrHdfLdC2vpoCP57GZpGu+oSZGPktMcm155r5dZ
c4fYUvaIS6x3NpzmQYyJqJJv7tYxq2ENLTx7FGFqjJVYQLLlKELwM+UVKePVlFVFQFLkYLj0CLDg
fBEx8A+vrtrdg2WoHknU/3BlZ0R5SfV++JlGBi6z+8sEEmtcmWh/XEQbs8nAHRLnbXgZ0N9DTF0i
JB8Iyfu3aWKuOIg4530Vo4yDba5D3lUKGC1aFVEFEKfiQJYQkdKl/SEotu0L6Mtx92EOyNM/wz/0
Iq6Y2O6gYVUr1Wj4Y/1m3nVKaN2JswTviq7L2sunfl6IcGFOYv6HPk0YmuDcxT5qDX+uISLEoWB7
iwqU2e2WPnEWJFa3hwb5x6d+sUiB6XdVTOZRDIouK+m3qTz2hxK8PZhJ6oQYORn8iiw3Myvn1i8G
Rb84Ww7A68yTaE5CAE+c2hRTvCp6myum1XrorUOtavA8S4ctEIAO29lJdVbo69UPq1IhSYKpkcR/
LRBq0nbmsI2cvHnofbl5qJTCOlqd/Sy6ln7kt56NtLHZaxAqDilw5K2p+507zjNF3+0aYqWlU1zH
tvzxdh0xIBfTtzSv6p2g6YozdKCub3zdT9RdRPicYnUbu50Lzq5g7yILC9qhWTvocgbUcI9yo2kJ
uuZlWh+lUjI59yS5+pfzRtEq2RXhXlN1w6lRVHPl1126riPtjTsdS61jk92AHb0ctKJGrJNsvuj6
EPKZeS3G/ciGjv0hVJO8XkwXRGzkC1YhOv8Yp5Gz1jWI0nVim6dgBkXgECn/luaoA81OGktEYCoK
osE9Zs6HT6CfOAV8vhWd1uwWCv/VIAGyzt+xQWganTLTp3I0ZwD5pjyGVFERrkQWTxwQZE/xlWu6
m2heIfSk57iGatgtDqhFv0H1pEY6rqivs0LBNmyqaB0g9R64IAUz4CBptO49p7oW/VhdRZ8y97WQ
urEcIke7FW0x/GmdQY7u69bzD51Z9+dONrqz01MhXol2hAr9yVbv8jYfsvVtgOQTeIDBan8EmNtQ
uFc79Jf9Yr2s0GbR21qf+oJ5PU+9+9RtyqG0k9Th2r67hH54rry5iFbe5JJDUD48YW6PHUqAp1uM
aH+YeXvI9F6IPzWgJxeGH/q4EhXTNAlfenhhu2w2mxOH5P1sFKZyS1sMd318m/GpXzTZQXc7kP/f
6r61pxWJT1hTDiTmVA+ly3LIvPqtqfvNqgUmchaDov82t4ON4/pTNW2WaWTVvXVXlIp7U7vVIRxC
g+oRA9S1MAQErJQbyapftbFN/WOTWf05izI2pmFdHqIpKQ+xltjyY2+QO5AHO3NFTDUHxoKqMDog
o1uqbuQh70SXHai5y8tojzxIrcizJ7qJXvFgTXsec8o9ZFb1Xpyl+ICqU9heln4V67ZzqhpoFxHq
yIBqV8pQGDuLjw3Fj87lQFqPnwTU9zqUELG+DYe6g1Tl+9VEdD1fcsAwXVxt+QBBldXnrtZvV/vQ
nyV402f44vWTepiSsNyRp5afnDZFqFLyzJ8qdh5Bm/Y/7Cbr3QpS/4P3Hhtq1vQptre+VVwmKdFT
9hVKAG2NOFri1KSTMn+vodfU34ZLMyQjCdLhrS+HWJUPJQ4784zbZLFOH8xJvTKwV/U8UqFjpqzF
iuYQ7EXI5ynz2lBrQ1TfmSFGc6NcJ6plDeY9mPVsY9cIDfOnM3+aATwRJS6/B2aErodRJ/dlFeP9
i5nh1oDn8ixihVzLv8bK3YRT/QT0QVIraWUpPJIEZ6DG9QAyTExzhhHLeLPfRgXbQIxaNkAHMSrm
5i11SKzpdQd3d9Zxderkq2p2OSBfTwa+BD+1NMVoOTtRidE0x1Wm0gE01Qoqv067wme9vkeoBAbP
fLYMLH3BPAqCQ9mZEWwFEScOPWrMtwG4Gz8nKnxT31NEXSaIS3xaSVxiRO0ERWgWFsHLtZP5Q4G+
qi8lsCbN0ouNOQLHC80heoUHhR2M/OrzC6BYGCI13LfKa2kogKyK8WnMe/h5UpxQCfeVVyuTLYqf
snfxk0nGAJF/2Hm6WDVrsuowkO/9Z6t6g4o2hiTh78PL48HobWOneB3MbPBZK/TDunOohv5LUEwH
vyTb39jR9JyXuTvMwmjw5/I7tcU2yp+jIC3y7mziMSNGnVgt+VFYUoyKJWHl9WcxGuryhyWzMaNQ
zBp2k/+kpJBQYXByEPRW+ygjOH5o7cDcYnZlfpWm8E48h5eIBODnoQgtYxvUBqLLOupU/aqajHIn
3pOnKNROupW5n96VIVXyBj7JsnYyorfRtz4xEtbVh5Fx4PGzur2qU/DZa3n9FM9WjVqSoKKj18dG
7qX+7r1JUdS/iMOUWQfI0cXFlPCzY6F8Xyt2+CgODgCPIgaLJ1poW6iXUm9OWqdjAJOO6bBL277j
JsuEie//o5UmjTv7b+1ypOgwiWnkY9G01kWEjKrX35n2tFsmqOYU77mDwqoXE6AyG26DfPot5nbd
Kb4v8jy4LaIh73gfjBQ+xaewgOFj2+4ZKxErDqCmkzXYpn6rz8tPkl24A64IT1KyliOMU/K27p9G
v1LdsMf4VvQNIG7PoKJ+OrPeq+gqcx2poFS+WHNXDzp9G1cmb5Fzs2DT96gZ38SYCNcjeKROCmWn
kT39OKbeK9oh/cnx/f40egModHEqDtzeJQlfi/eAz1Hl+4iIEU0vb/xyJdpInYUb1Zi625pLTJpH
o+cus8W6RjW+fY7bEqJdpNaz3Ff+7lOIWcs8UX3nS2BUOKm0jn60OykEOzjJnIrD0hbjIlIMW0hl
vUWKtrlE3oZEKAWJ0VV8dEZEkFhDnC2XxJtA0tz/eDURyR41QHUQZKKs1sO9hcDgOhqUeCOanRPQ
12nDfWdP1qpHg2L7acDrk58B9ZbD5/58OAZFqpyqrEpM7FRYZLCf1LHo73zVbwAnpdbWYWd5RdS+
WnnV1B9EUxzi1n6U9S46i1YZRcq1NYZ1hoHQfT63HN33rxAzlyklKhyXtjX23lhPoeu0DSoDTvpd
gf4dumi8THxFVMT+xPT5woMe9Ns6TMEplZULvKe/VpYcPEEEAFfpPYmDFpkNCCLDOyZzn10DVJ0m
CXOXuUm1vr3PfPVY6s7bBLUDwmBgNCi6oKKlG2vqkI2d48HeZucut34t8VADgXeZuNvNAWVXjq7f
BeNeNKemaAGjmaErmpKdaI9Z8TWNk7eroYpUkr40rYOWNDGom1wjaWPPvmVoiUb8ZJG/RmIdx7K5
L8wNQMRLWz9oEOXQ6ifAmwNElGiKgxaaETia3F9/GliaeLfo28AwwQh+1RQbn5xR87FKsSk2DejY
GwAf101fT1uq8EjX22FwlUN7FY1F+m+jYq6OJY+ITTTbfxLzIfd/ni8iAsRpbxHLFd6vLwaXNQAF
o+ULCN1B6n9rBGh4xRUWeisT8s7FlpoNzAwfIQGj/71qIv8YzRjrlYhuzdByx0AbHsShQTX1Ung1
svbN+JCZkDzSyEt34jMhMY0lg1Gdby2bMlotGcMqFr+O91Hx6dL/MJqQEvswt53n9vOvLpNjY0+t
2ofhlEC9iYvqCFwwehwAwD4OgZuEc8F/7snlyDmaQ/ZLDN2CKq/dJKUdbpY5fp8nq7Hz39YRA4gZ
/z+us1x7+N8/T9tNsqsZKJSViaGd81rddZFqHBpP430r6TrtPJYsw6tXop0TU4uOAxRgbCG1s+jq
xegtRoSXkHI2SuPAJZmniEixtmhKA+4R69JH8KmJy3EjOsXw7YoifICEtIF8Va1CO4zf7tLFCM5n
VejauMcTY4P7Xai7JDX0Y1imBtBt7vmNzyMPiwnajri/i3FyOaO9Kcqm2b+913hDeCDLJ93xBfHv
7Taxt0PeaGgd/9knzwP438HMqdRbf4byDmbJcwgO5t861SgOYr7oEhMU/n3W/KcgizLPFwN9l9pn
Ux2lbZQO8Dn64gxWojxPilGc/1NTDIiQEVVrs5qg1v7vsWKlJPS/WyaKaJX5VEia5IozHdDK7Syb
+4pEwvzvffTv4/CDlUAFk8y0k80nbSzRVIHxSlkIYPZfLberoPM/2HAnQAsST0O2LfUviuVDPqO+
rOspGOdB1wAwR0/a3O2lbXwc2Uu7ommUUO/RSJIAME/5i6qQhCcLhODoHMwb/W2NiXeah8gKnnzI
Si8cYr62Ou8xOFyYKX5vu7ywHmvPxE1yaUIOOXQ+giY7qXZuoz5iZdfI1I0zEuHDw4RMijFq7QkR
tPHB0znUoYQKdhmqa6sruHkNkRmfJ/ttgpglDraW3KaKlpg/GHG0sYDSrAu7TMh1tuMuV0LtWkC0
2rQFeTLdMLDUm/s8SW/cIjfrW4gYGFlghTJbdizU8Y/WN5QjqWHtiqjpUY4C+aK0jR26+csIV+za
zENj20gXxRz2jWY5IUba6XiMJfXXLVKHrAU6Xc9dcc3lwyQ+Wt8RsJgCDPtJ9CeN07glFh+721LL
hxHD4gNGVnL7IMty+YvixNYhi1QfwQQ2dtq8n7RDqdsD9Ye3JbGlXy2dyjiBuxX7RREO5ptIROtv
McsSy8DStyyD20+0mvie4nU/fCWF9gKhUnpu8tHY5a1e7Ju0Sp5R8vuhAnz8/V8DhhDDi8onLSOk
gEYZnoyGkJcQA5QDU1ubZfqxqc9NESxGRfDSFKOf5uYm8PQGjLXbt4Z2SWPwQINnfwPfqnhHX0Eu
HRIPKl9VIY2kaSL9Qm5Xu4joemjWcaX1p7z5leSGfgyQeDrBJOVPVUr4VMIMzStExOjFx3w4kRIS
o+McIs7EoaohSd1GPrfNsNGOZvc7lmYmvOg5Tiwn2iSRWqjQ5TEafeTa/bhLoUFz0CYlkPZDScJ+
4jnidkaZ2b+SRE9PoIELUp9hmp5qEFFubHmKKybVduJswrYNebfKLEm/4NUMa70fYQDODulzE9Wo
8d4JPFyMMcW6jRpyV10nrAEuEPBe2HXm39o0mlZKHnovbQscSeny8cUrQ2PlNHX24lnYDua57+Ci
UEsryYCz22owmigbOEcFd9obT1uPIu/WVITUA2o1H5rLqODV/dO5SeKHrtWzJW9m9qfWAo/RqlDh
XcGxLuasdkL5DBT7SM3w1PvlRvQNQC6n9W14npJ2ubKp5hV0CF0bR1GrjV1JxR75FHsTQ9t9VePo
aw3F4Cp3pXrfp2WyEv1Z2unrVAZG7sygXujPvJop37ypbI78AmqcStL4FXZbvap9x7sDCzg9FlJz
Ff2+mpbbxNMNEmNcJKybbasDJ2rQ2XwJf9OCaPjZTz52BdzWrl3RTHvcT8q9rKf+I9tBMPRmZv4M
f1Mb9E9EJPJm49WMkIV5e7NGbxLmE56OayQsEjhQ7/bzohOqQbIZRyu5gMaz7rNSklzJN3iavZ/5
GalS0Re+ny2jt7NoyC9thjhW6JvXgLfXA/+L2p04QGLX74zIw7UR58DVpwHRHCPvWhSpfRCxSwQ6
72TCDDCnXeI/Iu6XPSlVEm08Gdh/XkMci6SicI3OSn5vhsid9HH4zcddbDNV8ceIei6R/G2E0IlK
otBNwwA3UV+C8JEhtblD3SblWyTJwb03bzjqwLHWhowm2M1EORCbE2vehohxz4ffIIXGyUEztF07
84AYdRKbL01SXUapqCCFzHuaD9PmtakBD6e6ujSz1a7akfDVSqd4HAEmHnpbUrfDVEhfyWDdIjRI
P6t0RHjIjKBEZdSHlVlvHRfw75SelRPKus0jOorjHdrney3jY7tyPuZbY1T7tYgVB01OviNhp5xE
q2zDCU5lt0fPvX5gc+l2U0VZ0sPMTRjlNjV5uFwjOzLVzfjFUrO1oEAjj8p2GDuVtWA526qlrGzT
lC8QFN0kUDrpKfTGcYPqfm7ClEEWVxwCU5aPkjEfwJqn3EU4BVurq1AK2h8p90YqBfOICJ857X91
mvmYQFbQYeG9luNwDef7NWJfBjWcxGBbD3Eh+2Pymmy7WHpO4G5x9yvxChytvej/7PopQrJIG07J
GOirCRWOtQgUA8tS4syP6130vtSnsNi+lxwlrcMdkitqtG5SY900ZvZgFAkbTT2OdpXaJOtaDdlp
ygnE+VbGZ1SvfvRF6mzVTp6wIsCfWnhXi77G6SZ3kIb6Kgb+sk+e58Lwg5q6xIgpSVX3bjsOyloU
HheB6FvZ8kMdM8C9aOv1/RdRtbwN37Sj//38Vt7UNSzpbprTbd6a2y5vv9jhGvHLlaEOyaUfuy7Y
xBJUTyv7t2Y8s4yzngxd0jU70XoPbWYucjUf3vvFiqIl+kXEe7zo12eDpPd4cUkR6vxmlggwFbNq
tTjkhWdu6q6aVkufOJv1My9q7iBjK2IMG11C+Ppv8xq7hxQkIvu4xEqrj61NXsYfY5YVG4TXdlSj
fuKXYB7L0ri7/T5EE9UraNH8ApafiCrbLUx02ZlFFeB96q0pRj71kfH97vlVuVLUXt7UDXc2oS5Q
1NpPAPXdvQ+0GAyrshIaBPX/sHZly5HqyvaLiAAxv9boml222+72C9HduzdiHgQI8fV3KfF2ub37
nBs34r4QKJUS5TIFUubKteKmODoOeELJiwb58QD2BU1l/u9BnchOb6kSK7Gg9O2UKHerMwUNKcgz
L7LaG0/UjiGPsxkUUolkM7TPR0dUXa/xtPLn0dSNmLCFzCLib8Be2yAeSn85yLztjFLZ93SYusFf
+VLE65utRXkdUohmvChK08G2GFLtUguH0QHRavCttoh5l2MEBkctHMa9zIYY9Ss5fDD3g7UBnW2x
JNttDsTkgHsSvj/PQR1eaYUnFmOpqS/Vv18PKKB8M02O/NyBNcdPpF6H3W3yJsTPoHZ63HwhuwOD
EihhtGgrSA3bq80q1Fn7zkWUEHiFOGR71Q5kIgc6pP5HE7nqgQAru/PA3+e6Tf/7XKrqvoZJau0D
xhe+575JTKZWBcV7K+rfdG26CqRIbAqdXW/m3cMwFOH9UHAdo4KWjIyhrxqZ8J7bCFwhF19ab94+
ynHuK2xlPnvfrkcjTD0/2ZQzhvcj5qdWX1svScFfxizxr6PEcq/JbL6jJpXuhJN/QBWaOFENT5GG
8TW1DtQgJw5metQyOk+JrvshO7yjbTYANdW6KAZb9pDOW1kCvxwaQT6oQH671G0qfSkfQVzIbuPD
WF3Fr1GLOj89h4nKq6PEZYpQZ7bMqNzEJgfIAjj9e14M53bK1YFMdKjB6rSFKDYDmSPcEHkEl3wK
P9MFeCAz/GbfjE7qQ0kYstt3tJXI6BVHp3QAh2O06izLWtA2hWy0LaGzm+024pONJnCQ9VuYQdWv
OQpAARkCX9gH0jAUi/q71syhxKDpxFDu+kYYVql27boMFJkDxAU3BuonN61OkE5ZXWxQZpBtGp1N
vfWqmP0cLSBokNJLlqhT8tefYPLUpN4aKce594aGJzg9srR8HvupY55K92YT7mRoGyK6hSoiaBo9
TzWYuiILjP7BYLnPUc9eIchUXqiz79gCJHnsqSna8EExviUzLyDEZ0u/WIws8Z7HyhS70qyzFfW6
sTDWcZgij6YvEEH7eL7APOXof7oAkokfLpAEItiAyhSoV5S5dEeXZ0s0EXahZuEC0KcstsyzYQ8C
z+DYRypZCTdJfjQo5JgY+E8hBOdsJKs8kFpU2ZfRaK/kAAClD7KL2L7cRkIekP9oLGyCw8j5mk+F
u4G4C24rF6z1+ViAH0ZjVgYNdrkdyFZCeAX0tuX2Zg+TVm4aACUR54I42Keh1DQITKnHok4XelHv
E6uHNMHN5PZxWy96rU9BB6/qEaii0zYFBKvTh1s32dQU89UkEQiijs9TzPPULRLFiEKvbNZ6x9tB
9oPYDzWgS+/2GGikoz2CaG/1zylKDodJfPCpumTcZl34Y4jH6gyuZHZqjQ01QA0NmWcPy/HZ3hRb
spOFzjo9RmaCnbC2uZljCEqC0w5J1t8m/TDfzf7bpDEEsYZSJIG/ZKic0nsK2oC4UeBtxzF7nbco
lDjRh0/7DxQKf4XoF/C0uhP4MrZJ0hHR4t99fT1bw5PXeQdEvfN+ZmjkCoCm4JDaRYOQTtk+ihwF
fKYxoRilaHzwCDf+k/JQmQ7Cmr8hYRd8sfD8RAzPio5T2rYHZgMICf0i+xHfuVxwozP/MroL6Xzp
MW7D3sZElhEdRZxAmjur1NqSaqmKCrtiRLRfOzyfFwNIXC6tGEDnYcbYffFiehU+uB/AF6mWuQCX
oy9VtUJGJb0AejzuvEAZW+aL6hpYYYOdD+qw7BB0y5o8TCXyfhwE+/ppkNW1BthWnerateA9CBTz
d44MVQHVCSwgUR/U+pvMLe3nrB3PuQryn5mdoZISq7cH8Gu2qDGFBzdM+7mVw5niZ3/yeJ/jP3qg
iC1YlqgCXgV99gW8FMU9AR36tYns1rOrRIsCMP5EgIqKm95+BMfWDHMoahtQT6hhbOwR7FU9+Ha3
tV0Oy6pyoLatkRBpmcyT0vhuRZMqoCVpUsJQoLDTnyftLdWvU4iWAFqMZYrpy/vYbMojtA2wA4E4
2dwkkXrijbVgQuwEDCt6uUN2bWpTszzSFO/zkAmCnks/NSx8zaDv9wB6ROEVSD7i4+Sx7CK0kF7P
efmz50BMdWH4qiYzWuXYaM0ebmcOCw6QTgik3cYTKQqo3uOpoAMQl6rOLXRARk5R/PRmdMGDDZlL
A1sXGo2kTbNg4HzQL+TYW1XjhPCaKopLUYNLlHTN+yYdAaj6d0frGdhL6I4YEbV5RDaEuIt1R5zW
zpHZ4CE+jQhVFZUwxeNbfEfafrEZkaAmvbtVNCjze5e9QCm0+IlIn7lMQjWdLeCbjihgB0XYm0M5
JOs2N4DnM9Jgq7p+45qdf/BU5PorhEuyTQkiRaCMoDFP3YnB/EOCvwf0Q9CrzFF6t8sZitjpLwPM
em0D/f/Sj2D6uNnBjbN28oy//MHf03aWhBWQjQJcZBXoPfKsxa9UxySpbQZxu0Da2IWgHWIXYW2N
C8crOkjGNvaLQOal7RCERHDgzNu+XhDLJnhWQGllgO+Qmo7n/PdBjeUAnFeqE4JUFehv9cEATyXg
hdDP6KZ/bLojhUwZFGEkYE+mt1ZgN66toDmmQqkr14dydNeirsDurlt0AODfSQQWndoSFr156ZEr
phYoHcHHAWQfJJHjw82Ujm1xkIP5jUx08Pqw2gUm6+aRImn5rmzdX5Do6Q/g/oSMUT9mA8RBq34J
InQXOSZZI96ujdRDnnQ2u1PbiYtfZW6awMtk4xFbJmvdTINcENbSkqi+wbocPdQmHzqjA1jSwFuQ
HW9m0PcCwFn3/duAVkBiu5nMS8Z8SBkZXejjmWwwfHN9G61VEwerNLPVkxg44qhueGUmsFx8rMEe
6lnGgTonaZooqITQOvUGoH+6g2h1tKTeAK+ak6f876gsVk8uuKAfIQdQtW3bL6vWuDQS3GLkWbmo
zm5Uae5oHtbipyNcqdbUy0Qv9xbqXcGGiU8EHEd6n7J6T9OSB5CQIOwzmgdqJSWIKLHlbI40G2JW
PUjsGwUaLQ96ow708FxrwDZs4uxLhGJWJDwS0ERBifRO4kbe2aDRPaEqG4/mNq6fGpBjLEwJZbYK
X1qEgE8MuSCxMuN0vOvjEoALHVPFdtpaJglvwIqHZsEqbi+AZshOeCmBr6V2UGxjOP4q7VJrmUfF
b47chwhA1BQbs2ygAqxTcIZOwUU6NZcjBhQOY3cmE3V6AgQ2ZujIDXlQh9eDyInGk+02ieX2wOgW
/ZnspjAkJGmgmYV6fevY9k15V/PoGk2GA+ovorSKCwYiKwscqVOU/izwLge5iu7hIsQptGCyjQft
4AUZwd0MdzqdXUFdWa77HmkpyFOvwvCFV5263EIAynBQFhAlxh0FDqgjEc4IIWzRrvCAte+pI2cC
Oe/KegFBRr73q6rEgy9kW6fow3PdQdegcBMIKkTTtDRbP33pZFAt/KmIvjdBc5YSAfnFOL3W2PDh
W606VJAMza/MKZ5dmZWvvYF/LeqX1RfsB4oVL3Nx7YcKAQHHtU4BH6c7Ffv9vjFDCVVe9q8rV6Pz
8cquvrLB63OtKsRZqvwVSfuPVx767DmtC3OZls5wmZJyAxIzsHFPjrF1KmV8tyXu87DPGMiw22AN
iv/wiJr/YY88urW1ZWreZyA0W/qiqb+6on/RoG2M/xvURsh0Ttl3wzLMl3jwsxXDj/4+ziNji/rt
dJ9kqTiNXTqt3XCqnnwegTCaO9YPCGm8fQwLH8OI4vhHbyMI+OljqCn818dInKD67WO0WNicbKyT
l/2I33MjIV+BJETxBCrY6mp3eKzolhOaOADLV/qqPJMJqy2xCoXdb6lJw/kErBI1O3uch6Ou2xdL
PRSFAagxBymyPznJarC5+xhVVnHFVgvAhM59hJ6A+zjEOggDEaQD2do41qhfzXUFkuNHIIyKqxe9
DYckGPKJiYtogtObx75z3g5Cn2WAv3vGAHSpbnnJMCG2ktsInOoekPNAtccydyZYKlek6+BYiC4g
BTIdwQYLTT3zJ5mhLgqpGO1FOjXkVU5KHevGvGLdEi2TugYfppJOexw0gwodWDcMWB+DDDoB/ePu
1gFpBHib795qbNdVF91BrrNf2oif7Sh5l2fgvgLDRAAyVOCsqRec1+GOEn8FmyDHG4Be1oui9Qwc
mCTniyiSwbZKrNZekd67pY3QVAi2JOxOYvF0Rr0MLG6LTvc2HbAzveygug6SsMvE7SdGLLW6pTzz
iShsqU+3bn3a03z3/H0cBIZnz9pubRSSARYWSVetsw4cSrQEnFeDZByTGjoherFIqXI6zN5OZ6PK
F6n52yFUhlqrGqtfyb271DFsgBQS9Qpg16rOw+xFJW2NUj/YiZs2S0IwWTT5bA+UZhgLIvWq7Td/
izm/sHyTeIYh9jJqxnY6dBlDtYjsE4TbYLv1xtqv8LsJYAfaLZZ5wc+xhRdX10lUWih//BqGUbwa
7YLtKbvjV/fTpMTLJy/ppzq3uM+xg78a+Kf1tofERZD4ziooORKcWphV2mK8Ngr/UkprDAx7Nkqv
jbbhX3PHtB/BsrM28L6BZorbH40c+zVSqmG5heUc4ygiKrzqBbIvJaDpXByot8vdvQJtxUMcc4fm
IPMAadEjLzAHTWkjDgY8UlYsCl5lULDq+WOtmgb0OwAqNXbCHysQ94OsJVhOI9hnl409QNMwivxN
43hvvRm21TSUTH8arz2o00eB3dqFJg1qB1q/q/WfImYCc79ymiP+FDFzlpsub4/UO+nMOPUiOw5n
Dn7zWy/9mqjJffZx7J+c6beGp1p2lIcy8cdl6YXGkxGrf52pkb3Z5PvZJz8jhZb7KNpxK8rMPvAx
AOmOvmmBg3hQ9age3aGzD3Wvcqga4uZsQfdtY/fywU43c/SPv0zBBToNlfTMde35CBCBxOQwCc4O
inXeCpLw9oJst44/NRFLYM2Cxt267XLyVh2HQvanDkvPn+ONu+oCGxJfhsUvdCiq/An1qz4Qj/+Y
6Ay8buESnPL5uiK9TDLWqQBtiheAAu1374QD7J57P25mW8XJ7QqFX71dwXeB3dKsceGSxTxf04ib
s2cUj7EsdoYBlk1UL6WLphjTTQeVT2jJBWzXTWZzNnWm1+BFeDB7QAx0phdvWvEgEHOCzEID3Vbt
QR2FcHYWasjmQSgv7lcC4mbKmqIz5Ei7hZGH9beuRjrSZQU/FNFQv0CPbLa3CipFECRy1k3WNt9q
rFUtq6oe7DICW1GhgDTW9kEPRwVUfBveQHL1Mfb6Z4hcVCto72WP0kS4hc7IJrVNaRud/f/4GRXC
C6UJrulx5NYytCfQ7esnmrudBtV9dRhXB2UCs0zWLC+s5SjxRKm5Df2KdT+BBDuECI8BgrxNK1Jr
S0IXk2+fXasyH7JizO4Twf4iM3kFSWBuS8dRX7WXGfpbuwAepjKcR6w1y4Pl4iGAfLz7SLaK89WI
Iser7druYwqh5pUP1PWWPGiAoxDu1AKwj2TTAwYP7K1zHCBgcQIQX7YGazd/AVy63UVDy9Zch758
2N3O/WivsC161f5/sssph/psEy34yPtzVspgk7GhWlclL76AxtC+gy5luORRV3yRvEXRsh/7CyNE
M50iBCVq0GOSs2WDz2co5Jk6szqdHjKQkMVYOknobK2KuGJPrJfJVfqdvBsyLzARhvO6fY2XZb6Q
VhztHHtruUIMf1GHUYHu6lCwsdvP7pDtg94MRKiAnmrAwjLV49lJqv6lW3mjI19MQ3QQnBrzBTXj
utcMkwZkYHUvVElriCuglIWaxQgFs9iVj8hMh9eg905kxrcLhqIYIPc6azFlABW0AkIwd9TrW+o1
clS3yXLs726vW0RHcrVIECGBFsCH1zC9bW8v32hc66LeDw7Ux0mBBZ0TZF7mdzUNZIhBJyBDOjpg
d8ce0pKbQWfZin7sHpIp2nQ9jy9k6s0Aese8/Yv6yHQbdLP9Pqgbp+Zg9fIv8v+/Dkp6oMXA9oCP
1osAcVJ/vIRpDKhHLaTd/FBtfDBSrDYfy6irnsos+tvSq67Gb5NFgMXkCXSC9tz0fm9S780ZEStx
ujVlhoozK4+bVWjsIkdXFo92MN2jFVOd8fDHlu2X5ULmXvMASAhbugVn14BZagNZ6fYIIrhhLwXE
ckI/EBfEl+2VAcDEl6mBkIaqmvZH0PCdsIC3XVSAc4OfAEKhhf0Dyjv8q8d8tsyQbpunHAxN++iX
b1PKCYClXrpvU6Kk/Bjj3k06Ib8aFRtAzYgzhRq8BXQO5NdS4Jp0JrXtj36VPYEmNgRh6XLsCr4h
te8IYZWT54PiogFx8pqabd9CKByKnKQURpphdcH807udpMU8BDDwMs5SrAVPQQnZ4AVOnAjvnwWk
OuaTj13/xccE4Gc/TIm9iXu7X/HJj3ZJGKqvPuSse1nVz8Kq0lMOhujFCF2Pr+SWQOlxB45g6Gw6
/qJmQ3iXZizachQrrlCY7KwTWeN/XedTv7KrHLof1Fad04NWxHHWI0SFoAvqTWvb9LfAMv0VuSre
EW89QFfdhc7e7TcT2SfXmv2J4p5MrgaMjLDjrRrvyE4m6vxf7Z/mxz3+4fP8Pj99zpAQHe9zS+Zu
QlS1bSzDc3BD/nMYQGSrWH/pywy8740MkLoo0x+t7UfZGth2xH/aHiQjesDsY08phF5SH6owKZ7S
/57qZnmfbh6egtLXGwsohGs1BKdy9V0k6mVoBfmGbKSd0IP59Cxzc2EPDLzYeJXaTmztkBo1Z9yY
DHJn4YqgP/lgmf+SNPbbCzit39xmGJl2C7uqP4E1xPuS/eM2deO/ZvvdjYZXUYx/sYe7356wMYYC
06WrXWjS241/TUTiXIH2lKgfxo1emce8A7MFeQrH7u48zw7AlciwKdH+7ZSA6pC34LolH2W43qIV
QNMx5FhmH30FsC+7H65grmb3XEbTEbQR9+RN044hnlv2nBwyxbgffaBWnMgo7nLoYD6bNVISkR/F
J2qC6m/bFl3yaECR7rFQ9krpGtcstxmqnkS1oOY0WfYdyJjNuTcfOYAwY1neUS9NySG4caKmnlLl
4OSjKUvQ6+R93J3cOAItihEiWMGXjOIm+iDaAjBxyMEdKZbSx/UETbwk3lDTyrg8MBOaRUPDy6cY
eaNHJ59DKeTQNqB8vg0XojGXod+vrc6GSmGchtexQaka02qhtRxAO+F3ABr3A9gf/u0hg+7QjnjV
f/IAcgphcZ3y+MMcPvbvqzGxoQ+PNUvB1kDiIKTi2Q6Ok6bdH1JjQ0T6s23uB6k+SPabFiywbmlY
W7dxkJVgYDVFHqw5+tREymRuEsKGMDVcurPphql5H0RoHfJ6N1GLXN8HMpQjHHmMUuqUVZc+zw6Q
H/QfAQ32H33GnlHG1Z5AEutDsrwJ1ohvj2vq7HwjPCmErDrdSaayzM+VnzOw0mJ0lrjpGiX17YaG
B6awsBNtf8yj9SBIaWwB70/uyWQGAxZVIH7e0icYh6A/cOgBL6iX5mDIwZUmG65kkrWBCiLpZ3f0
EaCu3exd5pkAgPzziUD6A9Uv44EsnVlA9Wn6EaXJsKMAnABB7nZq+noO4MnE7s540V6pk24yZGMh
+p7yK91gPOtQ9vH7cFHU9Yp7DPTNZRbsErwHgN0Ndl3YFE8uS8unAuske8zGS9zYuMdd5ixdxsUd
dQIhPd3ZIEpY0oD34XheFSBxVf468Kr0bNuPBJpgeAmtAOmdwL4DvvusQVK5lWPyAzS4370e+j4g
Ggl3BYcao5/n1isGUj8NVLURrNwUoJlyZZgp27kagm8ZjbpDWtzS0AtxRV7YXUR1m28CsBZIyCB9
7bPEBttpjgxGrpWktJSLtgNZyz7Yf/dHzvDEwpb3O5Quj4CwZkAq6Mjfpxhg7Sf10k6Q0Lh1fAgW
thQJ9CVYNcsEz/BhqMClIaMrVLyiq2chy4LlcbgdIGN7BUcAYv4eSr9kEB7Jg0WpdT/23yfluuky
D7mn6cN/Rb700qWr2YFbPSX50hw0pdu00OzTV2gGhuBtD/XuaEDRm97Z4bnkQcYv7nbUbJm54mCF
/ZJg54Fly7/d6FUxuFDQDovuj26Nno2AzO9ueh8zz0Z2uqjRO+J2UZqtH8CoPGQSwAkIk227KcsO
0AXLD4VlOFsFFMKFywow9soKHvsIoeuGudU3lvBvCZf1ryaF3l3mj3xhj4BAt7z61YfNN2Xw8lvR
lCmkcTL/UTH8mGuD5xcIVLxdpbHGj1fxnCRdIw/Wgv74tbHNN9YYKE3LAzBbxBHzwQxtyJlW5k82
GqQpOILYgsRGGKxzxN4eIRJT7V2kbCDM4zqPZIvF1046w4O08DoIXcgOtxO4sG7+kL4CpFGYWKW2
VnudDy9DN0G0tHLuXTV6e1svVj1gNzZWplKksSdxQbJ9BNr1d+MsHk9GW3uma2c/iiD4q8rMowmW
k9uJ71mzJfzn5DefKg3Vc9I1r7RGptUyLZTVALF5EZk7ssswuHA7APYhn771MWQHbuFdCgNru8Mg
du548YYqD5R8rmMoVUAqwlolyDNCci6dznYkzCU5uOFz1jXOkpcoVm9FnC/FZMabKXGdswHE7Xyw
QsaPoXDWQxEhvEUd5CIht7Qs8SPbkG1A/d/KdJMYwnS9uAwSdCGdm42bqhT4/prKQABSqD0Wjeor
2HN9SFS6xr7XTcY2TTj6LzXIaw5uAPU+rrWjrWLyl70Ahf/kGyWYsOpftbKNV30SZPXbiQV+3ExA
EMS1kF0srdx6boKuW/FeOBdpQVsga5Nij4QBGB2iKVzXDKoIqRWVy7wG+U6s5elKfdYHQHsDyIO2
aSHpl46mtf7PPuRIhzQF2wnX3rfJ6IwX38uyC7Hdso+05RwqPt0zYzqSDFmWMnWv+2iHSX0tw92i
N6fvff9tHPhQwHI/Oq8tZBkWID7ij9yOgo0KgLGRoDE8sTRM1n0jrOfK6L8X1Qg18wQ8eFjV/QTd
s70Y9SCD/TMI4NvxhIKeFMyahvk8jeM8CLKq86C2QkALcBMjGrJD0rjGMp9kukTMKTvE0QiSdurp
olS9nVLXlJkIoLjFtLdHJNBKXVZZGSgETywIr0MLLDmGERg0jEK0D4aT1suqFvxVFfLiu6j1Wgzy
+yCC7hdKpv7mgRs8+7kNHuZgdC6Zb2bQfRJ8j2+2PmXKZmvhBP4jS8VLEsXbSeeP6CArFQJbw1E3
Tu3cRro4c8e9RRmoDz7v3Tzgak+tzoTifKfCaUuQoGqETvnQIqI3I4Q0fAiULH+2CQ8MFCRKTc7k
N76PJdQRzUd+/3E+t8UaPci6I/g3UJ5i+sbqFmEZHPMJLOnA3OggTekAFFi5HqjKNDpaH2hQBG2n
9c02peHZMl4bbLv3SRDW2CWbxojvMF7NzVEW3kXJIkXlbhIiXADipEQfqANMdtHCdku+/eCN1fKq
Vflwujm7vib2zurHD24Qck/Wo1u04AJ/AUFMeBJV7dqLDvGAXWhHLzVj0VkJ7FtWgN9vPBsMZLML
aq6mRZpEBp4uqlgBTwRRg9vzaWR5DTLrNT2YOrI7qnfOZd4VK6mdqSfKkYFbmAIAwVTMzp8efjR7
wWwLZIsoS9dsh56mR4xZibpMOjWJ+PDWRUZppQ5QfcBm6CGkgffBjw9WxVfk6CYWyoPs2rd3zJGz
bZ7BVvVdC5k2hy+KuoDchGU590k2NXdu0uW70nbVZYIQJDTi0ubbCLlH34iNX4Fs7ryK+a+dX4xL
GlR4aXMncwvMI2GvLjamnAcVpneiJ4JTdneIEXnzoAi4tvswVWsGhb5FoSsVPF2pQId6bJYIWoUn
25EWcDV6aw+uDQ76K5QegJDxzQ+7JjCXiLoB3hwhn8X7YLNK5Bb6aJA3RjrnAszweCky2ZyYB4V6
wQoP4jugQDGTVu2r0LxSy9MmOgNvSX7Xe7o8QQ+lSaijNOJsY9aA3/lRW77NEuZ5t2I9IqmJFUTJ
unSw0RwzBkLC26WQW8KnAYLmjmYbVXoXpak4C5AqrINAJmv6RVX6Z2Um5SOU3NiRWm0Udqey6cH7
hz46hI0p1x4QF+u0Ct9sqFy9RpURzL9FVNWWp3qyL+RPP0WQx4t1zGWzvk0kI3FvQ7b4RPMgOAz6
DeWnCDKBUqXW/FdWlvwtZOrfuwPEu0UE1nqyC8/1l1ZrsUMbl+MXlvJtpwLrWy4tKFmXrdqSW4YU
em5hY99OA9v/p2knZtQLT4KGi6YtIlnubYIFtkZv36FqMFoX7tRtiIWMmili6x+aXDeJssxsm2h9
640kghJm+XeM18KXAZpCe5Hhr6SmwxEtr7wAhQi6N3U1RySvgUvUTTMF9lBomn5qImWQnLK6y+Zm
rKR5imvj1zwTMh7nNC6/UysWrnseOvPZn6bpS1eK7mJAR4z6uGXz+zYPz9Q3Arl43yobnAG4Ihg1
misWWHcRCFa+JMZkAFOkNtRXDMx68EAYSON6t28fVZcsqa+e4uTJK/6ucedtZQqsex+Vw6Msygy0
XPlw8DS5E2DD9l3KnBpaOuCLml1QTdPYrnulVlrmDBjAxNpQc7CA4S6z8EwtGlRigb5AgGA4UJOm
9IP+6mfpk9K0J/nQZg+GjtqWNXe2WGAMkLvh9W5E7f6ZXJCU4WdoUOxuA7pCmFsUAgBBoSehQ18k
Yp4kLpphZwO6vADDRIhUdu0t0iYEmrl2HGPBDJdDZEuEK6efovs6r6J7VEvmdwnkjRYm+TQMZXZl
3Z+plw7krPZlGHv3s1PW4uHS4h6Y581CMCWZbhbf3QbdrlXqy1gpKGzDrHRXKLgChiSMTXZw8eW8
rwUKmQCtTe0Pb/8xUfm69xEErztzm/b5cOehWugx5u5fPJ2Kn6UZInPgV18K0KX9ySFr/S+hqurZ
AS/e4a5W2HTpGXJslh588MgsEg+a9qUV1yc/N+wXJjZTVCQvdTM25zGJgdPW5r6UfJsBOL5BMsp+
uQ16a2K1niKSNU3VYX4zjizEbyThFcr7II/04dBHALzxQUHlFx2tfrfSGWTe/TM2PIk9hiuyhIxh
nZNV1TbKS6jhuU4IWddcrF3B0i+iwFIw6eLurwqxKoM5zt8CaazaV+k3t0NQIwc+GzvtHttDLL/3
Vt2i2E4PjyB2Mw+fArP9gpTHsE5zrPZbjYXwND5CtA5el35/ppZvgk1h6jKxtJQFfIfu7QP51hvH
KJdv3AqIKT30fXwYjOXGDMFgmoDCGrEAFMIPukYlt0Grgh/II/L2AbiisBcYfGa+9vKJ+iNwu62Y
HU4HGpjrgR0Vt0zjU5Mnau/rsoqmC8qzq8+oGXsRfqfRcLQmaG2DhQP8jE0lj+RGHpMRV9uuB1ns
DuCjfhm4RYOMpzLm2oAoT6tFYpny3hqC+gzsiwE0K1Knnqwr3J+1Fif9Z4QdZ+EVhIDgMM+dn74I
xIFeTn2bhGfIoG07jjf9smXxsAGTXru6LfX0AE/m3YFMEjR9GzOwAZJGeFSk3vga5fUOxDvGL8u1
jhAunb4JMAssfdT7X8CbZdy5vTncobwUqE09yHdRt5iazW4aeXWZIqdcZKrkp1xXpWYJ4NESkkBz
693uCrcUq0IW+9IGlyKRzxDJDGCh0PUxeh/sqma5p44ct9e6yh3k+FkEJdfeVKcGDGkv/d+1tPqX
mI0xOHLBihY2of0iwP+1SS05bsgJrK1vY5jXOC/WTyfO72RTJte+sfkjK2wA43MT9FVtmjzmomqP
eOJ8o86J8/oEiupTOXr50VZZvoIyLgQWdTPs8QZc0CkdIiPFI0z3qDFDjw/hTi3U463JOLg/AInL
r47ym3MO/OiiG0LzK29HY1U1rNxRM0PGAuqY8ktm6S0YcLYLDmaYr1HajMBWmMHO50F6QNWpt8Ry
aNFnQjxPRcxPpqFCEOgCBgAh2W5lVEG8r3RTuwntZsYNPyFeCU20uEUyDCisFahs+J6a726Wng1g
MXCjEahgan+gsgMMW3X1PfQQU9cR89RsJZBWfXAew7I6oiLOW717ICWBEoBUyqWnPaIOlPLkAU2i
6nvcvM1BHgYU58BFBI5kPJDMhw7JtPXUoAZkrBrrAaX01kMuwk2LKOWFPIoktYE4CMcFolPg2fVT
b1rgaaN25OzYqMkWqgXmCkNpRKvnRDiyXTuVnIpl7RmbcXC/MWhq7TLQMS06zQzjTlF9oCZEauwv
bi/emvGokk2CUuXV2Ajvri4hGEZ7dQ9/9Z2oZLKijTz1UpN26zdnp5PRAUGddEFZrc7pQBWclsMm
aQMDIOWi3wvHDg4mUFtzdiyLQMk1IsNKA8hOqbNWjclWAQM0z3Qb8HlORIqgSrjKOJY9LAfQjRdD
dh9meKONk39tohImYAgOIwteb6Yh9SCJ4BRyGXd5ny59XohVanTZZm7X8aQ5yxN7N7etCC/fpirP
NEVVeNm9GnvsD/Vg4O3m+XOU2IKkbtznyaGIZXbEauftMAUpwD6f27yqh0PRHshOI7ootEGjahLV
jH32Ndh8GiIIBvuopbQjgy3I5uoO/PurZQlQ1PpGA0JnCKMjjQqkHU+Kx8lV7tMoAJNRyaUXhvtE
FtuYdqCP6O+FNg222SzSuvcP5FEiI7FqBZTQWqP1sKJCqaRowCFFQzmkZPcoxgoX1ERJrHX+X67k
201/nwDi0iILH/a5i0rpqSkOnT4ko412r3gBzNBUHOiMuiunH0FObI/gbXwfE5M79ZNnPdXg8/l8
+j+sfVmP3Dyy5V9p9PMIo42kNJg7D7nvVVmryy9ClcvWTu3rr5/DUH1W2Z+7Gxe4gCGIwSCVlU5J
ZEScc6hfK9tiDSmtcGsnfrwi3fB9qtBhOX4nK7PUu3ODAvwzS5J4leimdex59r3y4uZkdM3HwY/s
5kQ27oBfj9nJkTpH5dGArQFxtJ8u1NMDQQdKZ/Cqpdp1TlONrQiO+lC8VD+R5TbSDGSiNBUdtBoU
lcqLWuRKA8egngZOGa2/5pqn/3Uusv+84jyX+dcVaWZTSusILDYen3gYFTGQt1TB6/xsYrtjPkY1
HitzL5YTn5vUi4R4kJjl2WZad+7Nytvj1XaozQgVO2SbTh0UqOwjwziQjQ6S58AzqwNgBiApfQ5q
7CDA21WJ4VFD+b0Tac95XWRv0nKeHfwQ3kAFPZ2gnnQ6+aVL93rxBKmMg+qWauR/mOJ/3AcSYEB5
gb97zRrGTkXP7QURPaRBEmxK6NRO7BCWgLJLnuvsUuNPfjKdh3A0rec/DfIcs5zYIf4+qI9y69m3
7PDUSYAvm1Trb+lQhyKBVuZytowIxN3yUC3I40CJvuqKzVLmxtYIsUflnTF8Gpo0S80rMm+asjXA
1aH3KiihrqBiereFFxjb2AMRLNlsZCgXZS0kqEFlvm6Bqd97okqeBm3cysJEUauy61bszvbOzz7s
Aoxt+wL1dU8swx7yp332/9WeFcCvUfZqSnyp7BUoL6HJPEzJsgK0tafGLR/m/FnSmsW2ZU6/nPNn
HVKYiMKGzmZOijW2/5L4dn8k02QPlpkHRBnl3EbNi0+BlT/Ml27wwNkWRTAs52lKr/08NXUMRjJN
TRPpoHK+bbi5HA0gBCs+IjCYoCTlkuScL7WySoED6L3L1IMn1LAHruUxVTbyK00PCoqoINnSDNNY
muDnLB3YfQBoUpP+PGB5Os00m+Y5izDe4n0jjtSJOrC7iCXNqQWMf9WnAitutZCZVh548eWDjdSs
Mjngmd5lyQCqLtWk5QqTPnJtnRcfycYdEBygKPyGOic3NS9HKnwz26T5Y55WG5zP09IgV0MwK+qq
GPsoLINo2haM1tRJh/rntF6FrcKQY1XV1xrb5zVWdrSecXzUQVCT1jPU5E7bAYiE1MTcpF5g2XC/
xCfHx66nBYJ46/Xjq1tjS+QLvT2BUBxrPGoLZaQzOoSehERsXG5pqAeWdbw21BBqzzN4GQj+rba8
+80+zfzpIkPihgvhyG6DEEe774V/b9qt/lVAiNX1WPgtbaJ2WfaRc4Hgb30CjQfghEPmvhrFmRwY
VImXmQCnfNHn+VlCR2RFHXxrQWPqDcrOxYoXXXh2Az+9BCNqD5DaCr9x86HNjfHVAih9BR1bqZbN
3hYpYsQeKgh34p07fE11u1qEseXfSsntC3VgCwBsherQALGbOnIN/MueCRxFXxyEEYBakakSqL7q
7sjW1QxVdkM73BWIDG4sX+tuvCQwb4xSv1ZqURshlUStrtaCjQbGfCgCQ+TRF8I8IKqyJ1DLDHSh
JtSd2QHk51Mn+ZOdDgNSSwcW8t3vdjUt2KG1Q2bUu0/+yk4XiEctOAKQM3X+NhzoXeSP9W76eDPe
htxQEimPY55s52lN1NSfI6dbFlrVnzlHQqdHTf5N6+F1DaBZeFfFLsp+Myg29KUrl4Zt5M+iKgHj
68rkq+OgCqDr5Dc3BnmS5M2PxparOE4F9EPvkAyKsEtJqmXuWt4PpM5Qxp3Eb334Doxe8Wg3zbAO
8Gg8FbrMjgayq5vRsbGoBPnAwk+d+ptl+kttTNIf4OB+athgP7taj+A+Iu8Xrun6PrMB3RfYk10j
6bTLrtaNr4Pd7jtuJD90MR6awS2+omgTAl1gPxRNtQi6drzXTRltPbuID4Wo4hvbCfyV4bbdV1TS
b4c8Tr7rQ/ClSaLhqe36AbtPQ55co7FPuLOztWhF9iwahAOVq1WP+1A4wbEoQ7bM/agBBTarjqFj
jPd1ZdyDp4N9hUYz1Jw8uz5BPyy/A03bG9nxxyAq0xbdWYK27lpWAQqpQ2eluQDXgQDTv2ipDM+F
EWCzb1ntW8nWPArlNxTXQCZLOZgVH7bAUAbryIzlLcAv8jbzAPBCwCFHvJ6ltwa015xFnuITj8kN
mYDh0pCZ7lwrWPRatvO1Otp0qugD/9Xa1XSScIGwcXew1Htv6vCAFhi97JZaAfeyc2oG53lQkuGt
PwQhSDx/TiSRMF7hZoo2GpWIYEH9MTH5iMCoFqlTfiOyt1HxceZxMxzrdCGZonybiN+mI/nQ4VM7
7/3xWKHWtTGcAyRsFoyDxSNLrMtUszBCGgPBgWhDNQ6+NKszABpP1EkmHhhn02o//CtUuCNN5rOj
VjpsSXQUdlZ+yULbuDMRNDv9wd4W8rM9MusvLKk+/AsUAC2JvQK/my+uF5l3vQ801RTJkl5bffC7
IglyEhzcoFSTQFC1FPwLdVmDe8Kzb/HFZI8tJJl2NSDcm3qwjC8jHrx+I4I3vMJAn1LF2mlo2HgD
lWoHRBkAJKuRyOlmj70aWWUIDPk8n0aSA/MAAqORFioqbpoIouPir5F0TV2gRJFGssDRv1QoPiIH
rPSAvfDXqV/ad6gQjzb4z3BPXRyCbxji1TursnLkBQILauGNDj1qC/Sqlhl/g3TRZsjF6AOTGKzB
0WV8i2wgC1ExGz2xUe9WrtmZN1nna9t2bOsDL+rhhDw7xMdFVtwVeMwDntfKFywjHrwYxb2L4G5s
SjCG5SJXqiL2S6XpcvmnzzY21t8+m5/rnz5bqGkQ2VXYL4JuBX2VLisrqA8TOEs1UTVfHwj2VZna
HXAk1T7v4rhbILIKCjkK1zmlKNZWCMaAyciRtl07faAtkMaW2LXWYtNDzGwZ9B6+dTJWWYh3tM9O
o1Lx6tVBNrrYVD7EzkXeb61eyIOGkpBzx5v+TGd0aKIMDGUe56u5oyi8t7DSvUVain5jRb61d0Qe
3DmDgrQNoPpF5ckJEM/8mTwG2zKR37Qegf7pltBj9w89HiXWnNb/FOOfTslphBOlAEQUsk3XB9j2
g41uQHCXCQcYFC9ZF6qsuLKqemHUqAxsURb0wBlKpO14/EJung6aU5bniMC12GuEYV1fauXW+sDy
qeF/cutx528lShEhYyWaxzJNt4ByI6+HO29jsmDcpqrZJfkygm7IcywL/RCbHLLj2qi/6Kz/PkSu
c4tEc38DNm0g1pW/Zbh8WTUCmSs1bdrILfkPkfiYNkPceDemQLaDWhsMuxsHNWNLZBfDPW1tqZnr
UbSfNr6qF4iN8FMTscxwHxU6MtEF0KUOFa76IWsXhtGytStd/cSo2hUviZZvAM+4/bgi1GmOfo04
TTKa9QkgE9BLpCCqPkGg0zM3fg5QeSb6bkP9dNBE+Brx3Nz20myAYcEhlH57zqoiA5Q/YWCQcXi/
IGOYVR8+Fm+aZV5VyP4qb+pohN+D/xJKC3GO5C201ptz03koJoS+1LLOINHYxajmR+oep1h51Rsw
vtULB6HJfkHGUvXQmYNKmX1WiJvZnhsmqD+m3sZaGTkKDXusDBhe48eKbjTcQsG5jm3cc3QaOPe5
lURQOEPcnA7IUSUdQrp/tWvwC0nw+pPl00hqj3FoQLN8SXPNYyAkhFC8OpipsNZ2n/DkAnqweqOD
C/ySG5511ptHQ5V70YHMdDYGnbXk0SDXIVYqAnsQzzmNfrokl5hsgytL6PcE9nqeoQz1R+xOAtD0
OY1caFAlO7jqQGd+zGoJJgUOI/Zz7pqs9VjaKN9VXkzYUDqvhh35kMlm2V+jacq5TT7UzLKU2cu5
hxsiWxkcgpJlh4RRJ8OPQ4RoZAm8PNpJ7xQgHPK/T7aEesidlSLbtKn2gyKQn4KUcRhC5ScAeXqN
avYT9o6fo5m/BTdpsMP8Ry3UnlAFbZ1NDfyAnRUMUIofonMxJBLcS412BQjNXBZ1YCLGk/gLMEbK
996P1yhSlKj9CCFcw7zgexMVb5nP6y/lgLy9xgP9DgseB9yTlY7/xyze46XVggWnBJpfxGuOlyvu
BybxXUTdcJpONavRDkaJNZWMCyCJVA8deIfKrAG0eD12g3VoArQHOowXFF5eIdZZ3jtj7p4AFiyX
ZNcakC9mZVDcxJ413rqsx/pFDQjAFYCMUcaONvDFD04GOd1Ol49+NpaLHox8JzoMnZaedHWYbdRs
uqZassTcZCMKwjtZnSvuZ48uqmDvKsdb6mYZoK5lVXKZPLK+zh4ReUV5Y97ckaOfJRdUSTk31Cqj
8r2XxTBNAr060KomAe5DNWemNrR4EHV7aiYjG1eoBbK31KydHOlBBLg31BxCr8JurHRWlroouELD
PbIb1pJ6kYnXDkUGegvqdXgbnusaK1Tq1XuzvEHI4EqdWLqGi5wN+i7VNGsE23JcApBRHmosDhBK
SmPvjN+Wd6Yzrcu/gC+725lGxsaFWXgtAvADmOCNFBvDFMrM6owOPlQBDl6Iw9z8k988jEaQCw2b
m//9qeZL/jbVb59gvsZvftQhqq7Zt8a9F0BkWYNKSLag0/kA4g+2yqy8X0AoITnOHSIEJX2RpX8N
ofbc7agZ5yad/X6BpEZG0hBgOfz30wTFzw9GV6FPMhnnq5KRl4WdLbhtXMcmxN5NfYh5CDUnFzql
IXkePUN5s9hrVpjd1pCGZEgFnaRi7KRDPjBUgWhevhxM68PW0VkUbzSIGp0HdQegNrqpNmUTAyvx
cyyNyCJUy/XCPM/2UQd2e0zwJKKrzh0D6HU63sUX6QRYmTdBy9dxHrrL6Yo/J0aUCsBtcHh3dO2k
kdglF0a0mqaiwUHzkoguuJmmShojXwehVkwuruZeLJAQbcEw0Rx4ozeH6Uwk7cfZH2zk0ju2SHBj
Yxwd5M+z2cbVNPOs1DHbCrCELiMbdzzo3dy7vBXgpgrApE5Nj8XuXWNCQruLzZtAeRSQV9sFNWuX
1FnYjnuXId6SFp1+ngZ1DZQCAeJB5AslorKp5I1jWRfQpBTv+cguGtfzd7sRl0DgRMLieFF1EmEC
biZX9/ai7B+pIJ3K0H1Vi45IwGSfTeRB9rQYb4AyX+gDNgQJi25BoGdfozASFzyQ1tSigzaCzTmx
6vd28GNk+mpU5OVuUS0d7oHFQKT+sUxstZ8v+Ev98yyOjA8bnbWJzV+CYEgWepaKl6nX3+qGex83
TXxljMVX8F7zU1WPRzJBHCK+1ijEv/HwLINqXu8vya1trwHImG7Jiw51We1iK+vO1OrDKL6WMnvO
hASThpqZTH0Fzgqumf5+trWZVS6dSI+35EIdSZMCdJEBxEM2mjMoICfq13a8mq/qi8baxj0YqOf5
fCsx98LoUa9lOPjAUTY6R5vXVxpGfxLqIgooleafZjcK0PBG00eY/4QYO8oO7F+X2SS98rZ3RXCa
P1kjvHBhgCYRmFR8YeRb8dJbaBoXn/6qwvRQRmqCropc6OCO4ACpjMqY/iqaVLQuRPfStFnOl9Vr
6ey0AnXr81/alq120J3uy/zFIUAK3v8m2c+frpfMvcn8F5pr+j90+1xFXYebqTnm9gEMG50C03R7
YUIkQcvS/jWq6gczSeOHCJKNB6HrqNBVdujZWVpWX0asw1H86VSbGlRGeyfN7ccGRHfkpHPTWNZc
L8+hxbSVxrJ00UCA777tjaeuHuS5Uy2eu+MGtSJgTi5c477kfXnrgPSqdmLjnkytAWovP/XDI9n6
1s93aZjpy2kAM/373th4TWOAiRMlelhXt9GeJgcnbnxAVMRYUJMGuPixaNzor2RqR4QSk74ttzQ5
0CbpKbLkd+qkj6uFxhEpXP9munptdag2C/maJnNE3F10O7+QPx3cKHrNYmGcqNVjebj1hNmCTgR/
0Kj1/hWVKivqJFMGicyFXXr9gZrxmFs7ESJYRy70ETog4/TxngyagMaLW4z6jj4AaD30g9/02Epi
T9WFz3potdfRFs1tPnbvXue6XyDtPqyhCDjs/B7NoNFWIN1CjWbkuqe8TKHABwT1F/AU2qDETetj
3oYoXTOvk7mFAl9TFOALQYxm+bHjBoXabqrTm2vzY6Q+jq3MF58K9ayogpi4Yd1p+Ni57z1T/trX
5VtTNdlDjiTbrqkg8YMorfugHCi1jTXgm1191RDkfIsYCiDjzv4RW8lNnQzmSxPVA/RATXnlVthu
ncLsD17BY8QpYh2sgXb/EA9QxpUQ6PymhkOj1P4RYrhIEQzGT9TbeFaCn0aiA5KgcOSho4HZwogB
PkuC/gkaFeByhn126xT6PHEF0ogIqE1uHNh7cgM64mO2QbnNs4XRN4+IDiB5PIDmG/AObZEO76kI
UF3qms+QHS5QlGiku6qv46eitU8iN4I34HmSZY7y6EsjTP2cGQNSa9YQvv0c2SUQo6CRGfdRtm1Z
+kqLIiSIfJk80Zn0eTyddX+w/cnP1w0dz808+ZRn07g1HMEMtvuU1ZtybGy419jI95Rem3oFsmRr
phWAmfzM0ZEzzZIU1Y7sfZQs5IjE7iVv83zLQT/wbKb5xGfFE8dYx5ZT7lGFBHHeJJv4rLCWhj2q
QaBtutqT8ncQJwNKDWUKbMjAo2zmnblWtfPLgLvgwS6C+F+0u2XULLyw8Y5uDNkRlMrE2SUdGRIu
RreiDuQJs0sIDUFrFY39CjVU3nF28wYWbAY/EcveBpqzQ6HGsUnb9iHoTLkGS1m/mZojiNhsXuIj
maJ9aDpjBIFrcqJOOnQChGEAdV2pRbP1sfExm210H7P5luZv2kbWiHg5ZrwgzizID506xygv1Kr0
pNpFblouqUkHBHlBzOlXF7twUbCpPCoQiC1tJSVCtj/MMXmoAb/O8aerWAW0X/MW3JPBYOf3Wmwc
iZvBgzrpLgbWat2rmwIafaGKRXc3BUS77+1uPOoQf13j4SiOQeUHy9oZ7VMVZ9aTDrr0ibaukdkB
LJT5ykfV3Bdy85LCPhm6v3XMrAWonr/RHVNVEK4oELO41rpeH2u/dVa6H4dvTXrOCsv92sagXR3r
MTzoaSLv1UDqL+MMGjomyoWsMOb7OME8vDL5u4+ATxDU3Ruypd2ytd3gNnYMA2KuI1hGrWyEiHL8
4cugyNJAjlGuDCRPWzD0gvvD1lc9nVnYqnaycRAuwNnUq86s4JXVPVTcHcCE1AGkmI2/rVDQu2W1
jaRsgydRjWUE+P3FuHXxnLkWAql1xZc2/WcE9bCqOIKu9H+ZBG10hbKc0uC6Za7Ovibg2oWYYvfV
HHt92cRRBy09v9vVvNV2OjKdNx0g4Uvk5caXou9PxKHtSrB3hln3VS8SyEECf6F1UfogAb0HdBtn
fplDNhSP5Actaj5scy+dSV2v1p0swQxk40EJiEZ6oI/s8SQ58aJ8nT6x+lN4DrIv8kiDZgfFgujR
TfNTlmnuQwTCpwOeKOou7Iavyp7oeFuYQWAfuABVyq/2EYmMRWZUxQ6Pv/6MBX9/HhnvoA9tZ9vY
zMNFofcQIaAeEYTjoi5YsM26AbpmGnQQHFcFtVRztok4GXaobSuvrTpUINZH9gI2alLHbMsqUW0K
z2yXVOVG9W7YA1+Fzb091bfNdk1E41ZH7fAiIZrWWdnKtcorcmvVWjZ4eviaYd7ImGnrUJ35fPg4
I9ufelFYCvoc1EpuI/x6Dg5SB5tqFPljWcp3C1HG97CoNgjEdV+N1ItXqJ8aLo3jILJnZNVGJoIv
TTlqC89JjZNDjAgUKKY2Q0QO6xz/QCY6CBVFpjOkKaDlmo8QokXx6iYSDdDKCnBHRVxkAwEA9G8s
fkYgJ7u46vErG/PFHGt9F9kMj+Rc6+O9rWt4SxQxNNDbyrchpmNE7x7uCsfk7DV3g2hlMJZe3Fh3
jsGYVeu+kQ2w3sCLQ83z3a7SH0PW1g9OENZbz8vSvZ8yKKWpychjtKC4HlbsFaH9aOWJUa6E7gw7
UAhSjTodXCmLtSeYuaZmB/DeHf9wsC225WmKcvGhvh+lB2h/HKZ75DQAMITCwxXKIB+2Qpw1L9rL
gK//pFnhWXjVqs5RpeKFDPQVShY77R7RNXwLXejnK8L+x0hd7ZDrNfEKg8oTiBTLa4BgzGSjJnWg
ur3eWUtNgAChtVvzETDw9mCbueKmdhA+LCENMTc5CBTxvVrnyPJRIe1wdxkrhnFItT7xqvTvBauT
UzvE3pIYvflf9iazklNmKXkmRODX4PJNIEqYL3DbGm/g22hQ828mt6LhA7he8B+RsLC9150ShEPq
UTsEH75tAEZjy2yCu8AAeXXjIZGFveH41dahzNM3wzPkYj7sVIgBjszJTv6jjLy1r43AGNR1vLO7
MNggyYG8njPiuYhcOdhtAAqJk2RnxGn9hTyCOrS3EcT5FlhspcuJer7W9H77xzYRzyNfBpQMc9yd
yUENF/AK6mf0lTbl5yb1IuLf7en7L8Lub72/jZ2dWzVV4WjNdvTHQzcg6Qop9OLYIwKwkaVh3UuU
hEHmWI7vmXeT95333RqLHxZznMcmMbCz9HvvhCrwchrTpLm2lgOQSnS/6YNdbiMtyBB7UmugRi14
OnVI3NFa6vrrjJmecdU5yCT2aQFxHxvI646nFQSKh+YDiT37QZMBa/M2fbT1SsfvtCvBTZNam4Sh
uDiMi/wMELxco+ypeCqF8Y2gjRr/hsdW/D6P0cMxWGkee2k4/jMJtYYK42IzN92qLzaQRw42ifD9
ExsAvWL9M1W/Z1kLabrAGy6O7XQns8FGJiw847WKJwerv9d7Y4FsQYEKEdwSGVaYCAvb+YlkaFLV
ZKpJvVYLbCf1Yq9oPlLvn8bGPEDmIpUgUNXkBcsErCshQGsWvXMsGh1LTWXvSg7CgKF+KRons340
sXDuoEe7AsOtn14DXwEYmvAEpm5mf5PAEK9Aq2HfaDlU/wZNxI9+kpVrKEmNZ0C+kgPPY74d88y6
taKcLVvGg5fWlHdpktk/AOxHfaPbvAfFX8NF0KB8o41NEPnjXQF+BBehGDc9sbr1UD3QP9HtT3bT
lnwr8nJSH3IHM70FtvsoJYSRZkGiNA/qLWsCkOGOECSaO4zchuCHdgsGGzBR5ajaR3BlUbCwO1Kz
HrKPJkEP8Xb43Dv82qTeSAc87F+OzUbU6BQyXYHa9sQqIfeuWmChGhGKbE6RBmdq00G5eNko91Es
wpOBxSfxGURN991jWXDLu96+08f4QmQIluysLcpGow15Den4HSg9/xZr28mLzOZgwatP4KVWrj/n
An/F5CWrnG8ap7LWiFCiQLgv9efQAjcc7mvvKoMKfNx4+J+BkUEOymsDBF066zyiVBziiJV1V2dV
vcwM2X+JXOu1dUX83SxqDFd5KJYU2Crp8Tt3IbTa+0yHIJuPe9qvwI3SDUiTtEZ49gztNdE8e1pQ
trGRnrIoeKVlGm0QHKBcF47VxgdarLk2foMAw+drYvMiXq+m95KzVuJVoZi/yF73DaAdym53znJ2
JTtkOhO8GNxiAcLecQvQTPosIC8uDSd4Sz3AoAW42C5REnQXBwBqlBrUwVsEaQCmg3vDFKG3/XVk
bITjrUytZ4mVzRkUTPKMVa88YwcS7VivPTlWGB6tKNz4ZlrcJ0nU3vJYoKClgzJoj5jLsvR0fUe9
Wsvqk+87X6defeDvFcAfRyyOsGvhtgbJS0TIyJcOIK7bsE5qN9QKC5ev/vmP//3//u+3/v/437Nb
lJH6mfyHbNLbLJR19V//5Po//5FP5v37f/3Tdh3LYcwGhwVzwT7CuYP+b693SILD2/hfQQ2+MagR
mfd2lVX3tbmCAEH6HknPBzbNLxC6de2d5SpWBSDp7+p4AAy3acQ7UudIn8tvrbaa9rF+F8RHIFa2
Ma2wOsbaHUrNWHLhY5BuHeKVg1yqvQiGItxOKoNxWP/SBo74EqAQZl5mRDGLVsjGpBAIATMRHfzY
+2wj5yJNVjp+4wfIE6N6Vh2YTPuzpQ59VJebDA89MDL91ZuUzReQ6ac71upYsbOUl6hHctrJhcaS
M00ANQV98e+/etv8+1fPuc3xy2IMOWhu//rVgx4v07pK8Pu6C4cdksA+qqaMcZ3aWvFSxkiaqOVE
NwIHXTh2eUseHJgnQLV1lIn92auUnnZIA+fTPJ2uaDasvoFYsXZgrApekrA0V5EVd2cBScxjkYMn
Y0Bu6mkE6TO+Xv6uXME/jRpv5ap7UBrxk+FEt5lRDjdNEFkH2zbxzAWkQfyH36Vr/f7l2Dqivvh2
bJSGcMbZr19O58SFg9J5eT8t0nnOgMvP7CdkKLIrFGXbK6D6j/Q4DCupbeiRR03lhXIteR1yaBWb
gfuKGHCz5iyVYE3DgymQFcQaGKu/mE15FmqNiJfinYz07JlpOSSD8g6uQ2YfK3EbaFl5i0L7DRL2
7D5TbPoFuG1BdxB7R7KBMize1jn4H6mXBpRhv2GKlx9RM6jWlqEN3J6VLhGcivajkGDt9yQgj70H
zgyri8tl5QFFGNT30K5n97/52sZtxc29A+WO35b2pDBnNsw9qE6SnxtbH+ikDkEPLH/1k2GH38vO
TR9qdUCkMC9ZBAIwNNKQt4sW0MND6ubywWyMcqMZY7amXhrddck0OgN5780Ub7RzU1+bdh1/Ipdv
a6Geyka9oY7C1IP/8Iuw3V9+EUzXHQP/GBSzBWDIwlK306cnFZ4s5gAqGf+e4RUF+Ti9v3QG6JUJ
ZxgWT4Zbma+0CLO1tj/5zOsvWuBiiaaVkIKM4jOpyk4qsSQeO8nD0mnp5nm+qJXaW4giQGjvFBHE
ZeLiSIOog5r/0jZN5uuxt60qB1U2g+UkO9GNxlG3HeNIZ3YfW8VChgOqrZAo0ne2E+3n7r/5TAa7
bLb/4dnz62NffZkggOK2zh3XBBGdy3/9MuOg1I0k1b070VcDUrGpuzCAX7g1Q81F0XdqrNvElS+Z
zta01iWPsgyA0uvsDgy3IJ5FGjF3gD1u812FPIN6zpbq6frpAJDRuW2g5QYHMkPjA0EnI0A4zR/l
sowN0Luaeno13DhcULCFOvRU++hAdiZElAC07prdyGWU5+Cy8dzkylHn8u+/FVf87Sdm2UJnwjBB
uavb1m/fClZUti/rhN/pkMs9W0owA9QmMUrYlMotcaL6PIpWfX4N+ZisPlEvZxA0ILpksoE/D8BY
B1TyRK3siQF1cD2vV1UZaeDiTqsllQJmDPQckEL2j0xVDEb+VjS5eJ69Ko7qNKFDurFToaHci0CK
EWr+jpqNsnUOEErBYP3NRn65CjVNzsqPbEPlYKltay+lovdeCH+07/EYhq6I6Udg6uLFnnrCAhpb
XgkZLur95O3aVQWBXNs9BY2pfgLDV/yc8k1kVuNOMhSqKLue9RzPCAQVwZqCHT8I+x0U4zNn0VZu
f28qAEkOIDJSt9gpqZbq6wYoKCU1wnKQCAt8CXrnzvD2EPfOL00dgmZ+rL2jk4oviWzqOzJleHWt
EuQwNtSkDiMBhEo3Xv/9b8Rkf7t1XOhtuAbEBVxmYxeu+j89hwZXx+tusIq7IDBU1Fk+R1UZvskO
RYdez/VbZH5ClOehABj8esFbDkYM5Pe9lxxppQ10U8GSIXj48OtIt2x1bGCGk5tqITCu4GLhXVQi
JgW6Wmo64bgO8ma8bwMBVhFfbkKliJdnWnYGTSxKTVUTO4x65wjFcqOaaQny0cJh/Y6aABp9TElN
SCGvQ5SarR0Lv3JCBIWeWa3DkdefoNdAi2NlVJYTcAiBqnGf2IC6TdBrloJIAkpgxgS9htpcduNZ
7BP0Ovf7at10aTNdgq4zAJiDum8zFi+mKZorN13/Jm6Bf+0B4nmxGhNK4bqenlChIB4Mv9h7QW68
gFWk3uCZ6m3JLYrAf54j19XVDuqdWuwgyM7t+nWe1vJHRIDVcJo2bzIfofj8VDX2iLpRSDcORRs8
gHPdRn0OonWlqPZDhYwAYAViCfaL8B3LJ7lIx8J7jNvRXHlan9xI1Ibumqw19zQTq5EBnGfq9NS/
c/Me4GToZLVevzQhGofgNLDJjjqQnZX1sK6Y1SwNPn7YqIP8eoyydN2a5nDCLUSsqhvHRwRF2k36
FQTwB1KGrKP6yPrRfUERI19GYgiAn4B8qqhLY9eHCNgbpmXhEzjpVyesDpUnHwFmiG90PA6vAzZG
0LyAwDXL2gfkuXzI2fnZQ5aOFWQC8nZLTV4kzb5qUThOTYgwW7dVpW+ixsquiLAbq0xPxJ1ZZMmN
XoitMfTijkx96NUrz/TGjaVspl1UUO6Y3L0ukRczl3sK1kI0COyGCd9TwCigDJmy1b1AbXSrAxCO
xZID6rYXTRrXsGQI6mXV3vLK4kdrxq9WNDrAvFbeEtt0+7YwrGprJ5WGeqARdA1AcW7ysMnu/jRP
Eu/7NC+2CFi066KFJJ4M87tcoVFQBgmVZAVEkVoG0cYqkbilYKMDg3AA+fIRTyknLJCT74cvTpat
xiEbHqMYAA2n4AZyLdixY3VrA6CR4UWqyA1Zkq8ALOoPXVmXyMD9f8rOY8ltZEvDT4SIhAe2JGiL
ZHkjbRCSugXvPZ5+PiSrm7q6HT0zWiCQFhCLRCbO+c3QD8m5iYtq3ajCfUSfNNzpThnhOFNMp0Qj
Og8k0X62NBIFVhE63+FUbdIsMH4GnXvXt2Rk5HDgAO6jEYTRDkDTvP33J6H++2rJrsEQumBhsFRV
5Znynw9CwlBVq41Kj2G8Soh18EkvScoAclMPbtipe6TCiIjIuh7vqLDtX+bWqjC8QSXfskv1Me5z
9gNDlf0o+FYCLjPebz3A8Ackqv1oby8SK1JnpUNklfef3t1IUZVuMbCVZ1g4Yoy7Dpomu+4jdNDH
686YkksXttqDbBBkQB7+/WNQf9+XLh+DKdg3LP8sS75h/7Ie2OMIztsR3eUT0267C5OUn7zA+RgR
L8IAujajl3n70aeB7hmjXv3+MJAjyhSQv/z1hyV6dmTK4vW/37Kh/rbPsVVHdRz+cg4PD+O/3jxh
mqoYDUbx5bqhn327Rgk9iL4SE06XoDxqO8mucn2x+6tarvG1CpTqv6sDdBuv1ULvoq9Ybdx6N3Fr
e2ZU5Wg0bWSYM7Pd6FUz0XIp0s0UNggHk/Lw8kQNn5Sg+jzDCMHwhg6aRx6ohjctZ7d+ORZ5/8vr
uHx/uEVCTNZ0XoMNXix0yzUE5f/8Og/TPEb1bCb7yYfqZa51TFn6Gattm40mAST7aZgHDHUXwsnQ
JQ+A3uq3Ww9fMWbyQ9q4GgIf10YNKkM0jlg5hQhMp6w5sECL8NkUWXUcllZZlIeARPBkjcEpNARe
VX+PzwczgSesqt/FcPfv3wFtiS7853+XH69joxJiaLYNJ+s//7tQLbKJTFawv3K49HJ9jcgQ23fP
WpCTuERDpV4OyRw06IBT3085nDYEqleJhYpj0PUI8wmbsHWg6bsJLeeQ9wWou7+Ub+2SE+bU/8u3
mT+SvkQDfvnPmELjf+K6ukaEx3Cc36NYAlffwo7CZpd2iXHssAtfgxQCwTaYwUeUuUjgATx37Bqm
pDFGK1kPAsjeosVIAjrKww9XFClmR6Z1Uck5vGbkRWW3vDDzuyAk7CKLhYksdRMPAlHHiN3y2JZH
MmbfAVvFP7PywqaRFSkPdDJSvvNlkRpeExnsngw/bbeZqKpTm/b2kSTysGtrY36Amx14PMq192We
vvWjn/P8OY+moPRokUwsy4sahCwgKEj2F4D2ZydIiqPGr1tdwkMdClRBd56V1xrdjYvsJatlceqq
eQ/7+Zusl1WyUR6mvvI9lW3/+noFWdksUzbq2K+6PA92su6Xizl2u+umuLn7pS7r8+zUisozhwq/
STlEXsqE/LXT0jr7tU72Ucy6WDzQegIW/33XWFHzTugId8dOqzoEAhXEFOYYLo4q/EwnzT3Yfpp5
ikuNcH2i+sjkdUp/J8uFUwTrNlAjdrfTJvUbC1e1OZnWCCizolht9mx3oX2eDf/eMkJKS1WX+uqq
aYWJV4iZkb8JjDvFyH7eegym+IkIts2j3UjYLzKSRJx9aG1sluUc7jIRwumIFnTmWfYw0irZExsn
AL00yjo9MTaErsKH65Uyd9pm0zR71zkidrzxHN/b9S5qEpTilnFa4+Qb1VXtzXWGwq8edfwtb5Pa
6hx5ED3LnZzVmEv/EqXB0TGFWayhA+JIUfrTPhXX67SBb5ywbnmX3eU8I2n9VYuQ5lEW/dAxFtYO
uM7lFuShCtDTSC3tJEcFTqDs65K/ibwrWadr0BHIdV9k/8iIEOfw1dCTn800+l/1oolODtpwPGP6
rRYaxhNCj8aTPiOFhZ+Eu2ktM8zXo5KscGzJHmUXMAY6FDbcSCNNKzZabLQ7t0dNuEm/pUOabsfZ
iA6GopVv6eyzAbHTbyAgG89qC+0O19HxSen772rlJ9/ARbGVyFv14gRucs/u1FrJhtwaf/aVrTxG
fpGc5qZNPXkBIuN3zgJnLPrpglQfMvYjfwp5kdR/KUpXR311THdpObi7xlDKD6y315Oo/a2WNlBL
XdI4Sns3xBW5h45g4JqnS3xQE1vAseYjI/IoVuUYiWrt8xDz1SB/lK2qFfWexZv/ThZDxQXPhPHq
daqa73BFjObiuJ14xhAj2voagTxZrPJa3ENp3F/7tiP8bKwCiq3f6D/kbHZpKztMds01b+Hqs6aM
xlOm38m2a00OEyID8Xa9VUdp8yPvLFitLHeup7xfISICbahh0SQe+3nPS0w0Jlm3k/fRFcI46Ub+
ec+D5dwDJ86v97x8HbZoGxQbedXUBME+2zaZ9OUCy0HeN/Hm4Xpf/3bPctDYKP91z0FSI9hP3u2+
zcftoCTmrqvdQ0luDg5aVwLsUHq2FvJ0Srsa2Co5kTKyzb0rWxylgK2Yp9i6XXu2kDpi0wlwbVtw
IcscA4jqrR8574keYiQt6wTyouFJnl5ry14TK6B2fq4kXhixAOjJc9xU8DlqVN7YgqTP8C7T5yrD
kXJwH2UHQAP6RkCl2shiKRLticGyoxyCA5jjDeGQb2Vd45As7qI1VqjToejT9ecw5m3CFlxOV6G7
rfXpswjM9n5Srd2tR1ZNHf/NrtjLubq5dc98Inm/rsryTvaTQ+tgxI5NjM1B1uWjGE6TEX+Zq7k7
OHqVekR2453RjuZRJHl2Dsaanfro+Xl5cJICeyuRZ6s0LKc/w3mb5nbzc0rnH7xBa29OQXIhrv0c
TDjCd3Nj8GKptcHj6KMjk/da9lVTHXLFDAIwy5tOq32LTR0h/nbOnuSVx6kwj3E8WgekAXelYyEv
pM32XRuHf+qDVpEmVRC3tBzzHLFqbI0yUGHTYZk9JZW7Fj6YB6XZVAbCHCkoi29OIC5IaC/pT6I2
zsiHHAMUCCOt+EPpgh8Vzq4f1iiStTFM/nODPqWHDYOA9jF/XhsWf3n87bpRFziP8CGgzYXh8AZK
GIKzCqLgP66HRTd8vqIpt+5UomCO+vm2RgPE81MsdPJeZcM99eo3iHkrv9eaL24D1T5ENW4viGW8
uYZ1rLJl1tpV186M0ZE+9up9HiXkcuRIYpF+WE3PvquWRxsz6Y0ckOW7WYudr1BLUgxyhuYATN95
mV3rQbbPVkxMV62GS1gSnofdiN/5cqXMDRD6MuwXfnbtYRRhsq202v/q19vrQN3pN1o3F0dVEOHC
5O/jeiOgZldKzgeX8EJw1sjfrItlQoBLxyLq8rfZCae9BhV8m7Vd9yUpp5XsoOjw8/Duy+4QX6qe
XAfzKXmpxoS83bBreAjAQJwsFDA92aCYzdblqfneObqxc5Aq3YXJqLwXBn/55ZpI3FXeHDopKVwQ
P3gkV9ePq8BYfQXeJXiyFBxq/MVEWI6oYxA/BJK+tLMV7Ma5rPe4kExvc4HPyvJBJxm6CghgZmdr
VlwgeLG2mlmSXklWvVYTDh4ReIJ9ESTYhl0T32S/TbQTiGdZpC4XIRjZoAb2szJizrmsprUSm0/l
cnBS9naVHisbuXxGbk+D8yO0xua6oJZZNO8KdH/WcpDs1YPendhOnmXJGjsX142BZbgotB3bXPUI
g2plg4p5TQ1FeUyC8k71++B9tAs+HMie11hkXavAnEQ2bmSrlQWpp5C6O8jgI0jSn2npiIssLTNq
oChe82VG5OkQVid+aVZc9y+yeBriNwkp5AT21Dl1Zs/utK9GbT/Y3b22NMB1g0T2S7Mylnse+tZh
LmM87MBlOSff1P46nUILl515/CNQvw5GgNh312cEwVw9WYd22K4d1shdpQsjWWPHuNN6R7808E2e
5lqEZz0T95+dc4WE39hl3rWsES+EoVm1ON0skzU5PqQifkwjN30iNU7AP3T/7KyUNq1zso3WNnzN
5IUao/jRla26AYkuNuCddZS4rPg9DRRrkylugbENxWpAkt0Pk/Iki6Ou7cGgsYsqfPM5n8tNMeXJ
exDWZDIWUy820sk7bgnOrhb+Z2ucjomHYtN0kK29sL8ZRVjfy6FKsJl1AWMhrcoHgi+v8jpZblRH
eVPZMj+U8X++KdmaEX2UN6Wg8MlmIal2/jSLk0R5XvGeSzEnAb7yeZO5igXILlcZgV+QoYHiE2Bf
OtlSTOA20bWTnDNaOplZNntVG2x4pV8DS4qfwYHMrzpo96SFHSxLYijYoqHGLkuOqh/0WSTXUlpO
Jz0ohgfZ5rfuPXpdzr0saYF4rpCWvJZAVb53o61eZFseZN/V0IyuquECh3lyI8Zwvl5C1OmK34Z/
ktrgCKzWq9ydAIQsN+d3BZoFaurcydacdX6lZgZ5GtmK/zu/qRSkbReIV8t203Umzq1VJwdSY8XL
bNnxLlGE6slikIr27NT+hy2siG8xPqXBhNqYbBQtlyr0xj3mjVK8jElfbPOYEL1sHXw9OzUTT7Tr
2BadFCd9kV2zHKlyAvVs3JeLht3Qb3B8SMm+M5GLAsMR9H9aD80l1bEWSJNM9civNxezwucXUA6n
cQjGYsKxYXutrEKXpqpRH+KsNw6EHiYs4ZY5BECQTM8+6iE8jDMYdcQR82fVHbJLFYUXoahKAVh0
5oVN1bETWlrNqGnv/AnEmZ9VxbOsw+jqq5lpALGWqsgdMI1fXoQmOcGkwlrQioanL+NHFeiUH2Lu
KItyhFZuw6QXT7JGDdnrTWaabGVbOCXDA2GQa3fZYxgxvO5KIkmy6BD2RLi/f5rt8StSOe1JVrcK
sEa+oP1RFoOmMmAaQReQRXkYau1Fb9P0LK/kztArIlYvKEvcqDwI08N7w+OLkj4Mxig2uuj6DU+a
apu3he3JgX2hKk/Dn9f/bVO5szdBNgeWxyxzrGv3SRrvtHDKn2V3Mycxq4lZ+7x9JzB4BzLf3QS/
qTV8Ufj4wRpnJ5S9bV1/SOwFma04x1uVPEtGewuSbzzL0rUKww3ShuO4g1D7ORydfx3o+NSvUTo4
hOVob1IDnsMECvahj53sevAbZzFc8I9uVyAzkzXI3Y1j/tlPd7th29kY+7lhGXlDEqhn8tntGSRg
5iVjGv7wDzLMfGsXRv+v7XI8S3PGy19abMly2V5Fiuiua+HmS3f0W1GK6NyKUIeQn1k6Q1OkM9vv
11urHNsAy/RqV4wHhwzWfaOrP2VK2HJCJNrq2trJlDC7tvOEEcFTyy5U9vJj+3Ua0CsOssHdXj2U
NPW176L20TXc6jHV0zeJhCnjwNnaZeluO5ZOUrKryYJWCcm42N10tlKlzk4hry1JEoUlKKC/ukiN
rWQMKw8pnHEzDUUyrWw3f0D3MD5IgNS1TsKkrLFtvKu5G57fAETKEQV0Szh8aAgph7MBZDeHOIPu
n/4qW7EYw+AYX4c0GYLtGBCnK5UBNU1VK8Q5TNyNSnbsQV8OE+oXD0FWfp+0OjnKkqx3Ou1zqKyT
B2Epozfx0nZv6mgdR4hT301207+YSdds2ipstsNSNBTVPlhxEK1la2HE7n1VG0fZKKvKvvdcXaiP
soRfDvK8U1bc4cH+62xC3UZBbT3ilN0+Kcm50/LhUV3sz4eMFLrrt2Il22SdFSjYWEUDAaGlv6xz
k3Nbd9qpj7PLbaA1jWIli78N1HOTtDiD4IMNhCnmzyvJAXGW+/tCc5z0krNPQHRBJYQV2HtFybW7
3B+s/zpjh79VbR/0V0v0iEgaUYqFhQA8YKh68yRL3aiYdxhjfJMleQDyP61jnM53ejYg1N07wVNP
PHUZLKfxo1ZZft2R1zcJqtvLjG1omqdhUMInKwQkleZ4QM5vmvwvxchae0ZoOUig8vHJQ1zXd6mu
K2dZmgZ4tOOgvslSbQ/9qS6ceZeSOTtFQYij5HJI/j4zI7fbtUn1RfZI1eqzhyxOabo2jTLGltBo
kaCFBDRjWbtyUcu+DFXq3oulIVsaCgMwK4Kw0PSLwb2HbPw5Arbrz7nUoOuY6aFfIAq6OhuPBuqX
s9Y8ZQtMwebRvm9Kwiiyg6wbFjEgBSzsdVBTKMaj7W5z+2yZ49pKtAiwdG5c5GFwR2zY8NDd9hgq
8UJPQ+gsQOdpaTHgL446ITXZT7YCLnzpcWXbS2Wt3LWwRLGcOyms5apo7K9kgywvrYof/ADzCf8+
xEsodwft+XYWKFPolUudEtBqJO6vrbd+Y2GeMLv5Hg5D9YXgLOkQ/vwX8q7aU0U2UtbXeNATNmvK
vRij6kvIa1I2ltZb37HhQYKTV+6l/jY8x6Xmrgaa/dBqKNbM+Di98yKBAPpyVi918kzWyVbZb+jr
8PdWxx0+xxa1X6/dIdR2yqxDkmtDRJJQ4j8CQNnIqlu9PCusNjh3jtHsXDOZX4zUPyuYdPyxnACZ
HOQJpvDXGrvGyfdqRe7zl+jiLjwqtfqQ+rxDRPIvJ08bd8asx5kGAiT8Ta3lIBv0WQuP7l8jHP6n
lysVyMa4BYyHPntaMba7wanUF/6Uym5Ig9yTxbQBaWwStlnJYjMmvKaxUwjqSOvWuqJthyGOwQ4x
1AXhuKr45d0pra6+yInruCKwuhRDi4ndnFi7T4QXneDJeUBgbFOG2nhxF3JQMmIRKszA62E9kcr2
W0N/RzEMScMkK9eqmxrvipUTrVXyCp5bpb/XZfNlMvX0ISD++fIPgxR1El5eaNY5x1ZbUeKEvZIX
BKAu+cV4kTwZZo8Vy9pbumVuM0XLdxMYb+LjLL6yqDcGb1bL4iuLLX6q6zkLq8dpSo2jlrrKGhmo
6UMgmrTuOzM7EXLp38Gk5QaeCbJXWBoKdDN3/HAdRHsRfMpOeq/IXnLwP/XSFbgguWqFREOS/t1Q
znKGsu0+LyuLv12WXk06FNtKGVSP/GF2uR1iHT24UpxvNZnKOr4Ck7Wua7M8yQbcRfIL5PfuJBD2
/cgzfsusM6+4hFn7bKrMbULm86OvGy9dMEuxjYlBULbOKUYJ9n7ssTy/gpkY6ddx8ppW7edI1c+u
I2WH9O+RlZbp15ES7YTF5ONUtPsIr4pvTb4bEaz6WeNEuarK3no1UenYFP0QnetKSe5qZdS2rmkV
z0RayG3ZvfGjm7uVHJUU05cunKP3lmC8B6osvIQGqVXVJH4HCTZ5ihs/XAdZWn2PBgeVBzJnic+K
qpTNxxy5FZotTXiPXGR/cOriC5v+zKtGg1gUxkvoPU3OVzacYGq76OdidJLAevuSZ6q99gszelBb
X9s7TmLtC10lSQT+HpveYfxiWAU2NqytquJ/6VgQOtV0L36lFi89FIJ1iUfIXnWL4kWQqoLu6c7r
0gjLl2EaxH2LWyK/u+JF9jBHZx/MU/ogq6zabdax44QH2X8OenNXZWrqyVaC+O0FebRHeSlZ5YSj
h9VO9yhLbai78I3wMZFzR1GtbC08lZGG5WasQC8AwZZfZd+xyOpLFpkwviNFx0wnyl4IXV36NC++
6hEYaQNJn2PtOGBrZ0gdjVp8nfwJNc/O4EuBl8dHKb7L7ooKNml02NjLIroMdtEOXwq9q/Y46zVb
WY2PqdcacQaXItMOhRZWGzlpr5jHgh/ji5W3UPJ04wCGLHlKCgPfHgNwd2P3+FMVvc9SWLFWE01+
KltQRuHUQ/LKh2RtBXW3R8VLIUG6lP+Pg69TLVf7xwnUABfQuC1QX1kUG1qY/ehZvMYqYmSdWpor
WZ+r4+yVwaBfu9X5+Eu31kl/7WaxWToI9snnKZKW4CQR/4iS1l01topfQjsb7wLn3Rw96Dch3PDe
sqpwNS8PUfYH/c6Fm7GRRasyycMTKDjJoq+/9oHVvoV6bVzGLEhIYzJZb5mQiTskDuN+ZZHz/wGb
3RNaTnACYNNdrLruV0PHTQ7rRPGEWEu/HZNWufPdqruD3O1s9ahUHuMJwbcQjvdXs+8umhw/J8hA
DVH9R5ljUTHa7YBCK97Dpe/mF7ucugMy1tM+9pv2PpsUVIWxInkjQfRnFvfhz0DsTU3nPipVe3VS
Z8SNht+espDM4rhSdzADumMbzri19rm5idD+fBHLg4K39/G7YjVoWRMTwy+y3ye68PeTUgde22j6
ax61zr6sCELI4gSkbJ8oSXwtYnKq7zW3Sa7FIeBXmmF95okiNl5TMZIt1/Oc9ZVia8YjRau4drZJ
V+8rjBSvrVYdtHubiNB1bFjY7PPSEKvBZWxpkT1pJhX7x+WuoPdk2MYp/bU1MyGSdo5AhXJpdd0y
2geqMl1bU9dXdkGvimvrnMb+jhQ7ZIxl5tomEYIluH5tNVWcnk0NwXE5VRgJfSdadFRlkbVN3c1d
g2zBMjYfh3mnmT6mKct11V4bd9i3QdWamkPjlO3en/JXvIfGcQXLsjnLA3/ez7NYv7ebeTz93kN2
C6G8rkjkpTtZbEpMhvPQxDRpsY/MDM05u3MLzqj071l8dRtxFCvaVgHip7JS9pOHoIi/2xHIUlmS
jZaC/mSXDdt4GX/rGqfEotKYXNitTp61mnjRcixNb3M3OLPeOaF5bCKfFU9282M4txVaOZ6cWM14
+Kwi2OMZLOu728X8AvuRSikeEl7If7k+FI4GkaM83si+t4vZWnIwnaY83eq7QMmOaFe/ySvf5o5y
zVkTGFOvc9jPvq1CFV3sVuRBiXBaCV1csqeFVfZXdZqGZruSZQ2rjL9PTVJp6LcgOaArmScAWJyu
p7JrW6bKKmzx45Mt/zJdm0Y7zQ9ILSyXnJZ5rKDjrUiWjUlxkBhxtY0aO+zN0MF1B9U9VAHfclm0
zMTmvSkszsJ0g7caDzdZr46OfqhqwTYW8NWH2kAFsxrgzqCcjdeMaICsTzJ3PMzhCDlQTo4tDzkS
cIXEQNjQqqQC5KFsY/dULwdZbFuz2goforisG6qKJDU5/nIlNGEQmYrtc2y39jlJG69z9fmORdgg
NrY0WL7dbwh8sa4kOfts2VG2qBG2jUvvcBl7q5dnrq9+DpPF69g6MI9Ggebq9yptdtOkKScgDalj
ZGd5mIwIwarlIM9kXUTCyAMHXa9/a0BqHALiMlZ2jpV+N4myOP5WL3vIoaTJ/W3Ndvl6xX+6mByr
1u53AohLZI7Qbzr401Ys9ojTcgDX9XkopYFiCq3kYAViU8virc+gB2ItXGXYaY0dr0zVjDCUroOD
XWbpbgiD9C3yk0dJKZkbP+Zr0f7awwWM/u89fKVqvWlukYd1URB1u5bgVRvkJ03YG0PHa/dWZacx
4gi38m1ErSXdXi+qM/SY7CTrr53tSdhen+FoZ3Zd+4DWPMwWA8eOkdiJS7qvtvfYUhWrajLbh2tl
mTc7AH2LkCt1xXJo6jTa8I4tPDnNtUG18Y9JUNOexWLjtHg7jcok1mnqd+tbXeyEtn0tF9K76dak
qsipruRIWflLuyw3DVoYv033jx3H5Q5kizzIGS3V+ay7FfnVsbDLPk5e4QizTSCgeS4Zl3FVBlN5
HnFjJLNTVOKugpsi9JCibOn8Ruu8oK3hVvJX3spKq7YWU5BJj72kRvtUH5qnKhI8S7TIPjhuQrhk
qJNHzfmQbbIGxGm8t4k8rm91lomPR5TDplMTs34KwQo8FU+yuzykusu2XTj29RqyzghFjGhI2Oy1
whn2aibAwGRZeiYYl54bYh/7EBWIyi/Uge+uw1G2yD5gOVvw2D06zktv2QB3Ut0WvY5kWJZqx8JM
+ubFzzD8NSus8FwneM7MaPyiZmDWazNryUNXmNKlAQCJvJmOUwWpno1j8ICQJgaNCgzMhFfn1ZAZ
0x8Q7deQUIZglXYDWCPdBbNkICiQRt2L4pPE6/Ua6Q4b6W2RJvFBWfZdcJeKjT5O40vZACaPLJT1
VSc5XGfC6JTgio/gY8fPL83yiz9niKi25Z1uauRx7SktyQ79VZZn8tBETbE3Gh2xpyA4W38fCK3B
fR95rGWRo+2E03yRjbf63/rOYxUu2LZ/nOM2NEyc/ogn30bOfauXZ7e6uXSiU4Rs9nIHv13pVidv
JpmRXnZwIfy7q5Mb0a6ycoS2ArM5IwyLUb0d6NvRyZpNHc/g97NH14bIqRSt81Lm2kOJ/dK9IJH6
0nTqvJrtNr3rh8x9mf2u8Yi72HwGtBrNYG11tv8bbSm6i5furADBkTPFfa3iGxN+k40mUkFPPj8X
9tynOjFLbNgCfup4r3P0FzlbMlBgGWRZniKTPhxBtC68j9F9zXx8vtNxuMgSVM7nLBfD/bUUGgS2
nPHhWrLsfTYX4lGW3IQIiYVuQK7b7+DPoQ0P7XwvDxpA2E3u6wKIAnV5ZXw21CAqsVxxnE0rzM6C
4b+0IKqyCnhC7W8zVOgE3MdBuMvTCDP6v2eGHO9uch30pYsJJ3SnzNigPWY9tIBuHozCjveTYcMs
60ugJctBJypyzrCe13zeRtiVUtfpwU6v55HtKSXZN44MbVVbEXR17H0eOkyTYmU8iWgavIzI1ndU
eCrV+l6jtOeJJNNOulLal6knrSYbKtjm+HaKL/1gwuGc2z8hZDm7qWmLY4ZZAyKAt9MYePaRtG4z
r+NAK46tauHdNSr+AUsHYs4QKi2zLl/CHhg4K3x9ILhXvmRscHY1VtiebM0gF57rIXsjGJ22626Y
V04XNU/lklRFZWZemTYujn3gYgoAQwpbkS4Xx0b15+shyYdfi9+V2coQ+lWCO6JC8FKWM38uwl+K
suG3unTpVzo5FrRyiDq3G54t5r4GDjSGIRmPKQs3dihqWLFR/KiaNUyYqqm+N7314o5Cf0m60dgn
tuFv07L33xVoBCNQmu/VjORo3k/tJRaZfh7Jdq6reszvxygUzS4IYKLloLzQwxj8g9okeEU2mv+g
LQfemqrLsBDZYsL9GzCwbNKbAdcYGmU3lug/CV/HRzmHPIRWBAg82EJLBZcWGjPe5kgZGvr0VS9L
lDZJpOMK1cW7qAcR7vdmeInRcbgUVYjma+NbRCIo3hrCpZgZLdAnHROmW4NimdVZAbhpVznKuXlj
f+iBj9ZyWNt3FsTi96H7bi3VPh5Qh24JDpIlqFYgmIO9CtcVBaxBwR3VUk6Qh43NEGQkfpYGWSdb
TZXXXMTa6QMctlqjQbhSstm+d1sQ4o5tRN/FlD41VaW8lEC79s1saNu0ypWP3FTWssOEw7bXVYlx
kiP9HKiOtF7BZuQpUwX53U8riNZMWe0S/T62TO2eiOSwDTIFB5G/6+RZHYfVeglnbCd36uEQ8mbU
T6PDF5Ox8mDWqXZxixdZ0AseEKsM0N9hLOw/7Hrqkg377nRjwODzbqOqZXygl/2qmXx7Jxvkrfhg
H7DwCRCZX1yxbaj4SteEbxOe7/d9qQYrEvoEnOt52tlVY29kN8cnRWAZLuvu0vr/HmX2UfXaYb6k
6Fr/gDhR/wAbAakPHZ9kMkmnW30X5SSK59nhdZBusiFJhTgRYj3IQbKe/y+iD+2whLhs/Z5sNxH2
wbHehSk+pKhO7O7QHbD/VIIG+X7VKd/sRrG83gVfpwdhe2hwjNqDzNLvzbL5HM0n+gF6+KcedH8y
XXC+6vxJBUB7kaYJTVycIh9Dz5s0oGxo+/E+TxPhaakKGLhxzpOKqppUpIp7bReIyDnLkqxfqmQv
dw793TXxq+UFgD/DCp/LSfMflewJkDCUl+UwY8nkxdUYbWURuOhio1xNuyqeEbZ0ulOjttO9OWcI
WZJ1X0Opmg+yMbLHaYsLc76RrfjdjndZjg+PbK0zFL0mcFyyUVbBtABqa0z3smT6xBj85uTzepNr
3uI3nS52Gj2AUi8FkL6WxZtf9dXoRpbHpU9TKe1aeloL2xnhRqvTs+Mg26kpGJmy5Z2fFVg9vEyM
r9NSklVC096QiU3Psn/DV3aHTTyrztLDAUb02IcGAXwmcyFTILIBUkzDRkeLLthjsQUcefqU6eMk
LHaPRnQmLyU8bmh4RNZOY2O74rn5ONZ9CbhSS9ZTNuG3p/S4BHQfQWu6D8nR4mHzaMPtTqeJbGua
2TuD6PrWsV1raxTpRxmXCiB9S1mHpCf3pGMPCAFHj67Pw12Fo/jVIdBttCg0q5qho3FhjBd5ppjA
jaoSAUfN4s8aK0OGfXu5iB67a+JPrNKEYomcsSQPwsftuPENzyk0orjJgiTf2+Pj5C47Ihdp34Dr
I4ExFUddq+f1qxbB8kY+48jvf1wBY/tRILH3VAo9OARO9sXtg29hHLg7P1LdfeIrxLZ4HWaVjPgW
za9mNKU7a0EzOM14iOuS/yv6OU6ETbFhribkpB5KmIjbENmDxAd9Xqkvna5+dVXNWQkQYZ7R+UQ7
FXtV6ySIxATwZwi6dT/w6yFKkOM51WLbhWaIeHBdgfw5ecKVNocQgEhEbAA92xBPy7HxyHRshqFj
XRZpfDcCW1yFRXvuCMcHROz/SMwcidlKbzdBoVbbslWy1WAAMNXSfo2uJECn6ItqdfO3tup2+Bce
mtm818ta3LkN2FYWp37jRnW+UqPpp999q3PUl3n3/RMpbD6L5gsqg7vYzd/7DDCJVnZQcYsnDbTa
aqgxl9eU9yBP1mZdsaxULfZjofEtzT/Q/drqfDK5i2neaDf/w9Z5LbfKpGv4iqgih1NQRLIcZHt5
/SfUijQZmszV7wc8M56a2ieUukGyLIkO7/eGPyrLhJ1lvqMGaEIox+xOCHvxzXQAMlCUMdCXModg
Zf2jJ/oC4Zs1pZdUIuCC74hJ93XJBDsXhE01dXZLbJjVS0zdzsrIKJiq/ghb9IcyluVrH/1tsNA9
IkJ7U0BHWScst3oCQCqS1XBqypk8FmenavoNPib/ydLgygS8AEVy/JOnsbxps0EYWv7aD4P2Zjjh
AIMyUCLxqqEL2VU4G+wmxgAQT/NMvPjNXKawEipJXFlxGzsynzQkMvsl48ug0DscE/ikYRKfvabb
OzrhiVElicgxx+deSySLz645Jjamg8PQP0H92JlyHmEhm6FWuYqvJkkB066/O0tFwXKull0flTIU
6XiWPdxcrJYozUJfV3r1NI5ozCqzhPgKrwvbeqr9iUOESk2ZqOtJixtIZUgi++Y60JxJzRF9Yx+7
PsE7M1EDGwakwHrhtCzoGEwigHwtKrWQbbkbjL3C0j2SZzBs32y6GRaHGqaeQB/eNIm+b+amDfsM
4/TH7WGD7i33/+vcoqt0lJU9HFu1P1c1QBfsSJ61vYq2nf58gZiMoDTS/WJaxiNijxK1syl9ot4n
fDSWNhReoh+sXn1U9boJIZIv3GGJS1wK++NdO0My6fX5D3OVjUxm8Z5bsbrJszLwmf3i0NYxVyjj
IKodMqhy9/cLeU7fU5cN3Ow0iV/qP3XbuYuo93VqeucYrereSYdfdcvXI7zlqTZtDHxrvJupwFfl
apI9eI8yzxL8gwletcVrmSzNPu8hIsv+T+HgWQJR18E2ta73i5K4j4OMzsXiKvcIg99oTi6a0b+V
VlcdcC753pW5sneili8PY0fcf4YH1RYDJXwK1Vpb3dtk+CeWZoeTYWIfM5uCSj32h2iQZcD7zS5F
MR29hA+kqPFs0QtreGgqPiwtF6/FSF1fb9i6ROKYpcVhAVA+2aK9FkWFtU9WvY21Gog1G4acSmKi
yEyjopkduiq6yhpXiYybUdWGpzrSPhLdAapp5UVlvxH0yzDsUS5aoaIrAsw+M8+5wORCds1foVWV
Tya1ocq/uPSk/mSmRJO3OYGp8XNXGtoJh14Z99YOB+TKae9qLt4bU018z5jY+rrFLXHs+CCNEX/h
GG6q9IqzrrFIyNzso5Pe4veZOwdOe6273Hft2faFVxL4XtTuoaLcc+uhLMq47W6l1YPmYkeCmRo6
rE6oeFK2/RuYfuqLwfowqhhFFpDTo1C905jjeeK2YaXMfzwH/yvL+26NBfGfxnguqTz5iaBczOQ8
BbMFna/SPTcAhp5O7Lxyqmu42eRFc0nHjjHYncwD4Rm6369Jn0auvSPonuCuyqs5u94urQeyMzLE
qWJML9thEFZ6oTp6yQtpIx22C2i8w93NEFiALPmFrfh9J/+mhvVujfMvqXfUwBLzChn7UqNCdGZw
RNN2mx0+CN9awkb3Tpm/Yitu3Same7+TuTzVcVs8FTM8PCXpn0W/+GZf5PuCRd1OR5iFKVZKwpc2
wqUt7KDXSFZudGFgCORmJ1m48ZVYmgi3HyO5LF5hnSNWaqFIMi1MRwOFZlIulyrNxlOJCfIVarhx
1ISYH4akiFnMImuFHtMchpFgRGpN2r5OM+ep6OJkH8uHpkfWYwqbYioBkHhnsCQuG3IOE8x/g5UF
GXSZSt3chBJvCWG92oZHXOAimre2PQ2KTd5AmbpvHUX7QDpWj9t+gsdwDw3ImIlkwiJf/bY07Jy0
Zqg+lIaaqJd107m2TGuH5LX1O4bLj8lC6ZOga/lAVtxBTob7AE+V1L9eGB9MYCQrItX6mOy+J8NX
qGRrWuRngIt8xBii+Azr4wd4Ohu2rBk+NC8a/AKW1IdnYYVkLa78iCuGCHwMmw8kZBOm2li8xYoR
Ejio3/Cf9AAknGi3NVOx6LdSQUU0JR9Ll9UBuiQTTnfcHRpzYpI1zTCx2RNHsTncOkxcby3/62Vy
5QHCGXtlJqBd7RVILXPHemCtDaLkPSmLVF67jI9sNIPB5l1iMZRh5T2NeCRjCtPHxoqC4uYDNQra
b0yCnj2ZWmBDGT+oqtISnNL+cIecEjPeIGj8qzs1nfkw4CeygylkB6RhGf6gGfljY42OP4vM2GdA
wL5hDUe9yjwyydPxsNS3IWvmU9+m0W3hf1FS+wpn8S1PIvEEkNr7eFIxZUlFfcQKHUe/cnmyzZkJ
u5JzAJAAuw7nbgpT7GTVIe0DxAzdwVhDUPsyDVDEZ4/22FdnbyFpFWtHMljq5Z+qr8gZqZZjQyrf
fq69d8jBu16OKcIX7v9ogfE7N67gX7HhhhA43C2wtR17H2VJ7Ec5QGsr8cERPDykKZIhEeHxpY35
k61kN30duuMc4Mouernr8Q5V8GFj4hYIHwAE8GKNrKD3CsdXi4pCJNNDl0b2y1h7gOpWcWh7o/bH
ClCj8mJ3lxEA57dUlvdtUtu72ZVDiFGH/ZAKLeVHt8BbaIHLNJMBtWQJ/ehU6bU0Gki6xnXGmm4/
WHN6QdvRHFn4W7yzR3zTmpOGY4ZQ2ujScatiDlX/Mp2lJ4hNWKcBK5okSYGQZ0fbd11UHatY5IGZ
vrW21jzF86T7IGr/MHpTYR7FHJaWP8xD7SdtrDzaddvfJntS/JJy/UMrRhHg2cw/rnphQvRGWQHz
ZJ18Au2G3NBD/KkkDpSlRYC2o2k40+N56WNK66padkPeeOAnMd26lmojMYpeGEcuiamF+4CR+3GI
ldwfXPXRBNDZG/Y8+1qnhJ1XvQlhO9eyU/7IiS9qsjTjwaybct/O2e/WgL8jMRUnOeep6mV6zYdx
8pV0dvyJlIGOeR9XCKYV1S5Cgryj/RyRHiQGlNJ9FBG6hnWHcJQ/5mSOFzOCvjXVSZD0kxW0gt9J
X+tFqIgBCagBMDpP1dmdB5JB3Kq54jl2UyVbKgOqiEEkok7kBmRZVmSisC9y8kh0mVg8aXJoj4hs
98mkIFlrxHIqrLyFWlm/dm31rKgQ3jDYbo9O237XRK4HhtRM7rCcm88zH5d+QiW3xGc3JrVoxUT7
Icn22EGzgo+1eaey+6i9RIRolFSqV8s/bWvAlWNZsOOmQENBznqwTBPpQ733PY9K0++cAawDm6Yp
xxu6tR8plU63CZIhnkXtIXfjdwezmv3k6aSZiny/TLHNZnjgAxoGcbDjSN0LJ38nEGjaNUBmeyxX
1X2ewCaslBijFb2+lhN+WG3EFFXYpuE7WMIdlHRwgq5Iu0BEyREMLg8zrHdtVbcvrPGvhF122Jin
T4amKceaG8mP5qccAsdYpOK5ZT8bWxSaDZe6iUBX0jUtO1ZV6qz02dnVRjwdi9rWdikEG1+42Mmm
j7GYLJY37RAUMCR3lpM9J5642JYr9x0WudStC/UwIMc7LY7qofjF5IQxHCnNkBWHHuP3pbcr7LxS
shjwUz9Es7pvHVf6yJXzQ+RZjCSRiPe4PH3X8N3ZN3073rUCWKhAfdPoOlFfnkdmqYHxVxOl047w
xztflQvG4v4A/swPQiHpYjZ2Tg5HJgaUg63vSBJNJIZ2elRA85nEewI+g841UOAGQmrvZDCwpDg0
Fg7mDU4QsMOr7qXJkXAZFAI9av5ygkGfT+bsq6ykzZ5oMMafn9gsjBeR5s9K1CzBoGrRg2iN77ZJ
HX4Z6jDtM3EuZ4ZrU4HOVVHNqJ2Lwy4T6emF7N2dRgpd0DQajkhVhHQugqeUtWGnl5C8phxPx7jx
IwxWj6rCnmVoLPl5sBZYEGZVEI1kW8+Rly0HNJqEYWQIUvtFYac+FSlEAK85E3nZh9MohnB79HWI
bbMPixTqFJoaZmoHuB1++3Euc/fIl1uHRq7WoQ3edeiW6jZj9htiibSEacGmzUOXFGyv5nYUA/p8
OjYUGLGhuYBeuD5Q/01ongyzpnyXbgGAUpqjPC1JwRbZQ9Xs5jO2xP0cjkaPl7nTkoVra0XhWxbu
LHppngdlDcSrj9O8lCGzSMkmaIr2Vl+92wmsgG6IK14fqKUlZ7cwq0BJqoS9lBuF24HlK+vQJLtZ
wO6HSFFluPQSv6zROkqGw1CqGdzFhGWp38jqNc26X21X9p+f1fZo+5iSxcL7fI4WF+eXXhyjNY1y
22dsj9y1uUbz8X3vZF1OvGkO9hSNoR2/IWqqGej2Glb/7C6oynpO+m6UcakFrdpk565bKLgvO23M
njXFS0mz5x+j+GZhQ4kTBCv4to2igEFqfQPN41C1t0xhuMBCN0iyOSr8RI2i45I3p7FtMFYoSUVM
k/PYoUtUWKxBg52McHsHmHlQF3aWN8p2NXkVhrsE28NWS2q2v5HhJx0kSqxCkH+/VqXH1mo0wWsI
pAohOuihQGMe1A46tuanu+Q/wV1cPtkID7lBt1x2x7TJwCIGNRHn7buq9akK5XrYmtvBxMyDn/n6
Vf5/pyOC6P/r6tHx2sM8CsDF8qjVY0DY8nc2J33QmrjC7W3FxGCkzE5DU3gUdbggrsn/rtwUs/TZ
l56EnymcBsodhwHG32H+LciUoAI4aUp3jfI+OedKgZ37Y09M4KFPhucyqq8Z40CISzYJaXXxAzu5
GKC8RabVkzG76I8t3vDA4Yq7dzKp+BCjKSfE6fISNUXJ2L0UB22Mnx2qYlFxJ3f9TaqucRxWmEC1
rCKcYmwipdQvs0a0zREhgnPvJfewN7jwJYvq1dtkkMQPlDFCymE8K5Wdceu4803MGLJZjtKyagJn
9DBvaIY8jFSBL3ensKxCjHXhoznjBaNY/kLV2VcmSFquofuZF5t3HI/Kus5Cr1p+82WTTwNp9WyO
JdmaetrtEkpk+th5t1EsxhFQuUY1FqRsIXaWbKtHtUDUOLCNCkRep36fx9WjlVJxxsgK0/7yiNB+
2VGF8bgKw2djwtmWjBvdXbIPWP/yEpWpGRCJXO5aZWmuGcYZhlYp7zXD7MGZpHvOySV6JjuTmrS1
dL+mTBydpSN7vjPvjiOqI7dAeYrA0d+rMsIxIVV+9JFZB9jTDjBGRX5TVPY9rTfs6zwRP+I6eQNJ
CkjgNr8PsXjGENX5UwjwNOYFvVTsxzxi+VLGaeNLldg2s7V/gsy7YAGMUY7a9SfAkhdKg2hc+gah
FWjJrorb7KzjOL9zCnM54WK6HBdKBztYmsZuUbp2z/JxV9VjelSbFe/wQKRKkNZO9PYNoj9xhWJ4
KdGTGGmVfI+U2kYJTjFBv2e1Wq3ilWSvGvby0o7q967VPsqxa3AnRzBJtZ86DFktqZt6+ACN5Q7P
5exZpFmBuDWbGaT23Vzkl6aox4u1onczVN/RkM3JG6TyRvT1XngGkCqKvV3U5/spTuM3mII/BUFT
D6bUlVdDtRTiM9Rx7/YFzEarSg65nNzvEvxaei7c+jaaLwCf8S43sVMaqCCfcOTfuTi5/2i90Qic
zNEe2QEYZ1kn7bFFe3ZPzA7VO5XwPxL7YMtLf0sCiVlPa8azV+X1mj1injxjEM9GEwFtKKL8ldd/
sBVIqJEmtb9I27vDNo4OceIgGG4WMraWbHkEYvg96915mUV3H9vOfe4xtkhK+MwETcsjTuAMR1v9
O+fNhlvNO6OWlvtf7c/T25Vb59beDtvlX8/+6vt/X2I7bS/RNs5jVqacY5BP1B9rqPHnw2ok7nhr
b4+2+WZIVC7a2v/18Ov81+Vb33b4n77tdba+WevKnaHWk8/eLsf7rSxrJtX1oeqwhAFO/XevMZgs
CNbzuQJld08e27/an0/9PIqZMqBiKYc4E024Hep1mh3NCvOxrW2287/buFezihzSazXr8YulqdwO
bmEEkIjil62vLmxG99Qcj1vfdlDRpqvJGF0/uwo7e4oZxr6e1JHceDZx8//s206U7SKp76xex+uL
f/alSutr2qCev/rYcQaY2RuPlZlr+8St46NVYzVeKY11U2tTvUWFlzD1Td0P6WrvBUTku64qU7hE
otjbBBA9V/PC9imefSzequ8JjItjSgDkicIIqmXUiYTs7TTdG3aDzMFSovLBrob2aqb50WWOvZDk
yRJpyfIzyrFjxpb/UmLZesTc5a2UuXNDfqjuFbZdDCux/TB2U8oKX33Ipi7EDKW4kN4riNSByA2L
atkbnmYTelLgH1ctP4SD7SQftHcH0H8oO6l+x2+t3InRLvfqoj1Rbu7ZYvbYNFbZFLS4Gx5NWVHp
UTFk0nSEciy9d9kwqG+NM0IY7bJVTQGSlJMPRQRVbHyk9W+j7Vt2yhAa+9h6X0az3hVo517yBJOC
eqp+guXPl61Lxnp/8/LivLW2A0Lh+NAi/d5t1299Xa+/edYgr1trSKqFCtP00HWzB0+tE7uqyMaX
UkQlMthk3CvxOL5sfUnFYhdy1G1reaRyXpKm+IMNzb8uWCasqkEl4aCsr7EdCv1vMlrieXsZr16S
s0p0of91wdAT92AqMj9vfQ337bVTopvXUsOfqx1+ifGTthQqIZ7ZfHDceIUnGLa3vthKnouSCurW
ZVUDrNu8+rWN61tXMi5zoNaaftya6dxWLzOo+OcrlERg6xCVNs7rRnKFDvqU1qlzSlvGVyxb/k26
/bykXVifa9G3r/7/vQ6Iv4QOaeiH7fW+Lhy05D5RjWNnU4wBDk7VA5aB5tmYVv+cJpn8rW87DJVa
PXTrIU4V6Jz6vKyeT0hz/nPi62ItW5xTratPX13bozmPqoevPjct/qieZPUjE893ZZs+VDolY0FY
7+ejrz5b6SARSC/crlCoMH1eVsZNflJ0yDCdjut4WpuEoahF9xYDBO0j1gyHramJqiANoUd37Vjt
m4iileSzYoXrxckoilMqBKTqtTmKviYxGJ4JVk3svYT9Zng5/LbKBGFemyZF9ZPewtzvxt5+m0o5
noTCim07m09tdupkPe9iE6380NlOGEkWJXYGOqcqmsAkLbdfnaFkC+aJ961lFVp2X+sEWytxI/vV
MC1ckrrieeuq+pjVRFEv160JY8oMyHD83uDzsNOnxnu1kkHBEixR9pbnua8aS6OTWrKo25oVVi/4
r7HI2S42GC6eUDBctpMRjI7Xbzo/6yEYZ4P7qq6f1PVFs47lbud55XW7kFhi1nRzTzISwYX+1jcy
8+xFiwuVx/7eS+oBEQ1T3rRNbNvc5OpOBNy5lnG6AblIYNj6cnLy9iCcIYf7GSfHEreQ13h8rmtZ
HDyFYOh8XH0vR/sOSGBR/NX6fQUr603JBtCpXP3Wxxmz+1wWb5Y2zazzGeUIjclZixvOZUmQO+Mj
mr8NykSxxYvesYMmgmPC/NnrzePWaupRvjrGmdEx2dtkWTqwgkJH1z3kWxlW1GUk3toJJCtvKEkh
o9FPWhk7gaAmsKJ8TjDAdNknudkfgLFWbMxlOV/c594oA1Mv4pOn7zAfdZ/sNQ9mO+j5yTCVR6OU
33pdIYrHbeZH3jQ2HNUEXp2zd1EMZJEpxeMgtmukhjoegrhmVT+6cniKokZ9JclwY9z40vSiewGu
lTWs1VWl4fOZNdhF62F7JNY1hl2ZD3EZ559d2hQloWIML2mb/6pt1zi1xFjchIU/3MwS91I0xQdr
7/aXa4rbMBXaH2I2DpnXWmyWHtt58VmQl9Swuw66hJX5HubK3+KVfy1K6cdkY7yZaXtOIPL+0gqM
4ZSnnBiTF92uLjjzlodKA6ctlbTcu2NaU/ROvrHoa46Di5BBdJ7Anz7rnsyhkgABdvJLih9qvNhH
r9VWdn7p7mYVjLBMRUVwtgtoq8KMtRf9eUnH8nXs01VdmItwa+YNfqOQJq4o7+2nqJ+pQ/Vjg1bD
mJ4Saa76srQ9wApOT22DR4illCfinghxyG15AvSTe3OVlbMzN15Y+vPnF2qQFCh2kKD2qUKhn6JW
7qd6lwDe2L6pP5M6+BIvjEAGQ+0hjvSKtO8S1pei1W+60+FZW5TPFru1t2Fxteeu1Q/bOaxPvUtP
hrY/2b97Buc3Uzjevaix5yci422wjJkUbUKY13MTRnBgzaSari0Vv8WXZgC5X1sDxeKXkiTerYUf
cP3SetlBRLX11lUNYbtlcdzO9Z6lPjuRPH22arN57sblbKqZiq2FfsqafLkV66FTx8uSdjpwDa26
b4fD4Co2Xka6fZt0zWHPOxc+iA6eAVunsZ5JLeaYeS4uhS7tmzpqnI3mbtmbSTJgWLu2t1PbgQIm
MU/DbWt8vlTRtBZF1QoYtRjFaRwKYMlWEJjmWlIgGMI5bGtW6x+gCGDz7JX2TNUCOhHNqdO5enHV
5dyL+fWzuZ3RZD2EiZXdinz4MKu0OhcgXrdhaP51wAHT2ZMr1wT/c2JUvelB5618XdsZjmb47aQ1
PgRyrEXWV0k6wKBJTzEMMKP40cjc6SAGxJRarsaP3EmIBOxhma9rhtHWt13nEg30uDXdxnxCcQfK
sD7/q39pWuyLpK3gyxhLlnKRthNzJFCccijTroRgjMRyzGuKyGtfYjJ6YgQUQ+ewu9fCKt/qqBG3
reV5c7RSK0kkX0+OXaocldFO2UiX/atql/qDTe4HjJEO0gtXNNBS2Rzft4aQ1Jjwq1+uW1ProHIg
xsuPW7Oey/QcjR7M4fWZ2HgWj8uYfP7hrcu25iCRefyytaxiBGId8UTZmgnZ73vbXIHo9enCtuoQ
LYbtb81cd6wniQR3a23vr4v1U24X8ml778XK85qsVCFPc33fK7Fo1rV6vzVrwuX5aZak3WzvzS6w
QUoxglpb26sl0fCU10C8FJYprVlaqQZK08rQplgAkDw3jNVm1Z5Um8pQTPjnmzNVs5/GsfMDAvFF
8ohMOu6n1lr+glu8zyCh3+seuQhFeXEn55upnqWhT0ZnfYPBkZ/qyo7CzljEJYqU5EQdsjxVmHg+
6kX6nmPP9rubnRdzJq/dcevfZVHZRC5nU6jVhBq7KewbsJ/k95lCfAuCz8ZAi930lk9lChMnji+U
SI/ptLzaS2n42HFC36hz+6Fb+mrxi0bj582dOuTF43ZQbDt/BA3FIjv64eDwGAwZCnR3bKinxc0A
4QrqORo6FY/NHhWL100XyPLLWbbNT2IzlbOlFfOr1Tf87KYnjTz4d3LXfpWLG1Cgx7m7jg7CFn+a
vsgekzTBtzZ3lAMyffW9tlKNRWt30FzdfhP2kZJY/s1YlvFgKEm6d5X8EiveL5bramjK5I+ZVD/7
SZiUdxrnpMEYpcrmEpyF0dgk0xwHJsQPnjCyf0aKRPlsuVCRGoqVDjd21kzeTheUlxqIAC9VdQSR
Tyn5EXrelSnhL7gTUyXQvjVL7J0sj8onxPd83wjsMU0HstIIF75th+hq/eOi+r6NpfZiqG2IEL3x
qULFB7UCEbOwuwR4mcB7Vdbm0jEep+kfncQT47nqbPc0Fz32hxMEZRmAMyonTaGuhqapOaCd17EH
iYzwF1QP9ZaDgO3wV7J3pV2uObLLmekRi007/t4UrrwvOpM2XfqjQ+EecrcjQEw5KOYkrpOX/ppL
QhenEe9cohb/Lshg6k73SAOM28AaRPdM8VY7Wo0lwtgqQeWT2t3FpWq8w/z8OVpp/dfEBZNa0J+k
7xvE3wKwvqoxhxi73lcxqTuT3De+qJWWPDWwVLbWdmisTjsgnAccW6/YDlGtw3SZvEuEWOUFGxUN
2l96ghuxT8lieBw0U73PlFb3nk6te2taGCneihQv+PXkALvwPhqIsSd7uG5dBuqDo5PYza51M+3u
DUYHyxMC0draujTDwvCty7Nwe8I6+5wNZmbWLsmp0qLV7bPu73MEpdVM6uetRSZVvM/diAid9eTE
zoZ6dRduLU/X+nui5DAEHCzptz6djJDz4JU2KhqesB1YlBy4NYgXXZ8Qu8q8z5pMhY3AFayq06de
p/qwnlTWwzQC/CmIBs7bFUDdYxhVuEB9vWTs5iHmq9nney6SsQoSb77PKXDHbGn6vY2IRiulCPNC
MNNVXfrX7mx8pVk7vTjCfsnH3zWZuK9gmsFsWBPRJKXxWk/1L5FhNLGdA6JVA8wpvROMUfPV1sgz
VAZv3G/XloYehw0xNcF2dlSp9BC/bh0j84n5voYMI+ci9AQrCKRoyct2wByl2jdZVO2z//Tpc1L4
ceNh3m3rycscT7C8Ig/vb/OYi8S4u1Vv3LNFYdCH03Lemqni9WdtgR6yXaKNtnFnApudIvm8vmwp
I0+4tJ7s9elNLA/Q3SMM0dG2NUrvvGyHLG0Z7dpxOjtx6rx0eKPfplRBZq5DQKvMGHU0iTTH7WIQ
QfGMlxx7mqgrA1i/7Z4PaNpDbP7X68n+b1Uo0R5lP8QoYlNe0NLpRNy1/Wdz6+tMuZMa89nWIsS0
Oi4NBLvPph7xrKU4RhA3HreuyVgo5/WpSqxHE9+3vnmJQq3kxthaslOGU2fJiiv4o9thsOfHGnLI
w2cXKkgSrUbPN5wyeXJcbvMO7yx71k2f2i6VYmOMX7aDp4qjWhnLbWtNkdveEukeKz1PsmBpVxRY
No6/na0SZvnc0oHO2iw9fPUZXvbHU1UmvaFun7UEVdkfh2zRqVVftgO/Ixw8BqrVX32ROb7JRJ2u
OPqoL0McpVep2R9fF2TsU3DeaNvjV59LXFk3fb5oO4wYVmAjFFiTPV/1JH3qJq+4MQcWN0ro4YAI
ItxaBGXaqr899HLxonVmd/6vvu1pVlv9lF0U77S6KSD5lM7zdnAlKKGDIACFOn21qkDSpRYjx12G
RvUu06i+R1kNvOalyXHrK5ISrDKFYi7Kqg7mJlJ9fvvRebvYNMhorXApNkzoP7VKHFbOMLuP+0Te
5VK/dACFD/i9ynuVYXJrCiUKVOSgZD2MF6c3Bz4ATgroUzsKqTClNFve1Vmmj23qnreTWxc5Yxrg
feudtXmsb7M5XWwpBr7P0XhrzbEOvUn2sILmuHiQcb0v672ijvWubR2506x4gXgUtQdTMZyHIUOi
kQ5RtsaP7clx+9YaUYUefrhG9fBgDTGO7YKaFLqEn1GfHiyB4UFmsdOpWAF4tdacpsT+vbglDDZ5
VocY5YQi4HSrg77rWIMELauP0iNfSC/8BZZwMCUKQtKI2Xyr9sGPQV1vwkFXlTGEMfGmSSc5xkwI
ANwqlHRIysOgX9QFr7lOUwyKC6iTXOWYT/o7+y4GG9gLu9pQb0WfnwmjVq5NXyOPHUb3XAwI4Azj
LW3HlO2fyz4ZtmcxCPe+FJYWzlS0wTs6wESj8oty7tBM+epEki7uxJRvZ9IAvHrI/G5hjmQz/KAO
z5povafVhG9GxGDPjYnuMTauZpuqB4VgFL9K3pdleaUitEs6rT5UdudehoI0GIAAHn4d5hEHeNto
LpiWfYNhMZFC1w2H2hHkuOp6dBvK37yMCLFbMXx8n8fAMQ0qt5WiXQvWqoU1qc9GziuPTbFcLAxn
YwFJpFCIXMx0NHlzdmq1UYayj+Se+Mhx1zpOfM1duezUTv8WT+QHwJjq9/GCRENd6mcL+sdzo5tv
Spo0pwK3xis2ifBKmFP2eet017qqQEn0Ef3WEgVxMw9XiASnXmLI2MksKGV99IrJO5fG3Oxy1g1s
rUzhG6RpBXLoT1azMgLjXtubo50dIAj/xKrpxxomejKpkgd8WkMAHa4PcGcDweN3Y7cKdL2s6y4a
R3wSoGvhJcGOvTeY7Q0btY36s8n0GV2dKS8jRIOzsgIeRvu8rai1dVnNEoWfUU8dJBcYs5QZlhHJ
2KlvevFjsJVbnqPzxRwlyNNn2Mt/F9doQupvKjNhJvFcU8O5arQXE4WHyc+ecq8txwz+jdMERimS
a182cRhPrDAKjft3FuTy5H2N3d64/nrrAsjKGfCkcJI3gnpZYGZgqHYj5VHY80/XVN3r5GZdABTY
CaDQT7ID2WrUlmznHA+CRIgYMY1WElpWyRUp+YYQoAzGNPndFjUp2Yl5Yi4fMhgr2FvJAx/oX5kT
ETMBw1N9IJSja6wngBHdT/+PsfNajhRZ1/YVEYE3p+VLXi212pwQPW3w3nP1++Fj1kJb/8wf+yQj
HVAFSZLmNaDLDn7cvHhuA8fMbXB/U43iGtb0g7Fi7uehb/Zlx5pAnT+haare9VGk3bVL4JgYVjqQ
MNN8F+qBfzQ7kHqhpjNDUZyOvtdqjkGSuHtAWaeoCH4p7DygxBChKMRSxs/eGsq3FllzPtqXLsfG
znHhNOkBeyDqCD3VY3h8HzQAeeZnZiTtnn3PqjQfsDXPdrgBfE5jNeTyjrVAqA8T5OLH0WOBvda7
iV3h4BPCKnw+2wqEkq924PDN+G4EebnDNotRBZPCLlHh8Jgti9dzGpxsb1GfrfpfgetnCJQZwBtd
PQXEYOYAD/1zOGPVqEOY33UaVKb29wBpMAL2e2w84Hy17bDq7OzMvFX3CE0XR7XoQCh3CgYsmqog
H4leTBD4bCyU7stUTZ/G0G7uWGrM9nM3IYqWtY+wlz+x0tzsLPTkr96kgwLVfevq2O6N4vfejZL4
7o214HSquPvRuN5dGdHNmo1CN5ZW1WVGYQkL1e8DQNRz1XXf8T4w4ATbwVEpk+l+wKvozmHxuFgI
xEGqv6SOewv+YWKUPfrcweH7yKyd1Y0A+FIcH3Wj83dNAYkiiysWKtrAZNettC6VWxU7K7HbM9D1
AlCcZwG64WNwgsx84+RsSukFmltIx76UVueyylNohySOz+XUmue+rryvqfcKl6lTW//nbNcHOO98
S70FIqP8jIx+n1tZcKOPAf6IldocmKl7lx7g2dkCBwruhC0pxWfy1kG4d6yCRQ/VPDBmvPdGa3hK
BzSKHFKIySTH1gxe80yxb7egGgpnTdqM/K92DUUMm68Hy2fs6A0WOEY3A+hZed7JD3xvH3qor2l0
fXumzDtdDXgVfdO4neuYbVNGH7/SXD/mQTLdqDPyTQhFPWtx8NtaHKKg6tyhWyyNkdkZH+IlWMRz
zHzU7lSzbp+Hvp0e2njpuUl5ZdA+1xFD3apOz2XgqOE+dXiMYMKuSsv8o+tTRh5W9JakOjqHZvFk
GaN9GvOI+fcS+O797HXw0FotPjbdc+o0yU3I9OAm9Z3oYBQQAGBjR7eWbT7rgQF7wxtpUdg9DiCu
WN+Lj4NSP88YVLKwx+SsWwTOtOwiGDB72ZGGKgws0bQWrysQmP8NlI79oh5t08LDLsMIkdTyS5Aa
Y+a1LLPg1+Age75sBCizftR9bF0x3IIjgRmoB8c66EFjTcEwMeP0OZalkTsEpa801OK2MacnNZxH
qB2+fRhRpdlPSxKZgmnfmzwsM3UBmjlhCq+kQ3py1kAXeWZxCyLjMkwwUoArPXRm96y0+D/lZpwc
dEw0571g5sKFwG+BPzs6w5TDKZjdhzHVNIaCXfbosTV3EzfV2wzc6DNeG6ANix/hEKWf1RyXGK/9
5RY+jVtWCZxlqaCedWY6KQ3K8VztXoKJTxgAK085+FIbDXDs1UoJFcCePkiBqc7NGzkNrpWvUR3k
1ywu6bLHzjlg2A08hC0FQHDFvC9QTIucwua9sPcmXd79oEHprQEK4L82nJKG6yE54t/HLLBekjl8
C5GCQ3z0NGEtd3CcEYL7gjcCoH1INJ4u+r+psk/7+g/zmva2HbJzPdZ8JkEFJg6W1moCSaiFx1nX
Vyf8VuSl8QUJeRQ5x096EliXdFA+zSwCLPRW9VyZi/FA/F3tjEvsjSG79Qcvnr1rGFkPMVtp+1RH
VqlVc4T/DBDj9q1r6tOdlsavo8osNawCZBRDKMOLSVPlo2uTNFwPKNDbqgARZHV3stnwBstV2qtw
RDr96QZHewG26yKNrUxMBEz6aW3B1edp3xyK1PaeYAE4j+r0OoPgezIAI9h50JyqOPlSMjBAvjIC
WlmymSrJOdUzxnxlBkBTUc5J54aMn4wU+It1yIPO2Fdl0V9gRxSvnVk3lxG2yF6SeuI04I1rC79Q
pblnuMz/aTv7oJfBr8lWpnMRp/Mtwh9P/QzY23Tt5DFAyuUxaLSanWGkMJ3eSY9WbVfnEhq4EcDO
UBIk5jJ+3sLUcAekgp2QTcYi2DnzmB2ZRT8arHPQix+y7LELAYv9yO1XTMvaa7ZgZsoFVxeCsLia
zmO04EZrY1KvACPCBUkqwaRHb4pi+Mf4v1mSL9Wz5bWrb8qA++q10Ol2WZESCtCz0UFOa3UVHPzT
hCPkxQpf4wakgP8yNkF6CqDz2q0Bt2gYXxAqR90Qz7tVV0MwQoIbykwmDG7soOS9CG5IQeenkCTH
vya3CW7AZVnzkcEqv0Si8kZbFVyyi0STmRUkWFj8vaEuQPu6rY6CUKmcpwVSyFg2uyl64NZBg9eD
v0sUbVlHIDcAi3VkV+Wbo+SHRA1wyP1l9gMo5uXGNcsZJbbhE20tUeejQBUlc5yzKbtIzchpuTPI
IgZ/H98uJ5FaWqhOO9vJ0oP8ygStaTZgET5bXP3OQaOeRWHE8faQ3IcrGM6f3fL8RjNyLjlq1LIH
LEEi91+iMVNktrQwvpNkllXnsFR0/GeW35SD+wzwzrjIJeVn4LwcRtWAOElfHb2y/CXHpWMAx3x5
jOsTlkzBS+U+uy7WQhrd8sZS785IreDJBOhjxf5Ka4B2yw71OKXjUdXrH4IHlmAARt3V8OtYT0Vy
JKsGGzOiyknp493mKJveK84rVIPvPczFo9eEPFEbCdFTmzQv8uztxH0cWPc5zbVBt24NEXp7DN3Z
3ipuUofpXxui2bY9NLDDOhDqJjjI45KnIbESj89kJ1FpBVao++wrdzuv6PMbfB090GcSXQKICLQN
5Vzh9U7fMiQzQARgzlgNYwT6LipHOzhSgER2jfxmjc5pDxrKji5yvbFpWKNuDnGbfJlH/Ubu3HqX
oJbuCiudDnKv5a4kbcH8v9UQX1kwAPJM5AiJSd7aHCQtgZHiGNJ0IRBNRB+H7pM8+LVpyq3ZWoOU
1Kx87iow7Ae5FfIj9b7m/rRBoe9ZQWeUa1V/tYttCHKX6/01c6efAV4Zp4zRAK3uRavyFqZteMpn
iM6tPn3Sl65DPttZbDvnOZhBAmPHt1Ohc6KE26AnZCV58f9c+N1vkCi2V5Dd9VBfa65PDzUZHEp7
Qz9IFyDf9w658YsNIGv8lMLlXW/uCqd499a8A1V8vIMG23hFBGtybk5GmGvzMXbD70qXqcftDtMJ
3uiOC6V761zU/inDxPIkv6X3q8fUntUTGo39vG+y8K4ddAWYx9IPLa+1HCmxf83zunJGOCBMDtIS
+jg9MYRh6rI0BH1E2smEY701n6WCXc1UMPX9gATbRVrw2FnDZcotpiXVMXcGjI/cBVz5r9e1i/Tq
h2CFvdwArrAAUra2N8f3rr4AGI3Crhd5G7q3pVuWliTJLa9g9WfpkSx9do6+Uw1gVtInJ1DoI6W+
BNvb+q6JrlEpnytvuHiNuZeWsB6CrcBZeWsbNgikL2TC3pxR6L5ub/jWliVPksHSCtW+PzWA9M6h
E52kzJTGLjW24z82QUnLU5PYeoyk1+iHckl+yFubbVnZ9t9dD7ZybPCn5jWAK7dLgccUKSC33gbh
vHw4dA+iaaAzUZ30Ez4U7NMzLpAnPtg6xqDOYz63zw5jA+aHdzorFrNa4LGdPOeAUoa6u7UWrOo8
ls/54HYn05wZSjS6elCDgrWbHoGZHRu8J+EdTPliF2nOQ30IovLRwbx4e/ByVUmur9OWlsytmXw4
pBjS9tJjPyiNUYJ66a4lpifQl8wYzpPcfTlJAZ5xArNCs+t9aPV7eUtgtZMr0Xe5g2t8zS1ElGTe
MuEafIRU980WLkXIDetiJb2yDg41JF7wDWOif4564O7ImBzlHksgjz1ehicI5TJHntK/8km/8WIj
O6nzeJuYJQJlXneRTkaj127h7Jao5x7CIli/AEb7C1J+dpUTypOXGD19u7Bh7Gj4NQ/eE2Zx7opZ
9hP7xcfz7JRLi9g6A1VTnSvHbb9Pb0ft0E8Q77e7WGYOPWmyfGYyN7MOvgVdSEgl8AK+gks2GIl7
yI9KFfbWoJwY6KKMmnVcdcxksAVetzpPrnOdAOawn3uGHolGcWTvMxzD1tHVOouKtKBgz03X1k4Y
LvVDbSTGSc4vv8u3o/Ha6o+zkbcn1TSe5aluj1Ziedf9jI0p2o1FgdI/FPK/J2hbx6HIt1/S68CO
6WmJIw3TBzD+Ry2zc9j5bT7cI8huXoCmVTfC2hmirrqhLfwpwyxbn688ia2P2R4MH+jfKfRMc/Lq
gwVBGlkMx8DhpOAlcOnBDygEHktumTwZadaBytqjBTzYL/AN+W9nLhW2Hn17kmuDXvr77SZspRKT
Kv//UzFWG2Ev3W9dvfwYSa5j8S0tsTVzjrD9YECLMIMMdJXOvqh4LEoVuew65JIoDpu8amuUfe2/
YfXrh1J+57tRxnpsmbt7YAF3bAhij8GHXsavbI6wdC2vyVwgB7MPJvM7WiusJ4d9cimaMFSPUn2N
+ssXNAIM0gXpOo6Tliojui3Y8qY5Y8tBQylSAya2DMLk72zBipKU9Lux7Prry3mEiXM/Fui69cQb
4Oknm12qeY9eb8Em1F+u/BCzvtFdXb3KsEwGdRKTYD31MiyUJBtBaF4HEEC2ylJlS0psC7bHuOVt
1/hwbJR/7hDqoA+jz5SOswMIkF8kLW8edzxhGr+Urz9+LrViFymD+m4YKY9wbXnzjwCi/VWaa4SS
LqDp5RmEXYfkhrSUf47K0WtXBSinubhlevhIBQlgimxTuA+cECF4SOlWsM0BpUCCrZ4kB//noNX5
df31S0teyR7bO7OOZ9bGLLmennfsn/z3vZPYWkuiH9Ny0HrWd7U+XuDjUYrGxkZrv2ozUrPSr2yj
Bzn2n/K2KlK6jrMlugXyPLakxOS4fz3ru+mM1JaKHy71T3kfzvrhSsHS4WM0V3chjL7lFcfDmb2K
al7nqvLCS8BSCuRMaERM3pdlti3Y8uYMT1Dod9SpWoPoWkm6Wzn5VvVdiUR9MwAhxBb82qLlZZH3
ZHtZtpfqX/O2w+S9k3r/lPd/PZU/5wu5v4hB+40HF4c2hrXLWFg+XFuwzmS39Lu1in+q/iFvnU8s
p12vIOf5UGe9wpB4d5oy/FE7L9xL1yBzUIlt32jpQ7akxLYB2Vb5Q96HpNTzewQD+p9ajSRCUtgQ
+Xg52XtneCtNeI1KrqRnlrKZVmdVdtK94mXr3gFTQRvf0sq80MglLT0/Y6GAFSUrs9x16cgPrHbe
S/fA6j+SrA3KwH/T1dZOw1ZZQ5DepShnSJiIvx3+qbvdmoIjk/6tztYMtrwPzUWSUjoGTcqShQvT
a1Bn89A5ejrvZf6bADBguSgZX4N2iE7rGy83ZQvWbnVLy+3616QUbK+uJAMWUv7uviX94QySN2cJ
2Akt4TXaOvt1YL2Wy/PZjmzwKmHyll0tFkaMZYXk3cxxqybHSiADgy0psQ/1pBPd8t79cSn5cMjg
VcpxNu5BBT7VUClwDZAarJQbGkiO5cNV4ojXvkjX5WdJll3kzpRJn2eXWXV2TeZYF3nZtye6vvvv
FjPfDRW2qhKTxxsVPSt6a6V1kSt3ED0x4giZFB2t7GH2SrZjUHPRpgd5Rdd1SmkB46zHzVd5kf9e
1arV4Ih1NlsnDZuDeZ5dEySCYYlDWpOgbtit3G1p3woU9M9Ca1cuusPObGFARoe8rXxYuhacTd2/
Fc62xQZApKJdI3dVnkudQWXSq+K1jOGZCJ9cXx7w3CK6067rmR9uv9zUd49onbqud13mLBJdX/OI
zcnZM6ej3GW57BbID9iScmM/5K2zOin5SObcakrx9pf0MNT3NtZ6O2wMsYoLcv+tK+LxbCAEeNRh
zJKEeoYAaXHFZ5JSS2fvzHCQ6VlKPQ+Yp54keDfVwUukZWdtOYea1Nl9GdTtTmrNXTZelLk0D2qf
AdIbhmLXRLzqEniZa+5tD4CnBqboLk3ckxqFVn5EMgjDZWb2R1YlQQ1PzrXRg+YRThZ7zYjGQjzP
HNyLYvUu9cfXBdH+KUAG9hP8m/qAatyIKgdJycsQPMoStifqERWI2K7ST7HnoCxodvdTjBaCA2zh
pLO3f/Ysf35Kq+YnfMdLb2rl25ibuGql/ve8ZEhe4wN/4wcqSPGsee292frhsVrPzq4fsOGgtajj
DMMuaOr6Sz2D6WVKXn7W1dTeo6gDvCpCtkstFlsAk6XkObcq9JtU9VAhEYwyVAmOGyPG6mFcSlhK
wkxgwFEgTLRzU9jlwzwl1YPEJMiKwkH3LM8RFmYR3iri4FBWyA/50/DNZPPs3KqLlF+mVgZ2JChx
HJYF4J3rM3OLixjVaxXCp+FjJKqiYHhoswJMkNcOzIebwr0BqcH2msdie4vq19RP0dOwBBBdoidf
Tb4jq6lcJavMMOlGdxFVrgLhM8Nit8YJnhrUsJ9UdkKfUkXT9tM4BswgKIhtD2hVanMvcyxF8ZDd
TcPQPWhJ5z3OS1BnwPZs2hbsampsBaGepXutdHBFG9idMSfM5sZRRxfG/z0l0fywpkBzoPzr0Oa2
46vI8h5RmYn2Vdju0D01jo5mmYdpanI03gDTF4Zm3tgOUGdgrdpBt/Wk3WEFjwwGDuClF5Z3FVS7
u2YJtiTt85wUrKEOSBvZcNNK/SafzdTYa6ah3UhQTMF/Mou+UvaTB8vdC1MWmxE1eO19AKOuPfbf
kiH/arCVDi4cuj/vlgmfGWQiaIWiQiWmn3+z3fklzBP929QkoBUQxHkNxgzYNTpYj7PGXrI1JdZt
5eb9jd7H7SVN4+KBR6BB+W/VT82o0Liy1LxXjf61RjXo3o2Sx8GuGqivSv0p7tk4chB7PEpSCtgK
/Yz8en6sx12PccduWqrHWoopXwyWazmOHWyyHAXaLX3G4d3BVv7dSWfzVk5VN6b24HjhBXIYTp0Z
smgnPjjVYfsFbZD8CcM5Wc9bG3P72HTtMVeRtdn7WCz3QfaCUeHMon3RMFe2zVuIFs0nuOf9A0vH
V0lhtNt+wrQOMlQ2Ita01JA8xyg/HpS4r6qLHheugQC1of2wYrFEFRh0d+in9Xf1wLJymaJ2IgUO
ShZXZDAT0GzcCt1U2jNim9peknJ7slRdPlUOmLDl/tjjCNClWgZ68dke/6x/J01y/2wXNZyz5f6h
Og0iL5s8/OlpM+NgopwiUQmqYIbhvqWltY0tEpLvMqVYSjrIHYfhEeAMCLxg2IHrwlKhrOiU9Ppr
XQfhpbeHAI33sPpelicpj4ewPqU6qk3VrDgsWCsubuGsB16bIAruuiUYEnRPXMM/vyvo+xQ7mbfA
t+MjFIb4thwzPAyXQGKSZzLLxrLBRlEt1qIGv8F/qSiHrLW3o7sRc8D/yyGpO4CvULXzx9O0XYHI
7fP4UKqsBu4//DqpLReZilJv7tJ24VGw7WhaLQxYFCnvoyXIEZi4l+Tk+ygWRv4AeV2NWVxfiksV
5fLdVkliOOjd8uHr2Efm4NhlVSUsKw9PjElRbpw3Cyg+ylJS+uFQScqFW1RHLw5C4OuhcrV3R2S6
eexKABofC5ZfNZUxZMfnubC/ptiTglya3fS2nar01h0jACcayptdxj6jym7FMSlC7UUtw+HO1eu/
8lBTXwa7UF/0sH7o6GAf2JuG6YLoIF+/3kD/y6lb/dYGWvLmZpyKzZzyPkXN4C2qlC/wkYNHKTTL
4N4vYvtJykAKH1MIdZ/ypeZYvyWDZr5qflR81pKrVOGbk72oTQP98iGs0+muD7T0flwCxP30YWcm
NVG7mXf02aDxlqTUgWjKRo7v/laTAfdSl7VLmEvpW+bV6GhrRruXpNE3w8XANfVQmhaK+Dvb6vpP
2FghXWSN+jGCUPnW9NgiqPD1zgu/8g0oWHmwM9+8jFhmPpX2+AqEpvtmlT9mt3G/WIrb3mRlhHSS
rXffmhkghepY+RMiOmjphv2fwLHbb0C29MMc4yJuN/6rBvgMDdt2AO9JLA7b44w1LHzh/2RBi/y7
8EOebjmgYrP5rhy8+ohfW4nCnFO8Zopl3zRpN6G53RevOozpT1i/76RQAcb2CgLjC0xe9V6ybL9h
f8EdyrMkR9Qkrpo3JXtJ1rFrPs3s0klKztgN6r2K1psOI/o2mGZwCYUVGrc1WjHQomsfFTY7v2fR
Pe4OYPGQ9URa9lj5g3MjJX3re0dTGyzaHW4ns0/Pg2BM9NarVb+H4xPdSNKJVBuYQtTfStLGiAgf
SN2/k+SsTD9cvvkPkpr67In+On8yYvA9/hhcwmhQntOsVe8jHxpx6GNXNeTVE0CfI7IT/XPptZ+T
uFVvASsMz7re8qrEqMpXiXsnFSQfXcRTqdTZg2RJYKJyFNkQGOpOx3C1wD02s4NnqR5DR3vKzeem
KU5u51YYFtZHZMzLW3tyituogyy3iAWXt4pK0HSVi8ysOh1ir0d03I6ax1BzsAKfrFcUwtJvqlV5
R3Qzy4sk4egAqdeLt9IckaQ0erAESzWtn/wdmn6gavIRd2W1BShepd9AUWdn6PjOSWfv45ttGbe5
q1gvZpg592ViAbBYqrWT+nsCLXnl06bdM6zTcCMi5i7BrKX+nhW8Bvzuf/K2KhKzlPZ31eva+Z+O
11sAMJ0dP9bj3DyMSgVcunCRvgPVZfIl+p2r/mdzHOy3xhnRB8r14i4LDRtl4yoFETfMX/rKfZaq
o5He1ZHhfa2bXD24dWzdp6WHAUtdo5aCLuxn6Eg/FcSvjnGxd4EN3aklL5U7xj86DYCYZbjNo2d2
wY1iO8k5SkP1BVWVeiend+avauk1Pzv2jYARmTE6jJNxYc22RHW3tJ49G81xXncHYUst3yVZXaCM
i0bVXUmfemeX4aH39fimRpz874K1jhSXWy48EsDPyPgf1DlQ44OUh+Ae7+RsseOSaVfQCSvHvK5J
KdY9LRlPvNrRWjPQ9GfLTKyzag9wt7dTWI55awMvv3FCSzmmWqFjSzU4Fwu87xWvm+ZOM0znZCfZ
9DTh43LoW7X5zNuoAv1xne+MnZ/R5lH+NN6rOyQMScfCOj2/2G1h/oSTiFikST9P6+OlzRIHkkow
H+uqqh9iva0vplENN5HbWrj7+iW2BJ2DPhZgVTo+mJl6iSyW3/vf4mD8nESm8lsBableKMs1pOIK
69eUDj9CRXG+anaToXaszS+hjTY4Q5TgEQq1e84WUXFV8dPbPo2tM8sB6aMLFQiMc2OxfkZHZvtz
+I0O+DvkQ+WXHuCDDDqJETaD8CRwzd8Zysh6178GWHM07ae+A7OMTnHz6rXMCbu+0h7BbXTAc3BY
gnflHFhc8/2Lrht4UI3OImmgprjFaV12KzHHqdkCRALhvkuQdcG/5pPmDN5rnnpftSlW7s3e87gH
yPfWYVrfSLIzUJ7Lnbi76nGPMJXGuOzalUDdisb1PgcQ0nfVEKr3fVX6n6N6/qZbgf4gqXlBgDu6
9ShVPc25jTTLf5JU2AfnNi3TT2ah+5/9mb3EwmpeSsNxPvvn0c+cbzGfynM7qu3ZaYfge6Gf66G2
v5cgsrDMqerLEAzFV2zu9r0VuZ+YR95h8lA81L6CeH4AeaPrQ2235i0FUcGOM866C5NlPCN2NPES
IbxmRMZvsTu0EFMLnaD7vFVojNo4VHZnnQYsBR+6JaBhTIcGb+SDJKWADdvioZlx28Ky+hawE1cO
ugp0A4ajO9buigdjCWykeG9dxbjPnWr+xCrA166Mpu9TtAA9Wvgc6EAhuZfqX+N5mL6PdWTtxyU/
WvL/d30XyaWtvu/6nAd42r4JXATf/nP+Lf/fzv+/68t19WqAue2ZRzO34v3AhP25HKb6WXdM/Wwv
echl1M9SkDP5XfOkCkKRzXO55H04li8nclaKd451vokSWAvb0qsa9UTLyP7OU7GP9nLztFWTwjH2
vF1dwzcIykclay0Ik3C+Rq0egqPDu37o0bE5ZKNWPEowmjyvon/Td1pTHfUwUe+CCiIenZQkUGhX
79olkKRtKJDu13RWHXqma2g9/qdU8rekHCF5aNvd5hGAti1rPdOWTun05tF9LLldP3rsP1Ak874l
8JloVGV+9Xy4pProfJrs3vthIEDHaqE3PFqui+Fogt5KkaoRu6+wiSEeX5tSORm6N39BkWE4d5xV
BE/foGVd5RphBpyvr1rrHids78HvNDa6lnNjXvGoc9c+gxuxcB0wjJPetOONXododi+GO+Kos5rr
WGEBOZfJlxRI0KPVfXQBWcFE752rmZol4jqt/5w5ifKMQHR30C8eNmLJPKPpYqAdgwi5Y+4YgsCL
icf6rFRZf2byhyy+8acy2+9IjAxfohgn+KRr+8eo6bWLGrfZ1R9T8yEMdDwxlHJ+S8P0D6DD7A8H
h9jB3yimiToW1r/P+MmcjbELHqqiaZ6LJTBUhodhgVziUsHQFypSA2TDassHLYUXj2Syehy8onuQ
+lINg6cjppETBmiI0ySLJzuQebxk++Q5QKwDX7UmfUJ0CIMIC2M0o1PHEz5o9YMVdMm5glpzn2SQ
KozRnO8cF2Qx7Hj71smG6FogZXzrmZF1ZdmjuPGmebjJqnG8KmpU3mZGgbGP30d3SeMj8TQ47l1S
Tni91iySRF3in+K2VXFgUOuT6xUjRFdElxGA6p/YnyiPaex0zz5qT+gGgx2kxwENVPX9y9xh9YO5
8/gaWcgjd+au70IWpYJC/dywB70PR9V4G10XLW90T7/gPdPvqmga7318qJCgztNDNYURSljox/Ft
gvDhp/NfSeMeffzIvrJ73aBrEy1c+zl6AUv6J7LV+S8lMf5i4Rd6uRWwUB64+ilr+Tj7g3nulzO4
Mf4d4MBKLB5GJlT2hEgnEJO/CnCJemf+8MAaMAXMhlu0UcenGiP1RY1/RnStvvesqUMKmTeAmVF5
yRoNIRnE+8aHGLUWBuXjJTeV6NVXPOfB0WDTihF8aPZQ7ix/uPTpMH01beZOmha8ugVvijblBbIB
6vg1AgB4DMqhv8hRepxca2PQbnJHGw6sJRY3MIJipqoLMtjyMOTw292aZU4IIkoVib3LtJcSyfxY
slUfM9En5ALbeSSvqlx4aGzg7TMcAx+sssXKsVW6tw4Dy5vRVzPkK7glGXrbrFsOMD2WJIp23nFq
C3wul6RuTpCWTKu4StJPa20HOzHeYfIASc52mBQsgZ6H+D2V5lTejl5S4WBBTIKtjsQkD6dxajc6
EKUhB431fzhuRjCqhKD+v84tyXeXdvARuDIS2r3L2w6R649ROd9k6ddmCsNX+lx/V8SOddV9uBV9
bryonuOfjSFU9nPOY3a8In6yq+IiKTnINLyXtsu8e8tSLkgXzQ9e10ApbPP2Sz861c4YnOBHGyiv
EIq8X6amnXKX7gAd8H2g5XpEBUR5uyz+w2LGI+og8V9VVMd8dpr262J3v0+srrxnnftWRcT9HqJA
dZ9rVXhCznTeJaZa3W8FUsoA6+96JpY8Revs1e4NiAzOzcsZ5BCpuCV7e3R2zlCzZ/nfi3w4tTIm
8IV0/y0Fo4pg5nKR7QSSTAf1wuZXfHNwB8W568YAAyKsQ3F8UfoQConuPJkoOT6l9tL7agUIAzN0
1zyYvlgqpe7FYang3lExLolVpP7X5JKHU/dwHy2B5AHB1I74orELspRuBVJP8qpazU7mgCuAJFvb
yI8RsjCHLp5Y3q/qvyKIC16h1t+0YIL+1pfTm1Myaa+nxn/J57w/ABXrn/UuRg3TGbNH10BUJUbE
7X6y+uFSgKpFwTECs49t1dVKPTRBll58cNToIU/V6pQx131S0dplxYDV69SqFRbWi+wzvy7cs+bt
fklsFFCs2TS/4yn61W9S+2dp+TcqC5kBSjjwmpI6YSj9uShbG/k+FhnY0Oj+jJN35+d58dNo4h+K
ySo1vSUAelBDltXjhmUitWAh6ZnN2fDZr4cGTXMmEFI6OmF5G2ZQAaU0x8Lzzu/nZielcRpmeF6i
KSelU2unD7Vifk+WM7HjkT+mdfUiZbHpsuaE0BJj8uixbFXlIcZJiHhgzdGjxCRQs+DbrKvVdcuS
GG6o4SHGx2c9aitVncw5x2xE7STPaULkJt0G3inioPut3nYddcjuG7Owb/xZp+4c40oFE+llTLyS
LSKfzRMt1W49t9NuVXhUcNYj7ZzOSMVIgQSji2rQXlnq1IoyVaftGM1XfpZzibLdf0/zrorlxHDI
5OTb2XpsOva9M5WH9bxS7Kcxl3hXc7YVZY8dlnkwbA8i2HJ6ZaihCMJgfXegFKyXlB8YZqp/8kzz
bc0z5BdsF5+8hCboO516bcL28I//aav993m1X1mAbsP6G5a7ILF3P3b5cetvkpL1ol2ZPcYIu0IV
P1utq94WSzWp4Js1yzwSlRIJJrn9EjXdDumG4S+PHaF7pRtOjDawUxub+yaJqn2NgUUQQTULmvyH
VTQTGnpgGnv1aof+fHa87jew3OmQIqyoRj97PcE60rTxo/DQB/OG7hqm7a86870TY6ZbFwnTqNKj
g2ZPi5St99NWsMiOu51S05EjNGsih+96rDE2uFu5dfLGPPMCCe+z2fTerue1Q9djeq39CnBx91kL
Rk4GzQ9F7OShV5s7J4Z/WYF6YkHnmLK6VZj6j7AY7hR2PacCS8QJCYZy2fArFDYdEvi+F3jETFO9
5DZStOe6TZQnNWbKW+Jn9FT5tyZjEezllqxh7KFJpcn9mqdh4rKbiyG7bkcFrOQdshrJJXxTlScp
gIP2o51hXFVtD5VzfmmqlyY1h6eBgVDr1Gih50zJhxnICOJlMT8k+KyUmKzgkIPtQdU5KDu0426E
amp64A2t9KHXRhzAlmBK/ed6gMefFbdOMFig/gkKVov3cMzGk16gNSZ5OQoM5xmXNRZM/5PXzQwk
kDTVzxUueoVr+Y/ZEiBH4ZVO9dTayDWlLbo4I2OYp3kJotQoL+7kTDtJ0oMYTzFqFBCGmjVry29s
80tktcaNZLlKpaNLNs7YhTbFUfIkMHRfZ5sIzUap8q4AxTxjatYLS7alF+zvTkV+lQtLnh8OO9tr
jUM71exYLz9SCqNEzW8tGwHCJctiWf3B+R+2zmPJVSXatl9EBCZxXYG8yu3y1SFql8H7BBK+/g20
b7xzG7ejUPkSgmTlWnOO6WrhFCfZQ91sawzB99Iw0gdm5r8qbaPjZFg3gMiLiyKs6v764C2w/sFa
2bv/PlfMY0WIG2T+XNcyDUtjZJF5PZxyO7fvafbb/352SJ3tUkekHyWyJ0XLY9MWFWQMLXbj7f99
TEJSu+vqQgTofPl60tjmeS2es967W3yqg3FpmRW1g7j3/Vy7s9NzvH5gpdn/PCi7ex/oWp5mUazb
Qvw+pP8hzPjv+1QO5ahYWHqvv8jVa4fsivSewLvhtqnn8N8ZtTRpjNZYbqAi93d1V8YPgibZg5nV
j00Uq/P1264PlGTmhlig5nD98Pq9BpT10G5Rjl9/6vo5HBUFloT8hj2cCnw99u+LyvLv4XIvJ8sa
PuKogxKyft50y5EkqWwTZR7O/+u3QcA8MrlPbq7fQeV3r6eGdU4Xzr96TuVBi33nHrOoe0+CWLs1
Eo8sA7W499cvGBK4p94wnLl+eP0CwBRx2xYUjCRvaJBjE8ko2bKCMWX9zUf78t/3JvROCTPr3X1h
ttnOm1FMgLNMHhrcECHxLPnWciGjBa5so53lW5DD4bc8gHpOH4Ts8YZaOf0DRT/UswpChdYsk+sD
tctCWhZpnuaiqDaamDg8jbCQaCX1RYCH/+fZ+iF8vddKkuVHtoaP/m6NVokIhz5dnxHXXDK/PsnV
JTSsEsbrs+vDdBVKrg9sahFOXj8JunbY+yYTb5UBfKnnp+Sf8GrVeeuU3d2bbi60WSS72NX48N8D
NTJWh+vH5dX1MIryVazGo2F10nTrv0A2Ec4j5+o/slvAbtAgaQrA3T1dH8xWqoWAo27lb/z/p2bh
f6W5CQOjr8A+Xr88jgsO0evTDOwMyP88Y8wBOJ+hHZS9f0fMm4kgyeGMZJ7DCPF6FP99GdjLee3K
7GGfEHeAwwz7gthqs6VhsRt+5kF8R9AiirrdK+K/Qtt4jMl1PNXD+OZyWM8pcWA7aYiPZBb+Vq2q
2pxfU/tnVpxye329/x3t67PrO8AMK9mKmGOlkZJ21gcz7PJYHCRBbSfHqpujwyYhb7Nuo+nDfhLO
c8Grtm2FQx9Th847zClgdNTkHkD6RbPDrMPEvJrSqlVx7a5v1vVZCbRh24IF4b47GqceskXcOgy6
rAYSX16oy/86MFiUOW6O34NQdI1A08qIfj8Ntzaxv0SZaFvLvtRTp0594kz/HiyRqlNkrkeunD9K
w2xPWH7bk1+1QMevTyvPH43t9ek1evX67PqQu1GL2smHhrFq5+s1jqWxWgw6FB3/54nV+G51TEtA
AKtHdH2Z14frC/7vw6G0IMsY5GZGq4dpWTWK18NRXz2n16dyoeFVle4c/vfOXM/T/z68PvONiXgr
DLws3jWcQB6sVfb334M9iGQ/CPucr9r763lwfUjXDydGHLsl7S/XTzWRTbhD7FGNXGMNxmuigaON
vL9jXf8pjL4jfdSq8ICtrrF/T93BnI45kC9M8hzTlQ/RCmIMrg/XD7MUCrGRar8dJeV0JhhSbpbe
HUlF0TJ1dr06tIjpkrWaN3FJtG5CPnWoey27GFOP9vR+vv1CPRnNCtalHiE3tiZwDiv9zOh8a5Yj
vtH8pqzbZAOjjEHp0iQXBy3MTRwNAfP2fjPN5W1pcIuo/NYOfSirZ72VAUtGwwidzmLTDkdwA+vW
dtEfcN+bh2UiQcjxyKR1X2Unq51gCIOKfRjJYunjXSoJohTVRhtL5iPIBENuuCwa2Z0wDSeYjVnb
RpokFmY0d7D/wdMtz5YojlXT0L8jkijtxXs7tWQWzsUO/FK6tTH61XK4JHGnb7g54kxO6jrsMWQk
wwXwK3qSjJGupjN6jTOaKnipAqBs6W5q14xoaaHCpUXBcDpYGnMi39jrwwZERe/RaxzVb+9yYLzR
JyqFn19G/xLPeRakBGxFVabDNSWiNDVoV4864Fsrg45PaGY7/mYRjmwdJVWgFtvbR7ButEYepJlw
EODQpcLhSIsEr3g/CXQx04vvra1LgiCpx/pvl1v3urYYBuwY1zlW+d7SZozAGnr/YdL2VBRLwPzx
g+I52Xoz/v1Gc3LYRMh0vIXaU+DN8cCjId/khceVPx9y70GBQDow8dQviGlJz/BIYNAr3ugGly6e
+SEGGOzFnk7W1iBgTuF6SrRfGZEt06mb9QwyM0feFMnyY/PFoOq5UbZssjU3uq3N4astoSOZXKKB
MY2ENc0T88bEJTFHz0RIQ/RS5z0JuA4+MRzcYUE7wRKYwpdcLwJHrkgRWMsbZcrXiPtFCOV1Qy4z
+aAlIxyPv+W0fgoTYhkDVDkzRC/7Zmi1XRn30cMMcX1pvb9NQaperMef86jtpMdGcDLGcC0AR8dK
zmjldraffGtwWDe1IpvYUMub39KwoAFpaD8uEYlwjaz0aBl08vxMf4C44AXWXIRRMj7NhrcjCBf5
SIIUSxM601Z2SFr+lbfGsFtaNYRzUjQ7zXtJtKra2FkZbbuioj8zVjvb0erLkvALJ0lnMDWMu1hl
EjTlfBz0T3b+SeDP7rgdusc+J6q1I6+Lfv7W8Zt3Q47gWQAkeRahx3J8QZFrATvKkoAUz3JDNWgE
C/zVjU9g6kbOqtxkbnKwhaZvRpBdTiZeAIm1ApEkmK+C+qjVwyojfcWDGKobw8GwYpuvza+xP35G
cdsBdaq/s+VtMXPga0XyhTi3DHvzmQjF5xG9JFMXaKnT2QeZus42pBq8kF6bmgeXlhkiYCcyf2nf
gDBx3rPJvq0VQ/vCvwiTbyuN6cbSqf5Z07PtSOqwbPpLtAwEyFbznnheh3TZKjnMf0nOpl/9lFfD
hzEQKK/L+V5kVP7DsuJ6axqBRKMz6BOs0BWQyQHNMGDDmHMi6OoBIFj2OXKQNl1DKLBmacdGUWQl
wmgDuefY62Hh0vAnUuBsNbuutKMHsg3lltFOFqjWfXZUGVrVwEKggaEtijcy7ovQ8Bl4951MN31f
vqIXxeQo2UOrPCUvCfWm0xEkvObEooxW214rXoD5P4BO8zb96+hAoGvTHN/9dPRS87vW8u8yNb/6
1iIssIPMr7OHosO9r6Zh3nklw4LUQMvuFeiIkjl+M+iCqhLY3zTXj3rW3rZro6qa10Hsj9W7RC9M
/MMJUtl+FBu4d91Wac5qd27uxiTbpLVDt2QV6raxOtYGN4USjZADvA/WC6umEweZcezK9M5FiLFp
ivq2zOvf0nKPbet89ikbLyXuE68oQ6EXB4Qq9IMiSV7LFOGr96aTJM0sBlUdtijQt4OVQeSZxjx0
NNLoTU3OG82uVBhZ2pcH2SiJRoToqbUVhEqZ0nX2s+qeiHljDF2KPV2Avb3QyUyq50rpO0Gq985L
HPTDaFZSm9NMq998vc5OYxAn3soQ+zNaCbTx4mVeZBHCn3lKuuWrVs6rWc8PoxOYpdPunFjdLKA5
cwfyXE/+pOE4NzUYa6/u4QzWJhM10R/zKEKm7eynVAu9lKz79zltPvy4eHKa4aIcNI369JLI4tCj
wckV50Qm+x1INtA04yUBHIigDTBaV9hh3rAD17rQ6rg+ocrbxaHt64km7gwzDj400ACyK2L7Y5bq
g2zqcuMW2nPvAbKRqfnel/nXBE7PatU7/rIfZLvoYq39MqbHQZRPMzbyoNDrP80AvDyFwzTmKKo5
Ho+CELF9zRgAzZ9F76hf9gwggan1x3gYHsg0IkPQoz8+SfenFz1oCu6wZGwT9V4JkL8AlDeamIi8
1CuwTcXFlNVDDppnYyyTvRW+v1eOf3wvewB90IaOtbIlvP0csfyMPCIhR5M09jOhGPUtvmEkfC7Y
dJMrsono7NAVlvaXXspLrk9vA/8UW7/XFBEGpM/ixe+0MyvfI+KyZjMMLoc+vjVIpq9tcy+z6aDq
aNcf+qna9RwWFgl2/swO1YbZXkr9P4ECdpvblC7VQZKnpvcEiyn/ktewPgcrZ55S7aaUq3fyop+i
IEI5R59Wqe7VGeTF9OX94BUBeQ4PjYw/7JJ9IxYyohum4t3FUw+ftB4DRjOkPAiiPxfODSYCYOMr
yobOmKho1NazdATGw16wzzj67Jbr8pbo0Y46INXpVXG5DK+OpKm8FJ7awOG5KzLVb1oXIqAuEBxZ
ZfxUO8VPI1W3KWUxha0/kBiJ6bBL9OOo+39ciyJyTiBnV/F4tnqq7GaIPgbJdbcM5s4B5u32441F
9w5ySh6CuHO0gmloG4ESRTsFcvcVBiFCp5gWmkXvsBstDrLLYSTyZGFBN8pwMF0fw7/nbcZsKsPy
sS9hRI25pu9MC2ZD36V/CICXEWx7bnBUkg/+t66G4WIAImM3Zh+8SD5pYga76Q8fQkIan7UU3cvw
0fX+Lh5BivYpGcV+7ocFLYKOAUeBMD6sdI2LhyKsFVnQxnQEBl0v6Vjnh3IZvSMhk69uCryHO/gw
Nt+GpDaeJy7PGr5Oll6EVpMwN8FQzDhd2vSPwfIT4k5C1UR+z5K2lzitfwkZTTbCGBgrWc9R7xFU
Uv01INd5S4dLwiARLEo98jmrmyFuzw7FYiyr29FnaEi+CKirGwxEL9TaLx5Di8CO16wIU33NNjuA
3BvVredzq3HmMPeGNWGQu7lDgFTWw1FtX3Oz5eqYAqdb9Dt7LBXFeJFvhEcN5hToNuL0d6SfLc92
vRKybAXvTU3Pdj1tDdNWFFaEZqQubAdnuNcm1RxTLb+3YgpyMmkr0672Fp2ptl0mCtpk3GPStnqn
DGkIPTtJ/Be+FezUHM1eYrRcAZw02i9Nv8+0zo+RYymSgSXTytuyAWMG4l5sCtS2h8WOu7CHiOlP
WZAt9k03+GhThx9bOxG1fEkJZq1oQgN8RHuXN1usjPfZKMROr9p3IAunoVogPtcrovmjFQRXK9/A
rF8nz41wqYTQQHk0CTatHlN31imYSSTolbdHtGQTDelOQeZg7nFmXCH2ZzaAgBynmcx2x9wJa34y
defSZlyBCUc4F4RKMJX8sd1oDAsJcbjcJoazTx31sagTypnnAkXqhlyQdlsaHCeixG9xYiAbWdiv
O3iV5Ly24O1XDTLfqm0LoIe8mf1ZM3YOgUcb39YeRS12I4DbdZGqN3BQsULNCKj3K12O9I+chU2z
zqAD38fE+ms62ryLzBFYMhZSiIZsT4sCvB0Voe1z9tca3gEKE2ITE/wr1PgyTWAk5dav5chq4yja
/TbUJNZNWog2eEFTf0g93YQq54Y5KacbzecscW3zk4bLDxnKzXnMmVqbDO5noopy0/gDsK8Mkcpg
oLSMUM9re/2BbUqPODRNBvtevhc2XFpDqYNrjB51QNYEoOZ66CnyLTNacNTyrKWcbXUnNn3RPGdF
hR3JOQHGDJea+nmSPqm+NCk2TpHsJxLHoXYutw4S9kZ8z4b/1ZRLFiJkazhNhwe3mt7dfvqCJHpY
5jlwTOOjVqkNLXkC0Yv5IlKdDZ9kqgLmIHojHsfcfRh6D1tGVt6M3sAApdUZZPvvmS1JtC+tp0j+
GYQOqhuGKAliJO7obhSqpLopbHERhsOlG0vynJhjdLp717DrGOtqCpNUvydw5NkcScX0h2oXJ/Of
JLJHtIDuAwMVAlyyCGbz8ub5fzxHQyRiriy+UqpAyowCmwITfF0cZmYdzlBsiTnfjN3AvCHZa011
UxXPYPN8hp3RgXMy6JrE2qrMYCc2GnyrmVZbzXSswDv1McBOmn5oF8gG9wc0J5W7nVr9TSsKRi2D
uY8UzD0VEYZXgEFr3SGIR/mVtEjvbetIfdFXBQXG5G5sqkp2X9Odnh+ppG2owwUpVakfGPXo8GfI
Qyh8LYjQ5latZQSel33PbvKWMKec56EMtBE2YOab89GdX2uRFtvI3BeCgXSFDxUParx1yIGpxfCW
V/HaoWbnH2W8a77TBdwQmJV0Bp1W8uq0fYaJdHbyZ6W4e9ukeu+aiZJjdCRjwp7xcEJItO/6MJS/
m4iMjDxpbmWc7CyCRHb+rM5Nbv4tNAy7SQb5feUNtfILRdIzA/F6p6FR2bRc8Vtfc9kb+lxK09Tf
VvPOhwI8z7Tb0XO1YZTH0NlqbIEtToSCqVbW4/0rInohafpdR8VFdzWg5llDslBkM3pK+0MCYGOD
aMnddLX5PVlgp4pnw3GrfVwbH66hHdxF0T/xUfNYzXddgzqF1/0Nb+aTinratWZyu4Achuyb5wFp
sFAIlrsuIcL1XnE35VLEcFh9IolB+j3+km95G/lELKesUQZB5+XovviGOs8dMBI4c2TJW93d2InP
ijcLJMpDmvvmXlsjl5NmvhS2DvU9rYZdmrJP06n9m2Z64RpFBoKofl0OnW0Xz3t+jin4EAO+TY7E
Cj3nhqmFJGDtXzCSRpupjVAPffvqtfWsV3rbT245UG0iTLUXFGdEV2OdOBe5zzaVJSqyKHi5NhHZ
0uttO+Q177pjfrQGWqoSzQQN2z81B29TTdaDVuS0DIX1NjK3NOJpDEn/WXkqfnxJbPEUL87BKCjQ
RUwoH6sTFQCkPfawngm7tR0shMaQhGlY3ftJ/ND8sPBGTH4mnJUqGR8KwU7N6fDTZBOxKEJ/SzqC
GmazJg9qegJAWuzQcN1n7nhhrIDRTytuRRHLkE3gZVrJrbP1aHzGlffpDv1Lr3Ni5vYL2RePplOF
IiankAhgKOAEyc6nvuNqwdaFQvzQW/rbIO2/mjvSV0bp1ltk12U6zZiM+7+7pBaOifHYDrd5Cwec
BQAZ3ApvNt6jdfPqafFlgVQIUvuSm85C467/alq1a13tpSCSeOMm1hRMNYW3bqNmiDhbqGKGqvax
igt9Y4viVEfybyWwUCTDApQS+VM3PLqFOFul0wemNlBTVcjvdQDVKtO0UKz5vINvbLGCE0Wf1V9J
mRwAV5y6NNnpuf2deB19qo4pIEmqRCmme3NubnOHQNGuLY7NSGTqoDdbVOGfudEjFzVJ6LbTbZYz
eM4k+reoAhxsb/kXzkNy56YVIuHpUmkGfCfHSDaYHqPJ+hNJLBRR9LtU2pNJlJBy6uRJyz9gJlb2
YgZarKPGmszbGfZYaEnjyx3k0fTTx3piso4D8FtG68FOio/ZGF/zCl81aQvQr2peczrdzvl0U2fI
86L4kxLik2DVZOPW485u5o+hWX15OjdyrfRRBC417HETtR21+dqpVHumeElozbRm9dQkAN6km5B8
+DaJFHlfXcqCOKXa/lN6k2CCrr0v8XTRWxDSfnVjsoQL19vLuvaCcgJyV8ltOqVvadGJ4Le1my/b
Kv5GTYPW0qwfSmiN0i1ZXJyOtCVbgsc7L9W0jciPR+WEV9tozviMHk1tRJyO8xeXxWGewBImZINm
mU5Tb6hGzkY054uwQp2ZKgyuGC9INQV6IBeVkZSY5rslds84KD8d0X4Uy3I3wvlirObccIW8Ojm0
Nm0I/apGg+nFe7PLAncaEBxrpEVlyy3mpRPU2mXf2tbWBm/A/ccgj7IIPJOra1z08UCmAxR9ZODK
G4Cs86Iay/+jXJo3Lv2UjUVFx1lc3VjFyyDykADV+y6Rb8nICHw9BZeZiCmEJfoudjhR8E/cLkW0
pyP+Frnyls7tXQQon10CPrSiNbakEJ0LUT7KxHwvlSPY6CWUtfipPB/Kk5DcGKv08SoViHWaMjSP
mwO7sUdCtd8amX2x+33CBSqPYPPJVF6iEN/Lm91cuiZ6pzxAj5FQokQ06i8ag5zOIGxlmO1865Xm
AZURbb1stigZ2ph8SO1Su412y17zVZX0dpfB3ZGXXYW17Uzs6ZW/KxdQNIso8kPV3VS1xoCAX7D1
cu2Lfe9mxgsh0sg7qEXDN1mCrCQkK1ZefBrTiU0j5ARm+1rQZDaxxbO9n/vSOGkFE6wWJwKTCJeN
mpfo2DOM/Tz77RF7XLrpZjKYlGGVf7S5Bxrv5v3++uG/z4Ghz7gu+yIKXSwcgPgbk3uVJGzcLWuy
DNb0J/XmiRQYNwEWjqvmoPXnY+1iScfk9OHQRzYE+lPXGrQDr2e3GBSqg4jo9AGxZ2vzshRdvx+p
0LuJe9jY0YBM5SP5wp+DLFZnF3efRZuOwhj9vRv9umR2BnNhfKIj417TI3fLdBGTc1y8awNA1dqi
tHcm4yeqPC4aKuwyiv5amRgCWkReCDZA+BYQZ73iNTksS157Sqe1ZEu0c+Ki4Yvcr8Q3v8Ye+fbM
IhwN0RESM4B0OlbSN1/9HOi3vWtm7aZd/1y6TmAsB/nUBPne917g54E9rEiWWKpgnLPLojt/yuau
ycS4yYrpsYqZPheed+waQUvTvctN3OSu990pG4h/3N7PdvGQraMDXytpG6ruLPR4CvrO4orwSYHH
VXYiH6MK27hVzPBlSHE9cVlbx2oUBOrY7N4OVpwIYBMoO3QHIoHhNjBRc8uF0Bh328xu7rpsfFPl
GrSosnEfWeXvlC79jYS0EdPe1m12ylbsc4OdLeYDlrX1E/0tnd0bP/41e4uZbEcemseGs0m9iuUx
eyynl8hKoQt57NGS2Io3WKw3SsJyULUKPD9j7+za04aZ6j5LdeM191mtYceyu6XFokryoYz0LAa6
L84obtljPzl6+dqXXrHVOpEitIjfYIxgYffMPW4mPUDowTK4ig5dYofoHNKkGoK17bkdTczqJu+x
uU5bF41gSDvP9wSZ8lPm2WIWttM953PByV9OtCqjkeEKCBUs7kzcJ6nYw2nkLnlV4QW54xg4msYn
owAIqFsgX8a6QVZFw8puvvOshf1STYdips9sFLZ/NMVRlnLYzDGDqX6h+eS6+edAk4+7Ta1tKkQP
fVEnxzgb1wLafLexuGzoVsbgTlR3r5clgxXT/luvo6foo6XDEhi5Ru0qLz09S2Sy3SnGGjhQjDxE
DmdlVdPsHHR8J+PtiL8uQKPSbP3KhpI+M/Zw1sSaoaXjly7DxLyMEwYyQr7vEigVlHcb1eXDQ0tm
etgTb7QC+c/05W9iuw2Kgb6NgqhhTLQ1qaWaYza2ED+4IyStiIJ2SPUbOem7kppyM7s4p9OFxHKh
3/mNsPZCH9odhMjj0mbuxsmrbWIS2LLE3BziWPTniX577iFwz3L14lSITHX5zNSM979akP7QkY3S
PjsVNW119q1wajOH6JVxB4sBikRbpRfpMj9tO5r2jaU0TLHwIAu/3C7S4mY89W8geraVvdafNda4
ZTzaOStpkdYvlbNYB9esUTOLej6Jfp0JdchpiN9Aw+fmHXVtQZ443o2tSDgttElgwO5pBHKhsc1y
7Jey6MrANaooALlSoeXE9dpkAZFtFQCo9ZK8KxR/Ip+5hK2iswMhxJqn0F5skb1Kh2MbGdI5ZGmO
gInLHpvPS+fwilubP4mfiE5M7LCsMZJxvPHV9m2ExXl5AfWpznH9oNNC4YyqNhHvyjbJe3Dffcd2
j79tNPOOoJGRqTNVlsusZ+t4TR1k8XgQbNyJFy6JWB1EtWdYbMGI2fnjTZ0Q3oJX9lN3hPxTmtF2
zOZXa8J1Obrjcx/h9UQG1O0rgmhYouWdShe+SfsVpATR1on/NpYzhK43nGJmqDQOfRMwSjzTNnea
b/jNHKI5ux/1QSN82sMBM3rEblQYE9oGPa1Jh84kbGQgYbPiTLYjcGtcSLj+mxsxS5YbVZlHQCX1
Qllhc86JxvhWsf2pm7+jWr5BzxBuASjcbu+X3tEh40T0oaNP4Fv8tDCdnV7goGBkCL2mx2RC30Ob
xtuJGbNDik+WjNs+0d79TnjbwegIXEvz+obJn7stFo90PMFMh7FXoBtUOuxzMPdSsbKv3QP2EQFM
jDzktn3MrGg+OZHObIOtj6iQ5LhxrXYaLHh0yI9SK/Rd593DuKAw1OeXURmHpdfpCqvuWY5MRJxJ
BmZc9YGafINCsVj47+ObpJfvhcOIzPo1x/TeY7fPJpi74jgqpEZsBwbFADrxNWr2Q4dv/C4mj0Sr
CbMm3Cmceu27q8d3KybXq4hu8gFtpRi+J4+GfpPRgkdd+SRpCpD35sP9rRyaH9bzGLE9zKA3bDHo
fGqrey1x57NyiS4os+xBEw30fHvmlFuaelMjRQmNkT2fuzLx+6b60a3prxx1KhZnOhisPfsVuj3V
xV+0G6RXQj9l3svO2HS7P7yijLMqyWi/2MU+AYGL2DDMtexQ6gQ6d5F13/Z+dqp7zm2rDWMO8mZu
fOSBDMGN1re3iZym28bbWqhnQ08J0jaGz3mu77jDZlTB1kY02Oe6ukIH0uzmbDXsSvYdhLYhkF+a
7wyTFVuF7NHU/ShIWlqvSW2nPKNxUsT1cFc5OHO1L3rt04cWH5i+6qCdxO3YM2ZbVPXluiubRbA1
6nqEdSPviqEv+9hf+rt0fbDpvpUoaU/XTzlFS5QRnYcmd3i1/RpBE6lDifwRTa7JWkqwuqf5UPy7
cQ6blnU4aoynbEgzzgP9tQcvERqm6QaxdfAcxw7F4r/GaSJwudHTrvty2nYRG5lywgeRbTpVt8dW
9U+j2yx7M7PS7dgVtwrJGLNjpnNWV7R7Lh6Cjb0hhyOsmNUyiaOEY43FpQ+mgu7w1ur64XZsvD9F
xQGtlmJTNkZ3K33ZkOG987jpew1MFsl4A+rYXRfNNPlpM8pE/Z0GA4q4y1g+G4wXy0FZ2PQfTQvJ
BUcXpVC59Tv3rmQiFjaL6AOK1m2EdXBkxAozZw3amH6ybg4jZ5TEF57yblA7wN8oF6Nbf4lvYoe9
CtuyXW42STBpOf0YYzoZ5A9Q5KgfllzgUa53b1jdQzvktGGc+KWYmX8K7ksxBOlOm38V+cFZZBm3
qW2NoazKeKcVJCO0hvfr2mg0S/mi5BhtBBjkwJ31wO1n1mdr+RbKO3QWMdnZr+twgi5l8dUqvLW6
K6n9NEKMqjk+T1bz3OWIKSQnl9k/4eM4+x0KnzhKtlHaQfEYzI3ri6/VcUIhDp2k900riEz3YqK8
Lpi/bMfYOfpIfk4YFZ+NNWY8bjSm7TUHwBXffYHZEh9RTfN1pyIPqE1WPPkOc2rTJaMIFsjJqee7
0WJ6YIvoPblHgcKqEkTTsh1MpPtjdzMPebFHlnGcx+iOuBCsL/QickMh1XH5nfE8v5aV/dMt6kaI
4Y4qFWxxcs4jvoOzU0MQ1O9yMXB2r9UZc5Q7J0sE5Wxf0jmxDq0tj4YiB71Uj9q8GDcDWiATHfCu
Tg9lR4krfevHzK1hUzn9q1bLhT5Xzs2A42bizGwRPXVecpbM0ui5fZpCyotBWGyWePNOk9IP+6UO
fJFwtqQPBWSGIGatr7s9WKUjmklu5blu4u9vPgqHOLFIWSROaz+xPXzmIv8ru2Th7Df3U8v7IlLC
C8lb3zlL/xFbNCGzbLXTZ0zQLDKezNqLAwGijA4DE1ubwzx24w7hEyvsKZPZM+//H/dv13R+GNMv
oE1L07/39Y02sa2y4x/Vqz+96f40hXz15v6RKUQUmJkGJ98lOMuHKNVGbAeEsap3mKNqpAY7Akk2
kQfeZiiXli2/ztTZjawzoLS/RjR5QVuhE1unWZXEns9OrQiJ3TmOygH+cJqtee9yBVVxvS9ZuCNH
e7OG9Be4WUXnuVX7WkfWhv096X4qt38lZ4pudFXftWJnRNw5WdOhK/uHUozQj6u/Zu6hTVfbwUuR
1OmiIZcB32mzxs9oMwK7yPh2zR8Gmt42WfwbhSQtrAzQCEiv01ZH0+snJ2UvxiZLk5um1kittMqL
g1str9pyL2db3yKbs6kupmConL0xqRjaWNMSwdL+MfnFENa4/HNx6tiUxjg6SXdMMF77rWSF389N
9pPU7Qqdkker0njdpHIKhy4O5S2bsDUDbZ5ejCXxz3Q2AtWTPe7ZqbFVbvWUNN29NRAEAaaafyMN
pxKtq0e3HL+3fePkbIVaxuVBOusEV1n5BabeA/JvoH+qYWKlGGIowp1QTu1bqTXbqbmTi26cq3Lc
TZUWh21OUdb0h7oyqFvpCadVyrunqq2XLDdpyQIUJW211Rt5ij2C22Od2AUUR4av9Vu/0LArj2+F
6rbd2FMCyPheMyj6p6r+jhnotRlhlH6spaE2m5+ObO+ELg+lX8xbaVDvFjJ36AdZmIUKiCzRdC9j
628jzrHFqklOoMs47NdH41ALG5v7/2PsvJbjRrY1/SodfT3YB0j4ibN3xJQvFoss+pZuEJTEhncJ
j7eZZ5kXmw9JdVPSPnNibhBIgyyLROZav+n9NzxSXgl+WbX3TAZlP2IDB6flZLIpjUKWEWMobiGs
3EaDfhsPHWgP41iFWb4zCA84uXMZhb9AeViOVjVGihNY10qKl2aMH0FYshxFh8pue4gahXNTzOZD
YCb3FnPKznO7fSrnvV8ZVwFPcsii664kQYY15TZJiEbi2JnEciXq0dwAo6TkhSx2KnAxTU7UHC53
XEb7qTd2btuyKiHY6ONZsKq07Noa5bcg6b+lDbmKZF4Z9X1Wdx03DZS/oPxDRM63eLTfur5Er19s
TD2r9ojfky+bEFao2bU70RdCsiTsq0ISPNNuzXJ+jGz3OXHHgy7MYx2xVNVacY38DnQPC4xOxwPR
brxudf2nYWnbWq94YCAN0fvWzq55wurDF1kgG5h+sUwLH7b0SFD3znGJxGVt+TIH/kZOs7WPWuPJ
x4e1rv1PUbcg4uPoWhsAUgC0wwUiH6/tHN/TUhDgzr0nHRW3LihvETzqQV71D3VPLKYNIcOWrnOG
OIahXVDd5xAZVv48XRedv4lnGxclupAxuTbRSSHN6u1sT96bdv4qG7zKNN1Fax9Amt4/+hbhZdOH
VmB7D0NrsGCzN0y5ZKDRSACGaz2lGHRCN0FezDbla6F3Gw2Uao1r6BiLW8dw8QxFNzAh5t5VwWF5
5JEXeJmL1F5ZUQE3HapPUNt3tdnc2HL01uQa2XZjWrfSavOSdU6zLcD0DB7Ix7E9iY5scEg6RWpf
UXLA6pHY6mqQKEiCSxUuP+1AvjzLDPal7pEQPHNjbFQ81+Z9Z3TPuU4IDFWkhZG+1yB2N77DooSF
4gBbZUkDoicVIzuhhxPBAVa/QfO59oxdJ63rznXRQ6lwhkyZsxG0cEsCml17HiqrPRtl3J0JQMyk
9QbtAHxkWDVaNR7zxqruE0tL79lWL+eqomzgP6JTxGPTCdCCDKLQWEtbb/bfm+mojf0WW8P6VlUB
ByAPYVufPgZJhjBhHvfGrT031T1xmPoeuNhDpSPeoapM7F1val8/vHdYemUYmO54t9HmYyAC6bD0
B6EdVT/A1uPdWGNfv4yqDnBLDhGEStLWvDNV1zhNuwZhZyPj8lddFntrA1GfW9UD7a4JtEtCQNtO
h1tr7L8f2NvdeVYxXP1Sb7E2QEpnIKH1V3+jdlCxsK7Jk4qbj+oMa7WbEISRGlTVZ+WE9VRkX9iL
7CpRB5cET8/HOgA4VVZDe6WKjl+miwfcvI3HpHv0ZZidRE0ssQiHjidH693hgbDOoN+068Idz4PO
5KsunaTfrEPAekdVTDI/2UNssDbvA4fBcI1XIUGz5WVlhupcarx3VS/l+dULWRfrrF5piLFsnAMv
JCBB96Gr8wPbaW2tijHM0/Pgi6e81ngfun5r1kbzoMYxuJJQhqyv1UB2AaivLvxgp1rbxF5PYHph
1WTlnTrYWS13qeTWQioritadU6J1MeTNWjWDaC7veMH4IPFgZhZf+uTxHIG6Iqn1MU7aTCP7gWJP
kELs2taMbwmxR7tyGLMLKfgFOVBVd0jUuZsyjPv7FEnNTYOqwsMka2cdwL55ZO0l1+HgZM8t0Tfu
O3t4iWb07NzMdv8oRrtYZVpXfrZk9YapLHRJWbx4fZJ/HasC2mBifitmgOyZV/7ZjqwocnIqZDjK
da9XTByzfglGVjQreU20CkhujgqN5STAD7AmZrnT03su9xG5kDcSESeznetvmXTvXBD+X+Ih+eQV
kXzV2ROwemv8T4Lc7SpNsmkXVyHWKL5R32Emj65m5jIFLYbLqi5MKyiVs8bip6/rO9VghIbLJBFU
W1VUDTImOJSEmcZyh6He+1XhuHWAmG1UsV0GKF3hbfvRQ1Hv79fA67kEPk0ezR7qMlrP0tV3mmmg
Qrz0UeP75AT3Y233729VNRRN0O2LhpyW6qLGHzUdnH8fke8va/BsMNIPc59iF0kK9Ba3oPzQ1XaC
JWgVnbnNtG2rjckDIgbxWhp2+znPtBthV0NIjvhu9oLozzq3XwF4+y+DIzwskFtos4ObEVXx65NW
lObJFYO3Y/Pac//ngry42f8xBP0fdomUS2RvYQ/wA83pfFe4lfNpdES5DsNhvveNuNz5To7cTt70
V6D7vT2uzcEttqbNxqxT/RlEYYJgUnSp9fS+mIW4MascoQXTGUhNkAvs0qi+4Y9Doigs05uUrdPe
RGvhnKZWtu9qVFKyggRXng7TObXNdm8WoAoKi+R/Zxn52egmsUfZJjwbvnD23CjudZpCBCiZcLnL
rgpAJ/sKav/BtJPojtUISzrDdb6G2RW6Es63ln34qmnD6V51je1ZIyrzV9exb37pakJzvtfx+N73
rc3s26UPoKeSa7zP9kOAtilqy4QzVB0Bz31fV0O0HbAL3VRSJ+sXDHe5aHBWToJ5K+J5uFMH7GXd
tYmcxE4VjaWf0cPEDc3K3ldMbRh3J8SyUfUJjyKux/frooSgsicCeUUS/NuMmx9CVUT6wfpf2spH
9gaeErtB71DiogLGcoAMDC/hzkRVeANoZ9yquqH0gjtW92D0UdwkJ0Q/VecO5maYkGdSpSEK8hsk
yg6qpAaCn+YfEtzzgDMzhjrYlh1g3Mw99FEHnlOSynXEsfu7H/mPjUDa7lZVVb5XIOkmD6XEQn3M
snajiwF0BQGUdqclFr8ddpDRFjYifExtTolliebW5bEAEGCpJDaZrt/LTS0R4COO+95TFRHOJ9S0
HD6GUA2lHba3Dil1NKc9ZGCG5tYIJv2gAveFlvEm+GP+PypD29EPmkGIX12oOqqDaoCHSjp4uXie
K+Djqe8cw2UDWkfSvOmJ/9yGeQ2sBdXAz0QNG5I8dnkRFUIV9gwfp+xIOJpu8VaI0r+LQ4g3fk08
XdXnrv+A3If+4C/L3bqGFqNFHf2L8lRWqELZE27TwVTUW1XfReyIhq56IYvjIk40Yq+akLrMbSxn
jWjQTo3Lv2mlTtsJ59Ji7JEyt7WTqpJJSqsqv5+q2o/23oe4luXan7/Uq+IvdbbwjGNep9vBI4aK
79V0isT0/aDrzV3c8VlnC7x4Hrn2H0YC+UCv0uozSbtvtlU5r5pbPLeG0R4tx7T2npFEWz83Uf1A
A/7ZKg3SZzA8CuExn4YGukwyi19wvMTUmAkTVIa2bczp5KGyFUyJuQEVzvxXjDdTXedvU4WoZ9eI
P0K70UGQlh479kG7Gl4OwuiRFdVJ3a/0wQwPQV6wtW6hdnkif6184xP+5No9gtnlqRDIDMbuDCBh
7HZ1XmUvvU4SbdIyY6dB4frsBGsGyLfdSy/D6sqoZbbTIYgdyy7Mn71pOhKMLF6NwSxhPQXBKY/6
5D6wwj/Vy83C4xesx/LWLfP+JgjJMozLBcv7AEFJTisBG1g4obVHTvJLgiTpWR3MYuzOtdUBr7U9
JA40duk1AMmzKWJrXKk+cDmXU2DacOCs0/fi30Oo7nlVveR5Vh4+hs5MYMGW1rfbroYaMI7zEd0W
/0aVihQCmtsje6+KiQTFAjz1OHjNjUtCsD02REBAh+nxuqw1+TL15FWTwqo/uTN563jMmtcyy1+A
eQxfsWg+d6xH35regZJVhDjYl/Oq9KAJrDQ28ks42g/ht+QjCBkvtBa6fQ5PvIWnvIjLlW6Nwpww
qlWMtfReFT8a0kzL8UEGZ9kT7r6Nn7UeG3ETQeprz4lqf9dUQHyH0WmOkdldqZI6qC720k8V64Vd
ZA0h8bLWvYtHXTsWHryuHJY6u/QeEQUB+WoTL82qj9QCfZ1lxESlbdOHx+pXtvTa1fslwsjWUoT2
7XtnfqcbA2cJW9ruHYQhBvn7Nd6vH4Jc8s/iNRogBaexaofdugWHfR+meXEfLFuOWJdgdf6u85qu
3aSEwIDuIAkHc0VcpO5517VI5DVclhf2xPajDq0KvTHnUjUukrIJeHKXP+K1arRRtd+AA6kOegVO
sO3Nal+44F2z1gyf4qB0t1WPOIJIRnhU0Dsxz+mhuo258zhnoGz8MtTeduTXgreiZ0lqytZ+zBlr
C0A2vR5tM9pUSQaBCKTAA9HM7chYF9M27YdZBgROXcEOE5Ide3NE3U2rTVaq1TXJdE6tG1yTnkdg
NI6zm6px5I0LYo0Uuoy/1G5+JYvEfpZm5cKpCJEDmfP4pdIIICwd3J+vJJfaEFT3oi/gRd6vdJix
1tXUiAu5JSLubp09DhkMJQQ847skCNCNMtqSFEnm7ofJEaeEZwRwmLwjo52U18xv7X7KdffG4vvZ
umlq3pUZ9nexrrmP4yJZhB7vqq4tb990wTyt8sWDoXMn40yqMyNwierWUlWA4D9Xy+G9XyutEm8L
7fsVqqWdJhySByvAghByOznuLYjE7t4xu+ihctCsiBF626qiOtDBcp3unpX9wgJCeOijg6qjg2ER
DiQCMhwDv7Nwpu3Dk1Nk8jxEQ75N86x9FnHyVf3UhvlnbA/Rt4T/KsH0CaOL5RoPqaKTtVyTucQU
ZGI1z7O5pA+G4M0q3q8p/MxYCS//fk3tgEtJs+IEpco/Ge3kn0h5kt8aBAmJOinCXcqzQeKGTVOh
mn49ZRFsbrQu3mVjnXeYFFjw+HDVXTV8elSe8VGfQkQYVrbucSyWio9Dm8UYAIN6fZwh0m67Ecf1
Jh7N67IQ6Ta2E+0FkvztwL/wmx33F6sZzBd4CwVp8ebfugZ5d6uWrlY0Xio//t71l1GtWcdjvaxT
woivQhbmkx7I6jHsfyjE/avRO+K9xfB/aPn1msqvhn0jA0Aoc93jLN7oI89YGP8kRHVrq05TA0GA
eDlUfoLCpHero9t1kumyX1OnBRq0Gp6qP9eqMsrw8mo2CVn7k3ZV2OEJyoi1z0gVX5GV165UPcR3
gqeq0shHD13kpTdJP79YqV6dY3T2QXVoVK06VYfas8mVuV2yqlDO+N5ftUxG+LnzZXSamOcvIbfG
IRsJzBl5XVyCwigu6oxV6HNLMvXqo34MQuPgmSTu1aU/9wVt+r1vi3bvCo2DDtlhLzyrg43QJ/+j
3Nq6dY52SdvB/VanH32aiXTHr31Us6PbiLX0GMvEwAzDRw3x91NRtDrx6eVUaCC+1Jk6NCHPLuBJ
0eqjrhfeVJ8/yqkzp7skR8dMXQzFEaWmX8YhXEmSpmkcpiuPHNkPY7BwctfFNOrgayq4Wsj19X58
QciguIR6VFzqbHLhiAfmxp9E/mPDoe0R8PuorUzT3ZBpNTfqQnVAWrm4NAe59FQVzQA+zGHJsYen
keM08zKTbjxjhlCvVBEqU7lvTJSWVFFYUEY1uJrXqhg78YYHpHisfCEuaW49quohRru1tfCQS6Zi
emkMUr1sIdyjatVs/RYnzfkOo2zroSnm96H9zOpOQ9JV6ClxERmPaYuuEPvR5W0ZGWqCpa2ZNwO+
Si8iwJnk39+ttbxblmHRjkzS+PLxbtWQKe82bxBormHp75USes7jYteWIbjoRSz9XR190VP/KNZN
BBPNB0KjWlXDPGbM7Kqc6cWnzMiKgypNeX1iqoTikxlbP2GtCy0wji9ou42bhnj2dmzcCShTlK8D
hApuSpZCWCcFNukHiXyW6v1+oWtGYKdrb/H1iC+21sQX8GYhW4vhLsX/4hoB+VOnjd6LLnj5yR9h
Hfn+pe7Tp2apLnx4NjIlnd52qfcytmayJhAfX6vW1knwxJjS59AAPd1aWOyMg+a9SEhju0Im405d
JcRAOLJLkhtfy/znOblWL+lpvX6N0isZwOWlgiQhkSsLba+KUzp9mvGdRcOqqR6bMNiql/RbcmPG
jPN112fi2YI1lsbeuc1MMh66DrkYI6szTtnueahtci+J4QTgQq2Hacos5Ib+bh41MAwfl8zzPDGJ
IrFv82g1bVgnUf8QRl3/gNESocMMcGgQUkTyBgOZYXr96GF0wdOQmNlZ9cf1pNmbPURLVZTLgEsW
dxlLXTPI3F6jKeLvfdPet90kb8cCvj0LAKD2UuNu1RHJ7Ewn/BbddVFffsPDKQcnGC5eAxZs27n1
IPoPyZPtNF98Uyu+pYEA/uLUf5jCrrctyoTXRCOdczUbNR5Ivvs50eqN6lp75PnEoHv3c4Y33KTH
PElsOdzPld+v1Os5kBSz3qlfgwqoolaPLMa01D41kCq3Zex4LwAHzqprm4hPvafDQRSOwZsioqM+
QxkM9dplH/XXZ0jZQ71/hjJnTaU+g4Q19BQX9Rfgu/0uqFNrl+npfAAckG8Ewh5PqtjLtNiISBdP
Vtt8b5390PyhqKeiPpA0ynewncmTmFryrOOTvtEnXd4Ahh+OtZE2B2ST0RHV4mzjopv3xzT1L0Cg
rT+95tRk2vzW1kwTiJAnEMq5evYDedMQzyw7BBcGs3gd8jrao5eVI3+XDdU1kTkso5azX4odIs/Y
DFvtmn0Avet6mGBHYAMdtLlzkxnmNhi1+Jq0kbfOiLtuVX3tCbBAEJ2La9Mut2U7YBkRdlxh+jHG
L/7ovQ8wHE3XwlXLWOz1XFe/tiywoEupTkJQPKWc3ht7GRlbKXsUCZYG1UW1+r0oTyQQUNFPSFCh
BLbLZGifLeKbZ2c5qGKUDc5pxlxSlVS96mHk5I9I+rgoUxcJ1Pfl2qHE4yiy812E681aCbDDdH2q
EPp/iEMAk40BzkIJobtz8+T4XvpAOj16r68yd90ZovmM2gZs8/4bauM8w4C/3IWVFRxCpIP2XpQV
D+lAkqPV9P6bOehrBKC7Vx3Vpg0yjsYN0qk4oHVZvBtrrXmWuvEUynRAUgejrKnwX+wED5XEcNPr
rqoHPEDMCdX+Kbywx4CMXYR30MqHa1O0zp29HCwBbtEu76YkdhZFse4MBPME/w+spbRSeRQzy4qP
/l3TxDu9Zcum6tRlfQQKf4q7fK+KqkGP5Ruy9fbVRzcXJJXblPkt5E3nLquD5tbrtfVHB5RlWJol
09ePYRrTrfftDKlPXaQaui4eN2kWBVAuGEjVGW0xYnYd50dV7MvA2RVxBRpCxxvHD+0Xjy3dafAB
AahiM03RFqUa/aCKblo+taS7LpCpggcY6rum7eyXagohsPn3xphYZ1IXSPCH+p/AsPR9Iiu2NKpO
HeK4aK7hXEFbpq8+l+YumGV1bPviE1hgqOd+IDaG7iX3w1TYF0t86YgtQJzBruKIjBmU16WxlGV6
r1uxvtHJDm1V3XtDUH0yJ2GcVAkpRfviF19Ud1UT24Z+ZNH64zhJVuqgIlptK92+h0jaNp9COFTv
Y7C5AK5dz58gv3hr6ZOZTkj9G8sEFKP3+vBRCoL3kpqrRlQuPtr6n0p/X6cmub97quvIOQ0PYiBX
vUyAf/d8f72lbRHc+S+u88cQ9GM4HMNhSs8wG9OznQb3XT71B+RY0vNHvTp7r6tHEmYDyAa6f1QX
kpl+pcrN3H/NQoD5+DOcg9wuz+pMHZp6QlNFZB0GYn81BIYejz+ULTc+lHqYXyUDPpTvw3yM0Dfa
tDWSRbtvGV8d1FgsCvrV77/9x7/+8+v4P8O38lJmU1gWv8FWvJToaTX//N0xfv+teq8+fvvn7y7o
Rt/xLU+Yug6J1DYc2r++3sdFSG/jfxR6GwXJWPlf9UTYzucxGOErLFuvfiPrVn+ywXU/TRDQOFeb
NeJi/ngrnBSmONCLT8GyZI6WZXS+LKihmT36hP6uUrXWLkTf84ABXqu6qIOX1966kOB965UWDz4L
FUwCsl2YpNaNnG3z/ZDPxo3F1HpFbpjvGrUk6wZUfrXXjLBbffRTDeTcMNAsYySTq5igqF0c6sIb
znaRj2d1Zv59tvRAOaVgGQfuNGJrcg6EcWzjrryrYqC0gTX9UPIL/WhH/rT777952//1m3ct03Es
z7dNzxWm5/38zcf2BI4vjN1vEhvXsyPy8mbo9OwGd4vlHPZ2Q35jqam39oQzGbCNEemQ5fC9OpE+
soF1E5w1kpub3NJtBG/G5s6PXYmEAnVj4NjASfU+gtX3V7nq5Nc6kx3uM9FzDVz/NiYb/qyL5yxt
uycT0tR9CpZb1Xpdm5yNAIqhKmYGSZXR1BDPX66x4R5sw6yRkPc7+xmsRbae3SI7qdaiTH8Yf6x+
GF8z9ePQSYiWgYHraRC0iHU0/Zno83//Rfvmv33RjqHzP3ctz4DyZVk/f9GdV3gsWMPijYjIgF4M
35/6hsPc50u1kbKA2IdanvqOP5qHElnUpiiu3vtFTQdTGB3Rq8ia5TVhHfiwKX+43Jk6TDOXyt5b
8MPqNAis5dQV33tVtvPW16y76rDyj2hWmdvea+fXtl1NDfHwGYOYnZ6L7tjllvdoB8ZFtefscoiY
iwomZ+DcSOSN103vza9Bkz6OxJgfmQN+GTADfnCv+yZAw/WYoVs62+Old93ouhuqsyohEjhdvtf3
F3yeUeDrqyJY9SbKj8BczE1gfXTh0tYq3i8VmiU3M+uTQ5mA8oiQDkHCPh7v9aB+nEbDwOCtJ5bk
tctnCbU/XHc7dbb+SUf9/wBYyHkvOlN8U8BhfTA9TILi0s4xTOXq/2rU5XJpooWg/hr/8dP016jp
8GtZTTIOo/aX4r/2b+XNa/7W/Ody1d+9fr7mX5uH//X425+l/O38sHv8tedPFzL895ffvLavPxW2
RRu30133Jqf7t6bL2r/m6aXn/2/jb29qlMepevvn71/LjrwnoyHEUvz+vWmZ1w1f/+EmWcb/3rh8
1H/+fnlN46b9P//73695e23a5bHwD8NEStTzMVoVpmUyNw1vS4uj/8NzuYccz7V//61A1yz65++m
+w8dZyXfFYYOYsxcproGCg5NwvyHq5vCJ7zOJGfbnvP7X5/6+9Pp/ff4r59Wy536w8PK9GyilI6t
C17IMl3jlzvZlECqnLIkqhcQMSG9nEXi/S/x0z/ipwei/8sTcXkR1vvCMoQQcOj1Zd7+4YmomcBk
9KSxt6VHbp9QVMSmrU0kal+TW9fk7dLSvJJ9bjgr8O+GPIx2GIZos1QwtAutDsJHU5/AExZdI4s7
VydN8Tr6IuuPlWVpAr/cAT3soWNv/2DlMH2vGy+xhmtS8NI52bY9BZc8qvzxObJ5ll6ZqbARPpob
4hzzKhiSJtzIRBcgbsveqKZtXhpIkDlWZMFcbJqsQeQOPvhBH31wNBjrtAv0uMRJag3106qvkBHJ
sI220oi8UCKC1xhftLfRH1P3wASVF5ci1Zv4E7TCRJAgEzNiJ56WC/+hsVB9zLcOSa34cxOHvr8Z
hraBJGm5M2j3WTi6fxsTWnBPIXgNo1xVtu/bt+Zc+C24OlfM3yaItNWlqNrevYV7M2wCQdT5ga/O
8Y4oRMzzsQrkVMLuhgo7bGbWKcbb3DU9eVbcS2qt2+a6FPp9kaOSeBs6vQttsGT/hUB7l/N9HVG5
cNrrvtJDnJigmBiXos2j5Abse2GdqmoCVIp6TLHoSrqlhXF2Xwi/H1cijJ3MXY22Fpovvuk2bOKR
ELN9cMNRiKAjJm9d+LWsxVRjj6k3U4I+cldU8ZNoagQuV1lPLp3QAk9T2LiIukGZCINR6OWOWBF/
L4DuzexvBbhweWExjeFmiTC92Nai7PWVMbgFbKwsIM/jjyOyH+bskkOJMRC/7ZzEYFMnycdvoxqf
CeSTBzjxvrT7k+PPaCJZgHPQ09MmAFQ6ASJMsUU2n41eB9k1xL25mNCmI1KkJH5imMZ+D9oqSuWT
V0DM2lRaH/OzIWmZbwd2s83GiFGtQqDXwYwIrqiJzErfoGhZOdgtr5oxR5Jeh8+LBzK0fXHOHfYy
x5I1HJrScYDzTRChXQnOuYWZ7EToBiJdMJHeYSOnb2VbtfNnzZdYymEiGIKigjrBAhhqJ8Dgqhvl
02jwhSOeN2vuHnmREf2mBCnN44IBnm4ts2vRwuoDD0KN18DZq+wkiK+D0hrv8rB3a563WIsDWi8b
cyurzHpr87jWWRAMs7bzvBkY7mg2/LoCgRGos8nG8+PG2mZjZ0G86WMCTk4VJCxZoIp5xySQvffQ
dy2aVK1vQ/SJGuyuDlM8Dc4BEzsbdyQ9N+oz8gpI3HiaYYPtNcz4rZq77EkKo/+CBEZ9P4/pjJpw
gWjSlRH5fg0H0hbzKsQQZjpMOQjBl76P58QgT0yqc4uls/fN6efwQZql9sLStY0B4qFWTu5Qz6N4
B7oH1CXkLogN3PtQ2J0nU09yEpuNLlH9wlm+x/SMxIfBzmRO2xMANLaSC64RxlrOav5r0oyzd0rN
DFK2Y9jaV90uyuxESmjyrvUI1601FC/Y1nMIQeHVgPgdvHoJsucooCwuJIE5wXYKEbMx8aS1a74p
gZVbvus7+PJPQS/BvuoNnK4r26+kt0r1lvl3A6m+GNGMCgL8YYI8jQj9B2Ggbz3Hz6Bi1/Ba1sAI
Juuli1wLJwT0/ayNVoxZe42MpstKHt0y5HIAZuCa0Rjs+ZGzQy4k1pJhOpoJU8JhGALZ7CaALt22
CF0X0Rd07Zw9gCVEew1pmPCxuthP93nsNsbWgGAQbMeuLpxdZoPW2QSkWfCS6gyzvPdqDV09ErG+
cwsm0u3JSxVVzXJe5DpalUTiSOeWhAvt0Zfo0BRlh0Rsb8Gv2mUxIkIo4MAPvgGc0zgrUkHgovW2
mNqbHE/EeK3P8N3WrRkZJV6SyL7yh7Nheq3QQsy1h1S6NtK/btexVxZZhvPgFIC7HuIBglhdsvJa
p1IPsMNEERgYJY6pR2AMYKydMM/QhpXwjEB+tS6yMaVr6AeITLKGWqyXj0HatOAc51yvrSt0cbNu
01jzLFZ5OYaPbchsgcbKNJ9KCxLi0ZNNj25bNbruvppKFHSCyYnT4xxIyBpeHaL747W2QBQ3qSSR
Xs3Me3yDK+1m7GfEbFMYbCaJ3r5B276NqvKiW1mTQBPWvJp7xfV1UlP90G1SV44YRGISD4RY8i8+
eo1p6ujVjUb1iLSRmz3Y9ST8FVotCEyZVl8exsazPlVm4AX7WEd2f6uBgDCwHhPtC9G2ssCD3pao
O7pGufi5pKSBhM6M6biZ2Op5bLQvaRf3zgbUOjD/JI+CmoSBW0HGRxTKvdgkfMxz6yeY0vc8EOat
0flLjq/3wHpXQmhI8JptFX2ZEK3pNwbBazQu2jad2gOyZbhUQFapu/5LoOtljjzzDANZjmHVrRNP
Dz+NTazhNsTdZt40GAMWm2yGtLsCRDjju+14GcxWcxhiZDHgDqIu7LrjnhVLj3woGrdes2XBrMkV
VkOdeMP0VcpDjz/kcIh9qxy3UquQ43BwqHC39WxCTs39fLKuRjf1rGvHyQf/rtOiXpyYUtHIAw3W
9bvOZ2W5aXSr+DJPNinpbI7aZGe6yMYgJ4efwa4KpsCHEDWhdmkmE8jmnllrhHeTtBpPkCqLb7Is
9qs33bKtdN/4vtV+KkUxLRqi6CNBVRvnc46mcn1fdnZpbpxSr7otYX9wRHmUv2hRkewjbzTlrtMw
HQSgG0ruTovszw6pbokvmTdqqOi4ungsmYHcx8Ccx5CQf9sN65BRsseiCBeZTS2X5spIrfo2SJyx
vTKEo1XrXrS189B1SQAoq2pL8cJfvI1eJgDn4nYApmKcRO2Mwcq1cRhxJ29Oj75dMQ3gB9R9FSyZ
CzIJAx5Djij64BjOluifoiEVpAp7JymhlKZ2dI6yLpAnFKISZKWHRCxpLwsGcDh2Y3sn6rjJPwNW
jTJISS72KOijFvOlw/BlXOlRrvtfstEai8fATxdxi7SeUlCLEXf3AfWOqNtaxWi2CKVKoyg+CSvI
y4srURMHxwDg92vQzI7/TQxWHHm3owiTtthU+ZAjV2NFYTRf56jPIBRXS5wSv9pDHyLlWSZug5AF
d9g6crR+yPe62cRWDcxF80ws8wqswRE9jwIp740yJHV300keR0D8AhddWhaF5PDJd1rDoPOJBys5
aFknZsJCrhGsoTQm3DYJsPtDZQSoDFu9HQACdjqbEHkyOjy/NtI18VBE+mM9owYRP7uB53vVph8c
5pvajWUAYyzN7W9N5I/dn2zD8Y+ZDIDNhy7FVf16CgGH5Stpdblxb2MAg3Qb4WL5OGUIXGyQ5Il4
8muh9hrNTTFuIwR8+eCktCAd9pWFx31HkAS4YC0DYHpR3RQ4JJOcOcbF7HqXxB4XD3DdIRBmzp3p
3/oy9dsdGvU6TLu4x203qpq5/qMXvik24C/qq6onrL+XcS4g88KtYvccpD3quTWoVY2UZx5gs+ug
cWxCFXnTAWplK+nNhQmVoAzlDp1Rq8bu0ETRoDLaGciy/3+pO48l17EzWz8RKmA23OQOQIA+mZlM
Mt0EkeYceLPhgae/H6vUHVXnqkuh7klfDRRSyDBJgsC/17/Wt4Q6rUg9lXQ/cNecIWHZFdAiOUQ1
bTFJ58d9JHxT47PMbXxmQqTs9DTQ2CUBeArH4J1bbhqwThvyxwjIrZ0hdFexweY7uvXjLSo1EKvM
pXLTE/LWwrKYozWvciIyznpQNCX0Z44Byue4aIrgmd2iNiQJGWdGil4tYHhD1dmLie4gX9drgEdW
YWIf4HlbxKtBFPbnVM3TsuEiVQB2mYn1HWad0LethniSwmcj1/iEAbkuWx+SgPUcIxy1634suuZq
h0KtdhyLFRWHvaOTjdZdMYA+qVtJg2qUhclDkVRzdMcpVX9XaxuakFVnmrGf0mzkSgnjqh0CyzZ/
T0GPtr1yzamYfWD+4Vuik8T0RtwKr9ysbbx5kh7mkLl9k4UqmXpnGZHQ7KlL0r1z45SfcyF4SpC8
kzx/kjDqFj/BMMELKdIZLzG8xvyzYrmYfRjcYmg7b+itg6xpcJ36Flu1VTZ0qV34sVuRFUzjPHb3
+exYY6DYSiiArtI8u60oNq6CTNejG0FIhU7kcGhx74TkUKa3ITHOvEu1kOsBIxN77pG/CtfSKz9g
Dl9A1tpwZdhq+Cbq5iNlZc7hyGqNbeJkvGwNwV5fg2QwLN9epuGZxskINIjQi2RNlRQrSlGpNHJo
U1cS1Csizt1tRzLWaVQs6LWu9UQAFxhC51EzRrhZ3E86boLcV7zCaqzmJyRhJuAOfSwKHLbynJap
qdd3VNjU4shRJgYaizb/iQqgDV6rkWfgsayHFRshdGliuXCeV6CQoSnmhgouTtpcuBjILSdc246A
SWm1CrE80CS18EI3bvrgT1rMP9HkEVJ+VTkQIFwKSTQuMIKXfxUgillrxSh7MtZ9FYgOlTyXOYtp
4/LfeB3EFNXmruHopv3X1+nBQ7Z0shnIce0dvkf7FFYDGVvI0nf/nVcy+Gpd1eLz/uUdjRXdVqxW
zKAXpPJAcJF4HwHj/s9e5ZdVBuZHPR2zmZuGeidC+isBHJT/Qkz+JwqUBkYRxR46LBuTXz6zzhpM
iK2dIABdrvtQ8WvaWf7+bfz9S2jqTZ/6k/5kGkqbdqouwPGPAco1zizzX2x9/slLGKZmm+7t+zCc
XyUuJ3EkJwMpAsjm27Jz/DJz/sW70BAcf72KDdsSriOQ6yxD/eU7h3IRWRNwgoDFKfOZplT1vhjH
+KO3avBA7dwd7SqiOyGVBb/wRYBqaMLD33+W/+Sn9Jc/4pdLQqmLKe8pnw6K8GXMD8L8qt3g719C
+2WPc9MLhW64muD3ii55U17//H31REg1gk8Yt13xZBYh3V3JY2Mtpw78HqcSv83fk/jq1kcWkUg4
pJ/tB02jGyPvj7ZqnbryvXcXjEL7v//L/tkfBuFJNS2LHZ8hfnnznGSTQlOkGdjMNx8L7cYvIsMO
01BetkJJAl5Bnu/kzJlxUQthWf/+75FDhmMhRGr8HcYvvxV36EGltpYICjSmuEoepuqha4fT37/L
f3It//lVxC8/lwFCgiMT8mBJNJ5CYT/NcfNvvwQysG6qrEd1C5n7lzdCj5BmwKvn5zJCFqatoqrV
f/GL1H/Xrv+kbQPC52OyTMOwXBX8orhtsf70s6c9lQlGmiMR70qR20lYrH5L17FIiuVZf6RZh9x1
blJ9uhJ4Op/xpenOCyNEpvlpSW/dYw9u4EQ2qNYglYewQVA91OSBQqHZvJJ5ciJgNQmI7VYoxDd5
o3azEj3+SKDbi6OvICYseCdntun9QxgrCZAXOgQS2tFGZE4sawo6ltXXlBpwWGqOaYKJ5FwpQ8XB
1cwV481CCeoD102GAYgG+WpwVjBkCSZSVnvGKk2XbZdlJgQwVZsyIKnRJAh9Q966Swuhi/fRSfJn
+q+G6sDzma71EqVlfCmnCiwtYX233ueZ1YzrklxMtUcAX+oPia7h7OYw57ZshJnirOwsniHHZgYW
K4kM2e5FkhLv8uqGUJ2POUUlwZHQrkVlvYD3eclzblrf6HWDe4xQTeNtm2llc5+yKGjXdlw62u30
2Zd+L51bQzo75+yiyqweNrm08JDqkd4wxTSWNJ4UU+ryNBVZDrSM7yheaI+imXlrSE5q4JITuzoX
Gh08ewNWiLFtzLI2Vl04M5EO1UDmNjPamYpRoFUAA0mjXLtb6oTYuS749tyyHgO9LrOJJmO4fHKp
bJdtcAlLwo1geyF4piLZ4pgXP0lyl/FaglKy7juwGssarDUJq6IhLUmQfhSjSd83VaH2fWyEhU58
xFQelgQV3RczfT8e3/Qta8I4VPuO6oCVywggZasc7759Z85zKskn8vc/jk08JU8W/SdXBY202mDu
6rWNpDWjOBkGchRoopTqCPzM9giWm3wPFkZXyJeG/mLAUAWnywCqWrXs4Rzm4Zr2Ltm93igoVxj8
zdviaCE63aQ54iT+UNOkYDsF3aVXEL3Rqa0H4pal3DAxIsWZhdQpHSEaWY2PPUP3fDRjO0LBUy0Z
7Un0JRTHcbDMMLFa0JlUNiQ3sqpGNdiswUMKrNmZ+qBqTc4BDccT6vDcLEs2gATy+MjU3kabtI6X
Gx47z4Dx/65DurlNDbtDayRNfH9olVSLiRe4N2iYYIbQM5FQaNyZ5kYdA0onUutMOrDNiZ3munJI
rLHXtZX4XSBVFcCi9zyIlPB5cm4salyfXf4cy7oLP0ITXKUf/6695vowN2uO19XybS0AzxavbmG+
PC3avKQ7Q9O7e9XmavTTkH0fHeZJyPMJNCvyt9oo9nvyhzrMdyXmI+tjwioxVjQnmEWo06jTlm70
KYULVM0rUvg29yy59OE9Aj6oQbM3rXMx9uq7gOgHpkOpeqr7BDF6PtAqGjdm7XRNQdu6UiePRjPV
0x/P5n8sWP8xSv+y0P3l3/6f08fQ/ZC/7mz/suv9r1bA/xsXu4KHz38afP6fxS4N6T+Kz76Jqr9s
g2//oz82u9ZvRBeFpfI4s1nkEjL6j82u+ZttIKax8YVExdhxG9j+sd811d/4HbkC4ZpCA5cn4H/u
d4X7mxAW/19w5IVL8Znz7+x3zd/PHH96Cqqa4G8wDYsDia06mvrLMDXXJuBSRAZPb3FGTJk1+HrX
rLqCZ98kJa6SjCQf1R5DBuK20KowqNyXqR7h5jZhG1CTu6wEmEBc65BqQ1GuM8P94jb0Emu3Vm3a
yIM25C7dt1SmFG54CkcKgkPV9CuKlfHhp/qKy/izt9vHMev8RWnYb2jj6JscM9twesOMAQRJ/YaE
A5Q/Dk9zd2hgmcbSsNeQhX6WanOw+gWTdVfR6VpjdDWm4yAcME74CpENdiEhZlZQPBZH6ZvRSGYv
aa8EXLlFUZqhsMkAsEgpYc+iLA8f7L44hZCu/L6ClyLmN9dOTknu7uy+3KSGCYBuuJtKa68sbnlP
4cwNZznw0xoglobRW98izszFSKVXMLGi89iXdF6RlBx8S5zVlXJ2e1LjbjX60Ovw+7G58gb8KEFd
lg3iPWJ03UIFr+xvbaIO0yHtyzk+nm+1g58RDCyPRJS7zZTqk/trQ2NshkOOBnmWKhUhPirIjJ95
0q8rtbm4s/pJUcqIVEFvpJ49QgoNVywLR6lR3cTtbzVALlwp3PhZfI9AKtromxbeNujjsWLXSDVA
Q7GaKOYrqaRjnp5kBqrXLcVrbrk82GMSzISXnailLSOGYax+RoCCYkW5HxrQ74m82CbQxlIbL+1k
PRPgykDXheDP7SEKoihfpTpvFCF3WY9UIGXa8t2E5X0iSHuw70xuyXKdygacpquqMFmgWM5HA6X2
2+0rFuI1nCrbvliT8a1UE8BqFVo+jsuXRDQfs0v1hWvXD31UC9/BkrUygZ2xqaXuC68hnlvpiDOE
385r+k6sC0DTQOn6Y9jprJhZM0cJ8nw02tcSXzC0NtOTPBIIl4p0jbeX5yuydY2ZgQpIBGUpEacW
W2N3D5SOz1xV3rXsFb2wXONlfsY8pRArp9vkFvprBKZJN8Cbs0/mefRbsz73E3nsarpVf1R+XbJG
6Jdhw9K8Zes4bpaK/X80gNxtxBViYbEiFfWM89TmoqbgLv2C8vJo06mSuPKK8E8XMModz814pWIe
s/rqorLBXTFR7OXoHp0pO7PReNaNimi4gKrUXHCVO3FCWyc6c6sBqRDRepmOiSYMdoSJ9CAh3g1l
CwkE7mEhn11QeHlMVDBR5i3yGSjqsIi8WIPbqvA1qciMWBGfWk2GeLGGu07c/FyM3CVgG0D7nxR1
IoUSkK1LY82W6Yacyj+orX8IVXCYhivf2tDYEJuTMj7lKv2okvaXNM++WJpYQS/T1tOc7p1S0D0f
j48o+ZHpipfBv6bEZ5XQpqhuI6fY950xQOIFqV262mczJCAUgF8Ae8RyXF7NqKX5E0NENMjN3Kcf
VdaDGZ/MrzJH/S9cWhEJ9TQ0AtJCEC3uPUbs10YvAehneF8rdjXa2O66hfiFGOCFIN9FI/z4aMoY
f0LPaoVYTVP+kWqoZ0sav8TtNEHNTmGRNT2ZbRUIAeSkxqvTYniIxLI2FTls0W49XBgq6xYIde68
HGeh7wnlJXxASRRQ/V6zvBB3wNrje01psm1q14N306u9qTp0VM3gmBA4RSeT3zFLfc+K/WbajYvF
3nsqXpU7oPTCY+rTPMmiaIjHn91I0Ngdhea5lnzqlmlmIxbSV5pA+Y72EXCcorOTdTfBVxrSh6kB
b9s4E02Go6WfGtI8Gvkmo2n3WFIfSenthML3UY2V43f1T4rotq4s7ZWzzDU9rssqGZz3VjXfsgik
7lgcQzt5rCZCu924XMAdtnyYM4+aNqzpnTLEOluEHbDf6r0urLeKmimsYYFB0BRAEryF/QpJyzPp
PF6lWZkeV7DleS34oc4u7hGgpaU+lRzx/SGhny+s1BetMYBSRaeOtZ5RaETJM1poWrvdOfQQDK76
YKUc5Bx5gyKr4bmLuSFry8ecThcNvRNsGKrw1I8xVWA5btjx1vtZ0xIxkxzjbATOathYLIo4qHBN
CXoiK9NZ6JQKZwy4OCGcpOpP3JSVrSmTo+As4Ctas6NKxq9nSX3eAmxHMTKxyYBHmgkRVVnnhYe9
wNNtil71ia7tBgKsUdh4nIyCVbLqbJ3CKVaTU7G9tnQg75SEpcWY30MkMP2F6cQnz3EwMaR6g6qv
VCO9a1QWdrMj99TYLR7w0NKPOPUNj6GTPCS0b+3juH7D/vySxsTVZMmgTmPaTq/dnzwKTmrVOnR4
XrBBRF5C3zGuSY1WYDHoK92lpaQFwBFn90bfpM9VHhIQ6x/MMPxeUuexy/TAXfpNwrqSB1j6Gskx
5rEQotX3y9XOgVLM9W4UU5AztNy2sKvJpozSrI0v7CXwF8BwRwpCH4H0M2uggjDLcigdqD/adE9t
EienKAqatvyJElB5Ts6Cx03cFno4xHbdDr9Sm4Jt2t+rlT1/VL2GiN5N8KLin1jTXmuAsOlgPUcK
MAXHGO5wYAQU+h2rWZnwrREordz2zWWT7JWq3QepNZ5ZtB1/H0X/rWn8vxq1/zKP/3/ntryJTn8z
lCdd/1EmH38dyfmf/DGS69ZvjsEk7LgM2SZuSf6TP8yWuvob1nzbcvDW2IioJgref4zk1m3uxp8p
2MT8Lqj/w3BpGr8xiwtHVZEiKdTT/62B3OAff9VxsUtrBpZLpnKBloeS91ddytG0Tu/iljk8YyjL
ntO4/bDwC7HmEk+ojzisJuoDcapU2cccOpsJBvRKn3SyP5jIOC43+0JswVNcBDWYCXcSXVmOlEvR
cFNSbWL9cKDldQYzS10HGBEfEHr2Y2dT6AAtGKD1LLL11NhfS0nOr7JxG0NdGU94MPARSYBTQNhS
+3GgcqtVHV+jdDqXAvTcA6xy0grnRW+OpQHtcwQ2NLYZzpV6T9b7GNnDHmsH92547dJ4m8txo1uw
NrTceJVTd9UBZyvUsCbhh6T6Cqv+Js3D/RwCYKhhGs+UvdoMHYZzP7BDlBNVcZQGdO63fa9zy4tS
81Dx9om8p/F5qNxzV/cgMtRdZgGpLyvu+9HJBeXc0afpDNXzbcoYvJDUF3zaW9W3L1sD8SXd9XPp
j5SDV0MIPtHZhhCSLHZ4KnR54JsPUie2FuHt7B7LLrsflnDfYlRKk/HTGNQLXiEqzKgueyYlLsE4
kyBi0Y/ixEheG0dnkFRt14/I2KCW6uKhwU8D6j4FA9md4nxT0MBE6C7yRZYzURlrqq7PN2gGl++b
HnfrCpFoGWiUypNdPfCAqeHGZvnil8Ll2ScuNg2xXDU1G/Yqcb0cE8hCutSvwIunDiw+VTh89CbN
gaBC3PwxI/gV5qzT7VHeUS3lrKsiBD9of1emHShFcr2V3LFU9iNTXc3KU5++IOYdLTiqjGBPIDCI
f1V0BfaXzoJSq8QrwJKfVQw3JrbLU0YgsXVxILqL64dOfphukmIsacTJd0aTBtBZHXt5SczwZDI2
51gyNPfeRhTSneZxgNdihl3Q1uZepY5w5pjImfKQGh8EHDeS9FnWf9Rt9p5y6vL0AegGxWaKQWMb
FfX4FfEARc0G9/s+Ts8m3Yw1zDRilwfViE5YsI7khDwOzSE+sfUysMlomQgWG3qkm3Z3XWc+pSMz
vx5ehgaQTiMxVE1+VSSrJQMLTj8f3qenWdI0PK6dnvG3NiGd6UvQ8bRDDzpYHNg4nYDPpB3Vhuqs
pGiAV7d1roLyLWnzpMEBcY71/tpqysOYHGS0baD6QP2GYU3dHq2hpyTLDwijyKLNR2xKGmnaBzuu
1u38peYW+IjbCXIBiKqEmOHC18Jir4oe4Vx4eq05Me7iBJQ1DHWkM7Ke9J9g+sSAvupDY+f2gerM
16pLAuPWKtZ2odfyzaomFcdzu9c6+741p8eQhykaZaA3Lu2xjflaFXILhm2n2BFoJAudOnnX62cc
1xTRpAGh1WdpgTHEbo16N20U9dlaFMZR2mHslbI8JI3yIy7mozSMu0pX/T7VWAIQ60i3Th5Dm4N8
qBYGbL3oU+2Xt06LMLxEP2KLmXAEf76amCgawsFmaF07S47MZXtNsPZnj675TSZKf+6/kzp8lE20
lW74VVpmu2rpiqlwI3A6iS4u3NQEkRLcqXUSVf0l011tWwdVAeCoaSw9024753XpDb35hlN6k3Tt
gRV2HLCEg2g+91u9iC8VNbUpHk53LPMgd6KnjkopKb8RzXd61t5x3AQiuTcb7YUTw6Mr27M9xq5f
2sMZSy5NMdVaTFWwcOJMK7BxWf2UpfV17vPzXOJ4SXOahVy/auIzBjx+uMUWqxs+RnfbAGYuhg+K
Z9epzY5CGitbR/nrbd8YZphVM+6c+GhUuW/RcuwQrce/tZqSQfWT584ApGhZ9FAz/X6T6YFav1Ds
jt028lQ5xGslhKE+fZTMbp1b7Xv5WUbfLgpIVO1idlDmfEHmp9EZluEE8ZuqYRC2ukEps1buVROv
G3clXY8fR+nSMiDZyqXqIVsi3WMRQBWfVa50c97nzavq0I2cvg/c2cyZ0gkw+TN+xSYmhiX7TU/h
V0NMbVzaPX75jWXWx25S3/C8tZ6ozVfbVo6yCwO7bfZTpz81AzMktiJUBfeztuafQAVPLa13YCph
Uw+jThFTyuGGS9mOOeqHsbWqp3Xm4LKaW4CyRbgv4+qlUOEUz/p2vEWt9TlAD+5FvZKztomraKWN
lHbZ4mzQiRMVCWBUbtGLw9LkdsadmjcDWqZS5z8QcV/TsfwRGrgfMhMweCaf1LmlL4/WN1TxPZac
cKBMLslxKIgMyQ2RqMpyZO7uo4rkJ/spzWdfsBVg472Ez7h2kt0yxhOL+TdjWsBJlgcSiH5HneVY
8Ae78XW0tQ0eMz5o49w4ZPPq9mcvO6r0isc2vGRJRI9UXCB2hAjGkDx/qkp6l8zMBjL+gtMMX78B
uDh/FuNb3Vn0eA5rEVF4206EzeIAkYTuVZleMkKjlVY+j6mvSwQncBTchmi0uV9silQTMO1qq3zc
li0dnT85mLAw3Ixl9oTJNEOW+ipNi5oRU64rRzkOVcTrsJMR48pO2HlVNbZmO1pWUbO1p6XlxB1/
FHi6ajmfiYkGedvRYaB/2ECTdTG8LHp2IorGN6JUzxx4DsR6D/OtcLUAi6UlfleVlIxYVJIYWJML
7ZP+K7onpXlQwsIjOUIBtKxIB3S4jvAubi0x7SPqqPzaEhQ0uvkGCMRTAvXHKStgNtXFHfL7RjW2
g17chzZRjKywjxFeT05GLnua7iBC54UwF36UR9+ylx+wWffl8Jilu0m3N9as38GzPFhFw/VLc3ad
EDkblJayVdpcbjdyGz8y9exeaOqgsPAWp/EPZLkdJy3fHu2dGM9VGD5DU/bVcDix4Ak6yWWcCroj
QFnfaYruuYV7TPWCvrH6Cjz/YmT9e+xmYoWJDjmI2yT7yqulMAZwSXPVM8/eGogxxAlMbbS4u9dR
2KsE9PeUY6Z2d27xw3LqTeKwUe1+EC/A0HZXzh92hjC1NDy5iIFkHHgLekWBj9Bn0xz1mNZZZebd
lOkzyZ917JgPeb3slCjI3SvWyqsJn9qK9UOD1bRHzdUrZeNyMQEU9Ds+jCW7SLSHvkivwjBxwOkH
Re8eMWHBgQ7XYe7elUW2T/Zz9ERrPZWUW2G5Zyn0o5K3fh/N0b6imz2pHgi8vYm8ZH4JAcwyStlN
ca8a8Ruamiec+JtAXEvPOmDr3nahqYNmHde0m6ncaKrPWncht6XsdJENLB7DZoHHLWw3uWEHlVm/
89Owm+zKJuGzaKd8ZThQHBd3pYjlwuJV0mgkdZAOnP75s3iK5mqg9sreSSYcD/JqddZ0HpYOpKnh
C4M2lhDnamC0NUUBzK6LgfWeuk9KR6k4HJJ1WSB52bXcqqokSLpwk7O9JLdOBV/4Tp9q2q6WDboz
BlI1av3YSJRta4QvIkT41xDSKg0NhlV3jgZDocpRDaszJg0ugsrYhHl8VxocxZch6MtkxSZ4Uhhx
W91CcREol3rLujtn6p7Sr7AMP7PIRAQkzZW04BXpXjxMs8CAPXwDbHXinly3LZ/63IzgNbJRRlNf
tbfmeVPfIVStjDpxfVzS3NA4WWv6jLTMw5dKg/BB21J9d4WjwVG/Y3eQ9T8knWqkfuQ031EmwM+e
piXdPYxh9IiZ2nMGHknGT8njJswZ+1Bo8eYiy0t7Z3LPoYRP/zLnkRC3w96i0imSoPlBQ8TzpvbV
jbND98rO4Dx3lHgVJj0+QK2b+EIZyNFEcImXdL3YX5RfA8m7glfe5yPK/ERnEs5AHgULqeRQJPyI
onAvVGd67RYmUyfz6tnYF0SaNtlobVjF+05nrSXU3tAgBMYxSzkY/FeY6IJkSA6KOXS+rBlKNZOH
gNx2RWmsmqHbKzVeZHXpPgSNJqEz78uk3ZCY8gv4evY0rmrceXqsbEIxktlx17r7qnVUzbhfFLgf
sylYpMXzyOmeCeh6CpFoD+CMUOnoarA88jCLMwXcdHSN1WW7UAgxh2faxYGu9Uv+SClsteb0dizA
Dfdx9VRW+lpzsrfsMYqr2a/C7LHG0u+lWnoR7kKpSkXFOx/hxW7sQxwJa41Gur75S7t+LyH7sxsJ
zb2pfS6luYXHYW+mydyl8zPJul2adj16jHWW023MpySOQ65uyJ+C5rMcmjr3I7Oz9+0WVCde8e6a
R/qObo2dyJ6IgTDzGealH9qgmVpKw3IyItm9Q75rKOpNjlH3Rlbicm1VtlQu0MKlNo80YzzmxbLD
ZHFnTdZO1chUcrO2A55lncVLMg2zLjiJ5rlNVpr7Yzb5AXhZ9XMc0j0c5QMoevJ+NLWitoG9l8Nd
1VKMwZ1QDyXRvZj2jhdiOhjgW1J5BTdxcNSG/XGbOobW9WZrXBP1WY3DRdoswz9zW93bGup8Hz3N
yG8KHGp2YPi7GQ7yYW0PJj7aYEZsruP4qWLpMmr0KGTzKTK6c+g0T3jHg57Qg6B92tEPNhfVwmhh
ds8cor28boIs+SbDugnt+ign8zGe4qNl4haMcnInYWQeGAxyX0oGMC3hdgwKgeNnqfQb/tPsO8Gc
Sz9exJ79E4SLAWAZy6nyCPwLuh/JRVNFakeEphO29sby2wbvlrvjoZDWPaGW96J278ep2NtdeSnM
+tAsBNvMSr6h4OJK+D1OdRimSr2fjYWrAae9R3UJ1xupvjKBOAwG/Wimqs+ucOOYxgOd0sKLTeNe
dVjq9xXtoct3nc9HS9oXdCLTc9XkneK+XUt7ae+qQatPrHNEfiiG7jNyGr7ugrRAF0c8DHJnz3vx
1cgKLPBsVkcPIP90VTQm2058pfriU8KyQ62/4HTzhbmoTPxFUMzyhcTlm0XZlewErj8CqWl2cBRc
wOBflkGuc6zOmrVsq1w8WYBvu4e5oCZWDbv7tDcOGsHUbKILfuheC9QOc+J6HWte1DB9vTHeWqPc
6gs5TQlSrqjlWRaggGPAizE3oWTqHiuI3qwUOnoTk4M50q7QiZUbzg9kayDDjcqDzUDgkbZDmI6y
1zHWL9FcM/IoVrERCOdarICO0AwCn8kefYAFXRte3UFsyMluoxhoK5PXKu72C25ZD8prdGiKavak
oz4MjkXtYm1Fxz73WZD2Xt0jHg9rzIibFpoFpwR50933eEw0RrRDW6Wf+oh1jVlDzzJAZxjXNQ7+
SV6AHjIVuimiwHTgwm4AtzJLL8bJXvrtkNAQVbo/Mi0j9AkhKCuyzWgb16j6tvIcPpLrOW29jYm/
mU79rrXkIhPz2UjbjTXyxIqdnvER1Oz8HWF4r2n9rtRj030orDFIe55dYiCce57TxeE6Rg2L6XTt
caSvSgNcbwaUtW0jNh4xIEWL2g+0O9ZR7dRRUcX5zNOL/kKyiKMoeG20Z2r4tLtMVT40zkwMI11D
A++jHuselcZxJ+7aPvG1+LmmKixNuRmJ165lhV5wzkmS8CjhmBfgpsZj6kJM4AhgxbzJ/LUO32sV
ctVAg2VSPlEuhUun8iuXJKxOb0YMHcPDbjuvuFub6yHcOwadm1VEzAajJMVQ/bUZyCiZQ3uOTA6A
4NKCzpR3cPKOZisfh6lttqlu7bWEtp2M44SqVbsxzF6N1qUu7UVhwuEwrlypfnXpAGiPOS3b006i
WCh9yB1O1dHvsuVs6PGXo/Y/nJrKGpnSX0yxlx/SruHXt7omO0X5sR02B3PoLfHyM2sihD4DONMD
92VMXQ+FExEeUnyHHGAFtp3ODW9xAEXTTNLY8qFPLO7F8wf6Lax8fhBckUyz9jWdo8+8asEnsTtK
9hkFVGVGPku57/rY74f4LjOdC+a9U0GDiZOq3/TtEP9mqjnmM2nD1NG8Xh0Ok5kgz6Um8qQkgsPB
pqnifSJv/agEfBZzvm+aF77iOwX1IR8GP3Hc9ZxVB2Y6BxOHTI1NEuvrkKZu3WLqpx24t+bANO9Y
4LDVKh+W5c7JBsYIkG0xs2XylXH/T+PmHuANtzWcAZwwpU81qvBU7Qm1xvYW7hsiol1hrE/sRFk8
0X+9IEFG6Hw8CrPEAB2ASAFr0QN7cSzSAQ3nvlCmvU4wWC+nvTsx+1oZG5uCzWmIpqzP057EgfRq
LHCeLGhNwEdXTcYP6XgxK/LJecUXCPWR3ZRCEyYvmcUkqLEHcPJ4ot56bDvfdWwGlzZoo26bnZKF
6yGIrTvJOazL6gebfLHCJm4pYGwTnlCZFSU90+SalZqk6XUYDW9IIHITBpM9JbjB3AYzvC3XXrPu
G5YtM9iqAkbv0DxbZlv4Ut50q9SeRt9t9VVN992YpF7f09KHjKbAOW9ZSC23BrQl3k6WQW1qG4xC
WU9Rv1kaqkpNfzRnv71NIghXRv0EUGwziOC27HLUDdTwoBmfJYoET7SNkVgcskqAHnIVqkqgxldw
mFyQWzNUDpFqrbQJRK2Kka4YN7P6MOFe5WUJLWUdvBPEXMZ2H6ol3x1OGPczxJaTYkSJRue+Hg6h
85BTTDcnoA7Mzw56V26F02pJijtJ1nRq9WuMRYOurzum84VQZj3MG5XGqdSd+df0jhoTtvdsk1ss
+Sx+Ru5EEoR6VuNnW7bBrfEndbZRaQccMfzSYZ0eX1XNfnLZYSoVd4vmPBIXt2xrjSK/B+C3zbNX
2e8mu+bI161ndGyQg9WnoLi9u9JYeIfUtU3yh6SlLGyhF95aLh2hno5n1GjhoXBWhIbYu25Jm68M
NX8rnWqvT+9FM9ONFmVAWtC9y5xIbCPuaBTbxAs9eo15tom5UZl4CjPjiLnIDxuF/gSNtbAFn2Mf
pfZJ0w1rVcn2TbOSk5Cq7k89t6N6zr6EzSM/oqDNY7NzF5bRhbbGlUTqahjGjDk6QSMKgwivyp4i
rBuslXmfyjhMgc9z2H+wigd5OrseBIt8XzS0Tw63w15YfI1WwtnHYvjOdZdml3k7FCnjlTtbR47p
9PlSxUhfG72Vm4a1x8LWaJnxNGOyLs2F9gtsiVMI9OOLvhnPnYZgSd+rdKFZvVjX3D4ibDNwC9bT
8PZ/2TuPJcmRJNt+EVoAAzPbOuDcPTjfQCIyM8A5x9fPQVTPm+oZedIy+9mkVIUEcQfgZmqq956r
dTBsm10lkXHOVHqMSkz3YHavZeTsluqk8oOm6PQAW4vpFEiP/TMfKxbyq9M9yI/YfqOMOEachEgI
JcIQgK7bYAikE6Br5EIvpS/oLCXZPfyuvYIk6SjG8bOXViCkq863V+mS4e50XOaxk9DVzG8LknJD
kV0I6h6ZT6GzCglZ3kAITBhpr51EN1oh13G9bbT6GgNvuSSDFp1gs75Ip30YxpFDRmM8LWm0aekd
nhY7Dc+U7CjhQuZXRppRR/KIG0ZLM68BZ2lD1lyfbHufBZU846B7cSfHoJUAthGeGJ7rYWQMzZHJ
02od1U+N/kp1Y+V3jqAdEKLOmBMDHVtyZxeoiZap/CLBzpcx+qk2sWn9abS6AhyOOBbnp/K5t13Q
0FM83+epeBpF8TVMFMpzO7kH2UfOfpi59XE93s3xWjqnLFg5HDSphczIpjG7j8zDJErrQvrh19wG
mHKTsr0LzEcZEDmVu/afyoyviUID7I7IXrF04DaOhta4SSoz5IolpEXP5ZOJ1/sO0h66CMElUXb9
OUVpe9Bkd1HJj5wu0DyCnfY8lx2d247KQgvuVWmyLIq825IJ9pG3ZYdXdJCepJV/ioBwOHVzVSTg
+HG3zNsBmbNnlhTEy8MMlOXQGxzHQYF+2fpwpJJGqxMSxoY9trn0ISQfAPO2qd6DjnToLFoQlovX
vl221Pqt3wwms1ACjEn6yjdAKBmYNhxyJeEAddcrjxiNJ9S5gYeVuHWLHYbGto/Ewe2zgyoS/VQj
jmlIOkLtMr3ORoywGttJFCvj0oan9JpCyQbWT7TgMvyyhIq8prUQm3W/A1mcWzBwG70o9mGXM4Uk
/WeXRs8xalHfLeiRAu1HW+CwV4vRvO2Bu++IQeFT3DxG6JOvJjbrja0Trrik8SkJwv3gqt9oiinE
CDDxcdTGvu4MD7lV4IzBokk0YfURuXO0F4Q1snIPTwiOXfyp647tjCQ1uIrSyF1D/uKaxzB5grMw
eWZtbgtivAfHMs44BK9cn5nlhHS0skevXnalsRXgHvzRWBpO4nFwSrjdwAnAoWp7adErrAVh3xO4
yU0ftL+NhU2hHh1k9E2ymxx0Ry5cDpHbPpK0P8Gq3zBaUohN+5pznCXaePJg1Td71PXPMXNPVrH7
hWcNKzvH43FJfcjE846plPKSTEvZFfm5isblriByTjazTlueYUcQ/hmSvLsi3hA7ObzPSzR946yO
43Iv5jI/Q1TBQ9mwkCRzvO0MBIL5iAvCycIHEc2whYp9pUNVMOmWUXVzipnJ94Y/7y2y+B2vxVKj
AW3gOd4ulM2a3uSHqoMKandyC0WW7D2LUoWll5PgZ5jrgE6wuLPOV/VJT9Vlcubq4HAhiYF1A+qD
X9rCATlfiJkwPX1erZrI63l7RH3pGJJo+ki6KBS3sLmO9MW/VJ1/NE6w+ivOeWu2t0ktHpp+7ZkO
06WMNGRzSYxvyum2uaJpZTIkpo4XXjnnK1Q9y/bzmL80yMWP6Yo3VsImM45IImkaVzHt7A+0Rnzy
8YDS612WHTBuZPJ0ohyddyiDpwVdwsUJtT2ZX5yswH9skVs+ukRAsXWyIcx6Jnd91e3MYpL7ion1
lBBPiCkipsOI5JQHfpiim3hQ5t1saNGWtmS9HflPLKyuOmBFIjqGvtKqpMzPdYXBeRxXUbO1a5Ap
e2PiTtvU5CxCaAuHcptGVlgQ90RzbKOv2c39gj7AXMobynjHE5M1sos9urwPUxDqjmCEqTDCZwB+
g3JZsOr2CGuGMGPDSL11EYDsWh714FfmcJ+Xvt85pGAewYZg4KlvBnDoWmxAGZ0cIARJFTKLQzOl
q4QmS4ygnw7hxmwIRiDyZdvHZg4quXLo7L8CRKy4tLfGirNQ3XNamb9TibFHNPpnnYwMYAIiuEzr
T6po1MCn2FZW/+5k/ZZ+G1Tep7mX9klWOkOewjjKwDpGViv3BDZie0TYhjrb0Q5LOt7YLN5eMgCN
MDPNvQ/nxb3vguF7Vnnjd2TybUQtOHAYFZzzQlyr4pCaLtKDVnVbN2mtfTtCf1iGeb4Naj6uM4lf
CfER6AvybZe+6YZYrn1fC7w6ECTonRJYM/fNnkSbS+GYT3WoKnw/9qFbiHViEhRuZTJOO2ccRubn
c3Cwh2DX9P10qdZ/yJ1F7G0O35XTPhNF7OwGXYsJZBXGbp5sX+e5eMCcdCOLmVBLVOmHQp80XIFx
CUGFWO7G8CbNAC5cuaMHXqXDa03EtB4zkHEKK9uRLcBgImyJn0LzAAOZAzDTx22rTzSWcZHtNafx
OdhVXhHJ555alQ6CrvhkulwQyoyekDNf9XSToxg5oBLuzWwwvyTO2JssG3XDMP2RE2YgWV2SiQQE
m5yRrdbYATmceYk0F9q6K7GttOTSnMf8to87cUwTN9mGE8MfMxHAkmvjTyniGXHEx4CM5Awq5XOK
j5APHZ8WGPNMVHrhcKr0Ij8ugEj2UUjrUY4K7HZxqTNRrie4fdHNxznrdMrsmHp6lrtwcpttP7sh
MkCn3WWVhsXRJKXL+HTKxiRszd7xsJxVLeQWxfyNk3VMkDLDG3krxzLO0aQ4HIusrl97nUG6h+PR
0xi6ne3w1skELSwCf+kQgc83ol7f5F0NCIVu0BZtbArejU1HRU9pJKm3CybVkYSbmKIr2Q5FhpUH
7wDyk9bYm5H5QCYFk6wiONZavIGTyV5llusiuHjjnNP5lhE/MjIfy+3MvEwJLS6ZsLjEVhee0wRJ
jN5B4oXBrxNas9GTy4hmbDtUJieaOtkQ48QXF9b52TMqSSC2HZP61IXdEefuSPRe4l6tSu1G8l8P
s3gcpinCJEV1wvrYnDqCSLSBo0VO/vva4ZgkQ+1B9o+Z6VxSxKQHu+pejOkjQnd4r4+vCgg7sB0g
nk7T3+SZfTRUNO6zeM45OqNoF3bkQ8awz1SZXu2WF3tQ3Z73zUrbW7T+ezWvM0bAETY3oDOa/Byp
caBdSXarPUxoojRSUvoug3WGaltDtQsgQgebDg7Tz9pLhMALIz8iLVdyLGcI+zxL65rAovOyAelQ
EYgnraABgop0ORlh997kgemFA7VLjq6DPnl1BAlELzHTNkPmuP48OVuUM+reCGS9VmDuNi7Hzjem
2Pqo0X01QspnPPo3LPQpuxv5cbjdLmaDvmSokDw7yfji9vM7NsxP03BfIdNat0UzQ2+LN6lM4ucu
Ht9I2gh2U88Y2qy41olDP2pCAM/Q3OXoXqUKdebyWk32HeEBwPBk79c2SnoivRMALuIh020W2W7Y
ScLwEK4xNQJpW0YPRH9GfrqK9ni4ZVRuoPsiTO5TRA8h/2S0dGFCVIyXa6/NY/JZOTT5pRU3pyEx
3gZa9kcopPxM8AtjScW1Rv7XvxJW+j1qnjH3RDiXWeXPTv6wzGlMN4Wm0gRZGS4bE4DayrzYOYre
1c8rjCplcydQh6OP+0aTG6HQkKMiNMvyCjiOh15SJzTR5IflQjhmtus5z9BuMx76BEc/mF9mgajE
vJSmyjnS1OLPTKXRIBXOmWKf0Hr90Ymq6gbv3HyN6jMgERhuoei22lSK+2jmH5YFznzpp8L1cq51
KZ4dEiOUEbAKTxgAikEEtyPMp02jjfln6tBTLiINefRQWjtVp8GB1+juyyIIPfxV+T4DCos8BpV+
AEiCTHIGR5j+oktICfzXf/3X1zggTecJAQoX7OIy0uZGtgeQeRC4ZcdxLHXr+Tzh79vp5MnQjOPB
DwXYWnOct048GUcDJY7Woq/SB/2KXL/wIKYbh5XONE0WiAWjuYDW+yyaBXMUGT5HFDIY7/JrpyfJ
g84gGqrtmwYjkEJ4mimk7enYOrGXEj3ooQ6rfMQKJqXssyJju16or/P2Yg39eBSR6duLsDZVCn4T
PmHmG6XxvCRzTefa/VjP+HtIIBrHRywRYRvywkC8q3C45hKz39QP8xU9c7cpzeVU1ZNx6tziakXd
dNKN+qIied+YE2FsY1F7tuDgYKmY4Dly6JVI+vvKGYgoKph76ky1xyiW+05gJA4CXCCm0G9DRk2a
NK5DampXCOkEB1BaMBHbN4XV3DdDfRxypuNLWYBvMKSzD28XmDeQVxDEWZYMd1U+HJcGoia+RazR
FBkVypVN2MY9szkr2cMKYdhh2rO3zP1wSqzmBGeF4HjIlUTDBQMgH7rqWgxPTRMkh3McgLiUahwN
bdc6xAt8apl9pORHgRUFGijmg2xAgMaBdZ7yRDFncS8VVJapJOoq046mXVOLt/qn6H8LlRE7RMIE
fZiaUjsK7lPsljtKexI8sNDuYRLZjMWrFzA2IUJJJLl4n419ShGxGdbM2IDeBOXmSzC547GJmpfJ
dPmRAaaL0xJvDtD/Q7ZUA2F0U+jtQa9b9wVKXHHFxkQbpqc5XYTxQzHd10Vo72QSaoCUFerOEjXn
bD9YymZR6D9BhvEk0/Yi845YlihLd+FMZHieLFdbaDsnRznZZ8QKGEtPggQyBG3IAm8JqrdljP84
CQHUAPYA8TA8TTBMJ435y3RZa+sxfsWbjz9B+9Ja52Wk5wdlKb3OqfYLg9Xdoqr0ENkh1pPSfrSo
d3SJsxg0A9Mtpml0ZTxVjwbjTO277roTUyy5gXWHvaXbZWnAQ94JhkY14lZBQsDGccwtbovO03w9
zgiGCxDTuoRsRB3Zt1V4UOUU79SC9DUKw8/QqneWwlNlNbmJ1N9NfeqVJ0Wyuq5aEjWRI2/6kgWz
1aiEqw5BMUKUeBkHb36r8sZbkFwBwTtSdQMtbHxAXhiWaN63BYogK640wtDbT3vAy9y3ys8xgzMT
oumbBGO9LZt1vMNppQiqzLe5DQ2g1i2X8azV1gRzST+aeOBQZ7j3STQ9oNLGFIWou0LasAaxoMkF
S0Wg2OK5gCBH7Fy1ZO+tCwwrgico028b+txt0t/NVkRPdyFvOBL5G2fkX+QcsQ1N42vYjnzeFpJb
ElKfh4GjR4STOe71W+dxmrAhO6gKEhN5tlOA5WuglDruhuPVvIuwc3rCACNCEiqpxlSEAtJd5MAo
1OrqlAZS2wUW5+hBDMamHHq5ixznBfda7wPu8mU002EZFvib8A9KOkuXBm7aKvO5HfNRPqpuPqWt
XmJuKT+LxLgFikrjKtehlDP2Gzj+OEVqXcJwIulBMdfCy+U66bFIm3duU4UEEalTFUG3jkGRFfZ4
qAnlKFZLiotZY4sMHG1NM/X4FkeNxiWKimmdshWDw0qxdsloVsnGLbyojki4V1hfoujQFB3pVJFb
E3Qp9mIUpM6KqvIym2U40sqT3SPQBYAAHDWECmVPyS7r8WWSTxT7ZnxXYO+hI2q8tDyBorfjTWvF
7FZlMdPTJFY+zf40WH02QWsve0muFP336dQkX/q8GiGj9GPg9TOcSLaoE0pPafFtiMay1J6k8iUo
W1Rr2VHKzNhLIQRPcPql5qY6VEFJ309W15IPJhp1/DoF9LroFGFq32X1iAQ65wUFnXNbjLyfgmE/
rlUOQYh7cLJnnbuvxvBBWTcz0tQH1+wB6i7ZhTc3boweWDkmsvKazuELrLBpRzHsGTJJd7RdeBDm
oL5BGoWgLrkMie7ejQtjnVZARSm7nPlubVArw2MsNJ1TolsDGOyGrVhS55EPxWbCDIs93+URLNDm
aUq/0FiJU03tNVZtiMdyT0YpYk/ezG0LvLCZX9MpIaUAbAXW/Tza9R3t3w6SJZLv+mhaYr5L4G40
WXqB0LcHVmH8tmk1tbJ1vKVPDwwUuwImf2OytNfPXfnQkARVOO+VRjnNeC2YCT8Z3p3m0Ugoj1hL
NTv06AXXbkU/Ot2G82cTfBq86kXsxlb6kvO/pr6DDGHVtHXVcJfIhfL2lOaO3+HnG7kfpvsdNA/S
rLyx/DPhuE7zfq+CPyVTvYiLIVV5nFSNUrw9tWGyi3Lr7LRY44b0lBv9ViKkqyFK3/cl+3/m7lre
+BAwQYFXOpBQuHFQZmfzU1danu5cc9fcKhT+oxC3FrqPGPQgWQecLlEZbYNQfLgi8qDEeQQgMUKr
nlssupyJbqSt3zmTeAkdxg6ky6MntX8ZM93ELv3SzOYUyuHNQUUAbozuQfS7SPqTDO6GrrwNeyZR
E8EpiHnztHx0FP1Vu/kzNIe8eUmzX3p5iZmEKOulGc5D5TKqMF8q16nBtjEvKsI7IzV3KmIOXuGn
Rn1SQ0NLkD2jSCY1p5WvZR8e0h5SWmcdGz29EAnmzymM8JrkC2Q2JiAFIH1Dv4nDNxchTJuil8GE
15jaTsk/Y1zfheCB+ASDYTYOmMNP9AFOeG6uXcTIU9vnY3ldTRQWs4x4stfPC943hbUB1ZGjbdEl
3LSUo1NyX7Rvhfu16N1W9D/RGaTBxyIA9VugxAgecSO2m05HzibDI93IuzarTpY17KJHuJFeWtvr
0NqmYzikCLnjA9DI/WLY9PwS56OT3Zm1R5zGXLspIvwhgaSI6LV8FX8dJlBxUbtg6pXGfSCYX9S6
hnTCkb/NDBglJngOfDuKB8KiCXzdzrgPF9O87YTx5dQsGbMy95QsvmMO56rRV9/pZ4DwW+vebEqo
ispNRFfHKq9TZWBdWWcm+Q44C37CiWiRnd3zv471ARQT3Vg7AMntPFJ80PLrxVuoZZ9jMd+ZhCaN
a1nCUVm02ZfWA+Cbs0vSqkNu8MEa0LwSdTRQoYbNfCBNnmiFGAFSDElYcyWDUlYcZoFn5EM9xfoy
bhANYftAEuAH2F/1UN13NbbQbEGF3Zmj19jjsQ3YpWV4mhDtd3N5S5d2l6ECs/P5rg2iD13Nz5JE
KRoeGAps3MBNc41wQ7eAZOj0MolARtIwnRZTeKzG2qss7VVT7beRIxg1D0gn6X4illzVLU19UJC/
HBRYIm7PSQ/YxNbQrTLjSK1D27LG9EPnKQSsZUMM8FD4UMo3JdYErXzOnRP923OHuTPvw2NhxxTD
jGz7tLuLqYDzwX2BklxtVJD6jW1fusZ6S+dfSRH4dZYdbcF40fRVYDyRt3rWLYS5s/aeTjlNQfeq
sdZzBn0z7YjMcpjhez1KLsgdPfIU/XgeyDfRzgVKa/C2O7LoGUsXXpo4J8ukihy64YYc38qTBXnP
5ScmSLo81bzu5IYn2/jtb0a+f/JF/p4W8N+pTbjjIJwBvHRsaZrYR1Y61d+oTWWWCDiSxOgxlZoO
WfIcgr7x6wCxFkgF6DDvncXNp/WrAolrjfjqiqTiRvHE63P8F3Tt/xyWjvjbffkf1JP3+Au++d/t
lev3/+WutMx/WIbUnZVxaAgJ7+4/3ZWW8Q+G4lS1/wU6MQRpFYi1FNut5QhL59f801dp4MXUlTLU
yv4Ds4BL838RZLGaJv+GOTFNAyclXksLpBi4E4t8jb8/NkbeBJA3qeHpbt0gniv9cOI/SgdkAc5G
Udr/hlsoMJH+z7/o4i+VYAtt1+FN//0vgh0j5W8V+Cq4C9u4ZaIy9AlA+z75LsyMcFa2QYNVJm0Y
AGowDhZcgpuBgGbglyGCpZKVuHKIoZlQKhjzfgnn3azmgNl5+K0ltflvkGjrK/rXa+TqnIzA0bCT
KN39b/g6qWt1nZYjr0a5eMStm5AiEBHTv4G7/cXT/PsfsrgdOq0aAkoMMH4/+UF/+wy3qUKD1DjI
ggr6jb0Rj1tnD9vxuUN/DB6CYzbkPvIp6Qh35SVv6c2Nbq97Cq9gr9X7noMhktvst+bYuE2i4KSI
1vEWDbjFEhbdPp4hqii9vNVmGrdlVOaHgKW4AEjdjc0lhyhFzsNOyyGQunVfH4v+3iYfAcRxDoLN
7Pc1SYSeqzoGwGJg+y8TNtiy9OdkdV4miPEwMjE021M7A3FiLErMRHeyaKLsl2LBqZelyTWsMYtB
4tvX4yi2OeNwKAXJr3EGWpIq41xEFcWxU3/MSCsopSCUW0SE7BI0PJ7ZlK+UpISeoI6mlRofnIqQ
+kgKE6fHMaEpf4L3SuMkn7yGSJhtsoYhysIIfqGrZFFM7/OO90LJ9+EYpbq1yzC/bcSFkTtpj8F4
16PipudFvZ4o3YKDAcJG0xGChXJBB6PR9ImQ30A1QxrCAYy2G246OsH3YsheekCKHfoCQCfMzXW5
nh9oqe6j/Esl4V3RNuHRkhTlwjrkCOp9mO24O+tfuYiSHQfLBC+AhnWyLal5UkEMQB6QRzU0ZM3Q
E2tdUjpkh7KiWBZ/zDkLs6nfcOr0y5qxeL+m/DVRekdtpW3b2STzw/5URvZbL2jEW/ldp9XFSaWa
fegtnQ52aV0BOxdHJ2bni+wHKZI91gztPao16BiLuU8iwbw8wbyVap3kYSwO0Js3NuHT922hubdh
ZMUbs0vD90xj6Ghi7T+2s9DeQgMtmCGDl8zOHCqSiH76+m22BnoiT1v7UmSD/hwRZkh0Uvge5+jR
OlMyRVp/PMnUh45y516HIXWXFv3Xz5ezvtdZPZqJaSS/zAkBbOtLf23g8PCspFQ1nC+cacQLO5c1
uhSAy9gL51jSv1uQegNKR6Bm35R5Bf9GssbUy/SEzPLVRJ5nanPpJ5pAwu/c2kNOp2MBgFNjVKrm
5SXz8xwVDsFtHMDNfl2fKJzzWJ5butpYNFjWIi4vtpbvMCUztMwfmwTnrdP2Pmg84TVuwpRrWKlC
pf4i1lWNK7hDon/JTT5+5KB+y8kmJaai87/Sh2Q+MmzDH2ME+Tbhz6la9hRn4bfNHAXpuelLgzBW
mmn8+ojBECYdTo5t+h3mq7VA8kYdn6Oq67cM2U6pzWgX2Rd0CwM5HkNTby4Y8sbNYB9mByCbTjbP
Qq5DWrZ8xO2a6fd6tbrKesR/2aDc5GUDt/gsiU6Neq6hKLpqZ0v0rjR1Dr3t0WemFcCLLG2MX0bu
vvxcawrYmz41KaLRlMdT/L2+X2UQcMdHxo65ZGGHgyJx782Skci64P/86bHkSqTZ2PoMB/aGROne
NepWc2FVz4hDEXdnG9PkmvU2dsD1tzYIe1Y5Uen/fD3pvmhu/fl5tX99oeoFR0lt9uDyFQGKaNl/
Q1q50UaHKR7v12q4zROuUCsNXpi8Q3jiC+Vi/2yQbTUJ1AiUiet1a6bVGzX4rbm+0Eh/yVz8Ws7w
XHHUkwzm/J+bUdbPIUJh3s1XaPfSJ5TI5cRcZH6KvmiZtPTA0vdrmkq5fpQvAu2bH9Y8vJXN2M7R
K2AzjfQri+dU5jgUrABZJQX3J8sPz7LDPlisNyuzqmqHRVt4hsOrrqPuLMHKc0jmdplOxXoR7YTh
fqRh84nfT/pAvxyMVTAgHWarMKK4AiPtWpfodx3KIpZP/ijzlGsUR6ROh+X9qKMnKxFDO4IJIYyG
YMB+k3UZnY/lhbHNEz7Udf/MuCK2nF6dVNyPRbuDP85L9JF9WgenDgCOO6RiYik1YmNkAtjcu5N2
Cav4dmmbLfv2ZWiU6WsZqmTDPqQtLTyERYDBcvN9zOVwIK9CY96DukAzTqqYL0OYqT2WbtrxAykf
BhQDa8q+qwpvpyqQoI0GI/WMYiQLB4ZH6jGtansXYqVnEaggPnAVfi5xVInf6CeOFnKXdsiHfSh5
7IpmeA8LEwYpyhVOpuYmatCbdz12j5FeqG0OmGz2sFqEF45a5gXPVlAS+NfKr2imjZGV8SXsZ7bT
KIYRampY5+tqt9Bs/1lIArxUnqCRUGoBi1f08PNbfv5clOgPqFkfmMzyUU7tG8vgUZhb5DoI6gsn
tk7myP23046MS1snyIseVOU4/sJccU9471eRPgN6QF01S5/8H0VAy7g3wPyTtQunrqzVBUD/0Wii
P0kFfj838lu49gQfh8UJ3M4viQp923bRw89Xibb1wafrHJ/x2gL1D3e6+5bBEEOv6JUTLj0r4p6H
ZKY7yXoAZ5ksV81/Z6/EzprobZvP0ZiNuxGB7TThuJn0MaQfNn4kjf6OXwcdZ8aV15LhkIe96dV6
X+3yQrcPpFFYXhXSZ4eKui1yld21Yf8rJeJ759qIP3X9w0k1/IzjgkC2LVEE9OkGBau5m8K7urlp
CuSWnVHvdWE0ftNCpaYaWf3LP3gDcSGXia2hEHKFHUHcnxAE9wRNjHhkGGAPDNVc/FQTzZieldAX
pbvAEEIujJ3i0n+MQfmq64hu8Y3sBQ330eQbDN2iQ+wMLJaMlfe9OyKmX5JblLM+gVEWgoM/oHh5
KuphT4FFBxNtPt4RCtPJxMcv1z2gHR4cs2suIwFHiZuNLCIxTtgg5VasV/1n4XLXz1lpZL8mZd2t
C7EgXIOngucTwjCT+uegVp9Bibkkwv2N3gHlX7p+z9pA8H6WeMQ9tI1GdUBtQeSNE6O2xItKCifv
KdKe+kGg/JEge6uqFac6Co+NVXoMFOtrrrdik/Twx/KMB3vdMRL6H8YCXsXthfLr6d0y2Sd57Vss
hLivDHrKguHOz7Y8C3yJisureoFLOM4OWioeQngOnkt80b6GEoxM05ouc5B/uos1PlqIQ3amEcx+
SDGKXriPYLe2g+1pQ2SQ/JzF1JTDvMnMybnEZmcRJdK+sohfkB7ax64djqSC7rrCRlsYiXIzEcpG
AwThxdK9G7TynPBhHDocKE30TTAGLbRpeobzj+cetGCZFQQgmRt9tp9yRzc2gi0htOdqlfmBpwt+
9yQbeFP9u5MiPcOJu+XQSGLUAnSpdU8Mbdjz4ZvWIC8cnVXa7LGJm0Zz7lv70awL6AIdunSjj54k
0T1sBdSwqqGi7DWANI4DBRxCs0rdaJc45l4n7vRSP9kUvwitQp9AQ+ZdCyg4XZfuuYmvnRzzrR4G
N1FTvWsyNPfCZWdwFUe2YGQeLHCZEFb7qivIEeiDlGeycB0h9c5uB1KsnOeHQGfuVafemMOeC0Jy
cbMyO5k2OYFlme7UFA1PncCvmv4hgQN54cCjG8UZ48qp4JC4uiTc8KrXQF8LcoUeifh8452S0aRD
XuhYRgBn8j30cILlWQRtj3jFpdHtVBAfigYYN1vJVhKc8GDgh85sxEgxlAZdREwZkmFfjGwLNvwV
wGsnp13XmxAsXaO70c3oZu51WXRGTcjApSXrKy35nTOpj74zxqMiMOdI5l6zIdyCQJp937TJxkG9
gYxt4XQQTeMD+c2Kplyc+pqoDLquWUGyB4XP4MIeM+aEEV1ck8AVsShlnWXvGC/h4OUZbXUzflex
9Qpu+3syS/cWET+nJlTSg44LweJI5fYksZkl9CEDE/Im7Ltv/FgPBAoeUA+Re9eaf8aw6O+MaHxE
0nqoCIDfGI3dnYlyCleuj7nJKyMDHULuYliM9Ulz39Ra1gs8+wwEDPnIgndOSbf1Sn0xTxnk3iWd
EauRARYv/Q1FiuMPTmDg/diT5qDOsAcn3xBdta1rThBr4NCmMOaDlefTJQ5bZzczC/U42F8T2tVP
Sf0rwZy66Sx1P5S9uuKMbKLOi8YJs2dT7xQAY2ZecbiL0QSzOKKpt7t9YJjdwTXSl3AZtX2dA+3I
U+qGGm9LHpS2TzYkcDiaDJs67o56jZ6dhJAXZ04lUsW6uBsLplgFDm0RzJtBQigdjORdC7T8bATY
tmQgS3TGI777EYVXNx2nROtvh/Ufs5TqRIcfYwLjdbduBWelwDlnJblBS+tewKAPJ0t1lFUDHlxh
MQAYdWgimosLAvTyBG3h2JrZfDIqSvFFhSdHThMGRI1zAGSoEkXIcILJU2LGVKan1oTBQq+Ms2p1
/TTGqBkygK6Fab/ldXhtbEB8YyU3w6zdjIyivXp8MZmFMZCisQKO51AamE6s4YIfD8VOLg9JGD5U
qpyPWN2N22xSMWyc77Zp5altv8FT+kZaB7sym64EAJEktEzE5BZqdZyy76ji+adx9n8dRIN0hP8/
og0xeAuj7V8RbfzEPwlt6h8meR/A1izDFtKkK/gXoM1Q/1CKele32IEtQXPt/wHaNMOlvaiATDgW
evefhuF/9hI1kG9Ktw2XH3YtWoFK/G+aiab413Yi/nibP7U2oC3X1GlC8wL/3txrcQvN6AsQObR4
izmxKnMKWaMD9afoGiJgKMrN1nTJFLTy/q6fFESQSQf85lcyGzh1BFPQ38AS0bujnOE+gBKZ+vtx
GULxFLFdOq+lMoP6DPchiw/mVOfynM8jyoh+kVr7KmKx0eTs/BrdGDGcbTaAUZM2x3/UjE6FEQEN
yiXWjbH3aIdyVLAKOWVUoOFMYlfsTNaZxZu5TBFXQCqY57cLY2xKc1KrErLO2qhxSy/PhXFmWldh
mLbCWccBoOO3SCMbtZls8+SFTL8FMXyL5mK3NNHwmXPG/BMPzfDh4KJAQx+5HZZQA9TnnTOEDCaH
lICuJzcbcmfbDFRJe3ca1qHiDLjv0swNtjGY+UGJBkJzbgFYBHQE8go1SD3W6G5hkpD1hM8OzHkd
RNGDHUSLcZzipKILZrUufFwA+dAlcqN7a+NGF69dMmYXvRwZqo86EjZqAIFXtM7UW8zmpohBSjLm
9TJHepy4btF+Y1ls3Y+iQzdyBksyxl8IGli/Euzg8R+QdbEYPfs/uDuzHLmRtMtupRfws8DZyFef
xwiPOUIvRCgkcZ7MONqeehW9sT5UNtBZKnQV/td+EZRASvJwp5t9w73n+vMCiRTIYOzPlCzH8oJI
QMGUa30sJhcboxw3iixZPkLGZ76ECmyJwdSc0MGtNdSUfVSsmupvQer1HidhNcLujPsgOURNneiD
G42xc8+FDikVIHTuj69G33nfRRQNYHZzJByr3g5w9PuuATFQ24R0mYt8szOhoq7cwqCU7Eseko3F
GrxcOYIAkutoOGGw86zSBSLWFc/ZQM2yyhjqvDbkEv7IZT99VXZaFwcaRMxUJJ84yX3NZpMgqqxE
q4kZyr637XK2sc+RbMy0wAqQs0A4JHWL6NSEJW7kfzWkIIpLZ+Hd33oBRhocknNnXZF/5+OGTKo0
2fNVct5pz6KOsrVqp20Let/+0SHWCVd97KXGs+FVGJ7XyKtQYJBGSpzN1AR65dQmLJYeTQ7kQmUp
vZfCdaez40DXeerBhQXr3kSVeO56B526G7JdzllklA9Obiy4znAu/FM8Dq3P0tQamsMwell5ta2u
VCijI7aQq0KkswP+ZwRBeDRUZ8a/rLy2vaMXF8PNJfUDlc5MP3JUfVKCMuc+AwKqIkzKtZF9qtq3
3th0GHLbRcrF5pagl7F+lGRKQPGy+NwvbZ4LFLtWNPUHUr8aedZUZHqPvpiOr3Crrmsp5quMZMnQ
78Xe7CObbwRvsnHXBw6EANuLQjA8BgawpxTlZ3PoSCPgx6jyAT9sIkIttia8X3lE/Tak3yQN/3hM
yonHmUEs3Ffuf+eb0yNDWXkFVf4GzZyOCVOsXPMtFV2UTUjxzVrfqpD4xbNi0iBPuice77kNSJZY
144NsgozaagvvP95uS3GJhbHqRqz9NssQ5dZdR55bqjW3LEIlEenhdlQSd8xTwSweS9D7VW4Zq06
yLaIHunEdB/z4lIVpO3Gybx5Kwt6M8wbYKT67xnCofQ8dERRosXn0d+Xng5IRgyEA84Vco7ak3DI
/hYzJnTgMU1Qh425lZkv2DhRcRFnaD1ntWj6W+h1TJGEFTof6Zy66BPQQDCgXmWDiwzRsGBsbQ0X
KO86Dkhtu4sATeXXSUCn5Pi3DJ6gCfr1u5YzY+iTW5oNGwtI63kqoDnq3q9ZO+R18VFPeWUAw0ur
yeweed5anDch4rg45itqJ/6HGgBhGntYKS6szLlCJnxOOnYC5hZtmVuxAPBGsGjP9lRk/ponzCu2
+RwQhoTBYfZfG1YewTnhsal3Zgxv/oZXsPwJcWvGumxHlfdcTHZKIgkcKdpbv8HpHIqFVOBoJjFe
URiPTjEhz7dak/C5MENzvrYMZ4aMFrq9Ac5yKOJtG0vxmYW11QJ8qnrxCOasemVIG94UaR7MMuqs
4OrqLJjfHisAeJguwIx1h2GcQWvm1d1+hj3wK/OVSaMIktE6IGTK9M7tRFyn/KnYx0sk6xqIBf5c
goMzhwmJHobeuZCNUum/Vlb/rSLt/7NYi2W79/8uz26f/+t/qp/qf6w+MXv+fc9rLX/uryJN/MO2
WfKGWBHFPy96nX84vu15pkmIkwVm1/u/C19ouVQy5pKAx2rUdCzot/9n4euZ/xDsHW32tLRZ8GDc
/06N9i/BFvTirh9QpdlMGQLnz8g1K9CKmBTJxTE4086C6Qfo1Hw0ehYkbVhcK6sPD9wgCGRzfBx+
nXXb2tfJcTQzbx2XP4eyp1AaVHBRAViGNoWe6JvMQisV7tEKJbuayTbgdxaFrdxluRruiybaW9kg
j7/ne8rtsFzK4ma19tGyoms+9DU7P8S+3FTo8dkaGkya9lhof/qGSm+uaU3XuKgBNGAMJPmSWmPC
Pys5Gle+NM9E89R7EdNh686Wzz7gdsOHnJF5hThNGclOIyc+VZ67HM9QKD2Qcgt7629Pw+2vXe0/
yTD+uQAWBPG5CDA8LM0gjx3b/iM2xHShfzuBRJIcN7eC1DPqQnAFU91aj8QlTyx9V2nbboElQQnr
snfbw8c8LxBRs6jlQQFsZVF3tevxdRKEuP771/d7u/63FfNfr4/EQN/zbDTo5h8ykdlt61KOc7Aa
wzevlcjpsBhF0nLP/RSfOFhRiIeAzLwM2krX4rzL88bdMyV4Qj15CQMWL4jpohOOtvrsvRupfGhg
Gl6KAFVd3JuXPGzf5zQuAMwtn3fah/umyb/5DVGkUe7f/34CiKElhVaTXNhNw17bQNETc+EV9Nu5
a0suzFscAy1uCn1ghad3xuJGGHAXIJ+nBC/tgaElU4u6RL8y+ORq+4zxEtCRjTd3D9pl9GI26S+X
W++u9jAGJZlzhchk35c030Q9YKcKh4OFEGyTEH67mkVOgMDYsTNfHpCq1MP637/5Yul+/njzfVCT
pNp4LurKP/M0CXY3B0EXvUpBrDRe9NTkQXH0Y+uGp3Q6DxaQHEf54cEycWMTe7aL2/m5zBAyeZSi
YVM2aJtL2m0/S/eeC1fNKidBhnz1FgqMbKqGRD1rpHOaeURAfhM86HjYVYwSQd0xxJWUWHLIhy3S
N3w6mK1jYel93WvMysHIbCoFj6sJnyo74pLNpLqZXsBemJoIJXd9x3BmPkZRH69IjdKrGX7LPnUx
VDOnZekl2/oqY7sFM9j/RIGUQap1CejS8Yfbt/7eqLuvGMvLvol0fK2WX9CDZSu3ZRtRVM7In7aW
zT41VW/bB6mseKfK0toWhXhJfB2yaZvsfeThSu/xUEE/ZHb47z8oPpB/+aRgnZOCR0I4zbTl/SH5
GB13ALzPulbVybhjtY3gvMap2WW3PnHkihXUzR2GtzAG2j9beJ1HgMIiC67kqIrtXCaomRmeLPCF
mfv5ux22+6b2m7towrnf2ANEXS3pd8npgrnvYELOWJfMqkDvUqjy2HA6oc4y5HFAT7TLrbrdK8KA
3wuzxWA6OcTH+5gpyeY5Bmk2Ekoc9mcC554DV1X8Rp38URaIVmW3MqAUHFKr22aMbTDzQtlho2Jv
ibaXm6B+Tk374FrCOUJnUk08n5nEsjvJJW4QTuZFmWeF1b6s87ta5O85+dQboEHyoD1W9W4Ap7XH
bR1bmILSCbV+6ac7Vipfs8mK0hXD93pZWsoISYgZ1IIt6x0DAgIawGk5RLOvTYnNwMuwtIZz/BDV
dnDJzPlcQkMfC2/a9CEh8WgF5Dau6UqIdLS2ZLzBExjnkMTFJUPILyZUg6xrGkMZa2WrcPtbWSQY
2N2gifCQ48pGPRgYg/uoO+fx9/aVZQU5lNOO4ulNuL7Y8S8kq3kuC7aLhEgQkdhuw6zKjoPZNqtk
yj9S5SRnr/F3oQI3mxtpu5a1xeI85t+sbCI8vMj+yO0owr84/WwlbghhFHxxIzSOmd78fpkhncgl
Lz9ot0HPdMFPs8mHQy/Fvm8I1rbxO60EtSPqiXdLxNAU7DZhKLwZseCgFB7NKxGT4uSwZddGvy2m
8clXBshshLFDUD3Ffrwr9mFV9R8yTRvcFVD8CpZGTlmcx6YHz1qHzb6kMmaUXsEqRtaTLCZPlLFE
0XvOstAtdgxmnE0M/Phu5vzCh4cVQVgAHmg03BYhApmR6YZMYij7aUQ4EkvaLjH3QVsf8s65+Etr
1iT5e2gC8cP6EiEXHkxMetlwpOixn3qvZUy9cEK8oPrMZucW4NRbKZsqeDbws/p2f66ig80I474Z
nllydDuVRO/ahx0RgTgEnDHhX1hohvGmGZiiWz7wVvwytNSNwzK0H51qE2hoCGGdHOaou/UhwJDY
tba9AQe/adrqnP4qa7zoQxi+usLbuUWQH6aq+Ord8C2fAc+ELvIE5wScNSM3cR1BDTeUvCucOfkP
srPf18HfrwvL5GDyGUJh9SLy3P+jloCSlU4UD0C82wJ8nAS+HC5WNcE6Gn9NeGQA89zrtjx3hOGs
5DzyFRHh1ahEfuwbn3uVYXDL9oONl/lQVI06M8Uqw2S4zLATOH331EfDOe+xz1tRYwOuyQMAafE3
D+TBXUbttfmNM3CyUqztmMWPH7veqSsGD8tcfExlaT+KkmhdUexAhMNR1X23HZYtbjch8OXURph1
mfruZ++N/e7fH9TL7PSfblTeIt9hrgnog4hf8/c5/jfFXBUMDsnwQ7Jm1gWHns/baTp2YGRFbBP8
xmtPciv1mU12TrkaE3c42CWo7Ziv807BRJr6753tfYL6ubONgAAk1zM2WCj/Q+609Yfq0VxeKPrK
RaEb+sDd/6i7JsdgXrWYCMyHSAri7skafLZsbpii1mj9qmy8uEhIlAGrEx9QTbjCf3ielu7ijzeL
qpQ5L8Uyh7n9W5n5tzeLeW1sG/1oIE9oj92UI2KPSJQIZ3UuLS+5EzXQ+vylGmS1P/9VPbQcMBuv
ifP7Kohnvt2Gt/Uj/CSGDVSjy0CnwH9iYrB84LNf6QNB8fc4UjHZoGzDIVuHOFQJLwOSaYAF55ff
v1uC7vc4ra8mcWWnefll6Ebz1EyalmIAqGgO7DTxi90PqTZOCOPWrSvUvUNFuWKk123Rw+RuSP3Q
iPuCN/DkAcw1iCJZmTim92M83Pvs1DyHaY9ehOGzEez/w/MXmP/yplpU+5T7vmczlzf/FIfKUQRV
igMHL5D/veywyiM73OlxAm5eV49OVbHloxvp8FN0PaDZwmfO0lr5W9tnE8+tgP1SXsV40vhAgLlR
PhhTfrHyJiBWNHmYouKABf+V0RxMjSb5bCcsojp4jry1sNLwxU1weQnC2lkCBcm6E486CJGizyM7
MlQUW0ClRT7iX2/EkTS2e2KgSMjqvU9f2hRdQxwQRWB/NQKkSCtojGqoqvMYIucrYrnjal5jyEJn
5Yen2mAz6+8zxtL4pzHIqVYjRPJR3Kj80Jnuou3nXukHbOFZ8urG/v0E228onXenydaNDbAH7H7r
Zp9NXrlnEMBEPKWshv1JrGJDfiVD7+zdnPW+IckGo5ta+fZEKxeCi+UT2Pq42FZ1yLntKPvJtZ39
DBo5JmdumUCCfnGZRg2NM5xKg3GnaZwDLAjK7wkK6LHh+Yo4kxDIkvJA70kLHm0EW3jXedhEQRDN
a7sdkn1vJu/TGNJCVKsK5zvuddALNoz3DUImlow5vZ1kFG87gMBCpelLh34rAVQlXrYqiY5Fsoa5
hZ3oIfc0kAjsVNArC0t9uR5u96kV7qnuxvPEMjKDDdwQ9LSJoxuC8HVpQ1qTRTjse0uvyrr+4EXi
dHdt0k2/lFcd/ArzkaDcSkBD8wr4+CKUdFsfTHcvRH7C2KTQe4bKI3rbW0Bi4gFlcLFJUuehCHsc
Z0UWnhwMgCQu+Lf01Zidb31cuAfDna6JM30byRrhLu2WHfojHwOJAMQREpaxJdIyuwmpIcoUVUmW
I5C1GJjfNOBk8yO0fmFZNw9uUHyvzSraNRPvoy6JjGOl+skwas9Nso9BDlAdgWDXfCC1WzbXcO6u
hQFz1C4bg1vNPAPF1LDacEf33lGoArFygBBs0v6TGTQQ4lz51kv9lkfNWnueD4MkiJ/JultUF/2W
ZTFDNwOybG7rbF2UwdVYcA+JVN6WoiwI0fTW/SMsNX+X9wWWk6lkWHhpkym6lsVda2zH0PsJ3iam
XEnDrUvyWsf8AXxxSyoYxEKnnI/FBANkJg9xEzevHo3gqiuyt66bmOxDPlhXfD3WGiwkKFD37JDp
oL1ZXWMj2XHDo2DrEZhmo+WcF6nvxvZvjTaDRzfywfgh+R0rI3iMA/tO08ptbNjB6HjOFWjBLWAv
EhVWUmYLaZPeN5kJLK3iYu/EgdoEQzvtzHS8IBgGzmCM6Oatm5356HrCvGACNLTk5aGaWDepuB9H
1GmFmz2TA41zqErIFWF4kvMtXLPzw/ZpbVSGxwaSdsSKvdiOZfPLhJ6xCrW2eRS75gHb3bbIvebY
KpzhoT2gmyVisRTv0zw+wxQOzyqwST616Utb+6Rbo915RgxoPEhPelRPSUYlDE0OpVazc8KR+MOg
3vQux6TUbJzAjZrUr4tt9CEpvyUzGjtJEqfUQEwy8MEMfdkrVsiOOIpXWaw+Mf7E+4ZeGx39u2UQ
RhPIJj8lPZKP1lqZORT8fKTBc7mC1l7RwcEbCQDIlROTeNqS9Mrk/myDqdhYFTZbU3jI5fMRVSf5
bQiTCCScyPNg+H4jpubVMZG3m+NOz0V0ZTV1jea4o/ZmQc+kLyajCR9a5KeKbTxrUSEYTaATPmAw
2HFxtUSXIytxGA/bbXZg11BzcvOVVwj2SkXGk0RhFXYBAlhgmhTdvNVkJ22MgdUQn+qaOeUDRxJJ
U5P+xAjPstTij9UJbYRE/MhnXmCcyCOkWzJF7ZPwpYn1aQgBZ6a0VRX+rQ2RWpo0QDoH3wUWqsJz
YDZXL+y/TQHypVGFTz7LCozm4as1o9kYgMw905XNd9xU8Lfv4UfkK7u3PQAmoHvSKX7Q3ch7PNHQ
CA+3+mRcIbB5u9w2Lx5ToZj3j/WGZKyRBfQggXGaFOKpNPuKi2khfM3OTsbGNlhyr7IucI4BeTBg
kQJCG+MFo2ICgdX5L38U+toaQD7ioS7342kM2/gxsNz54LQGnUGJ7TRjqqDLgbSVrrT2vUJGTvDE
MRjKvdP151iZ71z2G09hxTCs6clq/afBsgQYJWBUJmJwz8PMD4OGLIKA9E0nAXejm6fchk4ah9yr
mQ/uhrjgV7OlE2yoz9l6aZZgxFYcbDl8dsMJNxx0tF1cUfAQGGVRS1t3EAK2UYaP0aZBJLW8RtLV
xFuoeAYFr/llVHa4K3v/2XJMZmIwYe6w7jlRBeyuYP8nc4ZmWAvJX02Be5ccvuFoE3UbvmAxYZdU
ch4ek4RwbVZROOxwHo6L52GUBEKmE34TtReZOEfVnK6lq8VRD8VJJMa9bwhFK6DVaZB+cGhR2c6B
mM+dDaBQGM2DSKYfv50s7RgdE+BqSzKuXmfJvO0VXgCsHt9KE3es76gb6lgUVIH9IRmlxHlxF6Fv
XpNoH0CZwgrEMhsnuQyuoK3bQ1cnYjWb0Tu4/SH4yQHQr7xh/imCXzY0y0PPti8DzYV2FqGmZre/
snNYAYkOzzbialFwCYPKm9jPbsZ5lPuJfdK2cLDoddL/HrGowlNckr/pk9QSaYDfmayXDjj/LNP+
a4haMJ8LakfLW+jD6DDbimu8rI6MdJ2LoGTAWblnOPCzRq+1NfwO7mfSDRt0GjxzKSBP1pdbTtxz
WBIRAAZkPA0RilRLyvuk9s4CDfVMuUSTbRkPgST/CbjKYCDzpRfTayfKXgPzlRWSczUXiSV8zW7r
ky+W6dY610ykz36GgipBDpnmGAy67uCoiYV2rVzeFnN8mhjvcWWkRL7VKVN5DuiqY2RKNsquFqZe
VUzRTYvoIGiJxBepqlgP2LMZmprji8FO/9DOszr4A5BoMT+x8pdLN4a1uRG73mfaGjA6AMUwXS1V
XjOGAAA227feyML7Sq2DXgFYLr8TDwFSXaltivuTuUd5ZuZ46x3cyljZSUftToE1wlD3CxBlLXLm
mTX9KowJ4FQtUTNjlaxVmQDixGIF+4D8A0tOGztmtxCIjoK1IMmDlTHumsJiMhe/OoyHVugayROa
61+kx8uT6+w515H7Cf2m2XA2vgZR3QT3rUjosesAhtNUMwvSzLmK4D5E+nvuW7458No3tSKlIJPx
LRnH5jSk/gEpMsj41hrWRhC+ejI5wO2KLhw3+XnCcqWX/zJFEF0mA3ACS2/qq6kelvUxyF+jsdc7
M5LBtp6Ak/nwfGMPWSFXyXfLX7y+BOxS5DfpoW5gcKlGfptGkZ1ruGqgntV8cliNULyDUFPo7lIj
JlmrNHmwrGhjs3p6Dh1lHPoSugXS0hx/8BouS8wkSrjXFNOBwOkdeOF70hUe6M7d5JUhsRFkLBkT
RDVEnH4cP+TTQyycJ4uQDgZO6S4zoBYlrfJuroDsTbmR954A3VfCzegCCGGu++Hn81Eswa4pOOI1
+qZnM69+mMDGOfyKT8dPukO8rFQYhaQZV0odp+teOOQGVBBOSAjxHqo5XHspFdk4RtWeZQONzQSt
2vQ8YNdb/oD9hNlxs2y2WbXfwZgCz8CO5BjmzbRNwAGQgYaXzWPYl6ohO6JAqleZPar7emLKyT36
083uJD7Ja2xSQXXFpK4l1kOCAxHAZvYpNYOHJvarGyI7snawrv9+Cd7svXbY0Y9oOWAmkgtZEKdu
jcl9XvHITEAgz93sHlDTsNR3IRJY/St2ADYhdXoeZ3c3WdYvI6xfoM4M5H8BoPG7LL54ucLJXxIR
j5okv+SK/GJ0C9jMoXZPllRX7mUQ5Z6TbTLoivdkmBPWnC6bHfXoNr59V43Ro+8O6GRR7hz++gtD
jWQLj1nPSogZAUCpHVTCELGNTbjSYNr71mkfUCnLY+3L51wPAOniVpzjinNT8K7vf+8N5v7aFKD/
swY0X5IMxxhAFUmEBoLyrH4D1uKtG7P/Ss3k0yt+tmr+ViHePYRhfshlFJ+iCshFZ3DwxtztsxXf
Kx409JTwt+o6ICiwNPzz719yG6/PbKYttI1kunqd8VI08NOSqnhuEbteK1GRv0x3vULUgAk9qGaS
JJdRpGKWOk1QJ73Yqh6TvnmLAHyerYndJj+2AfJo/g5MtDopL7NuZmJsuY+IniE7a01WSn+LOnwf
XQTUKILrdNebYFrGBKRilXHWCEqtPfNKtmMOUmhV5MnGnbojZVz7bHdQryz8QSEt95KdbsnKeZkw
bNTGzOjZrRf6L60bqjXrjGFyVQCxQ1fHxsz2H6sc6B+iwG2VcklJj3n/zAKsD7dAupj1agOGd1H/
MvV86WwyiXq7m+5HQQUKM0LZ3PIKGJuh03GvcqTuud8/S0ww2lcLlafpz4qZVVzDyrXSJD1EAKbO
Msai6nQN1NvYyBHcutZrHdF9ajTIJ0JMAculqr+zC/kaOmNxK1SrXifybYDXvC0/RGUb022wsHwM
UjzrQafHuZke22U/gJoL4rinuZaFNzN0COwLKmAyXRieZPQ5K83IE2ZT0m9VzKEVm+VP03kdEzFd
YjAYZLUyFMWhuawCbNWxHiCdiFR6cGJjwn/qroQr1t1lLiKLPIXHHXYJEgtDgMyfSSjXRa+2QYl6
inDnvRi02GgrOjQ5cNRgYVL2htiKoAk2aY+jRNnEsvSPfM9G1uUg2lZkeITbvKP5HyvrqpgIbkig
4IvvXKUTTKd6sQc1pn+R9Xii2avA0lyaFELTFNr5tumq6XlWyU/pm+HFLSCbGDibjrFDakhTheOx
F+DkPSO8ITvCsRt4WGOpULpwNq9EwpvciEG/60TbXxNi569Fj8iu7zqqxNF4a90wO5INwHKOqSl4
1fLecd3iPuLwYlgV7eiD8JvUDIYGd8DqBKZop9k8OAPgPqL6Mv1rTMiS9Duca4SX/EoQ4xyGyL6z
FluOFSNGjgUGKK9qadIkOnAclA1KJmw8fDOOOm2cF6frLgDn2l2r+fvrIjTfYehyXmEYRX1VP6Kz
4WZ2bMZotlWCGRQH102jfSNLQnkIvuFhqVegEebPrrLoAWOeat8s75yEWVAO1emVIXRPMkTwLllV
HZsEKj4MhZAsIrgdrevKg0nOVNPp6Y10V3SBI7ncsNDKQ9UU+S0cFC3SMO1GiHTfVBNc03yenp2B
XsQjiK5ts+DYRLa6KNtuuIpOrrSNZ7MlMTKfzQ9zdp1tKvOTWbGBI5CGzjseH9BMvLLBsiAXg271
O/HdSMdT62OIjhrmeqWg+Ghkl2JR7j7iOCJpyuEb3pglf4sg5WEOEaIPHPIYPWt22XP1ItwMcbvJ
PyFitnGmLbst+yhikYf6rM2Xpgcch4icZs56K2PzMecHCBPLYSgIjCX1xDHN4OVMUxgSvgTlwrXc
nVFXzbGcJGqEElxzzuZwscOlTMa2NaX0ch+TcLqvJjx7pLufzK4nqIYnvgtxGSWQmslw8JaJ90A0
WjVc8nYRDnqwpjojAH8PZ4DwBUHq8sScK0WcGs0V7R06wy1gyH3nYSka0YPsRhM3XldjIyjqdrjr
ivZ+bIPx3LotJjSEuXl4tDW3oCmkPPz+Ek4EO2HftJO9oXlZE2Ip9qarGfTjuPwcvgnNTJ9MLR+V
z39ztA03SxBEO4cYNFl6jglsGP6GS4IenwHsMvxsxwO2DFJBWFTRMWozCi7JuDGF6TJAwtQ69fXX
gP0KgWSaIOQnuHJM9wDdR6hB3sZFgtzkmkrfA5TMSQMas+8e7Hrk+CawbI2cM+Ar08XbmvWZPyBz
ZNN0CQogn54Tg/vsIuDXy7pxCljTxtLeM/2qz84EiSWpJkjf5XSqbKLZykY1B/TY8YYRdbEvy+Ud
i8az7SAniAbJ/wpcdMPMx92Bvz9YDIoYPPbIzfxfFQHFR9DIpAzaiby4gk+nqd6b3rTuVZjg03CT
3eyro1FLfYwnI9j0PbMSYuMGSJpXw2rE1XKsDyZxxBWGCDrge0L4qfsEER9hDhgV+sXvWKyz5enT
4h3WsbxH0tZuneoFlS0+1jq6Q00s6fjUtmLodAZCbQHtHT06pXnZn47jN2N50KVR3aVlJSH3+NO6
FeEtdgB9TQ6XQeoRwU1tCfIcJxg48Cs3Mv0tqdwbDxzYkXhFeK3kOmR9MRzMlqTj2kdtIt0HnDEX
tv3yEDg9vskJypQXzHrvYhJCQcwwMXzMTF5ACkbX9GvrtAhGWQYMqCftFIJPj6FqdJF0J84PRgzi
GEH5myV9sE6Bsuc4hlj7BgyCGC5AjGTwVPNdxZdEttI35NB8Nd3qNU2IKrBaSfE0Rfmubwpvg/Ez
2mhgmrt62Yl2ZnjqRxnyeCXM7kM6JHKDf/Q1QqwShmTuLikBQ9ETM8DhERUdeqAm/AJArM9Og++r
scnNNr66ykdF0L3Mdew/+mZEdooEY5aRBociE2hd5tIcSYQzcMx2CU0W+RQZQxcvq+ALIS3LAtQ6
kgPXiMBPJ5ONFiV5USnxwAoS9q6frXcEr3s84fkRrWlwbuqJ8L+wfaHc8GNUlDWjmK03fThqrq8D
/47KPWZ+EPJqM7iVDTXWOGJt9GY4vo5BRs7vX2LTLLn+R4sdesaDk/mQ64t3xSLuKo+M3M5ZlEMO
1/1O2uiGxjl6t8YcrmZAxIqbeV+a8cWqxqXV4UncpqzsVjNiBEI3DWzUA/UhWgeKmcCmybS/uf14
mslPAKDgPKWRbx/mlHMY/KES4x73H72V5zhqGxo1eDVe8Sh4VvhiIL2x63lnTuLKDfmUL8EPAzr/
ozU6851ntp+uInFX91bArAIGKk7vNQLFQ2TSjnqN3a26OSnPEXayvdfZdyLGxa91ii4aJse20mCK
OQXWXiT1e4TzWkYCQHkpiTv0O0LI5E9XquRDmggsHEeGB5RBX17szPS5JIKZRAOil9gmugvvcmQS
hRMwpmo/cqN4pSddQJVImwHxhla5hOuGZyC5RB2MbrSafIQibRbCHCyTAPaSVO+Ow9nuOsYbQuRn
bALuyvKm+WINDEQq/jVUdNbzE7roZhNN6ujImLycyag2lV4K4nQ4Saan17Kjn+yLQ1nDjJKDr/ZT
BDkuK1+0rX9gq3aZdjOmCAJ2rHGw02qMVwHUDYs89xVHSYeEBrWmg8s0GU5V1Q6noSdZqgrwmFvh
jzkMEHpQCW3wGYItce3mMFrtc6vhgwWuz7PjjW9WXYpd6U5HTHHJhkgkhdcrepqRIl5hLg/repIw
Pz1j3CWoEgn047jK/SedpO9d7MS7OKiKVcr7viEOGysl/Ui/g4ato+CYz0l+CHLuQDmpg3QAIk6J
epEo7wlsCPRZO0/Sp17wAwmeZSZHHUbCmhOO75rN0nZZl23bFMZPg3jy1nbBTK85vfWefV8M82us
yBsCc6mT7pUYnrtOe4wHiQUQY/6YpnAZJcGua804boVPTLg5EkGojsP4WTWUCq3FPeID+8q76rFh
krUZRlBrXRqWa3cKGcPn4FBSwgAiRdPmOoxjxAT7cgGeLAFMlXcfNVQzQpznyPte8XCslxeD5Jns
AJfb1yl5lfjZHCd8Iv/iSRKmnDOyciYi04Lema5tX72VhbifsLXvkZfiqyEG5GD3ulzbSxhwW5sv
M0zpJ2gddz2aQ2+pctW1r2Hn5X4jEYgKiIdGHkP62GAdEginsr79hd+62JXJZOxk1B97Mhrp4aK7
WEJItRjhj2Ock/quv5qSjJCqY8CokvhuSBn3JKZ1k7H6Vo8MChtC0nPx2RHtUyXHdsyDfTKhvOja
hUTsm3fYSlhc2EIDTvmKfbYNWVm/uMNi7yHnOBzj+FgEwx1Wqo1NzbFLKyeAyAlFrwHibi/tyfCK
YYbyipJvRJQjJ/EE4+ndV3bAywrZq4/pl9HFT4LhEHbwoNp16eIh1TcC8VjO9gSmga6gxmJsNKms
WHsm9zIT5GSnFKQf6t6A9CvOxTqqxAPz27UMnBu4D5QFliOoMPhu6aDBhk+cGjtaahCa3tlmEsMP
CC5k4SI/q2DVin6d1vE5QfX2X/yG8FL6qxX99wciwZurlmxwIhwxq+9H2NADX91Q3UEJv6rHfeCM
aJ3mW1VNpyROolVxmi6FEWeLTf1eD/OnnVtvae2+ukWCv6y/dKV9NPUv0LBQbLJnZ8k/jkkX+S/T
ZULalj6tNVYM3I9y3TT+/6buzJbrRrIs+ytp9Y40DA7AYdbVZn3ngaNIipJeYJRIYR4cgMMBfH0t
RGRVhqKysjsfO80yLEIieXkvAPfj5+y99lPkNQSN5s85g0K39IHyL/XvWsN/SUJ//Gju3qqP/n+t
3/UDyE2XEZf8G9Xr7/+1e/o/z3/52XR/uX06PP/5K3/5xv5///bXyUezAsp++Q9WtGyYH/VHN3/6
6Bll/ic6bP3K/9e//AtePX7K89x+/Pu//Wg0txs/Lcma+hdFvI+E/X9W0p/78u0vt29zMwwf/+3b
/kZM8//q2YjomekDPxCRi572d7uj8P+6atexNEaeFGgv0Gcyax/Sf/83C3Ra4KxajEAw014xaf+l
pEfS+lcOQJ67eiU9cMxh+K9I6b1ftR/oeF1URw6dP2huvu04f1KJOtCvFHFebIXE8vrq1ceutA71
z7JBC4HKdtNGM5FZ5edc0H/mYDcUamEGaoatC6wE3+7GdTfGCi5a9QfgrV4yH2dvOLjjfAxCeeFI
61DsrVyJF4hhwyYoqp8coB8d17+hKLhmsn1swscs0D/+cDX+gZLdW8lvf1efrW+OjgifISpYyILR
n8lwQ1w6Em6zRGU7n0b7wRYkVNh4+LL8EXDiIVmgRexyYsBrNmfTfZuT5Sm11HNVwOzs8hfLhKdJ
x7sqLY/4WWGl0yR7cMhWlxjh4DEd2RQj9xrCABnKQ5bWBy91d4TN3Xtt/9Dr5jIPbJZ4FsPmZ0bN
9M/f4a/asb+9wdDnTkHhK2x/VWv/QQ6lOiuhbb4w/J66fe5mD+kcnoNQ385eRNCzOLZl8zCtYpt/
/rq/eQD+/Mn6HrZPbCLSsYNVK/aHF45HvEr9hD3W8T43SXdEaHztes408Hu88fPCZpvh4oSecMCs
Qay8fbU5q1QWBDFa5q7pyIYEIqnvaB/sCvX0z3+/33SF/+33gz0obawoEerDX38/tuyUxIABjQ05
4X4/fVH1mjx/MXDFMY/eTKF3nYLpzp6QomfpQYb+bdgXR7t7d0fnuKKaV0Rsrr+gJDxlc3nUTXA2
niZSUX3xk+yRd7XEFiMnm67aAGTNO9s5YtfWe1ZzdEf8T7TQBHLa4aurmV3PeoIgYr06Y37t8/zo
wjdOSVIlMOwyuuEVf94+vFlCRA53TEA+eY5kupWkh8AO3tyseu2q6j735dGJw8MASFBY5o4Z0r2d
ff3nH54I10/nz58eo2OHVYtFgWXh10/PlpWFvpqGY7SoO38IGYDy3KfhxSo0rkl6/eK7tjlQjtkL
HPkfwAK+RbP4gsXyHqed17TPFSmVBE76/kISDb3H1KEz634fkvTkotvsYrJ7qBo7SLIFmS5Zf5BI
duKWoJ5Ub3K73SfSPwwzUU7BfGWEtC9BSQNzeiZcrwIqovt8y0Fw10bLcxqMbznRauuwTWDLwXWy
qQxjOCvaJXnko79ennEBnYFvEP9jfZUgzZPmO/gKtFMhLcTx1qgGQwEns7wlvKi8kOHwVHCrxoN1
9G/sJDzBq7oBEvJol+m5Sr5aDGT83r2jZ/HA+XTzyWmCdx89vE+YBmjFbZ/DwBAhwFem30afVTNi
CAgY7GNX9e8lpz9ZoHBCQBwM8pIHzndsf/x3syUZ9hRCQ0GpdWyZgRh9n/XBKe3wDn8JISn3aXNo
8vR2RIJohh6egY2/jk49LPnBz6E9NDdNNl9RPhyHZAW/NYdDTumU4DEMSgWCuuf8q3bT6gPPohOe
mqvM5ntkpuT/LhfAzvDGnPPHYtpbL+/uMpGvfaSNgMtCuadvrUy+uSp+w+9R17dDmD2SoXIzudWr
5gjMNNruUSynTXOZkJVbJLo02BRRlsDVK45jbfZV0l1iY7BF9CdO8feZSV5UV+widFFgJkAq7qpc
nSgZ94nwDh+Yth5y22daFZ59s3xGi/ATG+IpLpkE+YeNY+SzOzYPsd89YZc6xigXoMrvU488m5EG
1egjXUX9XfTNxrLy93AMyMoad2Tire6A5yEQr51Dz0w8ouY8Jos8FlP6js7wOM/OwcNozCgJ14+E
kiHCZ6X8u5wIkHCcbtqleMfh82XhWMDg/nleV92w34YIDcb+FckPcEN96zv1t95tV7fMTTQld66N
kCU5519acoW5R6wKFh9mB/+aRySY5IOYSNMLD6HigmLFwpzyRDsQOhdOStBuKC/EUt0Qk9wiz3IG
+Sy67PsQ108KPnPI4L6o588lToINH+8BvDrMw2pvWcg8sHuki/15Hdw1qvpuhUgDo4AHUT0VXklA
afrdFeqxSq0TmejP8DS+A6/c1N4qlgZonwd3YPrxWsdvSSyf20Dfejg28ao+dgp6XeT3d0D0GZ7T
8ZWsw0Xcb9sSM7hsnqi370wSX5ageBnfjOZ+rMkOZZy4n4go1IhI0Dbd2XgHluhnoNRH5TZPqjaf
awtxmEksblz2VTnlPLfPrVV8MleoWN8nKG8W3a5pKskMN7d9Gt75nXrqK/G5+0CEvbZ7ADuZayLv
YJq8ooZ7LPKBFhUyhVV2uawk7Vp9abL0PW2obuq4eMmRYR/CajyRdH81vnxOPGA2yiPmB1l2Eocn
WzSMicyemLfrmJXfmrS8CRr/DmUO7Z5zVzdPngaTk7j2Z3T4z4SYHe2yPWJJPluCKUQoUJe1aykh
qLNw+pOn7No/aY4Wh7Svv8edX+woW7JF1bs4wJaflvKKSRPqmoLzoOqa4RGH/hCZ6Ug4GVgwtSH8
CXuYs7dl+dStmdvRTNiiKx5dO7xr3PynbwcHu4VuB9FqaH2yP8azKdyzNaCXX5B3E0zOYA8B88QK
IwHXbxml9flnL/ARuphTgwaLcw9MoE8M9mF2LQeyrLaoRRBytE+leO3DHKljB1Pc4mRf0mUOLrFA
HZENsAirk5+MZ9fJXhtruR91RHKMm9Li6xF8yFcs0T8FpnBGQY9dxCwKtGV+C7PnU0t/1bU7Ojxv
AQQtpET3DmmloRehUumuljdiR8JUbmR213kFwv5oD2bwYPs5EiTmV2omMjt7tLORLMmvbU9e88Az
5tqXyDDVtPNPmY/5mLxsJKdwUaOrI/hoV5Fx79z4VXrbZpKhUXHO8HOB6AuYSul2oVU4PQOHeIh1
dRnYB/75Du386u36ve7j4IBlgAoX+fCfkMfYjsjnK8cIUr5NS+KzhFwYj/c1za6lW0gIQdaCR0YT
Uo4GfSuHvRkehf3dWM8cSDnUcp7h3PMvnQBvsx8dCM2fw58Pdr8cCP9/OwKujpb/+QS4TbNfOTfr
l/9+8uNoBv8arwLyyd+INZzhfj/5hd5fA88PAp8GnO8LerH/dfL7zUINGieMAg5++KW58H+zUK94
HHDZXGs7WEUdlLT/efD921GIMzMfNUfmf3A0cn49GvEEUBfzWwi01vxTeOvJ4g8FfFlj+rd8kpOa
Rsjlq70EAzAEzqeobI1I4ahtwjLOY4KHijCcdypf6pTxVYsylPos9jx12zecTEh4UML+KgqnM18B
nIVE8S4CSADlrN/m6Q2RVSNmQP4Amd3uD5/2P3gbvz4H4Lc53AUYjGAG+Tb16p/K/K4m17aeFcr5
vs0xOgY380gQTRzh7VyBXiWo2f/LS8KyXs/Efy+P8YB5AYZR20eJyOEiCv9kaipbGML2UtgIrhM0
IYioOxJ95qm7SYgMhKpQ9PUlh6Ny5P/ISYyZEQCiKT9OtY3dLFpNrUTQBo9B5ahzG8z6vYr4TdED
Z3djXNY7beaAuqlOiTa2xoc5tVYMqZmIdSuxZf+kF6qrc6B0+1PkVYmNZG67cJtpl9pIuqb8Kqei
/JT1k8KgYZCM7uMsqI8xkMBDhQX6zVbIyMhJTYhSgZ1oPWGsGdVG1MbQxVckjFZoTrD+hazOpt67
Xm4hK2kIs3Vd6xqsYKAaak/LBIEaLGKkWWyE1N1NNU5wL6uF2BDmzjm5GZA0hvRg4MmTBjFzctjg
MXbx1c0q25HvMMCpII7gsS48s88YMSM6yLPiR6xn8ynETbxV0DC/ZYFYboqEYNLCFYjesjlFtYTN
U9sKcHMZxuIFRb86OBCk3U0RDPMZfy1adM+oU+Ybbg/JVABRddFde0IawHz2ncXI1IJCvU3q2t4l
YWWf7Mal1yvd0B820pndZQ+4R+2aIUpekCaQqds2MZ6f2fc+UbH2VJbtnOH4qOqdagW1kTvSkJwJ
XzvBtXJ/oEJMH1EYeTkilTI9CVUHpG0Qm7jVZAxDyBxXkbXurmzyCQLeNWsmyq2lhNTRgTZZEPWz
ppfTVTQuwu22wp3aqfTVBXdro5BpUTzFtjPbG6hU6snOE/95SXFK2T4/RKLUyLalWfR7YyNUBECo
LhXF8fvYBmuDvgkegnAc1kgS2ILeYpErCgblKVLaOZIQPl8qcqruB3tBJo0sjs5oKho45PzeUvWD
u7facthMGAh+uAAM8RcT7/4tXjWersU3pZ43PjA2nXddQ6ecE5j7KJGUf9JlDD7cZghm4GiSqr7N
cHo2p/W2SjZeRPxdOnNsklE03sU6lUzewwSZEP7McFdr3HNbxnT2JQ8b8mXcoh2+NWNH3LEUA0W3
nvPbNh7cVzyfPdSu2QvTK9mI1rfZDs3b7Pe059WEDjEJiwTwg4luOGF422wsp5xE9oSUQpGbNSVT
1t+tGVlXNmrrw520v8tZoHCuKnOY56G1sBr2wQ2UqS67k9QLN7E9rbN6ZqSgZgZPbzjepR2+EAaH
pQXDJVPUq8ayvXOBWeyinTF4K3MGpcU62/YDck2kgeOFtj3Tr4TlgrFKLPPWlhGG6bbWhxhaKjm3
7Cb5Rg3t8ogCsm1fqqa3qJPzOHqcC5vIn1zm4L1FZN32wpG3yJq43O7g2Wg5PEJKpJO3my5VK+tw
RCbQ49lQs5N+SqNZnWfggycTxOklRHe4MJuguqeXI3cVWcf3bdLZN6jv7dXd1nwPYCAN29A31tUm
DOE+XshU6ozr3eNcytBP+Om4t4al+xLzYZkdLzPcFrWNR9d19TGskuneiydcG6M14DhvIOJvlBTu
a6FTxINJMMWkGSWtl25NWyPVVQmx3XBWrSscnfIVUcR0JWCyuk+8NDnAIgQuXy3hp76d53Lbm1He
uhb5um4Zlld62fwg1fsuLnVb2Bvs4eUD9pDui1s5yS0GXuepHfkYuqXg5L1OgmpJ5LnkdLXmzsT3
lVivaNai8FtGZqZaG1Q4xCAi2NaQhise4Du9jN01UR2ZB40O3ghRSLaVj3GQ4piUpzVzfY4DxFxL
gHFAW1FAZnGUhfPW9/kC1fftTz0Y/IWLX/Up/OoSAJTFAnoNgM/fEMWMGNK4DkPFfoqGDVVG+Rnj
NXcqE/HMnGMzYYwxU49MY0yj7ib0wknuXY4L43m08qk/Rmppi/igwW4NPVlcWX8rPAirTE2Xlsxc
lJTBSP7zJPP7qeu8+lEgp9ftRrGS6dsayG3cbpLOScizBXri3KghgAIE29bx9kUmc+9gSaWbTRpi
/djOw2LQDIVefjvrelWjq6KE7QKmwRAh6Mk3BXHrR426XW6Q5ej3xRDjBqEuynNCleqq3nfkdjmn
OnBq55SxGTBzBTCdbdulxkO9eCH2MCxU8yUTWblyoWCYgphG+QOGoYVcYmy7a7a0AZkVqsZTnzVn
E1yIXnELV0s/FCWHs33DA/AStrN3SUYHNVvp9RLHSzIrDTqgotdIGaU+1647oDahUxdugok25UYO
aUsQayhVsLPTVXaJmDOIfra8jL+t2xqsbpv4hcu8dJqTA1pgfzmYIkfwmKgUwCkr9rQ8eFYp4jPb
kLzxGoFyW5IgEp/52EaA6mYkBcfr9eTdJ5y+Z0GMQIM2FQ7tzMYwNKsTXzKDw1m8NEl+spoiiY4Z
afPZIYib9D3BLoZ00Zugc6LkCLSzsSO3edGJiq5+w/wLaxOi59u26SGslj0Vim6wd11KN8FOW+R+
mqAdHHHUc6RfdyMOjemd6sKeWAwM8Rn+dcbptxFoBnurVZPcN3SpJRY6owGzjs70XWI+LMlZVk2x
K+DJ0dJxWeBHFtPkUlGeMrUU/dji28rB+9de74i7OIgISa6CmD+nxCiZqg4ZC0M/9IRTFVk1RjQM
ylbfmmnOgp3Dbly+UsHypPVjjcZABxVyR0knx6W12Nv3LTPsp0TnPM4pa+SarDf750COqO2hEvJ+
TZYMuaL3P6n6bGdtW5waBv/6oHRE5VU0riouRT8G6OoVRKVDWTUm3cmw6NqrsCeMaLm26rXbHLPY
GWnNDw0SO7YT0FwfRhXRuJMD3a4TSZi6Okpy2Vbr/BS8eV6YTC+LP2UjvbZQThBIuqSCbJJhNpqJ
L/8S54Fi/0BQl+5dgY2P7W/0nFNYTf1bRtRyjJa4yogcWIRsNqSOEFTmDjnvLPGl/2TbbUm+uZ7V
uCXnUMSw7n0do6GFVL0J/AHl7WKFmKpk1OVvggyQa8ygQiLu96tqR0ptMZwk07fgMQdTZnFct6p6
20RyjI8QA/HLel1f2PuODRnJth14+hsZ3VV2LZq81Ue777ri6iLAjradLtkgvIKh8FkmZEsjl15Y
C83UyfHo2WMy3cIczlumxC3NDFZ1iiYA9jSCECtg4XcRncPUMdP3OFdkdTb0GVOC5WixD+y89NKU
ap+lQ6t6S8uLi408Jh8BLIyQzQdlsZfbAMn0VmZtPu2aTpoP1szkndSZbHycbYl/UBcW/HzKaaC1
xUyPqmcu3yHhhFJBaDvJrHvUVNjLoz4dMFoJ/MfCpNieDMFXz91E8fIoi5abI2EBqI5B3jn1bZV1
lHN5CxyK4sDnplStHz10Y0+V2hUhHbQAiyG9CaORVgEZNJ/szF/ekYy4tKO9Ohi21Jn4fVsYjAmO
xYGPo8PtgIU+SL2F5ghWGhihKcVs446qJTRn4iHkxuafs48MFqUuD9em8JzO3o9pOKYXP5XTvHO7
OZlgIU4chuKpLIvHAhOVQwMmpeCxuxS+dNwFfoyLWwfDfeB3lENJ27KXcgV8LLluxVuO3aBu4Rws
jTzhkJoRt7E5z/sxpyF5EGPBn8A5XT/9QSLSmObe+ch4pglxlUOOoKPgqY8z8uoOUO6Td+PKqNhg
IOSFKs/nDS5Lq4MLAgFlPhmeiPiYYtvItobkTbyqvYM4NSNhJ9bGpg8q2jY/I9aXJM7jwMMriZGC
jAXzbDdBiRkbXpQ6VIrB0poGSh2rICchmDR18k55O98Sa4YXk4JwrmirugCnltxR2MT4nAjeDSxF
Gyec+f4KPHl2mwnBo5kJzU+Z51VJy3JJmkEuXXlu5izjeAs65wMTQv2lkzWrrUm64gf4FLL17ETE
9wQAruJeUy23FYTZeKNlyOc6tJHMD6gNufIDK4KiCB94kjKecaLQfYlPtccpfG34GOHNjJX5oMga
PmPabQDtxBNgMx6rhP6AyjEBmiAHYZ5pJcyjN6TNd4aSurtrrQGtbqYqnjIMzuQsLUWSP2VIS9Ot
yznmjetOz3AafGQ/lVOewUe5+b4MvVFdkAoRiaRd8sN3o1Ei2BIugy+LqaMQR+HZ/QGtvzj0FJg8
s5IQ6InYjsPQ4hFB/WuHbD/G1TmofBIxdkHb++jt4W61xF+GvIWgjpHIIf5jNbZ9xquoxHwNX6P2
8ZYE7oxig4qhQPlWcGV2mr5HS5q64ntju6RQqwYVvlT5kH/vHav4aOhu11cfOUu0pRmyxjhMfM/L
POfqa2o3rF+9XefefkAXBHjArqL4lLjQ92EVFFSJtlmAyidLRQs6qGjqRYiCeKzQo7IdxbKMN3OQ
h/V17AnIsYffrtoAI3EbRMlwS5HoM2dqgNRCK5HN96RICBRP+4xXFl7Kq6k6r2IEoq31jezQ5o3O
lbxlwOF9jTnevhH0ItIdXY/wg9sMpWAiSk66cknZjKsg8dFOqZ5bjeESx3n2uW7e53NdZPssd5Zw
CxSgrX6I0LBDzTTyuUkZEkePpmnzL32l5ldWpoDcC69jt9QzhoQdXRO858Ig1t0FdFPITLNaUlC8
mY/EgNShed7yGhuZCx58rUh7hMthCwIgmyYucRsuOczbkuSGfcZk6aWqGw+9qcPEZYOGorkXoJLa
IyX78HnOAYhsNTr95tB1lrxrZMrjqmWO9j+t+/XVcgdNw0zfokSZU/EmnJy4wW2VMPPez6Lm9UGQ
lN6jG2lINWoYm+jsO8Z9lfU0IDKDXMZuWeLKfo2GjAgt113Bs3khis0wdTxm8FxVSZst5EAbYXXZ
LR5bs+qmLLkNFUch0BAdMs5iaMJPiWOzHsWWl4t9ZieSQYVUHadAzUQd95vhzo4pCzCRx3nvEGxj
8yeZmdnOaChySQ0ghWwfgocezzLOQXZos4gOaHrY4ZCaU/MFybl4z7pRvNuD5X6t0BrfpzyKI+2D
ye1P+eCOxXNsrcb1udNcMlZJ/r2K1yOKFpVL1o9j9M3oDFxJY1MbbDI/CH+kRtrPRDSu63jHIrVz
ActF2yCIM06fIBtKAmXC9DVIcjYXSgUSrmW+rnCF1bdEa7cOOgJc9k9082NsOaIHqdAkLjeiQlhB
Hk0yRt2xZ00XaCDxTm3yRsf3CcZfsXOtFCkc6TlFf+jQqk6cOmE232fC2OOuCsZmIjvWmabvDo4S
73HpepaznoZQd1P40uiXwkMAz3ZOQKeRMHq2s0arzcVkT0AMjxi/4EFuOcD3pckwLVg2283MkOpZ
pgOXLtCx96nqS+IIpd190QpJfB5z88FArT6CCnuk2wj3wNd1ULXSb7Ly1JNZaolhuq0OnexTzCRa
Hns4HghKFoKPSuYVGO2Cs9f78kuQ1QGaUn4wH7k5iqStkZN5xaUdVfi1Fzp9NCEdkbl0ikdR9823
CqjIZXTCFhf37O0WnzMpyyNbnLHqY+clzRlIuDqx1nrHoZwLhj6yJwM5IrVlGbBphCULh99b/nHo
6WMU5C0CuirVIag4QPs1fxEHdnJmT4+eCD9C6BMJWhbZMu9d0Is89Et0M/8GFIBqjIkYpRzMTlo0
FXtvoh0FS8hZUSXVEF1QTicslV0esV8q0jkKgUuUGfPR8mzxUjCgwWggOUE4ZXIoSFN54vAdXEaB
bprgFSd54dgBHMXlrlor589DQP0faLu4UPJ7F2h13V7NtOCC9bg8zrQdTcbLZR4B9aJ3aeNUvBVi
x9hdAhafDQ/i/GN2eM8yhPgXe4r9WsVeDyvPVE86byjeffrCJnMIK8g8ER9N65cgQ8biJ9bHmUbE
ZPM2oUMBqfDKo5pahRI9DK2LIllzOWj48vgoFf7j2NSsaSkIlR8KXU7JMWLisbL1YAOZScf0sbbr
9FHmk6GNoYNv2KLU1yat7VNAU4BmRZhdK7C88AFin0MjPcCe65lsAnjpBzBeoCkIX4BP58m7bJ6j
p5n1+6mpapSVmSyPBhntcT3LPf92BTl+ORfMQv1e8+w/UZk1VwvmzGs3UhytUd63EQ/qS1S6rCRZ
7FHzB62+SfK4vVU530IHldlhLtNLz/8Oas1iZJ7t3mUMSEhvEB+ykO8EHFrbJJXZNdBLfuTWCraE
84SnuZrBmdT1j8Ya1E6R/PIyJw6ufEPsE8clJCIeHfcAKTDyDcFNZ4PO3Juxl9jVJFE0Wo/+XVHh
a6+5KJDdbGxPvju+hglhlGS6kDfEnfBkAo3jtSAKCWtp9C6GiCcnlwSmOJbcoIQKDq5Mq4bCUYwI
TtCO3gaeCw9CtzRuhiw4m45O4tpzPNo2ESTraO/AZjzwhxOuYjdwsce5bf5GIZA+ZmW0lmsAz480
reVOFoxUBfagjV6zgokvs86iWbgpLbf/rHOQO2kQpg8QWmhahcAn+9YPXnML0kKmTH+HLfPzFEnI
/rjaVm1qvZszfzpVEhOFq3VwE2vSdrIBMWs/A63KeOhPoqzYIjJ+CxpH6imZ8+GHniAwoJLmZk/G
NYNSteUzFcRyHMMhugk8nvqo0kA4vZlSZekV3gQ36wmuUSn4exde01m7dDazicfdCBb+Aa3qvpnr
tfgxdMDqWpg9ro7hXlrTQnPEMhKZG+0fGG05CG2HG1O37kILX7SYxkile876aDzPCZ4TkH7Tfdkg
Qe9TtbwTwUNbutbz124Y6guZLzQaB1A7uCppDiRWa5+gF5qja0h91nUyYRzSuIporFwCu6gOBSvB
nevxO+NbBVtROMl5EhXR8/i4aq5JbN7GprBPxWT6TzaDDVqAlY8LCULtsU+qH7olJotlliqWpsvq
fxWHFiAE8n6sTnRiuN182UFGnHxCmYccadJIGpSo51c8JDlgsFIBa+e0hTNxks5bn/BcYc+aw68u
XWRioi0+aITdzk4UY4x1Yar3VkKXPGNJ3aMTSB9x9lLkWGyzG/oayX723f6uqNOIfETL7OKOxwXg
Eue2hHHQEwhD+0Srh5zKgp4wIMLqYNIkPxuDlV/6gzwSkrmuciU+nkAWL42o7W+/hfbBNSGSJyAi
MiNXC9ZJ7D7GVR3eezyspy5bx1xsxvu4R2JTDvpQkK55dEpA9UB739l921dXRTXbXidoHHBXuWr9
9XQoDpUDicvtSaaizR2dbAL8jj3TU7w5LD0qcPo76WhqBHhmbNx9vzz0Ho+wXZACX+GGOZGGK14C
BDSnpMizi1oYTZhmNB8gAsB0aNdBWW/Wtqwz8PwDDL7vofDd0qVNbptaUQkAh+m+9LBudq4ZOCAv
A9SSnAoVm3CRHcbBWLhKQvs5oeZAZyjpk+JVLas7Ij7iVcDjHvrEDj7Mwk3O6Z3VJsIQjfWiGD8Z
19DHTRzDle6T5D2zKEUoynt737TB8JORE119N9PXqsXKcyTSnD6SokWi3NShczqzT7XW0KB4DL4X
deY/qzqp7uiFcE51R8JzsZdyPodkXRWspqajSBJjw36phE+rIxEZC9GqCfr9cs9cnyzlMYnbqjrI
oal6mtYDanevDM7Si6kAKr5a1DDklOTpKBmEcIJLoYtaaUHhxiTOA8yk7PLCQZ+EzZi7rMpt93Up
WTtoTc5Piwj8J64bfampoJZXIcNCjSv+6xIxUBAE+CCeMdRHQrU8RTiP+kPEM3cOWpILDcUGzY3a
Fu9JRoG7MJOajmURWeGlGPrWOUEFx+KUt9nZdvkpWOaKR1I92jsdVROUvZraKJ4786kJLSg9RU0a
LELCta/gWoJx7CLGL/ilOmdrkix6D5Bq0KXTwWu1PnykFU3fRAv9kNUzOmS55WMrdP0nGnl6OYC2
bl4yMMBPTeTDqKDTkNOR1lTM1OxDf+GMXB7txWfZk8FaQmVkF4kbUyu+JJAguJgP+oF1ASOWvhZF
Ce0E6gJPSuM7451OdL23g4UlLi6bxxqWCpe77h9i4jeCnYoYJtMEo7F1CH0efAgJVHf9GMlbbu1s
I3TFc9NQoh3ipUy/zpZxDzPt9A8G+dhDeLnR3M9MEJ1D1snka+/7MzI2OvV3dpCis7MdxWNUzgjM
hgJwzmaQWQwAF8TXWTl853owK1/dpFKXmdyl6RI73AFk+9BHIeypUfd1HXLGtHJYVVsfE/9NiU/9
hmcpfZZa9J8QnEcaLSfFZDOZjr9eZ1R14VySyeG5xj/4WZYZUCk/tQ99FZi9HbFugWlytliGEhrk
mBef/CTMp5POg2ZGg4hip6KJqTiq0yxKONas1zDryuts3LHaxR58gJ1dD1b3YCKFVTizPfqhnOy7
/orrFJs9SgTGaBUXma25pU06OjMRgR5H32bb1DQiTorsGQgBLifTAoUh2Sr3srMTGlhlXV+yvNNs
okyVjbAXds6mW9/LsB5/Ixyvh4z8N8bpKl17nFHLmY/QrzDkgxDi9youzoZquOfxlOGZ0JbkxUQ1
DGgAr87eJbqX/toSxRcEHNONsnvGEQ3DeHp1iy5pai5E3Ynawra7TtFCVat77FkcS2Ue8FUyD30q
eqLvOI8revyYNMpnUXvJC7xg0FYiRpaq3UYQ7uYBjEKOrtk81gldUU76OKRU3g7jIABxERqlSiKo
4DyAHcgkpRedRVgOZ+4OZ74pppkNO6pIqIljq2+OrScRPE1EslVicI7N0I1gDUbG+oEsobv6aR+2
tzOd97ODlOMTUB9/NzmAc5DrMjOVKdsHohEJhqajbMf8v7wBSa6B+uWW2MqUCp9ZScjx1p0ZW1Yx
yg3b2PmrCocZnk0ufnZpmj+pudEH8odhhtfc4TtRs8HErkW1NohkePYc4T+VqgS568tGbWGIms+V
EHG0z9MiX/ZtF8/hcUSdOV2cGFkHdS5tTEYL7AP4jR5DnQ/37YKea7t6k+oj3teVZ0Yg+N2o2GyU
y4IXwscgr3kM5IutKVMwXDBsaUzD4NNNqKvclI+/iXR0Y0vF8zkDZn+Q9XrSdUNVZackX3lc3VLu
4LSlX42qcv8sUmEszGV0BobG4EtkWLSyKZisqKHkroOvulxnOw+/mrxdHgqBeFUrujFaKFoQdhc0
3/pINN9+e0KXMsku/FIL+3kj91RpbE+FaBmKSPSRp4YEwguycZruxZDDCeoi3QDjUuLLTNsEYQS/
dOXwSR/tOeUpAuaUUC05HCVaRD9QKzyCK9e+UTLX0PAKjxo9lmTYbLBuEq0oSQvcBBzwv2Uc35ut
wHJ57MOOHzjVM7k0U/pcSJdlVyVVcK5qmT4U/TyQijzOfMLFmNII4vpHmyok2JAmHiPRTbDg7uXk
GoUjYdiVHLbJ4qWvxraX8KpcDR11JmDzHqWi8/k/mDuT5biVNEu/S60baXCM7ovaxBzBmRTHDYwU
RcAxz3Dg6euDKrs7u826zGrXm2vK1JUuyQDc/+Gc7ziq87fVUpAhObRccFEZ6z9OlmR8Aw7lo9Q2
51o1lkDz2LHECx7DsWEPMgpAOqMiSn7q5+F9KiE2HLXJ1I8dNJKVPe7UbeTQQ0j2TQ9ScrVzcXGR
lnVzYRMOW38uhpLMe17E/eRyx6CTn5JN605Y7QIMqku9y4AGxKcI2+cIqdqjYGfoqucIYQgT9t9N
S0UPY5DNNFpiIE0sekVl55yMUd8ia5ny5rpoOudDijjX4GcYWbU7Yq8T+1bjAuz2q2cHhxBwwozR
yGQ+o7nDwN/1RuMeIpMzAx1XVcMVuiCedWbyTrxjHlcxuiyZDFEm0foM3dCH99mY8jg7jPknHo3c
0jSnoz89VGls+qPyC5/cq2huNkm0DAzRCGKvTj5fkb1zFosj3/VF9wkUxHtL+8p+q6CiqV3QBH+X
NjHV+Pp8utuJzw8FBoOflm1pMGTfGlxX9eXUuFYPiz+lNw6WqPhNBiZ/LMAhdSc7FelnZMTMsBbQ
6HOTVSI+It1sc0BttXnhj4oZEULTKDi0dGE7XXaQtkQi6CBHhAkQvsqweslofcpd0FfOx7IkZXXT
TD1ehM4eDHNN3Yr6bsbFKdcVOcofD834bZGygn1qYqJ9bAQTOVSKrP/IIH4Vm3IpMCU341DbRz3U
HZkeWbY8TPxgoVcMDdpwnx2Fvnb6Mfo19Us8rg4eMNjEHw14Js2cf/hJDoDLK3p+YJw3wVcF33U8
ZQza0r0mTNTe1n2KWszki7iIPK9/NE20pA+w6GSROJfzKWJBOADbc8PfA6bOa1HW1ox8bwbbooUO
xJff+yPNHYFTW6fJCusOfTR9Z9TMzFt59LKDF5YqITmcKAyoN4iAtrqe1UtDsYOOw8smc0QCgrzL
dk0bXaQ0lJBer0l3Yz40bzOy7+odA2SmdiacsHM2cUdHCluj1PfDEgVAK4qJR6mKssLbOnymcgsI
HKJFMijXoTWqeaAKP4vzfei4q8itS0a9HwMFI6CAKf87cTJedqRe2Ueme+rE3m/AbsUiaR8qdhAB
Mrhk1TRNjMIebaiuyF1aT90HdaLbA4+HYIDitRwTcbuwsIoj4yBIq0fnNs4jDwX/MMPk4sGg6o4g
WF3jiBecMpyq84lx4d/3pC3f7AhJ3DkwZNkeWKEPVw57MCoI7veMHC2gAXu7WXeJGu5IsqcwY1bv
pazP9mlKThhbLNm+TYjgoGDkFdRigFG8HHSxwefcc5NQ/vETehVJwU9Rd53xdl3ioJ/yGlLZN2zu
uFaCQSXREX2Dqc//WRTxDq+LaM+4QFl5cr4i3+Y1VIBPHhsZsze0PNhJ64asuHPqccLl0oWUmD6A
zWwP/o/JOitNKi5bwKF+EV5svcoE6OgjTqc4YPpA3Mc1iVx+8RS1JZ8iq2DWBnaAV4wXJB5b/p9o
ufJKr3fQsCuOqIkBjTrQSjHnnnoH1RHaV0s+RWTKkTOrmS+dXZFU0zWa34RqgSlUcB1HeKAPRb9w
EnEMp4O5K7I+rO47gI3yjK4vLy+xS87C1rOnkvsDM29NIizHK+Vx4SFjOzawOK6nTkSfOSCI8tS1
aOD2E27i6smO4X6sys7+rksLC1O3rqzHahw5aKqB25dpdkOLl/lhiTvNWSA7HsFsa5xp2J2AciR8
BSynUAM4NEX2kWh3hkPEaXfzG/PjGZJ6vm7BvBpz8qajn/COrPPIuMF7bKqHoVTiSfKMP0QT4oFD
o3g89l490T7a2m6dM2pRngDSJ9P6AcUwxUAT9K/s4pb8VMbJ2qRRyPyQTIxyLbIjMLJGUlXuJPE1
3DsJ1wNuCUyk716QsC7N51C6z2q0XBC3fWyi7ZD7WUBIs4vCthp6AZYV/UFuvzjw1oACOEDVLk4z
SJvlOFs4j1QiNC4bx7F4fjCQ0lcBjKd3JMpwaOpPDQQtIu++yJFJLbNFzd6MizcHMJ9UXu1ltdS3
9EtIPDJioasnVuVufoeSdexsuBt6GnGKrj+xgSXRucsIeuLYnFWxJwEGrcVG4+51z0PI6l4oFtBA
VZZiH5Zk17H+oC7ZF1y+awzCMA8s97jogf+BeKu5axdOnZfMb1l8eaEs9L1MM3aKcUhTBDBTBsQ/
uLFA5rTKDgsW16Rt11warDrgG0f16Ha7hqEuO5VpbkPoEANpg2gco/YLjyQ7o4g/0+2ylhC2TS6d
TuzKbBg+vKZH5FmLUEretb76dNwYTV7c4Qdbk5PiaKerxfuGmM4Mj2keZRfRJ5nZjJkx3aND7wkY
JkEUvh/NWmJPtSCLJmuaMjs3i4sUbrTYTv8RsZUjtQL8Rpiw5LjbuKSl0jOqaZKYucYMlA8YBo9G
ClAwl31EyRLMk+VeWD4DDK7oecMjM0y+hiUsarDeczJ4W+K90+C+YhfFxrChTcRZwxc74xV8djoZ
ZcyxG8eG85QhT+wcfLf7mSA+kreqGiZ2FzLEuwJQzXPZBQXLUZ95sXNHTZ2vwKSUZZac2uW2xmVm
NtbS0kXyMmYfw8S8Yj+J9b8sptKIXexSqrLWwbhyjmuPqXNhD7U4/A1Wg+mUy/jKs1gu0YAiyz8n
41i3+7mDyrcvxGiBAzeVRQaJJSSAFdSi0bkeUDPv8jJF2CmcGtG3V/N5vaP7jYv9OLChvkjj2fkx
MoUvH5XV9fFOtoW6TCgJsRvhpvrUXs6cyTgoVx9twWgKyVdSlt0mq1UKQ5Gw0+iYLxnqUluhVmbB
itXl0DVxiTUTgccrzWKGZaZroFeic0A4GoCC/ZOgw0gBt6+60y6lRT950gJ1xdp3nbXQAT27CJOY
ZdQxnuwsnQLvJg1pSrfdPHAB2YiaAuyLbPnZJpQhSOMkJl2+qirEQzMLZefkxZ1HUFQ0hPqahxA5
Q+qucxOASpTKcLzHPRsCzt1UKX70/Dzp3OxUdp+qn5Lq5DAeHw+1YfcCtVok4yGlb6Piz5l3XxwK
N6Q0f//QmCZU/9OQDUw4kLmRPYoIilcN4gQ4Gd8Pe+9GZsl0wwZdW9vZLIwQtNvV+TGLUV2n9KPr
LkSfibEnRNuzOJ/3OM8syGuSTMztaKfpW1OvEhzbG3lnWsEGD2kPatOXBPEBnUyVyE0BNZd0Aawm
t0Xlc+yHC7UcX3+YkiimVk1ClMVZfxwQOp9LhnJwH8NVwDYzZkJY4C3iT5HoAEXxTAXGEdWtKEPi
WJMxpT7F482LQpgsBVOS2DPb3sEOYTqSonUzxMG61afcJ3ltdkE9hvEUfCBxoQBmZrQw7K7QbXRI
l7i/uzr4LKe+dbeUHOxpfNY/FiOiic6C7SC7/mxpjX9vQePOYYXySl/rNG0EeyqFkHeLlVN1TyS0
Fohfpiikfxt9i+fGHyOPgJsw63P7yZ+T3LrTtSIXSftFNHx0FFDTI13pLB45V9IAVz7RprxnWbum
lWSjqL496Mo1HZ878krHkzfTslsx5leo2GnkoMHn3PSwEA6E3pEowOykaGdkZFgnQje6qgK7VjfS
7Zml5ky5xD3ryjn+cmLUHJuQQqF9pNTIHKAnVkOyhLEQ/8iOruzKCofKvDilYXZUx+UoCaRiA5W/
KUOw5puiq5nO48T87S510bsdu8Dq9cEzUQgZKWqdguX5SGI14b3dQh0S46so/fwXxkGW+HONPPOr
Revv/NGFz6wjMDPJtnx0ed2dSmP5zVuLYmFEHlrn0y/GBLk8xauIGHY1qKBLjZ7NuvgCbegHS6/C
XfWkeYvrL4o6xDppbefqa1pI+z1Auwib29HORYhFUHf1MSzjVSBXdD0Fj8+kEPFviK6CGiGiK/Lp
ntpPSkjL2VVO3eS/lqKO5C3LKRTmvSKT+aOPna77HTWMB83WLmxr/ilEZ2Xw6FSPYGx0AsMCwx+w
5cJF10W4qbtJzjvNCNvB81h0jOsy5Jp/QgabfNJZEGfJ0Z2L1C0vISu0dgVmzxwFGmqG9eiyKReb
Yk686LnumbrdULoO3bUQNiiglv19Om5zb1wls5i+DM7nIsSukTwqX85w4Rzqtvh3IXmBYiuI8nwP
sM6GPVNPDrFbO/b+Fp7fLjEe8qR8iav6RWoxh7/aaq68OyQJekQjIJemgbYfsWolToRJiITKPUSV
+nErbD5m24UQu5ddvuBL+l56Dx/ZYSCK0PcYQCgXqOhEPTT7G4vyjPwDYhFVQ48UhdV4kSED9RYo
mZlqWLCgFfhMCBkfsvGFlqut3kO5BOFx6iokYKSNjGwGodoNZryirs7LYLfYjp+iBoGjzaeZNZVP
UZAuYVzfJL2apNkudh+3I9KVThXnJOgR+RHeYmP0OhDUXKhhVwViYcBUET3SeRtLjLFD+gcYCofV
sT8OX2KxpJsfMEWCfD00Uey1n/QVOnvSQ9IWdwzWrOUZp8UCpMklWDp+zCLEAe+40BewhPZ6CAAj
ypemZdS2ZMH4EUR9kL3ZFrIPtmYaW8wx1IW7kG5Bz94yKo656B6KtGrCr4avLLjTPfhrGLSuLh2k
dVyK1gZdkSsMlfwg3EdgpEPQXCIYJDbofxIqxIMsXQ3NapppyK29xWcgYX83ZtEumJGShfwl6sM5
Ic+bpTPHeKm1Yy97FiBRFOyD3PJHbLY0OuMbcvS4JIUuZfP7YyFeH79mv6cuZQNNGMnvitV67L84
ge2ytgB5xcJgW5OJVXCmC3fIJcdsz7+5ayNi3SRlhoqsCjTHXLm37EE8p9yj26cYuyG9Q3fOBXRr
hLrbj+i7xXuclGOH/1rFwBG2U+jg72KgY/lxcN+GKq6vyQ8ftDhF6E8wwDv2yODM6RPZfw1QBfS5
H4ouyE6CVJ8OzrYjAXzDxRhaxP2mKtlv7bx0XFK9ZfI7TWY3pa4W1nnKRYBRzNUBfM0dZY6fnKyM
p7eDeRVLtC9cKSFQDyxf3iHytNP9pibS1T3dJlRfrjfPZFjzRcMgazsy1CrBSjhT+ajKJWORwB3V
FFuX1q/5kxBRAHWY7O6StvOvZsDYeBKvHF5jABGu03gwTEmkV8DvidyLg5atM4ONGLsk8cUaUq9p
9Q9G50A7qK7UwIlvd8VCYsVQjlWfkc03uaHYUfKTeLlD0trnYk86Ztrhw0ZS2x+R1brlOc2AgzsI
VbGm8ST0MBgfdOp6pDanSKr6jfB93sijwLsOA87uRpv1XLog7g83eaCjPNvmBDkOitKTnF9CNJEt
yGIXhm0ikkOJ9lXJk2hq4c8Hni3l1beNNKGKdolXmph0msGea0YPlCzTvCqF0vFPjJZFQhUsbFbH
T7Yx8+BeBZSy83Jvk/yWN1cRmpuqPUxmJJanam0Ll3RmE7Lzg5VC+eLKSlu8CqcKwY5f3LgIj/z0
3DiFhOWrwzFEfFeYGIZGljAXnMAC0GzFzT2qE2AvRLdBgC5HcG1MXbpdxI9mQnltz0zutgjEkxov
UaqlB3IlHgv7S2lHhLe8LIt8pPFIGdiwe21rd8f0WUQueDUvqRmLRzack4cBsSGCRjxDyxbqhtzU
/Zg6EEIxdxY5IohABuBgwLaJlOM5EFRFG8qRPLVWCboy1U4ahB0/oKLBCYEv14x2SCyo1qEIGAXm
GpS5KYC2Heq39QzmpXZJS2zHRq1xawNLq/shQDHLAN5hdJHvQFMlJb1wW8ryXmSTgjzK3rTKjvR/
LXl31uTH3rHUoQNBpaOlrG8nl4yjvRqc0f3TWo0bWxuUcoH5xDKcD1+MC7yRua3KfB3tQIGUNrT0
JTH9V4iQu/mWk15BfOCxw0QdMx6f1kMehRye4TpSDVJWGjmm9Zk3KRctoZHUEvUm1E4ZvaLQNqym
fYiR73GLriTBIwDtgMhXS5GZIzEqrhDZ1SnnMYzK0JIPbXhCscH2YxbWKFBgWKnNaM7DTyxePSuC
ubnuIkLnkYVMTs+BsG6lBk4NynZcG/7gdkj762rKzbG1OxDu0mpHGe5c19UQ6ztKFPnQW7YXfHpT
qUhCn6tuSL4sJ6IWn9Kx+EOJFTQuMhaVhMtVvJ7h8ptDYeH8zwfPIb60nLyRjxTbpLSesUPz/bEs
5bHnOA0XuCOqNdOElyToLD5XkXV1hBbLSpfkoQUjs3yxFm/95Rg6HHA4RhbC3zXDCHtIyEasSCi8
o9GP0pFOEjUeiVimIWhjM6u65vFeR6/uubFVfQ7tALapA0dPkG5KyzFaZ+af3KZ0W1MT/QTMlyU3
V9qNhry3unCSneFdmxCcIaYozk3GwJesYsuvuLg99BnhTU7e5XDxeFb9HwQ4iMpJw+wN2wSbnf09
JlVnfNcNfrzzxHNavEo+zyXaekNkMqAjE3rzM97dRj5zVnnxB8uXiDlMFxV4Gi8YpQjXA73BfeSi
KfDSOtpNWIXnH8n4yKCLSJ1WsE6uYouPbZwqlaKvbKJC3IdLMgzZPkd4SHaQmSo/OMYtZeRtSahB
A3PYcA80aBoCTMkcBVEfsdCloUvllty1UgEOnDMuSUJQjHfvkZxC1q8HvOnVrsMs+y405dNTXS1+
QyYRanbzgEgBnuBWDGOAMiwmUJA6Oom8oYJAMSWZ1wKsC5LokaON3QInsB+iAEC20sbv2I9Il3MB
bg5Abtx+xOvsJ9F2YtXL1BAPK8aqDcvjOBDbYnSDDuVYFibQvcnv1rBAGyeNSOkJGo9Gc2QIidMr
mRv33cL7Ea0Nu0OS3SZwoAb7m3bEVtmTzMfm8MJlG01o56kR1RnIaDgCPvEcnIKbMq6GdtyHKBRc
jCVjHfqsBQpmaO9iqCxKfhJ4giw6h1m4UCPBzqxrNOZFbrHLVUSQNRMQU0+1tFG1arFiw5NS+VW+
5Pbwbud0RlHTA+lI8FD0SFFRIqEt139TAf1oityX9VoJ821Be0YeW4JnsE23PWIIoFja5DLlXChi
ZojYtZB3XC/KSyEWgY7ukRXx1y3tVzDEhLuqbIgSeVwWK71ZWZMrqsvDNKXOS1S7Q3bgrjdoAjwX
L0+xtYyr/J8gFQDrvRl18Mny4YB8Ek4wdYygmaRPn0IZj7KyT2EjbMZ5pLLcO0Xu+ckF/SbLPdg6
WTcRMU8DCdiHw7add9FiRZJ4DoT5ukPuZzfuWfDjCsDj+SjQ+0MTE0vxPTOPTj4pySoikCZ2dKxJ
jWrG9UVGqgIcJexXCBNS3NRh58ciTUDMFBkQyiSwCRAtfNfUn+04lQF3UGYBlq8bT9qPY1hp0+1q
r56bdE/54gEJqpD8stVJpJNi/U7Sxjc+LGmiEaNNgbcKmRxBUWb8GicNGhRLMWE2X01qcd3SPMxN
fcVIg5kopgrXEuTT9GgV2F3FZYHKvMiDRGEWG6hqAgaIaVbcimLwhTxl7OLTZ9c2KagX8kV956NP
BQOfjQ13GF2mX0hm4qGVGfh8jL0L9cr6Zf7NJct3cmwa9sWvtHeLftdTx0mjhoHR56GCd5/23CA+
7o3zogYRPDHpI0yCsQ8bHbKLGhE0BO4EVRsxisSkWabXdK8lSkzR85vy5ItWLNdEicphjWDzk0xu
q4Ql1JlPMmFXSXy8Hh7RN5sMc2XADNXduLRxLSaTkNnuI9tNYV9VttNByPF7W7fRmj6E34c6uGmb
L3xxaUWo4dpPz0Q46C766W1+7W2Unj2cK54mIOQu00j7SKLJFx+9jiBa7CtmGOf8wfHq8prVjtWW
P2BtS6JoBmeAHBUkkMK/TUD8JUIuF6sHw5mUySH+DbgyfMUDAkh9WzgYeE4GWzt7boOeygwsfZDT
iU0qKNaTTVB5TfyARGuoZ6IRB/bnYapM8GtM4tWfoRHAGQsxdGvEW145LiIMzB+xSj6KMbUFZqwQ
3V/L3170JtzOWJOLRxqXugJPw+4j/5P7vejFTeNHvP0bO26a5CsI6iY65Xa+eB+gJAyPCOJ2uyee
m9olup34YNzvpAg8NWxHL27JugkqibfiIvFkBNCZa7Ha3MzklCxExixvFXELjU88ThaU+Ko2zDzT
4puPzO2OnUjW72ZQyLtL/qbSZZVVoVCEASz1oNofL2NBu2yglff1k/FHzDVJuEc3ljIdae56KPvk
9qZj7z4XheS23iddNA9vyMtqKBtuk/dNfKwskWNKwYdRP7RtPjfHxMRoBM3sUlduQ2wdLA/MDJd6
i1E1uckJHl8LrgnKNvL2Ejr7Fy+dyG9DBSuDRNAKocy9xwdZvpOn3ABfmNnU+glyBL8YOnIQibx8
8AB+1dhZxhpl+aGbJeB4eiDygZo9DAl6IzSxgV2hn+iIaqk5RqBnRju7ZtsGVbYXYNF73PXJFRi/
tV5Iljg8gDrK0+3oVll5dIbUV8Q8QT7YkhvB8QzqpNTX4dAW8ky1F86kvwTWACLYx0iTZOsUuTdg
6ogQYPUF31lQZamqzG8o6ZxLruroxilr9Fp2ZLvEZnUeCe0RAhxCK+3a58wXwU3oIXVnfSsQWCK4
L++59Emna9iqV/ijWtfsey83h9Gykh/2M8ScIJck3CKIOjDxc7PsZDWFdwraIFJBX2i4xRPR31UF
PQt7EvZPpvYVgDLW4azA6WbFtqln79shRuh6tEX+lne2rfYOUX+0+kUxCtZu7shevZQnA/zhz8y1
f8HoC50GelNARKgUvy0YLOB+mbbXRxo6G0mk5zzEHTTVQVpQVkH1fNeUW6cICA4jyWh1DbX4XgL1
rUcxXlTZQUvr0oaw6hFBsawZKS8cAnd27UnYgDUvH2nH7sVR4DrY9yIcK1ji77pxMDBYZ/e6zJgd
1ywv/9BzgDlHUgP1tGXpifECBUTqKuRhAXF8qHPwikSLwQTUuJF8lipaTnQDTPMkrDgEKuje0u0c
1Fa8i5cR2E1kldOjmvRyG4MEOqnJWQUWRejeDawj2MaJ9Fi3OTLrfETb4uXM5wPXYvycjo23Xyjj
znEYY3ymejsGDKo/PXxOpwih0taquvZ6kLL7CtAO7hjUTUffoN4OggZyCpXjY2GL8B1hl/fccWhj
B+GkRPdVDM6uMUhmtD2JY+A4mELTOSNxverq21hO9mFatP3mecREbugOWImxMl1ubDcg1c6A/oiG
mmOC8Roy4ilJr0qy5I9eb8x10A3LlqBk6+A5LWscbYHeYXtIFk2q9JXu1z/INA2XD+XBsjFoTO6q
znYvU9eyi8HwhyuCKA224VhrWMPqC/JxMqTJRH2oJGkhf8WosWvNx2JA4YUSbsRAmDevLXHOeLIR
LD0sHv6gcvbpA1DHlS8e2DfGNcIgZ47w1cSFVb82KT92imrqt7YFwrZRMx6Drmr6c44g54P0KnOS
nMu0u4V03pmCmF+TVprMo1IfLBcr0FQ6ya+G8efTLGb5K1XQTxiFgZhSc2t9dcoKdiBW7dPUYNVJ
CPy9IqpDoAvGtFMj7TgUs6mudbC6oLRdkdpFZ71rWZscGCQnD0Q6Y5GGBIDBg9W4elI1x2aml/w4
Yg2/hoiCmKLFG2JGsCRQZSpvs27BCOcJ7HNmdeoiNVjPKoS7s6nNmH5JP3AvQ4vK0UR+/ippGG4C
I5wrXIjkiRT4s72JqsjKM0ELmaTkbvh5+laFmL6KwmaxEtpRfGqpmd+jrOF6wL83vDIoVCdHzMFD
o1jHZrFtPjD5oOSOAJFgpXSv/7KhYvTD28DzSdeBsnRDcJG+VTiEXscm0RetsUc4oTZXWS2iO1Yr
KRDApkUIFnQXXFEz/MjBfM6RBTNI4oG6Cqt1QcTYI78ukploXddaruyClAVmEinNLCeVeyz4YCQu
t9R/qWeneHKaHqoGsZ4fcB6Wjzib/augxNeUmnXg1YXKuUI2WQOFQJia7la62U3vBvI7GgXuabsZ
rtnjwm2iZgme7Egtj5DVqdNs760sSYaspN++LaVpnjwOjTvDKlbskIkCjV3QMMJestc8DfTRLKxa
1OS4Id2rmiu7u4ayRdRenAeIsFF8vUHMHu8jGa8xFdjoMvYI3PIV62XOcbYaERX0dTb2OWxEkn8Y
/jKzcUfF7DJTTvI6I4Lk7gmr7GNGOk9kDAbCN6Tn5powR5QvcHkwcFLGwseyMPsHIJR2Tq9YCeKD
ZYMeo7bb4HXB7llxg1wcZH03EVZbRAFhvHPy3r6eKVKZNnBGxAHyxlmjzu9ciPR7iUToji5v1a0C
RQqoIJN96TfzeWB7xD1XEnMZjx1hhbgQDdqdLdPh4jbmDmFYQ3TV/SJ98ZnQuwJayDVC8FIe82kV
5ftlcqxFMHYbKKXFbTZ0aBECF7eaX4MYy8quuwDEyMUJOz2gQoZSIRogKoXNiLoZc6kn1aVOQ32D
CpCI9hqPm1Zu8ke5Kt0ngH1ekPmEBxCkAh/cBOCTTnr+baEredCxz/qwdHgbfN0i00swMFoSTU3X
rRJZPJ7V1ez43U3MZZNs/DSbfyMXtQ6j3yTEaTsaq0fGz2eRofdLltVfZFiJLkETNP08EJTz2kyj
80o/FJ5CiXyP2TpWTgppqrcpbFFM90lg3fx1UfFu6j3LSIXHN7ayvXFcZFtexxrxOvDsnrYTxEt+
iLjaU3I9YtawAq1+uuvhXu8C+kWsILYILg2ol23LYIqNLda6dTr9qkWMbhlRIYdtCZ9j3jYtxTn3
pKS4BALlfY8VLTcYjvyqh/ZxKsd1iztSOSOdMHJ6GXz2tDqLi9cmQbyOp4IAMgx2p3klZJRO1p8b
ZVvMmJhcvpYN5xx2S3SRnedOz4rxDABS9Ee/iMgq3+IBGYgPJweZ3ZBGJ7Cpw+sYcTrh1I2qe76n
/CqLvOqlywqEsm5dVIcoZQlLwx2dbOJ3cMw56RG973x2wEOgFFjGe/ovn99dzersMt2ruTEd2uNI
PDU+5gCAED12UWG9Nx5phUom1WcwgguDwxo/58xn78uiYg1ROxk754KnAG9yxnr4v8YBipW893+Q
+Tze/dAj/8oPoZOr/4uLKVTNkiyxzbX29PekiGQoKjKbs4yICg+1MLE0p0iJ226UUOBIavlPLvp/
i4N5+zn2f5r/EoL5/wpL+P8wAgEJ1L98BmvEwj+jE9a0h3//t1+Ybv81+uDvv/5PAOY/pB0QK6DC
kAuMt/V/8i8t+x9gr12HGAOH6BjPwVD1vwiYQvxD4NIFqygEEh6h+K1/EjCDfwjQMULJ0KZbtblj
/lsETOWtdPx/eVqga7q+dJSPnUhJj5gGfv/356Mu4+7f/038j67NBJF0P7AZSTh7HElQfFzIT5uY
DW8Vdrhtay04YuORXEr8kme1VNaeVaS7GwivemQaPsDQysZTaMXZQeVISoUVeHdl3+S3PdEJ7jS6
dy57S85iuqNOZO5dtbivUPr9o24SCh10Zjt8EfZZ2BxfGLLJQEOyVuRtfpky/0KmbAUvA1OwEtRB
HoVh2w67onH0JV2WXTGu1D38JDuG3PuSL+fgzFgdyso/s8S+VhVj4hEJpOXVDWno6S8dQbstonta
MvC9E4MAlacfQI2YD1Sq3piWsOSQN92Q13Yao+Qs6/CneEklkQ/6hsJ63LS96++Hirl72eij67Fn
dAyQiD4/LtAqGpMZSjQGcV7BmASRx0ZXe5CF46kYERniJMwrkrESucX54e+XeHpsljsiW4ZNlpBL
D3z9G0TY1YdvZV+pWwUnvE/EyifhG0BAFEAYG0uEpKhGsDBP4Yu+FXZ0xQYLUkepPtHz3FSDh2xF
ncdiuUcXfRqIeEwRd2tSOZX9xEjoZZTz21yWJzn3hMHHycad68tcUgKQQbbLkiHaLK588a0JeEGR
PZQ12dnl82IVz3q270OHaIe+bLdc/BNjDcyhto5+K5oEtbyhPbpLjDoNGbZqh7Hb3uWbThyQGYQV
OdwrWtJrG6LYQBo9phnr6Nip76id7tEdbYhfWF2Imb2rw/rFNMjfB9aNWRz1O+mwi3Kc8hmT7UPY
uHup05/ceLA93epsTPm5XCcGTVRbSWBBCpekXw3cCb8TVISAMl+FLJ4Vm4cz9993QuTmWEigKpWd
ckir9yJkjNjr5JwURKih1kBlA+UlbXAFI9hOIySUvk+/l98DO7lXlRts0TR/zyngQDqKTcKuBXPD
TwU7ntRxxD5to3/IGzoUVfCcTv7LgL8EqxzTtk0/B58wR3Fw48XwZ/2YmbHcWkVHRNhiXzlMTuh1
5ieUn8dpGR9REfCXd8NX4txjzyI2kWk9RoRVbBFkuPaCYvuKvokf4lxdVIu+myEHM9dEX8kA6L8t
gxdAcN3KsviVGz75WPcPdkxQL1oWMuUM1RCcHNHO91qD0Vtkcc1qgf0qGDews/cdyzFcTCkfWRru
2eQTaT6kD1THfDuKLD50Yvsu6NfjJN39TeWqa3mNJvuJvTXo+izf9UV39BteskxIjERL1+5j4CWX
sLNIYl5/9b//ZxUZUjbm4Mrmnr/M6z/EmlP291e+f225Yrn09jjzWgnWP3BjogCRKEL0y6pGvzBs
Q78bL6ehWfyLlpDcwowUpKWq2+u//2hilR9kEbJuZ+db3eY2Lu9GNodELs8ZK5aUT4RwqMHatQ44
EQDvBu3UYDEjiAwVrpMffU36X0JSzLZrJm/jJuHELHzSVxWV1zarO5gfU4UzRXv+FQ83rTN2vePA
nmvTMj3CCHhqjSIiwxTZ1d9fTcZO//mrtjwMvuvh7azs3SK6twnGzY7NyXXhFjOT6SC/Bf2TbEGH
RXDqN8NgqgonQZSA0w+Yd8gKoZqweWNz55Tourr8/YcxwRdSauCzld9eYpSu7DFkuqvRUIPhXcQm
CJG0pAkDDRhkJytPlx2xojxSUtcXUrfo5a0qqC5eWPe4zZBCgEnQ+9LrDDnulCBlcN2pYL6A7Tvk
TgFtMqcPtxGXkKc+7v+DuvPYjRxKs/S7zJ4F+ksOML0IBsOHFEYutSFkUvTkpTfvNE8xLzYfVZgu
oIBe9HI2QipTqVRGkJe/Oec7qHuBZ+lIp8En+m6ZWrRnUMsLel09TNcZOrFNrQz5Fp3Oa9w5f2Tf
HntKa8IyGG51obKR2VPDRXRy1OlTCaLAt7r6FVUd0VJtMPBMWWMPcvfTUCUH/TmO8cXZKNSRLmis
r61mB1aH+WDIfNRV6+7QKvKuJeSV1rY6bGLHvTJaS45mZj8mvVNteZUjPHXkSelFftTC3vKDmugt
U9OGQ5cYIAqndmuRsuiVQrwSsoaLSBPNwUSDQQ4eZS44SGki6EPbpy4ssrjahxXEfTOtbiGjTB+t
S+7Vrf3JG6ZsUg2JCSonj1Qf1nVkXPm1Lq6TwlgtG+9moXdPif1Y0Z060kKAnyjGmkjpaFuge5DD
B5PecT3WlXxxkNsyTODlrU3ejHmkz6QntkMkOfpgQLUnLsxrqOH9irCGjWkBPpl6lnjzIo9liPoJ
EeF1VhtS2yHxrqohdhhnW7OP2X4zWixqVNX5RBnO0aF0QCcVUPQyFtWaXF4ku27xmI3teVIi1+/C
7GnQaQWEWdfePF4MMx7XdODQccZwg4Bk2NnF2KwURQFGjKn17Gil67ky501sqvdZcj5DXjDRnYdH
zQ5G3276LfrdVamQRKHPzwmAmM3CqlyhsSTeEfFw7bZgl6Kh2NRSKDdTpUPqsPUq7DtX5Kqtp8lU
cHwkeNshZRxw1PkMGFS/FVa8Mux5POfFhFfHgXTSmo48WK7gUYLXAI2DTQVjF14f9SFKrMxc9UVi
rSQxPNToiD2xDV1iNSNXpLXaLT7zM7rR79YVtMhxm2yyklgMxEFH3dLlEXWUn/cNCd9tsO/1ajzW
cHFXRk4oiT4FhJZH3wnOwnXeoYbRbYuzeTYrGk8T046i3GcYpVdSdaab2kD1tMfkTU0GsdMM0n54
S4Jzo4J+aqPomYl0jBdhypnFOd1rnAjm+qTY03TWKIS1zGc2xjOJqAj0g+IIDeRo9zaC3XKQfh0l
+KCKc4GkAwcSk0grcYGExOGjURC+MBsEBShc7ikazHWf1sYDSGXyMhtr/FSDaDNj8NoqVkegILKD
DXaIet2R3rqiRzQvYhp2aRfeojb/MYkuuKf00gDzkC/JgkuTcLZurch89ls8GQ8FWF1a+wFbebuR
06L7Sk3WwErAIh0yCOtEshbdJb17iNtTbAi2F8QwunqWnlAkPpcysNlQXjU21bh36C0DgfeEMQ70
LXNo+bRh5NRNyspSx9438TfwbLFmL2ohMDU3ZEHjAacgxC04tZKKE/d+C6Ey/mNgzNuNmRquItkV
WyNSzJ2ilO/syNinJ3zLyJISG5yfzHX92iYA0e2kubEF0VaWwDgAmN6nj9d9UB0faSe0M5B1LPwS
13ef/eQpkgcdIuMxyfViw+I1ar2s1dKV0EZCBou83cem8aUFG0tX2iuIx/0ITG4VGcVRZ5ING0eY
voyRlVhtQd7QpEMrUUED9QeThxoz8G70ROWSV5ugO9JIWrExjKxRSM471bqaveJLJ4evHMEnHZWu
ORh6zFbCJJkhFVhfeA2EPyO1XbFAKtaWaY7cOZgt8tTCw28+2WW1CR1WTH1PPA8vMrDrccTwzSOH
ux8BhdRPxTSrW6uz3tzSFA+O1R4ROJMQP8qbk+gbPAArVLnD2UoFlifcSD7TRao9FLVMMsMXMPqX
MEPHzDI16h2fBRnL6oiCsHhKpKNdTCMl2Ou5NwWC4bDYz6VRMJOKygcDSuMBdTLnTmusezhGHntU
UowCZ632qBfYrvY7UF6fssQH+vtBsZOTi8iX7ezoQbvWyCZ1WRhAji5PqC2/hNqTQJdV0UOtV9hz
gCsxGSKcDgEzaxC1WVvAY3eizm86eG2/1cc/idI9At9nGZImHICF/aD3vJeOOfQbBNnElRF74DPs
1x4muwKlpw1ge/LPuiR0qZPjV2m6ZDEXDSvQGljmpHCTpmW7laOaruaQslDk0PvUeiDpFVkEyjh0
ywRJHiYgMdDwvyPDgTyu2G9jSHizOnIw5CRGQl28soXwq7T5YVriIfDhOMEQuEqb7IZPCncZ9xeD
cEa0VTccnDB9MdWK9YbbTuvMDndNNwis0sibkZ4C6YwPZKtaqIn4/5IrQKoKYzBnCShRCv6eKgom
WjlUGLZXB7F8kHj2EBxOOyseThAWvBo3CABN8cKe/TJQ92rOXUWktiFP6iUK0cmwzFqKlwii3CSz
Tc2tgWwfRVAyYG2EJeFZccyRZztHQwSbrP2C0ls8BEFxa6An7Fp2+W75WGSKsclCedN7i8pmYHnR
YxTwIvOpyLNdksXkPlN+KjAa16E7okfs/qbV8GpK4w3eAetEVX1mA/emJcOhzgYvCpZM8yVW3mEE
RaODaha/hrlyivFek6ZDr6Hy7C/uIcgNmk7Zls+w8GsPOWXn5akwiQOzCVtnk68milhPSvGGZQ2H
Aov1OYMVpinjJ3UMqz/SpaHvsLZwQ5gqVvCUReNeqxMF/A09M35aHm45oWJGKbyQU0HMGClHuDdr
g14JM+071prqRuRti2lIPqYT33LSBrmuZ5VWyxmIgB5PEabVjVEy6LTkp8GEap+cUeWxkEGYzcWj
kORSz9CJBl7GuBBvauS+KHW4wFDPc2H5dr7cmIOzK3Qm7+60Q0v0JQbsJ2WnIaAangz0kKqGDKag
491NSfU5i+CeDfwvAuePreSPFjxL9k16RX5qg+kueRgb47FWQIMHkV8rP30e4etrObCCXPmoI8LA
YevhKNOfCYLHfsrjIYo+Eqve5UwgmV7DgBHYQuBg5AJGddybJypMCnQzXY+IvU/o7l/HZCbQ3AEb
pajIqPP5UUR0bQgJXmtyWCnSKLNgt2JB0t6NQe4QrpBviwzeSRUqjGo3T/Vbzmx6QOjiZ039Dtbw
Ysw1c+na19mZIgtdmTCQyPxTTvmruKMZpSQBqt+mJaxLfEBeYlEiMa5/jEw28a67/Jf7jchzY6d1
XKdywCBYqjerHLB7TjSRQj5DSgF7yModf+GXG3YMbEt3y+r2GhrZtEbrrR9aKrsIAsckKb2mvFvD
sB2BBsQKCb8oNQIUTh13MRr6cHk4sTXFQxafjMwR/uiGtTfMzWuQRfa+ftBNHrXhDHYzwiWTdI+O
rT+2WDvppjF7oXZz1sBKjLUyiU2ASm1jqM13b9d0PBzycFwz3xSjQyxwcUNHu41mk93pcMtrAx1R
hU8EEcmit0osMEUDHmF9zNmg2+ody+KrYxDbBLlqpSL7tTBcLYkxvQbOKuL1YaOF7LVq/NIEJW/Z
oTwgnVkrrpn7RRaTKjplZ0WLN2ol4eYRYe2ApbMNw8XqP3BFqjghqDpSnlpO9CkmPT51THh6NJH7
gnnBrhfhRS3InDMfEuhza4PoZCw4OvFNWMB8a3hOCEZYaXPsM4hna4ob2pvZJoz9fDKjbM+RSwBo
cFcK9a5K+9IO0zeaC8rssNoHjbJnKifXMfsilpjsnCptRXkFJCbiLBifKK3I1IrwqaHBfQnRifiF
M93LwNgY8TdCrfcy4iyxy4E33Kkf0bRjAOJwKZu/ptWTbJHZb1P6x8wNBobFH6zFz+geEz+Pq69Q
t+4YFVh6DP0lluJLoPmVuTwmg0QGX4vUD/UTgVPiPCJlNqF5+i5xeaHk+sYnD0CepUajRgzeO+6/
Qn9G26lucUUc5jSC216/1xBjcdEGTxhDd2EYvDhzfcEVSXOOM27d6TzskDR9ZkF/RVHkbPEC47e2
dsQLXEjSXfdK916GBkQ8y7i4af+esimG4o+40p0Odvw8cx7gWemReUSXcdQpvGrzPlBAMGWh4c/B
IcwGIlIWj97QhpdZX8LPQvMzstS3PrS+cG+s6mpWN0gk2Z4pZewD8j4QDXnHrHo3G0w6GmOctjQ+
EWFfMhhGXbsY2uL52zCZqCatu0kiLXkua43hoghh1iBNwg4XLJ3kE1So59mq600HomKFvnFj6N1h
iFV9ZSjtQeVl2yS1s8sYm3puTwh933JezxFeN5ylMLOSJRRcS32tj9ZRB/N7wG+fO6/ItClRgtRL
BEdNKykTerpXKteVtS/Q/q4r49Es9XGtYEZmlJYc0ei3NSOxcXK2uV4rq6JOz12n3Wfb5NEUP0uM
ZuwHgWDEUfAdDAC15qLbESaNPgcYpGdl8pTQXW1LtV1HQfoGpMkDuYMyLpLGlupiWwor3SDQf2S+
MJ9g1KyLCScrAu8UraDBSLcLn0HpeIWh63SeJE4QaJm13J8j7AraJXVYa1yPwTR+CBENHAfJZZpK
oMbhQzUG+Bfyw1K2r4ArIU5W7MYXHYgDaYZiV5sqgggGwjO7zZjKDpIjSCDo/A91wy3Mq6/oaOw6
NbwTe4BT4KiOgfTHzHiZC2ZTWWw+9LpReDWhwvBKzJusXpDwbCytaz0lXbiW8zZozrVuTifCPz70
sickYGLtbbmBh4g8wg2GKIX/9qnA2IH812zXkOaAKwQKyoECFxoMiktpyz/Q5g/9ZHwvxbRfzM1J
zc9hNNF+1/2WmWqiOjDdqizZDLGBzyp7UXRGrLyGAaKf+M79ead/fo8LdHpwp3xD+U2k1TDcM7dN
s7sR5FjYm+FmoxDZkuy2VxQIAhWYeLVzSzyuy9tEdcZKVK4TXT3FTfzaFNYLZuUCh+A1nu0LDeWx
mokx7FKVdmTx/JjTJ68vC80ZiTdS5VU9CBbLOXrSiI0oumfsIBAOFBzdkfZkRHhINYFrQgts25Ou
+ogXhQXCIembI4NCJ/VYWny6Rf6W5NWb6XB3Gmwn10bdDZ50HI9VKOlzRaHvI/Tezljru7gsW48f
bocgLfCbmQXrlOcfYyn+VDLdC1MhMaqdtZdezqveBlCjUizlkDjgPYQNADsNJb9kXG5n0YdTtpAz
idrsuaSDwX4soBp7VvpSAD2DoGqdnBg4QHC1ib3BCvSnrcZ9NFixB0rnrjvL4+RWp1RydVY+2FED
a9wk84A8mLWpUHujzlrBN/xQHNE9dmgfuqIZGPUpEdVasA+Vmoc/3jiG6Mtit8XxMSUvAGDCbdv0
Z8ltdqI54rqgN57UtWqNrT+aCuk3hnyb2EOdsMIdQ2X0gBW8MOgnWSd+YslOEkKMxxwpfYniNYLA
lo5vy/N67kbiR+B/dAPz17klijfvUVOa5jXCWbO3Cf4M4infzjB8Vsa1RcpdcZFjMCvgs8O7LzOE
7xYLuXXfxybCYcMEsx0eZxqXFaYeVNs2XHvZ98c6NC00wLANIU0zxFV2dP4ij/knGu5sjcnRCinM
Hh1WsMUXLuBKxa+12j0NBaZ4pX9dkn6MMdKvSbp1Wp5hrV103txoF81ANZENDboHffjJY3Q7fYak
lHh0OHqGtq3McAfu2UI71n8XdflsuhVVel7dWt05DBqXfpKT3DGNITxvTsvcQIUYatmZmzVpXPc8
NJrzEBpL8UEQxAr2T4NdhEewxGDfDfUHTjriw0JEh0r3hspR2c2mmhBhNXaLyd9rFICPgEh8E42z
UhDjrKjWqoz7J/AA+KoN4yuN+5QlTo+2xmGYo5GbkXI4qg7ng2qZK2DJztp2ZjqrpHwetfZpLuYP
Q/CedbNzFgyXhUIHZ9gMKqyA1TRkxwMS7/KQDqG1JQCO5wSZOQeedxvXpBvSkZl5Uk5be2L1MGCC
H3LTXdd1w1MxB7scfAimtjizsBIhh9tCVERtNWMhxHjB876wVyIZnIc54KgnYfnZUpwvGc5eIarl
dxcOdMHNYSMihEwrfcexDz3CT4YT6XsC0ArvJhE/Glav3VxgNlHC8grR9pi0leEpsf7CIP1DRka/
6uf0VllcqnaoKisK38mDfHKqcdGZXQ+AbuIe6hKvWAYgs84Io0vLL6IR1HN5FFT6PjD3do2OFf4c
O0cc7Rgxa8QndMBAO9LuJweGtOHA+BjSRt8Zgm0YqD36bjsFzB9J69AZBOIkJhP4NLIOJbEB3OgV
KpOJm5SQBh51cbufQ9Xd1GHT+A6Tb2H18z4XNJtDneZwFMaA4yc4VADdV0apIBlxsRMywRsNMfhV
lGuoiPpo6/a87QzP7nWbBidtGG89oEm+QfdpSOUhpSPJAuQjAqWF7yTcmmNQQBxuQY25AcFsmIPc
jezSjzCVQHUJTjOImhdCU7eTkSD/EdC8Wo6mxnbbbU7c/cruw53e8twqEA2Ds6OXanSKMiapjnCC
3SyGk94Yf41Je2dGRgdp8Xjkh6dDxh2zySo6KgPBy0qxxjdR0Beo8n1y1QtrJaS9SETHuHARbqmn
zBOEZOxMmX1K1T6PleCBnVdb5BzPhBYEXiSHLfCPGz3bbWzme+BCN6ya2xxwApZvxHBtNVfBYc/C
TFrmQAZS82bU6Y04nGaDd6hfFZP6FI3d0STXikkb2YHmMqdiswITZ5GnXDApWDsu+QNhU/B+DIwM
+qLWMSh7EpBmKNlfsdk9JwWrpnxJQ65b+DFFTRZ9HdxzbnqBS7lIkJjXBh+EkKS8WTtWY1fspeyP
OAQot8qNnHkAKnGytc0MOGoR/eTK2okyImR/omdVcKa30cQ6XGF8jsDBx2UfYkev173dYr7DSIOp
ztcNwattslBUC51ryeznFfY8jTdd5lsTroKZqrwsExaQeaCilHhCuEqOPJf3Epg2ldu+rgRupMI+
xBFRMFCpI0b82UeJaAifevopmO97A2+513aj6ykSdW4+L2PmymKc1P4VOCL4kZgRjDV95sxYKmUz
hLPKYDmaK9yekzjItisuDtuF1XpM8uKTydYZD8vfkcjnnW12xTEPOW0iy65WomGgG5RY+bFCT0dD
b+0rU7d1X7ezbxT4zevRjHzbqMiNnJG1tf0TFChpN5PnsCLdQBz9Sqv4CTPeC3U5JpG05XKqqOrA
WZp4sGvEEE2LLI6oIn5FyZ27Oc3bzN7V0PMzU9kJ0fGEOir+FkPCo81KV4Xl/tVd9KHm1Fyzwtgb
qJDveSDT46/K5b8l9PmvVDxf4//8YsZeEy/U/sf/b3m3gpja/zrv1sckLf/P/0aW9bdo43baf/+v
/7H8jX8qfkzxDxd4n0B9hXbHtk3t/0l+DP0frus6SIuJ00LvoxGpCv6hjdDZmP9wXE21XVPTkQMh
pf5PwY/xD1PVkQCh9bF0m0frfyvylnrm34JbDXJ1hW2ZhotRzEaR9G/BrWONfZ77gAoPg9jGcJ5h
c19YWVcI+3AETLGMGVLC4e4RPlt28mA69Xip+vot7WhjE3vomAS3b2VpiYec1g8sXvhsWd/GqKdf
GvwJOyqVn8okb0yLbP4d86fDaYn47MAtz/0yus880qBA2QFmshTEJ7xTAiv0tvN1LW83RTZqT3Pv
pntN2uRhzKn2FI+VctZd+fr7WSuN/sFN4n3YyY2L2uWzcxaNRV5sonyw9iJ45lZgwgmTZDPjxHoQ
o/WnZWOLEq9c2zVe62Jw/trQcZ+xUDKH0bHfoaNwnsni6hk3QX9b/s7vX2bwuIgOGvisy1fUaUSo
nMmoV2N+Xv2EQ8V4tFxyZQAWHmjyUahGHHEVPtpLFPdXNTO9wenarU4g2GAo4xnxKfN1HbV7j6nU
cvMzy13tBl9eu4m4eO3j4KeomnDLtn64E/UybpSmbNC3Z0wOySlzuzw/4Jv/0fm+/gBBwcub+p7h
tZTMD2JO61g5tngt73bVtTuyi3uvVIzxkXicXb38fl78rVDk3v75RdhYaVti6EtpeRCBHB7cVN9Y
bM1Ay7iPQW27yGJ60gvd+a8xa5E344zf6S7/vLQwlWWzgf42ITUhM099Hby7CVKHeBjjR2y2ftpq
0wb3v+1rBFpAY0hU30CbjEJsJyJjPGDMibe9Ed3x3Z+Hvo5gTSFkFY2eEdnV+rqS30p4xjtdtSrP
kcpXPtrRYQA+lwy7Yi7xN+HlAth2TK3hjezVBlwfcbYkOto8HmnyXVIs2gE6eFLgEhjUL2YhLfC8
6B5U7LD75Khxuh7c2cFkPAClYhlu0XXm+HS7EvMv4bZe8dcJeaYZyYspmuxYu0WJsyRsvFF3Tzpj
w808m48QcxUia+MzmHm5S3v9OsZ0iIDrbtZiV3NZe+AW/UhSbV5Jrfhmi7RvFXtpRjZTipdpcSL0
hb/YdNI8PVPDUbG1F2q20UPOQ+AEBr6VmUSvOShu7nTNN7rJN0jxY6+t436DJ8/yHltjyctM6i99
rs3MQiBz0zNcQiazzZVG8cxJzjq707yZJm6lDMqPXvkgVZmRzvoj9qVLMbtkPTc/thnT19nNE6lf
z0RP3cERHMyoXgm1qnzcAPM6zrtvNJE7LREXve/v1ZyvXTzvTIOJmcH6CvDmnrjFieL/Z44QjGt0
eEkybY2czgPFNYYM3n1hKPe6eXQpy0ZHYUcLwzUlLGxVVehEpOHsrTh9QlSPQZekSJyOxmYMKm+S
zXual3/YcOCHcnTnafmbBSIq5Pw7MFM7eEup/VQSfOBbuv43rADldkiWDRJCFfGSMrUJGDc69H1f
shUwEoNB28BV4yIAHYLXmvSZxXzBesRm/ZQyhGkUQ64KJ+Ppjf+FpFr1mSf2G/oROAfA+Owl0bhi
3oBxdwnkUyizdAebmfYe9jEC5rp4zIHzesAw2MtK9ZFE1Uvkij06yBjHRc4MtdO9WvTUVOpJI7QB
cea0kkkSrEU8GB63qevboSnZULPcVsNzT5YLC+7+bSDClzlw+lj34Y3koxUstsuUiXM7Jt+SMFJH
YWbX97sO/Iisnb/VbN71TB6ntD1qRbV1JvczVBfwP+VXjAIIPaOmxUz2Bucrr2K2OvEz3Ja7rvTH
aQy+eibyfYQSYZwRVWIOniX/cuvCj7DGyxDV2yz8bMb50w7dS29XgirV/YwVmqcWyBD8VSIxf/R8
eqFZbraBMdHbo+xUhmpT2HCi0C9IUozTSO5VZyCVqj/UqN62pHljUVDt98j6kbP1lBDIfZ/G4T3W
9mVemVypZrgtmgK3doSvgXpt01RhANhk+bI7l5qvqSpThBJif2gNE45nvFhgINoNrL138kq5R3Q5
/nWGZzieawH5CDxV5s9iei8a3HZDqSTkGzkoGyxyRolEWeA/C5OUAGogCLHFGZsE07yjHPak2aIY
Qp+JCTdA2YjVqSDBt5YHWb3N6pwfu7nKj0xHmbl2xa6QEd/cYCE84ZpFe28I37DT8SRGTuVAF8jP
DM+uVIvUxOBNAk86lRgcrbblR5sT5FJ2QpYgu3kQ4Zji8Sgv+LdDozXVOmA1uyKc6y1x2GxC+G9R
dHavRsQr1rfxayjxehpRrN8AQaHkHNnGMq5HKOncZHRTGn4T+264rtUWFSwwg4EKf5WqzAHt8aEr
vyqnxOswPmT6iNxRTEtEL7IZPVPlQcnNxG/TSuelAHbeqV5SDM0+LPO9FeJ0HIhM9OJYbbw6k4rf
tTR0STMAwdbYCsD6x4NGuoQnZBI8FGUBhrCOfZ1ZHTohJ/WJoaz5yfoEYMESLF5TdIRWpO1NKgmA
R99U2O1RgkWQTjztyH5HDaO7z0OKwq9kNmso8DhyG9ZYdYNhMT8UnV0foxSeXVBwztU+mQVvuLoZ
JCxfH/TcBw3p6XDxEMqkjEtROGx1CH9BOf/EceAnbAAOTiBVwmiqkoWKlRyU1rF3VkBkps0e1zKF
+ob7N98TzLxPm4rW0jDqVyk1yDppJPa15TTHAoM/P+X87bAge8iU0n0Oiu4VyafyII2mORVLWaP3
4olMNPuBgEWULRWPBWca7dPvp9AvrrkUD64tc3+w4y/NqpyrPWHy7zBR7kywbKOBpFuqs7wClM73
eIow206VHzcyf+CmUS6Q0ZVLZIV/bcvJDpwp6YV/vQtd8UivxZhwyMgvQ4nBd11+01aJfcRNbG5H
t3Aepekbph6w36u7R2vSSMjquSNixvYrQaThI4TgjZUpzen3M7PkHBhBcLpj9UBKp+1XLSmzdHAk
pjOjPNrLh99f/X6QxRTy9Wl05FHIdDdXAg5JPTp2kcKHpI2Ov59aDcw+uIDatc5nZfPPL1n+9Pfr
/vUptI2eMKZ/+3u/f14v3/ZfX/nP7/ivz39/pS1B62bLSvpf3+L3V//8cbKUi4GCM+xU5zHNSG9r
CbC7wn4kMy8s2ltbBnLdaJpxbxn3e2BMkmfq0BJojhheModJmdnZ4Vsfg7Kwo2T807tqDDWLtNqy
jN5lquufRa9cwTa132PQHsuhS37GcSTLGyvXym5YhFAdxCuZnnrBFAq1PWWshYt0tImiNwlXQ+hX
+kNQaj+hbewHpu/fsas9Agsqvvq6eA37VP1g1/ETQyp971IezbgWh7dByXWyG5LwdblMkEtF0zPV
LKhqZcie5AjNrxxy+yYnAVTOysarg+7SL+F0XUbZh+gb4+SRUDBjY8PzOGOvI/zNzcSpUlC827W0
jj0rwX2W2lgJeu4totrsfTYZMeHoWBih3SSnBn3ALi3m7Nzwn9jmsVs+cHUMG6IQ2Ss3oe3nqa1e
IPyl/pT0EH+RN68Jncjv4C8VL7Lr6akz7M6jOlWeIRQrCKpl94qkZVqB1HXfgFTlzAznHnPh/BWP
VvzJE/spc0eDasPEwF13f1ULs6jEQrhMVde2hI2/0tvPpMhtYnVX/3z5beUVhzsg7B5WC1ZtFLQl
pBanMae/WVqc6TSdr3LOnhy3KT7bQPsstEB9p+hDTs9E9U8iScJryn561ZdM0Q5c5wsrgdaTZWwQ
ADC7Xqga1T0a+n4dqEl0I68p9ttOMy8FGUN+mFrj46RSYU7IeR4UE1XukOjlmXyccNczfz9leoM7
bRqxINqtuU8hCB3cZNAPsLvLfQLQ7oilj84kFsaJB+u0tXoqEp3WeiOGVnnQyKrbRLOTXWZgvT7i
vvYKsN5kzw3nCNMhsiOljJ64/TXPrZjoViNHv6KM4oUhLItvUljfbMDd9Bgxuo6xYcCZpv2HM0Q8
sDndkqK+gIi0vokkOWiJ3f80FdCxMGMRSjgnao2IXW6GfeT3so/TfQ92jNWjQPCpD6jrRZBt1K4p
f1zFPaiGNX7j96PWl84nrIo/pKoWH5ZmRKu87rU/3EXNKkd5/eaEpcXi0tJeop4nK3yS4tnoisXk
PIi7pVCTEuE+3qo4E2utK8qrGRoAeckWv2iADzYslTnCu8zdWGain7li9K0Br49NkhhIp7bGI5At
oLmZNh20gqRyDC3qnhpTHsFaGTtVuNVpGMhUHLO6PSdo97czkLkHVBb1xmiF/jg0ocaxHriXWIlC
HxtJfouJ9UCeROmvgIX0tB6jcy3Tmp6kql7UfnZWLfPNVxJ4l3VNIf9EIwXxPBfiva2bDzRI/Wed
Z/cg65LvvG5PVFb236QptqNlow7AHugVTgq7qcUF4dqMDMoPY7bQYuhVsuJU1BHo0cRFhHH/LBMH
tr75Xx1VHbDF4SsVynM4dOIDQMp3MtTynYv6EOrEPfZ3ZncbexhJ8CLX8Fb0Qt/MjBPXXdm7O1ZB
dCm9G1/QbIK7sGHFki5H+WsUjnPV58G58pCjWGJYw1SPT3u10g9O3Xw2vclWyGm2NbwsP0lVJiPE
U5DPg55mnxC7fYUE3Z7dmjciNf+0tBhEpep+Pk0Dlx4WEJkppwDk4slR9lav6o+yL4stpqTSA5Uf
XEtRbLVARNzx45tl4nCaAefslIoO1UrPQ61bj036qSLPAOTVAdcVeGjaqoqvgLu9eZrF1kzYbQ4B
ixLhwOPW+xBnY4CvFX36qIIqTUvrGtmai9qlD5B4gxBN0/YkyuRI3E27HaLgb2Ap+9RBeRKT8hrn
efyo4JG7Qh2Y6GszbdNQfNnsuDFweI7LA1kZ2eTDeI/WtZn+tdxqNy4gmG6syazPihMEbeXy+0HU
LcfloA+71ummI8+rF8gega8W7EMy+lMqBnMNYifexZjMbramyZvGpF4zK+Lc52Yv0KqQOFSPp5H9
B/+6eUSbrbEK5YNTD2TmqMYDvmF7T5rV4tndpUSrn5N54PCxx/PY24+i6qoTQu7suphTS+kED9Gg
qw8qAKQQVPNGoqVE04mCOYawwns3sBnEpRyarv1Q5UN1TQWaL3vf8y74MXfdVUPRf4XtRP7Uwl/5
/ZRYGPlYUY6yqMr8IYE0/fu1UWkyCZi6YUedtYMjhRO6A/hXCrW5Vg46ixFs12bsZYz/pVrGJLK5
KstOVa/aYSsMDdi/VV+7RVXn/r4kNbXoQTXHb0By+oOJCL8e0nqtNMtN0KrDtpLItxtDEn2UVMSF
ARO7qkZc79FNlItuNLsqNNrMGMlIxZEBko7ut1/Ey+RukllS24CSEJwv8oY7IcDupm1n01NZb15/
PzD9btdJO0YbJvSoRYxL28viqiHzwxvABOP308wwmqMYjWeUwdKfl1fM6sAEh5F6AvJuQldJKRqG
7FQMCHgISyTERysij69IrpFhJCR+jSgK5fheUbv61n/evroNhkKxdQ+BhVi81v3Fdc1gAa0sW9Rp
UyynAeI/5zoJjbRfpzjUO27hYFsa42tX1ueGnHgXIQJhtniz5TYHXZIA7fi/jL3HbutMF237RASY
ikV2ReVkSc7uEA7bjMWcn/4M+Wv8uMAFzukY27a2LYtU1aq15hzzyiGgv2IBcXemhOWdEarYcURF
pNFPIE8oqu1TbfBmjrviwpAxWlSidM4FumBIKJ8iLuo3Johs5YlGFE56LiK4vIvwWmTIBKCerGLF
QDfETXnMWJkIPULKLLJ87bBj7ZqRXhYyjfiNfDexaMNgfolKmQOEYhBJ7m901FzERWSnRk8Quwmr
DpZtNDICjstzCxl90eQxtuihqXwj9SJI5EDRGUEt4kq6j7wwwOIEOahQrFilw4MgHo16hXZJWn+S
wtdvWqSNvOxWvwdyGywh87GP0mByLm7RWY9BSiBcJEt8Rz2LETLyI9EIj2ypNfO7ftiNwgz3YOrf
sdr9JHWJ/JFEpSWbXExS2KuhzItpIbwc24AzUn+pujF9VLVprGrLNqDvS2pJM0HgVbEZIBqumGAi
SQp2jYeekiNkc44C0Gy8xvfbg8OMEUWIEHPJIM0w116SrZw4Ac6t4cvqtF/U6WjGUAGXmUGvO510
wNB6e57Qm2OQV64/ZdTH5YyRh/XOPpFDbJ/+/kXePae5lBM2kXKoHV2sOoUwhM+t+lkqGzkb69Up
MtTmTg0GJw7ErJUygHuipkMCY/gUx3gsLNED3R7sGPeYh6apoi3qGc21UO5PUyElGyZ7lYbGs1LN
FvAKvbIh/5eOFIiORWKBHoFDNQdUaln6aOnfJM8JiMCluAHh/h0zjHv4Bhc6VC3Yynw5muZkq5E+
4GP2sW/a/fGlFb3a9+cKF5dKdCichYYCjGX6GiZN64+uSRNvVvuRghOJh0o6MDUEb5zDfSfHFN5d
E9/CGN9ABuzgNR4tDht3AcSYE4U55h/pbP2khqzXhFWgxOXLhw7Imz/3VnlmkQoXduwFu3SwiEQJ
nfb296F1pl1dmIjE44RMD5SuDxrNzeUQ2t1aIclcEvJTbhnPmzc6cpuyVL1f2/FH1JLYhyi1fYCm
T8uImJvVNJvHiJTLsKp3U5Nbm74hVsEmJ4ooSbg6iOmDhvV7UggiIutscSOSAlIu9RlgN9sqJH8I
G6EzbZFmI9rWNzXaBZfbcEfap7GcggjUZCqTS0IHD0uJUu+aHpMfFGRim8lvVafh06BTqQ4kXBC0
XdGX4dBiSQeybqKHm3qYxT31JtlyD1abLBgZ1NT0kYqC6skNiEVwRms6mvQaW2dcdJx2+iogTYz1
ghE9rgjWKFzcrd099Fn01WXmgXs1f0/vntYSx6pFNveeTNL2xNGTLK9YMJSgWcjZgpc/sE5dgMQ5
1cS206ocWetFJ+MDY0f8EwXis52sl+ReBjVReumxK57KireT4JyqifI8KrDWTo5zu3RbpMNc2lWo
cLjQ9IemqYJTVqXmplRgJSeN/lrM3hqUMl678ov6cvbvmXTLxLS3whWHpEnIAk7CS6y+4sSJNoaL
XKkGDEkJT6+1b/MPSPYvaCIpoTD7FKCWlqkd37MbgKIp0jyGoqYhZ1LrhxO0PSvFE9D39EyVwAOP
C2q4jDRfrebozUb2UNme+xBp/YfKGYchi7xyrZZuqIJvq6Tzo7WWy5EhYsqcCYxapUuNuDO4wRdV
STFMHlS8reYCWaXF6bwuXglSwVyTRgCvUg3ljiLkzC2LDwnLGyyXziVjYsSq951HFB7xvctmhNHG
RpEG5NWJmWD146Jo7yrmqW1hddwjdPoBJf/cbmrida2oTagY33utgMN7T5l2ECHnCdzKOHBcGmLt
Zu6BxTu005HKX61MVTu2ItT+aENx6iLQLo+YvrCGaOuhC9WW7EDkNbZ6qFqB80uij9diFDcYuIU/
Q/LcQ85fEhT4AwSOeA+r3MCG3A8F9OecjEIM9McB0kgeDiyLGjot0iJRLhje87TuDBc2s2pDn+jG
565X/gyXFm3NqHxOng5L8ngy0ypYh+WwbJtfjhfuvm5+1ejFmGBn46HyimmXhiHgLeVuEYyuC7s/
lgSR62mFi02ixwmRB9bDy0hkqV930QNawIVm25w2ovhUZ+6bJ2JIYzpzFMUQRMrJOIzeSDrW6NFm
hRWOs5dxUm+Rq4bvHCBMLMcDVL2IXZ9Ay76b9p4RIGe4C/80aDjeoHNeMu1uDx2zwzDYAo4v+702
N/KIORzffeAc3KoxN/S1UNmO45krzW58d/dgMO8eVDvuRDk0a7OdHlK8czgtgK8wGMoP4CXfEXbc
bxw0VsQHHG2tJFjHyC9T2Lo7IgteUwlLq0b/43QJG3yYhbuuI/MdSk6zcvS+vjqxWkJF1Ta9pl7M
BvlizQ6f5gBpJ9EveMeEawF195IO9TqbdFoLd1cP4N3W9k6lo101bN7oEb6Bh84EKaBY6FHuTc5E
gLXTj8c60rfcrJiZsQJtSoJKCJ/RxyUTteCgzA1LrolotcTg1Q5nyCYbC7QCG3tGu9a19qnpIeGs
A3p7sfdozgnT5qxidle+D2jB9tij5VYhjVo7iSSCGRrAMhpiYvVCE6U+DpFRIVdPpw5xofPPmene
JJkiGze52fnwK0zFwyKg1Dm9jJVNBYjlH4EhWbfGsgjOrT7Lh7TIfsveeaUeTd7pHr8LV8VMgTTB
29ued2giCZPrFIfWzsn3pACiS5FtvuOoYyysOscWGzbeBlfhcANGjfAN6x9lPEWHbuQcylms2FgA
Q+Y72C/DrkrCT5zDa5czLb0ewDt3PTm3kjz1IOhwrSvDn5j1LRm8FHvHLJcy5z3TDJtUI3xybsGc
V72H4E3JBII22CiMt/WFiXe4CJVXvndVLZawLz3wrHr0br1ywq/eCUqad7iXcL/fP42m/seGbnKJ
WD//+89/X88JZ106svR2hOZE7+mHWXTeS6465K7eMZLteP77QCLKeA7aZDzrILOWmQSK8b9v6AwQ
diWEL0QJ8cGQiXWhl98/O7V+bchUYSTNZ9R972nTEkiV9f1zwsR1EeANOP19WiC6XXCTREelyf6Z
tiYN58gID3/ftXUkf7JvrdVEm/ouOWvPNVDKdW5r+qUyEnfpkcvyyB+MHpTa51nmeFhBcbRvmSVQ
4yZO9WkOyXOEk+WnHoNtOqd3+zjyYlk77CZJgYYJLcCijOwValLzn8Xqzrh3rTlT8yvdDidUPNHI
686EMuBic+eMszWz52IQLmPJPtp5Xsg4YnSReAOjBKiPH5t4kfolcex0Zc26gSKD70J0oA8G12cn
DLN+URZD04S22PHvu7Ezvua1KsENJhVKx2lYRfRuNmZjKMZ+YfUU6c5nNzvqO4yqN62e5RNjOndD
0tv/wwME59QnmFOf1lT///6E4f4rAuX97wGmreTT/54Di9l/z+H/+xP+rw/4e5IBoXH/+yuQ3BaH
JnGIGurcdq2PtUOqa9g8Rrqe3Szj+e+Tvw8IHgUHVHo9f58KHJenDufM32eWbJpHoH7UAXFjAeHg
R2iwubcyoPui3z/973+5kDBA5nA44UtGT1snRgd8vzY18gvPuTRwbP9+2t8j4hgwMiNna/v3iBp2
3ZHg9p+/b/59mA3vNS9NpjIdt2bdu92BIIqani19MqOTGBJ1rl1MgQXGInh00SAuYerMIBz51JrH
Cf0n1iRq5ODRa6LgEXynkDPjc6COhzCUrW8pyMxEjWDOMzpjWyQKhE7W4aORHZOy4UlqlrYmvqFf
aWn1VHntoxGybUbal94HL4OaWzQTSHrtf6kiKwHUQbGTiK/ddwN9JccNBT4uuUdQKtTkzSmP5ne4
afoiakKAQLwTF7Ndgq4V1Pwe8kWtu0wSJ3TlVc99gP47Q7Exmc2tKchwwNbGph+q4QCsCOsrPvNU
o2U3G0G2dQ1e0xZmxBTQies0w8DF0XCmTV8sL/fWbojQgsQB4iw74B3jNVYBHkWr/6x6cWNQA2pv
Fsaiy/QdaJBzGjOw5It9lHkMX8Zw69au3LgE4DWdThM6g+VmoSHYzULtRsjBkU67jkho9jxbPRE9
NK3GTo84f7ftjnfyOdHSf7rdjaveSGuO+Ru884A4YbL7OmuE2w6RD7zN2hXlYJxbGt77LJPnv8+k
ggXkTtQmkoEJBsZ/sNySj94iLYu85T2eDT0fMNgsbNUO76PAoD80XGcNQgyVYY26gWkNtxAOEvra
qTo2dUSMxuwAIjKRxNRcWV1HkiVbLpCshyVYF4Cybv8ZFUq/gq7wBVFdN5Li8QjlevWPQholS7YW
Q/wL4fclEMV7CaLAqXoCwnaDCiOfnjSyz3j8pTjcqrF/Fh4eXYwZQI5zmP8lRriKfkVOU9xEuECM
2FTjxzGtLWcaj3SAWWo4T8lLdfGxe16A8XbKPtMkvbTpAIYeYcYCH2Wu6yDhapMhVwYZ360nnAwz
wmDw62TqdufSMaizHG9HM9NbaJZ80VOmsyTkNcs4NPnLBS+9ucylh32RPKcGx4PQOsmJYbJ3bYUn
MmD/6rxfCpRgVb9nqbtgbNJ9zffZdIa2mT+7IH6Qh+MLMFct6FRSgMplHrfuQXjzCoW5xOPYFrgZ
lbFGZXfSmI8thmh814exuvZJ+ECTlzltAX+9xCDDsaL2I0vnfeQhxEcpvEZtAAqqi4ZFldAT11S0
NcLhXRZUD4TK7lUMJcigSR2GK4KbaRVVUlu1HBhXDE+CRQh/BnVeS/lhhIwRuzWlzFMUlSvk64hf
02hduA7TFqBOiLMYMpEIped6sUSiQ9vDHnjZqwdGxpvGKxF3GMl3ibXTwwmDh+4ZWQseYGLnF2Kv
cP0e20m9tUkqrgaVNOqtmLPgAMrBd3rozRB8cGVn41Oh0293On2TwSsx3Ym4x4EuRpXoN1x1/UIv
AnDNCMLKAZrnSFv+sfTOw5ymqyIPeWMpdx/kZCMaNTdME8mrTf1gIaXZWxppADM+toWHAJ+ImVvR
FKyPQYnxEmKvrPmjQG6YfqpVOChd77Pr3Y/cKkOfFc1ZCHJ3NhUqfmeUycqSbbJEjvY1jQx3ZK6l
m1yINUFYEFMSWW6rniMaARDH1uQ2Gs3mohugTKqG9gxcCzQx9My66pDVgMOzKtklzTRd+ynZtyZU
mt7G2EYnKsArio8o4V6YRbZkarZvVIVrMaRu1ovwUjndKW4cRAlW9Z6aE8FRSb6xe05nI+G5tWZs
hRWf8CMvGL1z5pUFNz9B9dy5d2Rypx6bAMuRoQYoXLn5zwaLvIhGU7F3wGWHgr8Qkas26NF39XAX
y+vWpou8u6exJgXuvj522ZeKW7ns9PkYFKhZ4uiu6MEXsYDXkhBEBjQU87L+S4MNsVgElykuOqYf
RMQWerkgIo8/l2PoMmucCwWcuUnm/rUv9zUWqoWHuMGIz/GMgXaspbYGnjItJD1Me+JqJ489wI+N
1EYwvVvRF7rPEqstXAvwZ1/bdzEcV3/oaZTDdbFAo1jDMZmOqR0ciI8r1yTCvESSpaXKUg/E/QXW
5A85jr/6se/Y6dTMLHZcIyrnkB3dBIAASELGqW4DVgePDKhRjGegfhf6E/BrafN6Z3o26cEdPNBF
E+osZO5RSEdaNvf7wXK3d+vQMGcPEDeVn0eU1ZlWvTZZ/WuFo587bKnE4BB1CU+jtrwO5px2bLTk
VQtaDSk5MWtZySY54DjT4/CqxuE9BrcMnmfeWFL/osh8m8VO5PnOMLwDKPB5a4b9RzBjanHTf7j8
XD+iDVP+5EG9CVT5FWTfk6posPXChT89brEJ4Psamx8rq1d9d1FGTIClpU9oPsZ00Ru22LkmDnZT
o2Wuhhtt/35bdzC08qCBV+0Y5L2Yk2vuvFD2Nw3F1oW1zZ9w4RKIjPx5bShkrf99DpD9o9Ro6/w9
2JwNOqque/zvR42mWUA7Ipnj77t/v26q0HEQ1MDYkp8+whs8MHT4Hu5P5e9L3gC/h3ZhuPnvNxiw
/ZgAGpe/h8gSnTMqUX2BPYVn20giXcREb+nvp1uxMV3NfsG24Z5gvgHgD1W0BsR9mKCR+HXi/OSy
/4ET+Bhn6SVBTeNNy66cfhqcdgzuJGA1jbcn+QN7jyn1os2LdlHotkfAmjcsUmUyvgtDLG0yv4V5
+hrk8XvoYNkYddzbs443E/+RI4nb44qXSvvqWnrgs4Kp55XEYg5tckgiTOS0Ux+IcSO5Intnhv8W
h+ONM8YycHZMQBKfzCBgASnOlH402TCXrUS/oTOpeSllebBnnMC2hrQP8OTVtdZ6W/xY6KTzUrTL
QldvZYHyJGlvZRw/eakLi1ZhfQzD97Eptz28RvI0/XD2jHWZ1LfSm25tBBlf1MNn27zCO6aXRvVl
9bt+FkAwjLteSkOKqqfOLrTiHfm2rR/lAQXzMC6CGBaJA314ylu1uv9Dtmmy9nRmhI7G4KHCSEds
F2lu6XuInJaOHq+b1WSs6y24GYJnl55kXtiAwBXzmggaBOWle6MZ/2E25quLRAD2Fq7M0dRp+Fff
dlcf3bD+0UJO+8CHP0jMq3w7d+kOD8ET4cMBpLD2Rs7tMJnOi5Ot20oneXBOLs0s7UfJBGLZdCbn
+zhbgcStNgBHnkvhfmmCMpH/JVe6U66iROCJD9MvTfNQY3j1Z5zjKER3SOiIbRwxInfbQOdUIcLH
IGfoWufGR0LcM71J6sXALa1F0UTT2nYmGnbt5Esr7tGVJ0utmt/LUcMfPVLk6rrF4uoqX9yFXIWG
swgZSOMTYI/eO7Lf0RD23B0TUycTHSO9Nc9L5EazyFC/D6MyYTzUCufWvTsahSghpaJJwLZMI6df
VGO50BXBrVPmkbdJkO6yU7mGVSUdDsLBtFIxYfAb2zjPTtlD+wQ6Y+mg0yogXS6zbr+f4gduZvIo
CNNb9geLtuAqZg2K1b3XO3y4HifnNEqfOgNSvGvmT7YV+Sjh2ZchLmQYwqcadJDSg9ekbtJlrIlX
x8yvdISwOrJN4VcSB3ESbXkTTbkz7+h71ENXmpUHMruec3PTlGgmS+WnlgHGc8xOoM2yY2c2n9gT
qgsJfOvOEvkpCIkDkmlzCfqpvN3zJ4QTX8BxM1tM6gtU3eJI3XuktbvuLY3MKpErMAs809pqN9kE
8Kez7d+E89RV0hDS0+whJ/ZVn/ktkey22lD8cx28bdOAi5JdOn1yWeUbB29wTUVdPZp5QgjXjKWB
g4bngDchZqtDl87tZ4Dl68MSUruLN8Gb3Mc+8iMd6TPuOubyqlllHE12dn1NW6h645QLGp/eywBo
ISmTbyJZioNwsX40g0GcPWPTXYhv5GIb5FoQD9Wv+yTy/JSx7lqZbnViR90VTfoGnQJDACg+BWz7
EE/9VRtH9MpEsDL2SM/C1aonBtJsIo70NhCjgd9Vlb1Jm5ORZs9JPdXbeCZ6oTkFMcC91sqDa+KO
+aG2gk+NI9wmLAkK1EyGGKyE7FWoHKH0IGnKHMPawol87HI3hsmN+8sj2YGe9UTUp4H/vtfZ3rMK
VS4UmzkN3YcCQ8CmQPzEkSAozir9JIwJyPNgJVswN+bFmMSnaLOY0QeggXJQHwSv+42HCKfNkpFm
fBKvZY3/MRhUDYudWXHPOoPNX9sOedY8xRmZ4jH7jjPlmR9QePqIzmYuROkAQJ8OcaPbCJdiaKDi
hfkpjYEkfS87Gw3w3we8Rmuja66StpFfZyTpAWzQl+puZ+N3LRPEY7vB40TbVka4VVMPU9/jJJpY
zNuciVOoyCc/pTONHnmK/Sq0F6IuTB+oYurjpOMYJkBsyeLmxQy0EGiPNC3PepwdzBx1PSfHuGdo
4EKxWFhO8TxnNCh79oyFKTuOs47L7ZTokDZS2HNTumtBjK0qj6QPSYIyjWDjlzKYE4hARwcIYhtF
3nUWsevnCeMTlMDUpUl6cKrxBPpB7ciaeEBunN8qA4kz6cH6YjBhjNVVAdrc5bAFTW+NURpGwuA0
qHUmuD7EQKOc9U5zDJaiApAN934+mITB+3ZgsIaIdAN2c8ZMkUTsDtFZx9CinOHY1fVrrKRY4fl4
bWPrBJSX9BWDEWIGlJ6UrHotgvHBa+RzxQq0zJXmvUFdNGBxhYhAmr6ERow0qIq8V33UD0OlA2IL
AnM7CvRhI6nHKw5s3LdxYW5Sx7lnXtDJDvXXkPbyogrs6Fh4xcd9cHEdKVoeCMzpgcCUZwjy6uaI
0V1BF0P9lE0PTe81T5VjHYLyvUe78lpkzACYI9cMNge5JKBtQLrpUmDUWr0Eb4NQPghNP/E8YIWy
ILuA909ui4d09tyV/WRpdYFA5h4pAqsfy2W7Tqd+fAsG3IdxPb9wmHWOOBzh5POCWPK5SfNsY3vU
5PEQX2Ir1/zY6lj7wW/Qzaybg4F4pBgfJxLZqHtTDeLDdCITFhuEwG1W1yHFdRpiOi9zTuIZ2DvG
SS9p5JoPeZIxBDXUizG0aIqk8xUy7myHhBNzScehj+8ej7l4iw0wEc1YncboTulwdR2JuURS2yP8
QVtoa4z5PKgwBCeoVVhJnfMlDBnCEKLN0AzftCguAQi2G5Wygeo8SLZV2/wDhFX7oqpIeBCMuUzh
3FeNYD+Ez0mfASIjZn0xhvebOMd0mWcy2ijSHXpL/22wZsPPn5uN46Y/TgQkLwKZ3wDXX+xdTD2c
Miui82T3KtPJWjdKOntzdAefjX4kp0DT9sWcPBn5GFOXGXA3EppAdrBx404ji7aOOGvazaY1Mibc
RPMtA7RPxA5F1dHO56vSUv0lTwVTxQZaSQO7SLXt70BwkSWEscpHvDkd7fNTYHvP9tqm5fg6U1ju
mk7iW1HJg1mVW5irDKgdyH0WPXGtnKIXZIi0IAPxxQOp+5FrqRGnO7l/9kprxTqVTJ7JBtvXQ3Ci
uUY/xtIqeB8Tc2AOWw+sY8GDR/23l6A/WqkedHohvjGyaeEbwxgQBAJksa5u8B030Tjr+yGDry3i
56ivddpYEdio3PAJAvpyxvnqtbSLxHnKq+sMrnfnpnpHIHh9g99Loa5pByL4ylMrGFLJeHoWHXkP
ZlQE1Kq8LSNlS6Ty2oUL+q81ucRFjtYronlTdQkiJvSXC3hX9xi9fildvOwMaI9zJeVSaq8Rob/X
gEC2glNISkkmLG70O3HE5BctLa0v15OFuGwmSUjIWrsYHW/nbEYgmN3/kL7Cp8UBP/SKYxJc27FT
W0MF8zJv1JIt9Fep/LurZf1c2+PvNJjOySLXeBmnBytIbJCHzG40UOpE4NiXJKqe4dHc5tEFcUdh
542lvU1t2NsuhBR/qNqnCpvwQrbCeepz49FV43+nFSVmUrDSqVkTnJa8RnV2dp0mQs560bgKi2ac
olM6Gvx5WQFhScV7qyreEZ+LS2ZEoArhY4h5bt8pYv1U9demE/Mls2g3MWByVqGhFbAyI+hNFPGL
ZBjObhm/AHmwHqzGnl9M5S4ANyl0RZ4JmCr+zTpXfBRu/ot6I96rnPkVzQJIHfoZfIHz5gOFIDan
3bm112+syRMHznVwuFJ11U3GVR1djMiAa2vd69LOai9WWP7aTnmq1UR5WrrVrmfM5NkIYUoYWn4f
DW+NUZ0AH7BUBoxbDVeYPnt3uUoKBjhlUiKywvfgVrmfCWZJQk5ikwPPupFgHiGiC+M1ZqGHEVkC
gsHxptvQmRaxmeaXtoW967Z1sdUL4MAjBBMqxRFl+2B4C1GGeyvWej+tta1VVxrNcg8r/nQ/JprJ
TzyX7SrR3It3P5z0uhOt0nS0SIdW/SHWwUz0Og7McNT3nhncDGKaD63eshUap76jXW0Kuc/cDKxd
ILu1XqHIUDWM56aaGFs0WndITLrHhqSceu94+TZcWs7NTU/SCvRlWw7ori132c9dtbS8aY36rD/H
atA2RmWU/l9hDDIcvpXOHjiFSGrJq4hXLB/uknYk4pywPtuh0R7DgJ09bSNtg3v3EZRWfyTAw7wp
sl0CsoyAxqsTHaIGRs8wL21cLwuCNuNNe2tgnh1tUvyOmBrKo/TmEA8fNVKeu+rw3wdCRnBoOo0s
7n22alVVpKtPxO/+930kmPAXpuw1KO8AQgaAvuma80Ea7XywEixIY9yDmKMYQF8n7QPnXblxEDvs
+4q+oI3UfKm7LlTt3HaXBSYefooDB8FU4bEnBtNXocVSMva14ZectPYD7QJiVyoOMPRAqaIRVh9s
LStXcuKuGvuiW9V3jDRvArGfEsdczh6iu6HriDqzMlDm9x8DaL1ZTvUIBGYeK2a7cjOT18kEN96P
de8sEUyibxG2xzsbYmxbx1v0+e8tjFk4ThMaXzD/XXUSsObfpxlHW3WioFaHKorek9x6YqP1qFAM
xA5oFf2GHe2eU7Vr7G83NqcN0VdPBCp+4LncNLE3LYxY/7aCygY/zoWoD2bEtkwS98cYaOd8Sq+q
FxlBo0SLZzVXWAcRDyLJDwlt6azpl7u1peoWuQ/ZwVEvHF+gtfMMZfEdOvwhRut9TlV3Tbn+ODaH
aVFpOSAGjz4cdhc7DpD9BOlxsOzfqdACKIfmOfGsHJh1fkrj+pqLbqcZGBGpyP1OZd+JHJjDwwpH
l9TQlIsw2+BxaYt5hfgEylAf3egTOOvBK2hfqavJkxaEX5jyqbSeytjFXQvnl7xKcR0S9wtD8TWH
anY3pENPzAE3DZD9pYvsfOo3VD3fIG2Q/91xW7OT1Ut1d4nKmQZ1ZTwG3bByjICsOU1/sKf8qxQx
XmlF28gcmKe5Fp1tyFx1fR7hJW0SknVXkkAAxNcPQJmZKyG3SwU66voe/acjEeoT29haJkSIPtxj
mSWXMXTPiXPtMiggYGGBdApmKGBSFpBJccG0H3gtWInM4l8do1ICVV1CI4zv0yPzrv/owH2F47bE
RknkbrO20XAt6J4UsLBezM4vepmuB3Tbi6RxbndlkY/iP90gtT24QU4HATB3q/euX9nDC4LTjeGZ
L4DY1cr2Hvp0rkA8x885cwXUaQ9RGj81FURSyvpTPZVXvWOgV1iIGC2eWC4zbnWzewxtg9OxDUGq
V/ZRz3gp8iyyVgii3zRqYxdBRQLgCV/XtzuT6x1qV3zTaymbXWUHz670xKpx+wZDsXNBthTvo4oM
QvJNoKDQmC+L5xSqWpNo7Ym+uLEZjU/gMk+a3m+LQn5DjyoWaZduhKjspaPkN4kSw8Kxo50VmNVS
V9Q5lIfbNBs+s4RCj3WYAgxoU5qheyH1W1jo2blHofcgErZtFmctfswE5UbfrSrT3tlhTH+ei0FR
PzPxYlpV5APxklwKVqOCwE584oeUzjSGkv5xogSiwmAhDHKr8O+82wC3XKoRJzmhhKs7+v2zGG+x
bB8djNCumT3XWn7KBnFzxezcdzlAwICWrQzMbC2ovsbafshK3himjVq96++KUPNFyzzCBJF+s2ys
i8Z9GwQBHraCx2CZerdE7POIRHvvGg4xVjYq+wj/QXfodPZBrwnWUau9aBONGofcIlHpO2eig1yr
S+LE75qtu+tENs8MLX109i9ZHuV+0gKmmrzUYDogJjw09RekLBiVCNg9DqdMU9BHWt8kmVVU8z2c
+GR4ARVBIDmj3UUT1emhD5xzmRHMjGFY685dSsIG5+5iUWtSMTKeH5O+NPBylasYdh4pX4TiGeg5
u25AtNNiS6mbfJkZeX43wVNOlTrGJiJpBu2fiYy/GYP9/TWm5BoYfiKoG7RghYuaA7hMzr0erwIP
C18wArJokjWhqM8Q2+MDkm0/dTi7ypGDMs3ywi+Nd5XgRBIovHEXt0/CPXbWcKiJ81z02rnvqa5j
4efAg3DSO+e6Sh6bifm2K1nSQuPikGaKwIjKvoDhdB/ZRhWhCVYwPKSqstZMBQBV2dk2njR1yhoL
HLp8Zb/fAQoiGwKwkF5xhY1nTK0kJ6Y7Ky8AQZYFLGPJkhg02+K/0LmFbaMi1DT53boTF2C8FjGz
pzIkdyapfkHq/ph6vhGBpnwvZAYUBsty9p4q3XjwagEHpHkSor8MmvbS1SjWUWgsl6Mzv021TkuN
up63SvbDDo9CnkaWeTSRJlt5u4PjQGxXreG3Q3cp3VOIMIxb9ITrmTHMhEMncK1TQGB8F2sEzSbP
YZR9BXZzQEH80nnuvkhP3DKO386Y9j0mAYBUsYNGccVoFgIqcOK9EY+7DqqZaWNXIlAc0SyuvfiO
7XJHTPoaXv4BDyvKEMPkXo9zrpqT3qx01RGcbSMqizXqsrrBYdRT992PAER3dnFw4qj0Af4e/xXp
mDrRMPGEZKN33dMMV4xkjQ9gGV9Kq99aiA2lY72Bo8BZZcEbq0/4F+mRdtmDriF/E6VJvotLxxKJ
0GLEReW1+nOPhikvvRPWtXOTE7gekrmQJNug7o/1WOxghx8YOWxzS9s696wbs/lQ7Qcut20b1c+i
Cm+x6fzrK/EyeUTapAVLM4v9TUoEuINFTz9wp1fBpAuJ2kike2bzPEYj/NGm/Dc1tBdRSQQM5rMB
bxz8G1SqYDXkGL+Lx0pw1nZtwILth5u1hzRjmiLI5oAoQMf+wejeAwQ45FYxaok0Gj/53iTaZskU
h+NFl56tKduhVad3mjPNByVPPMZ4UfN3ESZgPyrjpTKn3Ictw1BPP7Y5D/0/7J3JbuRI1qVf5Uet
mwXjYCQN6O6FnE6f5Jqn0IZQhCTO88yn748eP1CZWUAlute9iYqokCJd7jSza/ee8521gzY08dPY
pXcpjBjPtHhRc2rkvkklnqiSxOX8OaQBv4HmpjwN/eg0rjJIntB5jBhIBTBD1XldxmGiXzvBeEqy
2Q8zTvE8+TTL8jD3q2q3ZjEQROnR4vYkVbqIrNcQlT2kGL9raRJxrpzNCC7taODlEMHy2oEEwa9G
wD03LKBZPxIAlYmOfB16CslXcHNF/GALx1uQgQQlz+mShA8kM1Y0UTQ7+klfPNlicfoe4nOuMR5u
UmMtiLQfooHd1WBzIjJjOFhK3/ecwJBT8CJUqi29sbyLZpMRXfcwLzA47ehziPpjbFu8idp0P/HI
TW196AxAQmHxwH42eo6MEMSFzo/QIZy2oIqhaUm8hq7d29H0mHXWFynx78VYoCGJaF+TQSXHtD/X
jelZYnlg2CxalnUU4YIxuuim7/NvNeDEbxoiIVWyQZZ5rQlYZxOIx3A23jPH/Gj50WjYVjsEklft
LIM7jhMYYcPeDfrdglicsQIp7jOLpx3IRZ9Saq8UhAKHHIaEZeP+TsPG4z8H92ooD0hhCi/U0Mks
sGx2OQUr5RERGyg9bRMfS9bzeGer80ftHXIe9GRGwRjqu7lfvGFoM18tBVp/BK/Ol8sppBupTT4R
mzW3Z8t/xlFdnLW1HFXpZ5lWDAEzCc/jbqYFm0jmprG6KXPwHkgOydRVpaeFSAXZLgxkWg1Hrm/H
TOZddDaQPd0DDbfrpRveSegipxiFRDsxdNFRBjXEY6/roZfut8m/tuoXnStVM5ZPSoQi6Iu2EoT7
9ZCmYlPZ4c5ekhSJgHpLb10HBDr21M9Oq95LxMQ8tPssygA4WNrbvCB0sSfWv9Rfpzi9QbvxGSo9
2RqEL4UFC2XG6KkpNnAKVjqW5kcewD11M7FfGmADllGjFGM+tckrsXUJqffCz7GzaFDK8mBOGcfA
nUuiwKKBhnHYiWSrvBHvx9hBwpcmpnmQPHUSw43IsbsJzF/5DKylw/nsTVr5NA1M2w2XCmJMZio+
njNwvqfBcN+7rAKGobwgcr6CSH80VPhNN5FJaXEbq/y7bKLnJghvMNlhLaSRXiNK283WEm7CauFJ
Ta7GXMijwPkt2nA5lmwnm77FACfnYry3DGPxHKvUt4xOUjjl2rytwPtCnQWBMApCNyrPHZR9KGvS
fqwh58JexyeZEWaKRpc0DN6AnqePvgiITtxo7XCrwey6Gshf65COchvKaB66zITmt6Acfew7t4lQ
b72eHpdWwL9sE7kzq+8kkLe09ZpDwCWExpg/RuIZ8D6quhfXcB4iuqCcZMsdyeynkZDSjpg5C5JJ
H04nQMpEiVjOrawxAxkx2qcyfJ4bYx2RkcN7PWs0Q+kdXc9sDFk73UVLdVt1o4dR7pWAQa8q0RaP
BlPx70ZPXvqUfL0spXdqrZYZ9c0x7ZsxO0NtgslNEl2DHpZ8MFP/CXSEB1MTp5xBOxxkh2lqdWBq
fe6VxvgCmSGUb8LD4f9a7lZ0jX7KyL2/Ciq6tyjraPlrduOXAfZ9EOag4cEaOJYGmx43ZGnkiniH
BZb1YgDfDGhsx5N7CIsApzbdJTNOrnvb/oosuoauvh2I2w6W+ruUeJ6X+TyMuoZ5hUBckElgrp0z
pSoKLEddddaap1F86sKAnYF/hLbXPAhOqYh+S2g8aUncHoM5zLaVQYITKnHuxlHfegSoPuDsAyY+
MvWTgBqsXn/UVeE5+mGx4SwyR3wrEorAZAQuscQRnuX6iJLyJauvB52k3o4wkUYwkUTbmXpDzP4O
NeSqtNZrox2Q9YDFvUmGR9mLd5MB4IYeCEE/RTkXXorWWnbz0e0+7IzbXammO9SLFeHxcLDTOSM5
vD5yLey4R8MxchGecYUmd72IXgS+581CpNd2MM51LZ/Nhl3Z5Ya0SSDO5mn5FsImvhrppDEdlded
bh+4yVRcpa2HcSRlmlsslOmMtEEDpIhKnftqwxvjHsq1JR031+Oy7HSLbi0GnA+zN55swif1mHgN
3ET3zkRn1wZ9E+aEqaCB8oli8csh3w/ITg5hWxDcZRU/zRj3euX+0tHzkbyIm0/0GksVzWKLsX9f
FDHENc18DCGHblamiQhHtQHSJHDYkNU+OiYUJma7DbtctCTDLkRfpycWxINGnalSffoS7yaWErte
Tl1mX+uOXLd5iqdJdF8TEuXFKT6bjiRnEiw6YoZvhkrecbs6a2oAm9qt+VmkagH2Dxvd00f2MAbv
B2PUwPUToT1FDtLQt0CmZDpQPpovRWy/LbG+7IYwbHe1yxXO+rnYq3guSlDQAv5PukcVms8F/d1N
kC/vjpEdDKGT8RXE7Y9UUuaS0NghkbLjrdsW6Y43FBmWaH6Emlnscpvkg8vXOmF4mAlGf3Lb1Cap
D15nO5j2Ww1Pt9A4vwUz72DRII2G9Q/inOPRCbf8GG/ZUFs3FQk77dz378ZkMbQfe/Nom3wvoMPo
JEPxTjpPAvLKaI7jVDcbUVrq2kUZcuAhfYjazo8afrCuN+J7t7Q/CQHGjk76TP5cFNpDFJoFZRsw
0yxw1nH5FQiS42R2r4tbgTqpxd4KLWh6aYU3WEU7mAHsm5PB3Ldq5Kl2YphY1iqUGPLHzoiVH7WV
6ckm3TfJXeEathdpSEYD1/YEctTZgLwdN+MKGGLDQiorp3GnzYG+zfJwoy3o0kIZ4BQNSy/Ap982
8y5ouA5Xpfm4COJUsazWm7pzHb8X9oOtsocmiU5Eau/RVRS+lVg/kT+1XpRotEJGtnFkZvRBNefe
bGmWW+sjVN66VdBi/ccfpE0JSCy92OIcehhsgxkxKgJIUC1TuxgKuUrfMZLmnIcxZ5L1ZLRsPEZI
0InbDW/p8lBEDYI1KbxCPgJKuRcxX8DUEky5prZUyue4EvYeUKtHOFtxZU8/aZbnXjSJWzs85y3t
iYHSIKNId4Qd+ybtRr1Nyq3qB+6o5mBtukbz2gCUeLY8NoQNLkNCYcjml+uc6YNzWLoCeV7y3Olk
r9f2gYwKtBpCjdt08VTG1Twtbus8enCo5E5R8BAMTr43qnBv5M0tiRQv04DSIp50BwceW1Jb7rWO
f4NB9eDVIa1FMR7lwCpuRsubWo0NfGnn1ZfGVB8qW+c2rYeD8jkOdWMjTaQOtg77NvxB8H3gN0X2
rrLRBqUQbpyKK5gQ9TEWkA3pxvSbfR5ybc0Z6mPTBFaLvLbt6NksRs6Jm5qHluSzTcuUhpgP8+AK
eql5bt4nmGUxxOM/ieqR5yM1nzsQjFepXoLjTZIbVG3GUc/FGxJ0exszMZ03fYcDsolzPER2/pbL
QpHi3dE5LmovM9hfTTMAHcHOeBw0m1Be2AOsnIT4A0eax7nTCoqjivFGogzgL/MK7E/Mx1GRNDUj
btWM92RqzqB1CAPs6ud+NKNv2wk/uBWlbwywLbIZ7vHUn4Ik+jVX1Ts4kwJBCi5C0WVkkeh0IApk
ahMhpNqAPtuGLoRVVvuSEc5rHKgPSPEztkt5hdSQxYV25S0heWQTwYl4FmVFlyz6EtQB92s2KXNq
aAPZfNfk6m1p+m8arhhSNac9IqDhAsekavY6VEzMkRWocKM7Xn6xucapDCLxG7Sx+kSKZW3lqB9X
cQXDwLTaYjVy6BI2k9eycEF+UQPqZnuc18izuQ674+WP//oFYOxng2Vj+6//S6xfdvlahsD7tjUE
zoNCIoAd5enyOxSx6T4yuLTkoL032RgCCR7qX7R9l2MuujanmHbmY1h3yxGC0nIsxuaVzybxL3+K
F0A2QFMoNScgBYlxr2YcMiYzJt+tqZH7RAbnfpgPWgLzmlYsnZLYuovJc9vATWHmGg+fkXEaOwIa
pa2OZgYIwunvM9k+TB1Ybgf7Bf3feT9Y/Ru6XEgwX1SIwZ6Ml9SPrd/0bhycDVec0v7QymfcpiYX
WQpb/HfBK2MYBG81CUIRvWOvSRDGcSORjlSHibqIDWQ4ChVxX4ubhNSphE0hNC2Uq2eRD84zsNNt
gvbhPdYsfofD/FD0bv8q8I5w1iA4QDSQNfvC0ompzWGKNkNBE82pbrREaY8tDZvreVULB3kavScc
yXSZx/nOLQzbnxN8HprEYqWaOXoPTFJOHGR4tg3BAGv3tuIfO1g0ZWmaOgflTHuNIISbOsy+YPpB
f0zrF8PRAC21dNdrCwNXGtDhK3XzzaojoueL4bOU+ICbkGFiVjfZtjemrdOL8qpIAckGobBvRou2
ax+PxnuQocILk7C/I4wtu0nHFsm+BtYDPka9m9ZLc0qmyT3dyOGcz5ySl2/TzOjTKUwkVnPlXkl7
Lrdoz/Tff9nZ1dsQlfhjlA37K16TASqjusmWHm7AB/0jhJgZ6FSgUDsnwuvQLhEVMprPIc2EH0Xr
UAKCBNtD51tRX/uG0T6S0JIqxgY44i1wscNtYkzRqz1alKQkM14VgY03MUjwZTvBrcxdkrr60UtW
vGbcwIqD1q1fdXTJjZAjZpqIHcew+OWQ0dWzJJCb0HtxrgeUJic7hiNjjdw5Rdd/RLTIo7aMgCWK
bUbVgHRqbaNiLgyYejpJNZwuv/vXL0bZP+P3qHxZSecKWfq1kBJUfLNNRvNUu/SPK97Ta7PRbpsk
6zyBHgPDICHpjhk122JGemi5X3kQNl632OwvjGUWax3mGEGMcpJdInZAvXLZ8LjHYggeyQJOTBwb
+C4asWXJTJNHz2wHp7G6HZPycY6Gz9Rgo9d72sFLRONhstBDkt0SMJMIucGwOVNadyhWRv3aXvLh
yBwfeFVB2CdBfHu2VzaqFVVYD/0TBydMVLApMUlIyFnro2sMM5+qLV6ltg/9OkLG5iLkPFKKNV7m
topBSTUeTRXCa4CpUMCcD85lziCrz+MHoUhOjGcuS+Unp5SXxlO/N2ulP47tZB1n6XRXRdj4AvXb
QfQZwbfaK4ONnVTGXZTaDaUr4L6QCzli6y0Gz35r9epXndPZWRiN8ECByxTgXpbVyoF3jbjzwZPJ
uzDVp1Ytrt8XR7cnKVYznKM+Y3gSs/xqgua2jfudHeKHG6iQ3V6/SiIt95cplgcMmajDimE7qugp
KZzpbI/LDOafbktieoY9PobxlO2anoZwRjutyOZij/pL7PJ4eo+DJQBfr9d7Up1ey3mUxzwKe69b
JR7DzE5OtvuVYVcnPY43o4RxnffbtJ63TeD4cSR/kBD5Y8wQziVo/Mo2CPygSATOFn6BeGNB6ejd
TUuoJHDPzRwkBxqZoWcx5jiasA6uhLak/uDUd0vNxqz1+LhQ3RQbQNbDVbGkDENzbFtmPPuRLHkR
S/XLIfsUU/QOeMT5/5PiL9x32/1PpPhDk30Un38Cxa/f8BsUr9n/RPdgC+U6FvNS09L5q/Gr7f7X
PzRd/JPNQblQ+mxQfab5L1S8lP+EzSltx6B1axm6y3e1SLuhyEv9n3yprhxh6JZrmY78x//+n4D4
w6/yrswQWBTtX/78X0Wf35VgsloY9Oof/1X9/rKVaC8ttHSgquTlv0EtZ/0FFK9IQsTXApWycLWC
u617N0XLKopO+31YmfJUqhZ3Qoz4RUckhp+pArqg1Bc6fOkvulyf1ABaMGVUaJMJ1poIHEOVj7u4
2f3hff3vF//HF6ug6v/lxTqOaQPKl/zkynAt/v7XxwPo+fVH+x/wckSRgoLYJFN6i1kHp0oE66rF
RzKIHJVxTyjKmKzgYZisboAExa2JFVXZHf00xJPdfeCgvu066/3yc7GyjQ26edqqurFfQvsurNpo
V/K/cgWyJpxSWqCbUHqYd6gcDZtDatouqPeimOTJsc1tTbaOF45UML3NnKstDpXBPMvM6BIwOvED
Lf5uIbAhCGISZyYj90dj1JnSEjfhltJEQZR/2QZ5Xo09snNGDQpR+2wABkKMlIUngBbRxtKb17CG
7q53ojwrZagH1J5qv4iVWdsZ7ypF/2hG5j0VvHkI+Ufo75Y3dUCYZqh2CtUsffHRvpYT1tuMLcOb
16zwwJn9Gc4CzSUgms0iJdLc/Gw0DDoJW1rzpMC/jhFij4ocVgqc1HJe2rl4F1N6HDrm6Em/OEcq
SoZ/QeT95w/dIGThrx+6a6E8B5lk6qYunT9/6A0tDU2lfOj60BJMOGCm6esS6lQctqfLL0Y1t6eu
ZOes2W37ob8dqXQ29bjW65HNgCuAClWkDRmioWTEZW3ypY4OBFDdxvhCrxcCGCOITNcyma7+88tf
1/e/v3xIega1sAF0mtCHPz6z0NWjFP9vvYm5IRyQI5FSIJP4Bs/CVZcwueWB3M0JFxY09G2bUAi7
iPcdZrlljvMjwTeUpYZNXJyWEdBO4VEyf/l/eJWO4wrTdgSVvDD+/CqHtfNAnme9merlDtjPOUwp
0wN7hIZDIuVhEh9LbBokaxOMRlRLodMPCSo7u+nq9CZaeW9gZZ/Qi91kmZWjVbS6/d+8xn/bqlzb
ZKdcF74Q0P//8hodaqI6Q/q4cedI9922/0C5zkXbFOl154CGSnXer4klqZV03vB3kijgXGeoBraX
t3JOSVN2I8RClG87LBnGisotzGb7f/9KuU2wqRrSsARRIH9+N5VipEP2Z7khm7tjPo1GoWczv1pt
pW4xsCtN0y87ckf0949RRaQyLDZ6uYxqg8g6DCFsWzDUzIprGk6oqAjbSbXbIclK/z+/VGN9KX/a
/3GX0IDWeV91kKvWX95U+hpzYpLRRAOGgUvb0ylj3slIsCgy3sLpjWtmQUmaQS7pBvETJAd39JlY
dWvdp5AhwQMsI1hKK0YDi1ZemMeiwcCcLtlr2Kvsbw4B+W/7gWvLNWkIDyzKQ1OsC+4PhwDkk9BU
+sQI0nK+mcOYz0F0lnp/o2dMGSjAQMy9DVYCCkqv2OPa9LucJ5ctWhD1Ng9+DEdyA3TT4Myzv/Sl
+UaKuHCWZRsuWWbX3zKN2lye8JFo0JMzqH4TtWjFko57WusQz92HJT7Vgt5i5IZPIit2IjDbnbRL
NK2VwZiaS8cVufHtbR7ld1mK9KiwxmeEuta9Skd5lzenWJZr0G5w1N3vNUDyoY0KdNNWIk9c+5nI
gdpiTvefP3H9z9EwnPjr+8dWqpSu1oLkL/spIYUAquoBMD4a6l2GPufkxqtCcD3oxciHuvAU9Mq6
iqus3ucNMxdulMeSFj8p7z1QRJ1IBctvG22++ZsXtz5uf3kcJZg5QV2CmkhYawXwhw8XX4IWSIv4
DXCJ0Y4zGAZQFGL4129RL3f+IORwbQjDd/Ftcrly3KNhp915Ttvh7w6edWf+82shQtxycdAqw9R1
se5Hf3gttjMRuh2Sg6p6zbmq8ya+XYyUbsmsXi5/6nphnOin7u1qnm86Ayy/JsWLJOEJFiAPCCDr
7xE7KW3CzNyDZY63RGCrKzE3BNqsF1EgHYcwblyvt3XCnGttjzg/+pslw6r49w9dWYIT1DAUi0eZ
66L6w88iQ9W6doJZvicCzO+aqIDHi+YUzrwRmXTE8a348WK7POMGfGAhT4asMNz1RMCti8Dslrcs
JAgyKhFamaukqhbA9IE8G14zMdKwymM2NydSeOsj/rNTK/TqbqzyA7pGWqzKINJ4YLij6sq/1F1Z
xzkX44vyNWzuh3atPJj8PUs37TgRrV+oJ66TMXO4JA1rMVVsa/ujbYKYxQbpltbiTwMQJsFoDvKF
4UEtJLpY3QIVvkw+Kiv6BXkjg/9VUOEAyLHqwiT60DQPMdzhmzZhV2AghHNqHIeNVInha/W8QRvn
nLFRglJjMdiOVv0oVYHyooy2tZsjM2jjx3py2k2W4/Bv5JYYcAAZFY07OoDxDVr8IY2NM3hRooSC
c8jG66MjgIUQ5xPjDpKEmzJ9vBSo4xzGNziObx0W7g4N7Ws0t9ZexfqrCCvNlxNZLaHSxO83KF7y
XeMO5TlFrwF1Hd6TQP/YRpM/ZAVBNkZe3oxF+oElr0K9rt0yTQZcQHaO1CLKwJzBgDtLz1H1L36G
6LAQsg41M0TMnUbPeVe8odhEQ22l+e7yEbt2qVHpEurncoaRMvPz8lGNI9YEZZ9yPuJxroJtn6EP
r2Xx07K06Q5RriABgB5/WIC9UjZDimSRT22AMIqG5JbIna0d8JnnMQ7K9a2Gddt5aVA/mV2OdAkh
0OB3pW7sNAi9XrnQsnTpXNPJbPZOCOGYrGicajr/PFNUOkXj0EKn4VNN6vmR9syAMCd/iY142dZx
rXvWJLeAwRQCD8d87Jfp2slGiKrB7PPD9j0jm9xQzlYN+P3nblCIlpVNrE/lh7LxHTeOb4JwrPy0
zQErRLN2DqWro4LGBl+3pEVUU31QM9y8Kk+krxOn3Jsg+np34sNo+91E9BOilDZ8G79rB+aEYGXs
xvXyMtBFAT+FU0crBWj04GTVFqE3Nq22wJURp9XM4L9JkIVmI73uwOS9rX85IKl7JIZHRincBKT+
61JFJvif2NtMr2qZTIQFE92RQRiWhlmreDGL+1NvbZIu1nc+CJryEQWxH9W6PC0V1fy6uOdVrRLI
HR53THLoXal49H2chSxoLpUnqOcskKWLfLc08/3lCqlFGvCBXCIABjtfDwRZQOjDy8hoOFCfw5DT
S0SNztuX2FsytjiizWLwe/utQ2hVVo3ama37gJYG6Bo9z1i/Tpam2F3efWTI3lLlBSLWptm1JmmH
eKs+0mW4KcnEuaoYBq5Bvqi0qwYTTON0WwdpYLg45jGp8Pb0Jgu+YLxkFPmTWekvehLHv4uZaime
YPZZ22BGlE/UFyu8aNudGZKMjXViaeP6OLrlydb16naiu5b0r3XqfHN3uE50CL3hpLYFIcNtyZbo
YmpAiYfILm0j+/j73ZnAulQqxMg9s/GllvFCTzS6zQ7IpmiLRvHNZZn6JoB9DPXpCJffcWBwECwz
jHI50RdDyNthNjnExgJuLEAc3xFttBa/rsmNvRcIuPqoRHk+l48mhri6yM2HuUV6rA0TsR3AlOgs
IUIKeJajpk53Cplnk+U/L2//ZSdbAtsfylp/cKqAOEn0VD2yC6KXgE1mgc0svQuygP5WMp6HuCSu
9FI7JFm/vTxEtgquVdVWIObXxayXS37TMqKJbR5gZrl+gSGvJOfy8qQ1630Wofhld65Z94oWADiU
5L2tSYdKOFq79W4Eu+GmFzOiQhWrXVCm1gFmniXUsDFbR1ujI74daXBrMuYD2pvUc5j4XHGJ7NEL
dKDWTKBteBLtAOA16tTiWNdzv0nBoPtySQuybHpkOZ2xyVwzgxpfaN5licSJmveNJC2zjo09Eyp2
kXUhSbQBkWnl296Kdg4ujU2FZWSGjJTRA4xHoltsnXCaJm3m7eXbuHys44vS2bX6sGxdsDxEg85h
wr7SZyCF4ux7RshnAYTYcZe6nL+XExM2CY4lDGDurHLPWqbiGLt0PNaYAq3rrrIIJkDLTxeQZemP
riy92o0fFSFp//0x9NMDsO3hhMB4xp9vZhtuVFDMwuEJl1L+mM+EJQD+LIl6juXylLZUfjK1eiJc
Ff4NIisBxNs7Eimue5TJe23KuZXGLjerdMhPwRi1W+EiQqgsVCLZcFjc8npOe3WbxC+08RXC0N7a
1Diu7503yyDJ4VJ46gPiaj3MSeNu49IHEu7hnuNsD8rgSMXa7oDvoEd2yENysg7Demx9IOEVFE02
oOJkmc7xVFgHvaRJo0z1KxbV6NssGyNufDsC/mCaSM8ue21oxeGGTjjED5dplZzDfQNh1+9mMW4k
0/1mnUGyJ5sTIbvEpKZ1EeySrPZcnT0xHAprnys29mnUUdVVI2aGNq8O2bqEIHftpwjDfO0o2vA6
P6lNJuiEOph++0I5k1aUQf1O6zDeSYcPeSTqJxNNeE4ghHmaCxmi3GXK+NASIR/tJvs2SSSb6eqn
hRi2xdoYuNzQL0+EZAE3TQYnXZsoZhRBBLZIj26IYr5kpFzYkOc7HM+YmHoySm2YwUXc/IKSUeBc
cwA79fFwSKr5Lcu5G8G2uZ3j1IaRwPN2aQKUAIf0Bp1tWgaUhiC1d2LUd6nrYq9HGLYV2uxsEWTi
bVrEj9Jxhr0VpIDvMMEiku8egrQVPLfr8A/DejYDWLPYnXfSPTBrJKgpYr++nJOYnmJU+sFjNskD
4gTj2pJMc9xkPFRpEj0uNQSAFpEDgVbmIW3CdzGS62ak6SujgcrPWqrr1C5GRNP0IqNuAcePlbDL
JCrgLIOaUQK/qqBcLZLEJovYdsMNNfZEzPUdMWlpEaN2RId1K3Xyuh8x/JkH3v2a7c5+uRzZmv5h
KPQ/NHd9MgnXA7UukJAE+aYPl9jX5wJg91prXJZvCjQCcDi86IQJjx3pD79voSYMY5iKCLLwR9zI
yhBb4B6ejqdwZ+Yd+INirZ5tVvlQSOFrjrb43FbqQ6mNzS0qkpONCtGkk1UuHGxR7pYeoZ1sRWux
AgRdgsSbhqvAVMjeL/t2vUTfpDJVV5rOwKDonGGjZvD5l41YgMnfKTBqTctuyYXCxIubfV/u/jJS
32DZtXNJuLGZJMP2d4tVJdOWQQgMIFUNzBbj+w6ES0HL4FKM2br7qgBDk/zWn6TMuDSYxfVUFlts
htFVEgzcloPx7lIDmm0L8iw3083lcCLEemswttktTFfNao0aMLa21TSnMr4LIKCeLy9xyNLrNfVG
cTbcrg3XtCxPRuBkOE1aANQdYsRpxKZEnUVqhQIAD7pp0q0DpXL3NAL/oR+KAXZNYaxAyLKRXLoH
l8e9bCDm9ku45c5KJ2mMruHOQjtg98/JlrgpyH8M1iOj68PbvGqds3i+FDbMXNJjYDAWUzhqizS+
c+g3HmQPH2iYGCPr0az8MDdK4Hyhue3b5jxUy4vmMiRbkHqihTmGgeal2B78gudhg5BwPlcuYjU4
v5V/+QDqBHsc8hZPF6np5TrqudYmyEVPqv3lERybmtNqLndtgDMngjuLKFrsu2HVMiHrhkdaIvIy
ZOZuBj6Uw9hGy7E2zbNDhyJos/Ks19EvBm262JRhXPgDXQ1sKlnxZi3yli7s0zw0JyDLwTO097M+
W0/WFLxroQNiju6JvkHMNlyFw2AxZCaB0CBAjyJSNB4tukCY1dlBl9NJ0i60kI9spFEP3x6BrOVi
Y+tG8BL2u1FTsfakJd1K96muC8xzVbAz4G0gOqm/IWuHHpAnZP32shfmQOpnydUsaiM84gB+ddH8
KhEBYMerDtx+VuFh5AIfdu/mfHF8sx8av4kJum+Rh4IwkiPZd2IiP1z/0Xc2jf4y7cnF6fWTVkAM
SCqTWDzIoYkJTSNskGSsAJ7Lt2S6QGRuL2je482iL/FBBBo1mphepy5sPcs1wKigJ8fEmGzRzSBw
pHTE1WuK4UtyM4KlsC60x6K1qKBi9HxC/pQ1ZWUdzDZSJJjeBuGhqV3jTLJRxU5m/RoFRXQcKuaK
aKy3QFTMHdVetoHzcnRbuPFJcm3EX6WJTwV1ZmvwzVpsY9jZO8TY+C7XxDBGBAzFAVG2Avoz46HP
2zHagqJ7N6T4tiZ8CDGM2U1aSp81obw5hoXf6Ov5bEpOwCDeGwVmprwvE99y7JPN87VBGntlw6fd
QkTyIiu8zg3NvJ4zm/Yd1/QKgPamlDNDkRr+7bIYy4ZAhrFLH2hcfCNUj6/MuYVFROt3iznUq7hM
rW6iTWLbASMa/cN1gcQp/DauNWjHpVI/omSmnotjwNmN3I9mw1NH2mYFeukqHSlYzbEnNhSvgpHC
JeSiXrggtKwE9aMYPWjfGkAUTHY4m3/Yg3hx1tEOV6uAooWe/6ErcmdnQLESxAXsqyBVHJTc+TtH
ec3ikhK+RK91Pu+Ekc37pc5Wd8jPOL6zmsGkyCQT0mHKTdugn/Zma1+tf13AS9nXQOHtCA4OYfH1
ndnE02Yqv7ntpugXbL9JCnINOrntRPyFgRFKXKaY/6Jnn0ScbKZc1Vd1RnsjaLaZIfk49PldGxSI
wmlCPxSBeLQZKruSr93xgr0BhCXO+3M20IJ0KzQGSXGgY8hlPnwd+VnmhAFAaREuh78JeS4XDeth
kRtp9TMQiApR53cwo+huGjCXMZh3JvudgTMc9cwpOodBAuNME9e0Px9tVTzM6hAxdceUsnw707pp
98GKEpSPjgqOEtDMocfcatdpf0hg+qRO9AmMi+REmkTGyolisZAwX3LPaIT6OUrruW5FDfXZfa3A
OYoQC0z2Q0qYT0BiP/oseAlNrHu2GxxQvOJSTp0DtdIzKBbkGMv0JFwD1/14F+TJPQXmOS7DnzNA
zB2gv2MN4b0TFbkjOjmlbSYnz3GEv7hYJvugsHDNuryoQr5MepL6FPiDw7Vpgv6Eiu6boxvvXYg9
KoczouktQb1O/IXmAfpKSscVulwalffREmF3FkrzswmyjhoCACpCvjZG+9Kp0m8kP2OZWYFHOFPO
IslwTQCoyeKx3lSS4r4wIFdLkpnoakNF4i6QF1UHbmDUthY1Kps5VVlkuS/DiHC+wpmhYXEDSLkh
13Tn1tF1E6TflsIIsiT6I9pTEL72oavt4VzO7mdvm2oDYUftCLD6DkG149ZOB6+UbbPpjB7JeotT
MQrIF42F9si07UiEdHMKrWDGOQnoysDgPJrGYQkze5/9H8rObDluJcuyv5KW78gC4BjNOtusY54Y
wUEUKb7AKJHCPDkc49/0t/SP9QJ4M7Pqdllb1cu9pIIMKSIA9+Pn7L02QnAOUBVKfYRwe605Z1Pu
bpQF601LX0VtQpIrUXFKv2cTp0zIy/FlHCy0P+DIqsmCtFSQ3jwYFcAbOou/5byUeUg2ceKBa1Rt
eeXTpiXL4ZUSxYAxE9jZDhH2OCxHxSrdxkDXTnl/SuhEABDyoN+BhgwafMOWIJqxjmkYkdRQ4hyZ
xR5nODKCohRMYz5Vr05rtQfK99+m+WSadcIC6ZDPkkANkW8l2Xh+jPKJ9JojQVOMGjgrE4xTjjtl
Dfsi7bsdIvwJL2x4SxG0xCbrbOt6r2Qu6Axb421VAEGRxrER4p56o18PBPOuKCRPgI6yjTuKO/rM
W2EW6FRbGOBMxptNlTHjLut7r2XFV7kn1+6YkjE6sOFLBWSzoQvgiuK31alb4e1URa8maMDdtsZG
bvkQZ8Mrvh88lqzR/VM240bJ9Cs3FV3DRnRHzuDlpSsHTCKconhrKpY3JUMOUEA5EVTtO7tlGfSn
Y+gHOqEv3c9E75FIud0J+bK/ytUjfWyCTNXBns0yDvgkXLEmxnN0wXEsX4l0IuzBJL5cxQX5ds5B
qx7wLE4HLLm/3Q5m/1i9Q1j4JlX8O0HLv0lmcaep2TFCdlaSGnU7gFqk/SDsZ33tJ53NmNgQ212D
n3VBmJATaVXJqU1P9PoYF4G1QRXkvOceK1pfmuBqcLF66jfqgjfVY8TuDJTls+2osIgkz32H1TfQ
1Llva3KhimdMW8k5iG46LFryIdifhibaNlr2Nqkcy6YS8JGCgaziQe0LoyVNoDBcKghM9rYTsHyY
pGHhSkqJFhlRAWCs7Dls2/0DeyXwPMv+3tigJDG3UUhBlKg9nwgP1mjTYl5OJsSl8iA/w97/rdke
XXQ4d2ijzqk3fvbTq6bX3tHWvacR/zI6APhYBL6ritJd5XG9MaPs3NIc6BEK7JD9QV07u2C5LnlF
xg1tDJxslDVOYVqrRENqy/rHyAPpVVizgKrpYnnBCY4DtLs0wRYSwrUPrCKjZJu2LvE8vGEm+SAS
1X5fsYqO2CmkP+2Aej101s3pDrLofqaR+gxN62EsOrzhpfdCpA9KX6t7R15cOKxvZQzaUO9zcTDH
bQn0Gb84HSev8hrOKA7DLUCgubdKb2VJ6JCv9QaCsSzaOk2AXp2aeU3ypEH6jcUUY6OhL155HKi2
CXy7DfYpdn/mxwi76Y3h/JT9arSjaJfEBFimBSCuoXZ0MiDkR9vF045G8X1eV8PZ990Hlyz0fS+z
57TXHtMqtldVbf1uychcoVY9w9nKYFxM75RNtyCB0zh49YvVl6juEiTbkD8+pQsEj7gYfUva01hY
ECFbksFNLbP3SYdmkgBOsk9BU296qb8n5PjsNbe+I1NHM+2NhEWE54/2SJ7W7xWmQQMWRaBc1m6o
jHqYbpV4x2uGn8XDtzfpHQmdlJwYLL3mwGT6YIj+11SbT1akKGcC6qGQJgC4dxYr1ms3bL53DW2+
6CkZMAdRgCEPxOOGHhXdOrTvKMK2JwCMUqF3DTk+AqS1wTnBgi2dMk0YU0pWJLndqXXy20DO7ybj
RsjH5AfO0GNVAxpGd/rg+PfMZJ4x6FenMqYorjJn7ZoTuGfiZ1eixsia6sHATMCRe8PrxabupPtt
qlB3llEMdXH+lim4do28+mF5kOmn/6SSi2jqpkMgRIpHFk33y0/K2XWrMqtZ5yZegJrC5r6Z/yPT
DnViCZcu6XxxL/zJukfCiaLSaLbD0A9HE877t6KP+k2D7S6OKRUThFW4rNiH5qN2p2cscT7GMVfs
oOOvpZe0JxbnHs4GMkeHkEbI90FwaOgXrqcB9zT4/X3n7eIktI6EBb7igPZ3LFWwEp2w3mLSx8QZ
wIZKKme9nOpb8iDSvOpvQYvSlfwr+vcCNAn5aDnxRa9SDdCIm+Le7/p8bWRjv7PmSXYhEFoug2+G
yHtTP7sBS9I4TPKYJwMZLWk542n0GH0wXjvWHHCOtKwm5EcjGvpVafrWtpsPo3Do1Fbnj77UTvl7
jLluT4mLe19M3b6vRb8zJipikIB+ypuYOQp1Sj9ETH2Vu2Peh0/ASa3DlH8qqeQzG9OiPZuP//kg
KGWAJu38CgWTlzvFvjemH13Cq6Y1xyntnWMUJi/aZnQfeiQZJRyNbrB3YgyHvUcMX2c47NTNRyhj
eLyeq67TEFLBI9qeCNVaFzVFXhF08eVgxp59dPqIxnMXfE6mYMdoZbMNFYU4qShoWHECXiINgqWr
BfmpcfjnW7mOOFof63tTaiEUIOwP4/goM9vbhz4qvEypZ4q3uINULuC+IbshBDkb4+/e8MKBgAmY
FU8MshK84OWHzDj0+5l8RejaPwjFtb20lSrO9qQjfU9jR95ZIykAemyewsl8rlLlX6s6qveOn3yq
MR3wt2O78d3WPU3Diwdx52s65TW2tR6iEIeyxYQmIt55W0Tt3dKHH53QoPFKQPnSj1i6PkWMYMIN
kmFvWVBxEMnlm0TTr2UjOF7a8TGMwBQuHUYjb7iEzcAg1zTnoA7XyaqJK6mMcOBf0Vdfl20YcXbo
rfRg9BrpLVW1Hc32NWl9+U2l7pVzpHs3sYlTjMbU0zsf/euYiw2oWfKqaoZtuBbZEoLfPq31c8Ho
MGTOHQCFk+F4B+WJq0Drsl3nKJxkqPgIN+b8H/bjhZI8OlXhQDYpFzODueE+NdVrnBIe6XjooIld
PcSW95vW926SQ3peBnWVYKyQoRmowbjuqJDYJ+cWqNdxe4qR8gad3geqJnGEu8ssZpZ+JapkcJCy
owe+e8zQcQNZaCMUwgNXcfTkpSjtlYjaDahQtiOdNsbyqqmbV7XHVLAf0aKXkMO3yp9Q+1fYg+hv
bYATt7x7WEbnv8cmx48fAONJ+vBI14FuBkRETIBNjMx9ESqWtF7Rhvs4FwLvsPTPqj78HgBJO0km
pSpuHyki/QNJtOba5/04afhwq362nQ7w9ITdmDt6sSjQJ0qBETYJJGAJsrEAIRSX8JWTPKWeb+le
avAC2CPkKshIH4MIN+vKmfMKQoLYvZmvIy5AOVFxZCfXfBek7qcy9PvI1btLZuc0T53Couc3X+It
29CstbL8uAd05+9kMF7sdBp2nq5eGjI9mSbg41GR/mAxa57d/DNTpr5XqBDPurSuFrAlb+r9o/I1
MjtKwbygiwtc16nzOLdFzUgmxyil2d2auruPG/FbKs9DXN2Oh1jxQiKChipZEU2UTz/caXQJuILm
YbzGk2neRhOOVQPm5EtcRR+qJtxtxhvPPeyARL69X1Z4bkYr3helcXC6MT2VGm4ujkuHYCyrXa2x
iSac++/t2Omu5IExSWb19UFoJ9Zq6f0x0a1W1cSGPmWIpQLrwS0AVzVzj9d9ixjVnnFTRbia3Yus
EUOlqH5U74DrBbtlz/pKtxEJlQM+bqi4auyTs4qP0DbzM0d7Lg+i8oK4PMVJlN9aTGvQC9ptJ3J7
OzbOk9nTLPVq+dE4TriqHe3mCQlMgIumHYgPJlX6md49+fH5d7/v3M3XnSB9bx9UWr2FHirWVVSd
rNa9RrFE5VVfi+ipyYiKQ2PxYkm7OrXzGqIRcrYSCG4PA02AdS2sF0EM9wqQT70zClXtlGg3IyR/
Cnrrj56431CQxtUQAYhks3Ug2SDEYnpZerm3UfZP0h20s++EBz3Im2PGcDJL4ZSRgUXHNWbcTao5
/nw83/bY4Oqogp/Ahrn65vF6kSJ+MNsmvOFpJ3fZfDeofa8u0JZTEUTt14dE09TYi74z1gajkGKe
VlozFlR1RL0X8kM08SH2sh89SLA9uI4nLC/1UYwAz/MBCyIhdu6msczwPgbo7hmnRaowThkiAoQ+
Fy+SK9lNPUHaCqtFqH0mRh0cJs98QGcyeoL+ZNyjGcnJtCeoZB1KshAIlyRsJ27du+WlhJZX7kIq
GAyhnMk8cLJmXZOmMSbOAR6XfbAluVncaw+G7W3HusAZ0yI9jmLt6MHZv3SjdTekjXZ2Ne+9LJw5
xJrfbzoyHtOccBj7W089X1spYos0/xl2fbpN1am08QbVQQ1PA/p8lxTTpvEZYg8I/HShf1N8Qryb
HcQd10Jq00bbNkCA0QeonGOo2KAzPkuSaVNtXAnXS59VF1wKgVyk9hS8Hj09gx1e1iAVA2cXwTRu
INIRzEYYzMqMh8+pT39XDsyQGpkdRTdj5whpxpYh1UTKJxXcsqHllSJdiXUDs9ttKUrKRpME+ZEV
1pYeOQkh4urcRG7o5YU6+IqpmMe6oc/CKwndQ/fH32EfhD90bqVFirgUSssyv2wXVVv/NjwPWNLI
qAR7ZVd6wQMoTvBbsIb3WPqg07f2OZUESfoFvdm8UVvHo69gTEG8sYOE8j4L7a3XAgXLqvJ1aMac
otqCcGn528qOfrROsby/iepZf7ths3xWRGmKQ9SGR6sCYhs2+cOyXE2zlCUS8JKVZkCpSFuaH0z1
C4KTQkYnhIzUJWib5GXZR74E9CijtDcMMkQbpdOPCYECBZ3GCjqPHl3bA7eZ9Nat8M0fPgE3Npyv
Q5/DE+1krEEu8i/09sNTopGuphWlvgd1/BG3oM7i1iRti+TxykuvrePDWdeI6ba+aWaPesEyEb2m
Fdwvv261rR62mPk9C5PAXJ+6KmAMJVlxYYwwY6YysyBcfI9TVtxFXLqo9mwdVzkZveuBrswes+lw
a5NZHEq7HkQBJ42CEpSzc0I7AsfWW6YFn8t8sp2H9lUvP3Airfveo++hyUtYtfEudp37zuA9+FIN
UVCUhizOTkPmpGsaAMc6Ccev0CCx6yH8Iah8mQZFlNM9mtN5wWGPCfck80E9fzHHBjMxNSnerXrD
igwZ3mf6D6+wPCPTZgQ4i7lVS9pC2+mcbdJR2y4fQivoN/W+9dyHCCCTXm576BSkbDT75fF5Cyx/
NVVIA6y1SJma52sOpclOukG8Rf3RbzSRRVezP6eEV4TmbJsoDx2IXvADrLbLKB8j+BGwv3OzBpdE
aYS5YoKoLyYYX/Mzhoih9sUM4m4DujMxQ56yDtvthPPk4DRjtMs1TuLoJwYMT5ybIm0TGZVFvclO
QBOMsShXJP2m7KoN4x5ehXZCxXFFZ/4swsw/hKV2b7W5uQlh0aK9BpnfE020fNDOkChshIxmyEIC
pB5VB7Me4TmbwqWRBXugNDs8gp1GkYkGkgthOWUtpTefzRzpXb7bXtkD4RoyOrs1CkubArLGYkIl
rJB/+K9lmT+1eC6uhYsMrW6G7Jy6iqwzcoP4mDFZsBxsMrgrgNUSuavs8qoCYW1q3sbFujHVlJ6R
Tosjq90zcRv2NUu4EjmWkXyT+ydioDHP0vjbLJ9eKRQPQjBZ0d2HLzNLz60Jx6EY7gv+oa0n42PQ
aPEmGOAKujYZtUsZGa6ZBRlghUbtmnbRKe6Mo06m0nqpNUjEJOjZRrUIuZu04uljEd/3KD23pRVf
GpZMqk8Pw5ButcFueVdJnQdaMHQ3F3VpqsHGclHYeZOlr2UK/qo2rPFkWxXGpMA4IKV4aNg9T2ZV
vSSdtYtV/RbFw51hdenXlsvtHW0419lbhGD5WrPyemWNy7jqrZbEBy+7mc9ZUauHP5QzSUYT1x4Z
5FJ44aLtn/zU0r6OOGRugyzRBGS9sL8tp+AQXG5tp6Boav9CH8e/ecmDndrl2lUgbVu88ZuG3uhy
R46l4k6CniLwXC87Zn6ctMTZL6t5mMiW87nfnHLpxXvIgGfMwXQC/eJpOZ0ObGB0GAN0Qr0XzKjc
917jRv8S0hoEYqfqvKxcyz5CmKq910um1NS0/MWTe3T0mqNVNPnbrHinbyyObd2P7BH02EUMFsEE
Y8yYoN8ty8EizmX52uu1vrUMe9jWnf3LC6ttp7VEk8bumlBsdWitkcFCibOefriFSgPOVgFTeZqa
lo2m8Dg074cRupzAyoYnh0F4lKN9SkKKkKL0xm0cQlYl2AjtZxi+2L4w9prHyVg6iHG51sW+76Jr
IuqH5UrWIQ+aJAtvaWM9Qkiuv45aIfwL3ZWIX+X5a7Ct0YNvzfZu8UMtH4LFsJW+9dYvXfOMhops
urTmzM4thopQ25qgAsDmZQ6RKHTa3KA6EsHy6NbdNY90cxs0zCJhAr0ZRgTHfRYsI8U2H0NityFs
M1AQZLVlGRlMdnGtFCScrzcTKN9WVebDsrwkbkraoedq61Ex+omSjHu+QEoqyze9aYuD1ujiLs+S
Denx4ggE6sOdVb1W3HF5tqa3LcKoBDbFXKgQ/Z0/HkVHq3ruzGRzxezOp/blTnXSfk4godMH9zRc
OSkEDdtCm1jPp81yFrPJOj6gjzBXQzx8J4IUyHVLoZkoiKrL+RiA1UdW1ggmbfp88FVQPjoj9J8h
/01f3j4vXxWjf88ckkXSp/wNmuLTBuvZw+g+MgwbV7r5s5xfDU7i5yhR49VBbAfMdPQoHUkUU837
cos5c9E97yuE2K/jXrwDLtHuZMlYeLHweWjczvo9NTHC4bqsDkWCjaZLCICX7uRDtcULDmBl7bIW
wHZxXiW8wMYOP9HnMvsdeFYrLy850mUItuYmKjmcadDatS6Ud7Hv7arS+BVqcLtly3Rn2fEn+glQ
IjD6xQvIrNc4rGK7Bqstz2JQc4QviC5R2Q/Ibb+RXc8IdygJaUAGg1wXgY+S2T3Eg18MYbJrWUsy
qvOMOBNaf4VfPUvu2F0voTJpsbFJHXGyQK1tU89IDjpH1FUojF+Jk9AwQgdNxecSN5Z7GWdgnImO
ltjXPvARX1lYOVPnd4EaqQmBiTVOxm5eBvScZ/n3rMj8WjTIQD3kzSDXTmC8WmSN0K0BYGO6jLzA
thvg/1BPLatPNDCXwkoOxWBSzBi5/JH5BLMsblj1NFs3nUxZJnxBZ2fWZc0+rFmgCcJiR1Ktv43S
tD90ESGJxBVns4Y5VDli/CCDLW79yofAv2mmohmDIlVh0+5ahHDVkHt7+rbOumg5n30dF0s40l+N
CD/+sGvNui+TNyQgsDKjtDrYxQdhuC51W5StmzKklZKTjTM16mFU0w9NENia+HSkTHehtkRPytpY
JYb6pS7TzGYnMsaY8awg8J2CaZKRP2aRApoo1MwCgevS49iYdMJWTUDtc05J25Zb4t14WS1ZmT0q
UDrp1V7ljiTsur+IYfROUz2+NmUZ3VGSkCuL5qeOnqwTZinCuo3UQL4r0bH1ya5BQn7OR2ddTr3a
CJNuq2BvqgfOV3Kq9jWI7THCoZO5D6NhB8jzIdVMZv9osiBfm5wXYcTH5cPTErh3hkQ4Q/ex2ZfQ
nhZpqhnUnKSZq47pBOCJavGUEEPTJBsfOyCLEAsrq+ularat0x7byA7v8Xo6cCerqT7WKNFWXqL5
K0OgKrDd6GZotn/6kvsumn/kVAgPu0H3j3YdxCfSW46ahXwxFh90Hs2tZAvlxMqIhZkVcsDRnxcZ
KrUhbdEwuZDFLXM86byN+6Q0CH1EXXOCtrXW8ECeatcrLqZf4sihwlFieNIDpd94O4lBVyYQCmQc
K4b2+DrIeIx9AR90YIvl8iMPI/bu2pJN2xvCUzBFd6rx85XWKLI0neIYVACJGMD3eA5m89tcRMlC
Niebs/jaIZnPT+bTcmS/DzQ17mqa0bsGxshIEt02LHKQE/Pv+HQtjjJEILxcNUN70CcklHXuvn01
yJrgwwuqfYxQ6byUw8rrTsgztY0n0VVMPUl1jkNukQ0bG+5u+OEH9wgF8+MiISy8sD9n3RRf6iF4
SPVx2Fe6MxwyI3gF7YNbAoEQvPWfhl5h9BoNEu/s34kXi/Ny2hwm8yar0r3PtXondYgPXoKAOvTD
m/puwQS7X64iAWpvl+kldbtCv+kCKTiB/11nc7OyIH1EviGVcJ+6lM4J+KgjLZTmEDd0FYbqUyvP
fUGmQOFBlS9pM1oesnjXspBnokvbkVBv0+zw7Q2fvizG9jQgZy61gQAciyTeWUrN5sxEWCR3fRPQ
QQ3Nj3Y2OsuufM07UW8QfJibtoX7HZfJmYSzB8w/nCIQPC1rUayCje6G1k74FZRsEL77jOqLsjVA
TwiFnQ7VUqm2OIEPWRI+N1aNhctMr8sbHbVtgFek++GnbsIFH9eXHkJTMuvu6yj2zxUlyloL4qey
dm4OXVJYa0fD1pAIzX3IeLDlnonR02LtjXEO+YrDLLr9/dK61g34MGlx9EpFP9fR4HbOJ9EiRvmL
IpbG4NJPIocXCSnu+hhintdlhIPZzGuJDvoyJap6AippQ08JIqcF2cOQQG+YJWRArbHPYXW3Ekwc
xnicJyWiQh1h4+I+BjbKs2WJXV5uqvTTwHxwOwpNP5BIu0XulW4wGAyHkHCdO9p+32vANnxI/R3q
zx5FQlnuplwk16KpCI5iLh+0B4t/7gml0Es0zCU9Z6itCsLoZooPhxSlU1xmv/oMWEWPDw0m60/U
bPXXR05sfbKTvWAolFjFpdD7VcKwj0wwjeZO+27myOWX8i6FEg8XNlI7NJQj5iU/vLPD8jT2fnFx
sJOupya6YC8kPxl8ptdN+i1oHm3IOydz7gkixHuLDcxw9KK6UolDB4NpvZxN8CquS8/WoIghuEol
A6m5FR2gi1xnCNsOHUxO9hUS8ZIfy+Ki5uuV1i+cEi1ECD0fycv0NRrh2/F/bBzf8n4qWdS5WRqw
Q7vFjm/Grn1M03ITuoE4VcmXG6NBJwhUsPA3DCuLjZ7Z49YHr7J1NMEIP7gsbwCCgvi6fCU7Hc0u
bG/2UP8GHda7Ryf/5LduempHiDhBb52dcHTOSx3AiaA8V2iP1lCcQwwYXX5CsXuG0IMwfLkeapIv
lgoUyeMGrvXI/gvgNowdSPVWeTXxeu01PDHMnblHfBdmWwt6wChO0BRpHSd1ultmJssWG+h6B980
0BmmJPZaDuqDWxLEeJ73Rxi9lzkBJox4VznDoaJXlDR+heancuPN0h7wM1aRxoaFYOPUNdF647yV
KSs19xkJq8Co5zIQ6cPFj5tgP0z6RZAivVtadIBWCK55Kwd/4+IB/FH2wHASfQQBFiYH0tXI6S6O
iTKgKEDlXKW0AdZDa2RHzx4+vTBEHcl1VPg6zKhhgkc5S9sN9sikJ6W0gMpPRNw0ngdL7KssbtbT
NA2bwLckSYEuKZWU9yQjRwfhMquL3YkoDNTfnSR+EfvbPVN/iKFzV7QLTEanMNJaHe5xByR010UI
aWqQvrvBasszqoT4OnFsQzKComwohHUMevG51FhaDW69HciVrnTZYIZXEIai4n5pI0bQh9bg5cbb
HDdN2In5daKpVfudIWJzYNTwhqCkYnLDQSfFT7+1mc8h2AaFhHzAWJmtmuFP9jlUEt1ViaAI9mrd
8Xqcdr/4Opwy/EWf03wmg5tOMYnd7oSeRnQxJy0daCrKb3pxU3OqAwe2AJOXWEvulwZF12rqfgi7
WzUoolGUFm+NQQOHo1nt2Z1QJizev9FvC6z1Nak2vn1G0RgDCVc/lr2UHOvu0CeQ4GCrruq46Lel
GcVIm+hbpZl19aii7EmZz36+J5Kibl02rJkVwhImtssjLvhpyW6uExpQlBjQSALUwA1hzY/kOux1
j3bwg0hUiGabtl05QGyc5yFghA9NkDIcMgZ8IDQQijh0z3GsJ49W2Hu7Zp6/NLn87kM53rRN/zM0
NHx0itWemI0GQTXU7y7Uso3VOzpDL2b8sjFoSFJq7bQh+xY1xQcjSZuIjfHg2jqhaXwwhN0UlFoo
3pPyBfd/up4Kzb8U0c8qlHvpctew7+pPpcz1p5CzX05DS6+A+bV+SNHV6MM1cPxvti76U6oozkod
oQJTFaAoPu3iXmCTo0SXl6FI3hfnQNXwCcx8kdqM7M3yRyHWbGTrtU5egRleI1rpDFNZgueBewfE
WWH3RsyGhRgq2TXyXQ52syYdqJp2SuyaM1gzvjX99A0o3Z1y/DeHYnWFWKtbl0H2Smo9WHatI6/D
ad/6sFTHkESnHcjAGw3W08QbsXIIpd5qEyc/cyAPW2jEgDe6k+1VNThcNPjLACNFa91hgGiG0ruU
87/bzsWatMPNUHh7piYJZ6eRVIbM7s+xMkhWEclDVCT+Lf8pPGBtqcG00mK2ISyC2FonOMffcjm2
x0oDSu2myCKszGQc3OevkVWVsL7i36SaDVvQyAil+Igs72wmnb5x/LD4jfPFPtAv9i6YhjZ9WD3J
ou/3tWutHdN1nwQJI0cG74Dn2VfrpnLPme7dM5UKyTOlu0b8mOLu9xmaOeahmfRTQ1TE43LRFf1Y
bPkUXnJmthfpRubJ9o1q41SNsQHFEnOIKzYs4gKDEMkxs+g9yugvAOLdZ+54RdjLK871kxidZGNQ
yW0JeZq2kunMg31nTeQTiyF9Qbj5CwFIc+vQ6Fdk9BEEVwEya7WY8yCnTzKKUKZhyjEq4KN6SxO3
Z+Vb1rUm47mzZERjP5fSRo3KVxTT+zR75Zbjqe0w4htKJn6QH2oqEPwCVlKROqIBn9fFs5UZb9lY
PSW4J/Z4e2LC2gN/FSR9uQ9FZiAWNjGSNtl3YzCJL60ZOtXmL9D8yUGZauBZql2jOe09c2nzQXYm
M0roqVbvvoWad1oQD0llnQtJK2RihUVhjZ7RKhO5MjrRnafJOUHwBcw6FgWLKlZ3jYS/tTHq7tpE
ocCdgAp/vnOwkDG1SZhIQVaYIhHeksn4ZageJWOKuEGOXMihzXrk0LaKmHIvlUghkRy77aHUOeCY
uv8rtclB5fZ/8sa1sFBrLwWojJoXr3blqbU6hH8zXbWwSIYVZX+xmOECodvFY55RPpkBkJSW/c1Q
bnPmgPTQjQ3MsCLPabvVwyEXEQ1AjBIHd0JUbmD2BtzGBM3uCWQ2iLTcNkUuCV8PHuOjNddd0s1h
zcWI3wjDKvEskFlpmt6D276jQCr3+FbgN2rG2fGYVaYK2MQ8DVtATEVWPVcB9tOEzXVTRWbDIZWl
KUhcuj3pKnB53QwZEY/l3zLfG45TC2fBQkrgen28HRMk2k7X8Ll1in+p1wOdC1MUjLFFVKdoMDpU
dOqzyoKr3lXBprfd92UUKETy6SL2PKV297wMBLSe27A1murCqrkpFTeejrd7A+0YkYBjHjPCxa8N
nJKVT8Ta1gAiHAY4efHoldyH4U/LhTY7CdnhFaNpV8QGTUi7+93DqdSYJqw0Jhe7sRAGPuCdCRHr
5E+IdCp7goMgWPrrOr8VlukCdC8eFxe9gU18OXA6NbGLdM8eE2b583YmYXX383RQxAxO8zETO7wk
F5qzeIpm6hcrJXoHpqwGGwlBtTlBnoTgnhTKbQbWqFdV8uoT0blPHBzZhfq1/Fpuji+B0eunkvI2
T5vgWggITV1oGjtyZro79If6T6ARhKEr5s812dYrfPZD5HCct2T7vcf5AIy5eCJ/KcJrX7BwZN7O
yvQMUyDeueUFDSb1uRNY9Vr5pIdUArFsiy2b7MKnTNjW1WlTc9uDXIR+HpxLNPx3QUT7uR+MgdPr
hsR71d9hb+UDqSv73DTeJWUYciet3lpHLfO5PGjsfaQP+DXn3RmTW/tg5HuvgIIY8wGTCCnOjA3P
oyijp1rTLoGghyNzGnJW26r70ealA/YD52E/Bg3cEmkSaKGSjumMMxD5lSHTlGLklkRs8PNrn0Nh
jem/7mcGIfIKiG9f+1ExNR3BvDwle3fLPJ+crYSxV4/0ZzsEk3+bRmMtZsWTxV0rUvLLbBaVgwbO
ZwMRadouIAhPf1jIG8BSCF6vI7pWo7IgUCTAigcUm0UWZogRV26NES0jBWnNRCs96in2LjLd2rXf
JfUBy0XulC8V0qDCDfRHPrYvxUc3JCfD0quToalvsvOwc7Bp4UkWxA4yrhpfpafGm6fLx6VSDujb
U9SSihdqRHWkQQ/XumyLbTShWkqj3wDcOmTiotwSsInscFxZg/ZmmTEQLGxNjDiZXv31L//2/0Pg
/b/MGdScJoYOuHpckQs75d+xUQBa9INkg1+TWsxAJLeox2sp7kgzKfG5UL34rkd326RX2SuYjnLU
473bT8a5/GJc/dt/wuf7VVYsqGGkvnB9//z2f+4/y+t7/tn8j/m3/vXHM+PvX99tnv7Xt7+QO/GX
u6fdtz//5H/4RZ7+j79+867e/8M3eLZjNT60n3J8/KQiUP941+af/K8++JfP5Vm+jdXn3//6i89K
zc8WxmUBA3F5aAYNCuA5//xQ5qf/47H5lf79r+v34v3j//zvP//CHwhF2/ybA7YGDJ8OXA9SIc/1
D4TiDAgqSjmDET3xNy41z7OE7zPI0R0YN80XM9Ey/gbnUAjQZg4PmP89ZKLxJ4QSUCHLEODcHBLa
fLg84k/QrJwPtqJYC184XfSr2N51TRw/m7IQ/OffffOPR4z5AMQ35M1HzxzlxbMc//gx5P3bxo2g
AcJ3vVd4FRozzhFE4YzfBFZK7AwD3ielHMJEeXT5zmbE/VQa5Mj+6ycQ0Hz9xPLg8mNMXyhYQbx/
PcfyN5R03fN2V0FFOA/d6J2roMraHRPZf3wZ1eE+FiI/5rk7oKL2aGZ3Wqgfxy6wDuSNeNDbzRbf
fkB31+7IcVfL98SRJbVP9iCNzrPA3EX+JyjnsEDXNUdh7ke7ltBvw+olxpUItsfOTsujWWM/jsw9
tkUiIeJ1kffkztl2HlG5xzA33Cfk3vnRb5v869HejYNHrb1bHlt+3i9R9VRl1J96S3lPXszfZ9pM
LHLlZjfUFzu4vfU8JJMnTda0vb++N9z/5MvlIWn08rR8NcY2I/nl+68vOWjIk788y/Ll8qyph5Un
behhdz2HOL1m0rnowheFOOy5/grVH38J2vDlPzmDKaT/7pbZd8kAmUA9GzzdkXRvAI8lybyKyN8H
BgPEwI/F8Fz6JFjyd3HSke03xGpoWqBgpUrS46uscG+03S12wubBlYYEJhg2F10Ot+U7WTbNQ+Ga
cvmj8J8/ReulueB7vf3pj/75i5apxKVm37galJFbvanzS2l6yR1yNZ/eQN+9Gm165zSm85E62iOT
w/zlXz9azz9aZBhE0f13r6GI7whxdD8k0qCEfvBV/F/WzqM5biTY1r8IEfBm2zRNstm0oihpgxhJ
I3jv8evvhwSHaPFq7rzF21Sg0hRaYhtUZZ5z9Pmh7LMG9l23PuoWZ/11itbIMtvsTZG3iMcou8EG
bS1OWqNQqMuXVImjhvVrzL16Pw4ejt6aEHbpOxhyC5SIaQz17uxyiI5G6cXnw6z339uKKkNUt9/Y
8CF+NHFeyhNuBEXGTF3WAmtih5zQ5HnxKTU4FHaLjs7ztvVeOf1AKZyAbW16Qnlhpfkfa1cKHWod
Xb3QBoACaGMnP4NxL70H4jjfTlbOTotule88HiuamX7PPDjb53jwDnSxe/fU0ZAEolHvLvcnqISt
QL+hTAMz4zLIldhk6Kdq4f3/Q8wII931XA/3bobsk+og5ZByPHlXDWibNoH9LKam1djxZBFM6dBQ
qFrK0W1k6hcyrew8vPNG5zEEk/gMmmS+GWz/zm2ipXSacygypTq9qihdnwuLz2jUqKNFSAuKO8sM
/WadiltLDTQml0TxiG11r2sMOUqDSqQE37WiPaeep32zPLU/71utPXogym4RIffOOQkevpYaWHfo
Q34q/oC+dDF2z3Fq+ftIDWe6ZvXuqXM5WZGQ31dTG/Q+m0BFYCVJ/POgs/qvjcejStUPx8kIkb3p
m6uZhb4rHjVJFKuXbr2Ygral06g+jNH32A0P1C/Hz1FZK3RKWRBszfqt3XrasTHa9nYy1LuKhq+A
I/5ZOyZApf0iKB5jV80f2xnYHwodVLDrNxPg8ubBTo7iH6OW77NuuIozC56ScDkyQ2LWPsiVDEoG
MHQMwvh8WmpNm0OmiMH94AyMEoLTOsekY6OPCDDsAcvjpDxTliF6UGzqmCM+GDtHiRTXFiSJfsL+
VUppa44EWnl+aKr2dUKqITf78ntsUQoHl+PehygIXA9TlO+VSTWfI4X+u8DO7Z8pvZASC8D+NDay
NU5Tkuo+p+VhzEOk1ZeBL+DxGI9TMoFZon63eMUm3mjxhuLtczugCpCtuev2Nht88EjiQapj9VhR
fWOqg763mqm6qUKnuvE7EwSYXNJeh0qmuGRQF3LR3RpKx/gav7lPwtfIQPEoaXRg2oQLBZhP+8Tj
eg6vUtreyBR1zfghsnk8Xpwy1GmTg8EN2NfUoFh49ylnRkifnN7wu5q6uvs11WNAajSUsGPOo099
2h5HZOu+Atempl7QX+dE1IDy5iV2yoOhKfY3M6dhwg+H4jAjkvSst9Wz2GGLQLq36IbbNkBtpa3U
H9YSr5ao+DiuYsOJN0wPxZiXOwhg7G/DEFG+m7P8fozd+B6MDXiT0XniPO/a7SvYdHnGv1Yn/RDD
oHXrLyanUP3bbSpXYktMIChZs0ZJtsTLsEVV9vSUBGp9JXaPjefBzijTK+Z4Fjd19N3nuLdCDvkV
BCC6S3BQ7G16aT87oX8TZfV+CIy9bWRd9iN+9SvPB9BoxyO/Oiir95p2oSi0YQQechJ6cTl6VvqX
DssxwD4TLubezj4nVX2tN0X2F0ruz0pbHZ1k+JGDoTrYrWY+jUOR3npjTxdpaHG8yRBMaLdPZUdT
ZInuY1nZ9U66yUX+Z9UACj2MchkqTXyRgR5EghR1oC3mJDCScLua6n1qVj/iEOlIxKySK/oZkfXM
EyjzIgfN8pCGRFSS8yl/6L1db1Puv5DornD+iUZ1A4I9KBR3NMKUbPjvrbtoKVTxIpAs55GFnhem
2tJbBStGyCOICvHNB8+8uCWG1m8OcOP6XiI47Uvhy/99rbz0A20nKWXPM5pErka+9o0dP9/UI5Fz
snsn/aFSItlZ4zQ/9DV841mO4gcUmMFXvhUv26HK1gjfsbJD4hfUwev2qeyBTdCeEFzTntA8qVar
PIIuNCDRSSnSDt1VVlH/EOefEqYlAQkUfiLU4zh6Vxmw3NucnoTbeTYamkwNdEKWqThkqPykW6eb
I11CtNSOeACBjG9bRRzbdID8uIXzgJtoFlrqWuRdbettcZIGsP5i6KfyWFvqA6jW4cDmib+84/M+
NmCSOe84y3hw4S3aqTPfKRCA9Rd2gtarl9Xuq+VTjISP5YFqQ/QJDtJLH8L518xM1Bu7BZMPF4vL
WaFVg3vzNPCheKOQ9pwwMZ/qOdAf0XJ8MBtD/UyXf3awFh5HyBDehrJvf2oaZ+hgWO3VrroLqZbE
IcXl8B+4RPOCrcNgVj9DMAmX6uQ/Z3pX7UMQbTQZLhHzTAPYpRcWbyGyjGEABY4RUQumCcYhx/hW
Rrl5CDvNvg1nE/yjqdc2tN465B1D2PFbmFU9qKfuOxDdci/e0Ri76nxAzrKmICq563KrVzJo1r9X
SoRg0VIabrRID657LTqTmQyDF41gUnDGmT2sV3+yhYtXQmb2LtQf+A6ilAreXowFn/psB+kKrvU6
KeBg7KiqgecFOB2nnIlq4WdkZ0xUnphtdn2ZfrDVqOrtDBpzLzcHGj2nabKA2OyJtiPLifWL/4fg
IlFiynxoh0vwh5tPUDoAOdAvwT3V/NilaHT4IdQy+pwes05VnwbNe6loZfk2wSFxzqGqc5OB5n4o
05mmXye9NlITZkqen3gsfZuWFlRgu3qp1FD5WEPMahggNOMo+N4y53+3SfGhXVITeDHOFLbul7YD
cD5ZqNTlczLV1fRQ6fwvwr5248Lh5e/aDA5T+tc/OSoM/BImg6TWffWWKjZf4XRz5ClEkoqqtfaU
sVEiZ1N6Ebt2uy+d3nidTY4XixIFeBRpy89d86VezK6SGbeRAcrGriPjdUuSKULFH5LI071Ku0mC
uSx3RRNUB1fLgUT3lflzBJ1yGWgd4LbVM04oWC0xMnQWNJY2beggc39zbMFrstLRVwt7wz/Jpgdj
TxbDsmgBsCvNxLoqhsb6lGuQ43ltvtQmLeuTEfnTtWlQsJcpAr/G0QlcSuzEUgDVALdCabLM1oAJ
8twsGh7XxQa4mmyT/w6Z/v+4VWecBW6rseWkwVYGNJferjg3oBvDg0FyM72H0TaE9qbWxudb6pYP
0VRxk7nBYXNaXUgnvcyjMl4X3rxb6g+Ys8azMgcdZ+eqou+MqTPvgrnwbp1FBWi2jDu4jWAqlct5
dtGbo7h1IXFrSpK43q3iBXDzkytxMgToVSA4yMMQPfPdxQcHqJGTe0isH5Hw4T7iCNr2W6C38Z3h
wT7alNZIkXB5s+q/fDWJPitVGN9DjE5P8fKmrVUXnC+EtBcSxc/Fn5KggQCyEgx/Q8epnAnpJJg3
8+iY42tUW/0nGLn6T87C0VrH66Qemu9dZqRHcVGbKoDSgIqUqc6h2JWstXr7bl1LZrIga6WxGX+S
e8El8J2uHoAnNFX4tDZaEK+Pew6EhxvXoR51btEDqiufOsfkiyIcmuuy7ZIXkGRwqSngsal6JdSA
avvSsqbyYqHbfEEZUrnqhwaBu2Wqul1/0OKQItoyVUJ0xrq8e5XUytT7R04VL2XmBvSYAbBb4uRG
NuCfsayLY21HN7MzBA9mByK8VbXH0C20x5jOsVuvSO7UxSR2v4PrS3cCsBTvYXwZqHsITTjLX2wA
EoZjPiNZO9HkOgN5vSiXJyT6x5sntAIPZZl5RzF1bVHeakH8WXwySBLKTs6FTHmPN09hbYJPRph+
6uDzjDoExjwas4r5rM819vR2EFFYi40XmfJKOLffpi5djE2m6y9+rP0Hfbyu/36Wb3Iy64DKp7nC
BJOAOM6Hk9k6aS07Baj0OQqgWzUtVAzp2/uCaNV4VeR0IxeVPn0r2fs7htN98RUbXmytqi9jNZm/
2cR37/Gb/ff4almnD4rpW8vv94d4Wf/9vrI+0j9v8cv6TknnNg0D43WR1VACxOUiOxAUX8oc5UrY
u8brJJvzL6NV7qkEp58yOxrvaw/NFrH7GrzBQKYjOFjJ0ufyL2fQq4e+tIvnsB1vxsWMPq1/ZU68
cWWKgh3asEOJWir7zFevvpLkMKRPbQiowsvS5TTW5zzgq5eTRbOtdN7LUJUwqyRgzTeTotZ83ckc
BCIQ4riB94xW/ROHviDGZq1FlTgxlKO4daCqZ1bOniBQwXgYNCBdzYDSXi34Wiig0cXGYVz+ymaX
HdA8vqR2s8Dhyicx632MwiLHFYhCT/lrliKbGcGtuZc1OP6FSSgLE6jX8dbg6xPzZ1L32sGcCnYu
VevmdzJQMFeK7E5DPkfd0wK0TKTHLTIQKDyntZrK/p0zpxTx/pRQdpxGVbX5K2/6VoHewRpQrFTb
i8hLOwXx6kV9yzf1XapFzkNIfzQP6n6ArA5A88UUdy5xQUNbe5Jpd+t06lD9GGq07Z0pVHaT1zoP
Ei3rlz1l9c223UOWl7jAH8Nj1FfXm0kSlvtE6MPdrS9vvc8wvL0WCXYcGvuo7tzFHEKlpQca0Zzr
23y5gj6wb3cyT+2pa3cxJZArMLWPW8yWIrY1+H2ZjublK1Ut14ST9bY4cKLpjdvT706jkEs1rh7O
VdQgdrZWlodANWHm7OegPMgA683bVd9neE7mS8waLpkSbi5rjLl66Sm9idoos80uVzNbkP8qLZq/
q//wfWQ5fFQA/lroMFuu9+H7KLLCVvfG0X9pVM/2aoT74u/WXDsrRYxUBqJJQQDe9Plley8NeKXm
oSY6ft5MclXqf3u8g+43s90PbKtkRZrv4S29rcfaeo6BX+3NIsnPg1Ixn7Ouch8izzu3Z3oMzmjc
XFoU3f5AhevPwa23oM+X4NSD1XILzvNrs6vVaw4QKV8MU/0oAySYyQ2/mW82TmLrx9psaTlNW9oX
l+kHm0zFIbkSJ0v9ybblyj2GIqQZMS+Q+ESl86CBWZ6Wc8pCDi7j5VxT5gBi8zOauWqoQnDPU2rO
5xA5rikn0alJ/wDUnIR7OZB1TtOg44Ipyzn+fgdZe038cId1CTFKP7fkscyZpPS++k33u+8GzFhw
TuTNbdvTdJXQ6Xsng2rP5l0x28ql4yG3KbYUTgYYKpeYbqzWDHvyLeec1s+Aboxh2vGhjtz9smBW
VnRxyfoeosP7bZ11sRpW36UZVaO3M13IhSyjC59loLvv1qrK+k5mEqErNFzIFKx7+IzOx8eIrGue
T6q+D6u2yqnA2wdtHxqZqfBaFHh5PvRMC92VDzIl5YCGgTmbj3bgPfIVHh5rL8wOdg3zU2Plzbk0
dsvQQRYFOMtPAYjS1aVRs/080EukFBAbQN9Hb2hg/vD4XYDfsOSsrvHdS71X7ZveAinqQKa7c03F
vApil32U6iUVx+gllz2dZAd6BdhDtculzMUvg+PAeRXldIh/iJuhXjg3GsM6C41ijC8Cu3ryIc88
uGEZH4uFxsLS0/hz3kV/R63p/60sUDiz+dlmFexMeTI906ozX8Iwl/yHIpXh/C4As3wR8ea1NdM2
bYPHI/2DatJMF1TclY3zAtfg35DDtf01KBHnAHe5EZ4jrAlju2YjCps4zqFGkPUg7s5zDQ5mtkh6
1nzYPw6mF4LUFce0eNe5JMoS65yzKapFHA0uHOncR1yga/r+ersHRBq/JpfGv7lS9bcY8dJn8c89
tmg1pGxUA0DLOWWqdzx8RtdTYe+n1KeRcdECy8r67eqDzVemdtfWxXwhDokDlVJdzj1PV5woqgf/
fdD7RoGCZZn3CzR2XGI2t1yZij4rZ6FSQoVVciiwU1CSAaQv12FRHUPLpzNejN5gzOvyEh/C23UD
p865YySQkIwlND3sr7/WWVafaUWt3iK8ZHxq9eh6zPPu60wF7jI1UiRElulC0j/orvdSh4pB7yHo
H214GNU5O9Cp81AYXbHv5gpylonPjzJQjofYNmUUK2qlpnPmNHTvr4YTnwSgC8upXqmDOgqQVdBp
CoovZS25B60ELLXNt1vJlcSIV6YnKzaU9yx/hlFyucG/xm1pH+4hDrGt/wRZQYxBmVBJd5pfMlu9
crn+004Ma4ADU3vWgz+P6W3t7Nb5K+7L8rz36VrUZ85V0TyDc7F3nb8oA/2ll3r+PGV5BXUXGj7s
u7Pbiv7vvTIm3+0uc69Dlc56ZV4GpSiuIwPlWrFtji7Nv8chzYpiEoo11wmK61R10Fqc9Oxhcyzr
egVQBn1yfb73WucRsk7nkX/OdVDGCpJXzOK4bB8qPwDhaoFk4ti2B+TlfZH4eEnyOKHcDyirn0mC
OEqfRyub3oaLbV2jh4CwQycGyHPW3kOLemaUenp02yY9am1n7CNt/qYtps3O2Vh2Mq1UIzyDljy/
2OIkmA5DZJBlqRglR75j6BBZltrixFl08ND3AxC68Lz+lcDYTHHc6i6mHjEYsOXuUwWLzlVUc5KX
iZd93kMO3eERnTv3aWo761rvvImzXoJloIcdXWm3qw8y9WfUrOa+/SEJhRe4TzrN7NBKmM21RNDt
pRxjg/7F9zWaGfGLNolApgOPfYoms3mgIQAmg3/uYuYBfe2IFF8aLPcYaLeZCMobfksHIR/c3TaX
q21I/+8YcUv0us42/7DENpWrf43TjPSLliJu9Kewsm7bG0mdlei7UjvmZaEo5q0M9Ghbt6iipf1O
5qPSvnbhZOw/hAR1m3DcrhPdzApyFMDTt5BtqQ82NZmqM3PqEEP+/ZbbdMs1qy+DzkGE3GUzr7eW
OZ9fF2o3SLtkugUmStec0bJf7HOlSS8mJQGCJy1aJrxpMq3MTuMYht/lDO22+7qb03vTUJzbDtYy
mYm9qhBR+7+fgTTzd51LfqqpSGoOSqEG3LUGopwfHoI0z+QIuZxe8iJ2QXEk9zUoxK8Or+asz/Li
0a+yfq9mzXRDe28MLxNEoHxoxk8uXQqI/ozGjxAsXRmb5i8zNc/U4AdAOSgljHOLlvobP8qyQ7jI
tSRTQAFeLsUoYR+mSt/xXS9GcW/ZYoNoSFYuvWg+a7qgP6uW3jIZ+iTzwnNHessUK+wuA1ebL6tu
/E57HfsW8WzhpcRsxsmEzo+u8r2EzBnU0K1WU6QtUM202uxmPdZf0AVSG1jsyNZm9MJgkkHqA+/x
m0mu3u2yjizxbt/WyaX4MLXtc7zcUyIkVrIWOz3zGcRn/Xim24qFQlqVH2RQQOGvVx9scQR/9y5J
FcYpCwkyDQq0sw5XqRgTxXZxoUi15v95vsbK2rKKxLte712bPOmcLv/+kiRkveVi8zJoFH1oRtDe
KaLDECrhOnTwUUPWtMyRzfrncvPnXv5XCzPX5WZqIz08fFhGvB9snSwaQcvzH58cb9HZPpFs5KPj
aDyQ0i3K0z6dvLr5+0cnqzWzC2cjeAHz003+p2nW6Ri0U7rzmwLZZMHq933/0vlTeaVoeZrsxZa0
9PQXtfdjbqrqLdhHbAahLGN8UWDwg/aWBUIHRCIAE8CVjW9xukxHJyBQDWy4rvt30gVfLlelFqVX
IVWwXQOBH/Re727HjPlLe9NRgj8uI3FrimeN6RVixfFOM1FarsCqwwFkHP0G/KCm5sG8U4wfSaJN
tycmCXGp9+4jami7ai7Mo9i2XLEFTeJAOcNX5OZYF5V5lv8s3HC6XU1FN9NeOdr226o8g5bwRmTl
wedYY++ix3jtQZt0PyhQr7VVOn8B4PlQjYP/90KRT5vj9FeuUgjU/ZaDgSby93OtT9d2Gr0lJdE8
f9F9d2Ff/JGkRnJtLDVc+kJ8TS1ug47arlgGqdvKpRvOUCUGQAJlKjGDEtq3sDxRF+5hJzzL8rA+
7xHcBR2y8Bj6cbIARZZLfRnkSkkXsN3vNjqyLuwAJKg45xYgjFyta8n8f11+CJUVna66a4xJ3Z+k
bLeqpiDYgXFEiVVNSzpE7ZKzQEo7UQ5tRub35R2PoDNIAmijdjDG9peVC6hpJ+Hi59+GJC+KcPs+
cB7bAKY5TvYSBGc4ib/TA+RCOPQCqzqBhttHLlKSflLdr9MADbQ7OELOp2xyDjJbkxU4auIqO66V
kaEzXQhYvPq8zkvEnyKI/a7CKKgqVPD64DpnSxdCrr+ctNSw66/zYOQoJbZ9WEViZHPOtvmgJTVv
m0Y9D/rxWzym9VME4BUhS12DyLCfvg1t840u5voJQmf9NtH4I4Pen77lfncSz+7kJF6dq7/HQAnr
loPD5so2Kh5NLIcuKTM6Tk73NuTAEGDsXuaDMiBbVcDeJ9MPgdtUh9LpvKmpfX6IS0qthPJnucHY
pjz9Uk25WI0ntxG/OtZIZiAtebm9lO0Om40DZPoqzRd/VjMAOnX9ECh6zVN+Ulx7ZQCClj6e1Sbe
KE3vfC8yD509w1PYpGkLTJ0io8Qpqtci2etcl6is368hC+nr+TRBji4r+z7Lt2oVHBVn3gcasm5W
rmgXEHKCkOrK6ZvXGF/gs1Gf/MzoKVaDnApMY7Urqjs/BTn2LR6y0C+hhl3iOz6nZ/SpVqXZ3OWK
7X8ukiuPDprXORl4h0WpCn6X6mJmo7TJuypG0qcyX+nq5XdJjdr3JImyA/stKbcA6pfwxlzRvbCb
GxMAu2ta96URuV9nFYruAgWRx6Sa7UtVrSd+7gKaTgyYK7tYyZ4qTy3PWt93v/rVeG0pLX2sBbIj
ASo3A98edLBhSjOOQOhpQP9pmRpQCtxDgHVIQ1s5t9vS3edqUR8zCFWOfWv0l7C11ggIKKCOxWjF
6D0ZQ4Vgqx9+n90OupcJni445dn8xcvmb9sorrtFNn8St20KJRaKj9NY8S6bSrjr3jaga7ph5tcS
K/vRbfH3zSrfgdxfeY/rVahc1y3o+yZV9qcf1pM71pXbnQFdQngIXNGtDIFmp1xd1wuOUSymXfAd
DOURXTaNX0KYxP/V+ZaRlzBKcrj5XyvIijac53CjejxqsdXNfvjG8DIpwXiQw2I5Nt5Mms130TJ1
LGM4hBYYLJkOS8I2lXzIMN6863K/52ogpXYGXGgUOKEIuoqctD8OqsYmSIF8bIGKaRTrkJ/1NIjb
mYqDHu/kzITh6kpsMsQA27KRcvtq+mehLelfFxpLGteArv5N6RawHXTDd1QLOCjzYkhtAHGpWmf/
9Jr2V94NwYtB9xwckrG2hoZhchKqxP4a2kDQdxIK/7ODILISnKNW8WFVCUUSdbyUFxChwXHFbwDy
eqL4uGwm5gxpwgythAvZIiS5hZKG7AxOdg8nm40/X8p6RclbfFtq3ZbINkXWy7bLpoGcwSj5ooOj
xbzzi5ne19F6loHn8s8dkIdjguzfc4b49eVsULMXZ5bbxp0VaifxcwwKv4yaY3ztXpsLRiWpqeYb
avuA5q37EpmvlNnLV5tm2zvfpX4iQW6TZletg5BFuMBc6kHAib2L2txcvLp2/pKqnNCEVuFCiPJF
cmZIyNYlOkXrrhvNr/dtoO8dYzB/tV57xVHj+Bdd9fCwR6n51BT9dKlnrUGlvnYpdozdpZoXypPS
ND7qi471V02690+6j9rCx3TDRRU77zxlp3BikUAte6NplefSwugWV7UP0h4+tvxhNb7HdNCtPNgp
/aMS18DSvQP4Dak93AbGS8679250NBqSmGWqMd8NpfkF1lB99S2zNTJrV5/MDJ0+Ayhw71PkUj52
l8K0md0uDukmlSbRLURH5PrW5Vmgojay9qlKmESIUwW1HDmGSVM+B+EA71t+fOjqMAzwzoOpQfT7
1R17+q94zrStAD7WGri3F0Nyx+9QOfb1c2+YUEY1tPF3plIc0bXOkSJzT3LK9ntaNcnPeMnp+oLi
d9WpfDkNEToRdZBA92SG+WW6vPsGG7ocvv5f3cQyUYPDxBkozWatdzcs79go91O6gdBmFifCums8
qgIgkf1ZvzBUWq+VKvk0LO8rsIzBDUzo/pnAp7xFA86anOhKvBZvu50wV4q3G2BJy/WX9yXEarFV
v+FJw4d8lhW12gGEOUL8xzvruR9d5XroLIMNU28cc2psQE/pNIdNgH2AGMWtwctzbACPgAxyrsQu
JnHKkGkwdlX0IX6wb7GRPtjnrY6i0XbH9T4yX1YHaONc9eakXgXlVH1SG0gDObQJd8tVUCfFxytF
RYhNvHQzvF2pBjCebui+0TXSHISYhtpGc3Dylg2BzNdLsQ69glUulRJN2ELVoK8mXIZtiT+nSBCk
j8hXRehdgtaurgJ9aO75xzb3lQ20GX72GoppZDV6thb3crU5JE4yNkefFW8Z21J0nnt7cWzBH+6x
BW9Lyc23+xpajhg0pagD7Pz68umFkjd+GU4nPUKcPG69QI0tHk0+8mYXv5AzL5NimZCzeZYclEGQ
X87DmSfudjBuPCVBgGuGvda3M+16aqeHruwLRHj+scvV2Hs/oWDpr9HDQQpBFBdlMPoSuTrTN9WL
ooQ+k/KJdtjcJzHr5e/uqaufzELTzPBHMdpw91ftfIOm3Nswjcl8Yw3NDVSs45724TbbiVfi1rmO
7PaaItGb+8MyEvfnJUZz7jKEU7iZJEmoTJO+gjcZuYe9ZwXZWU0RCrqNBLrbzPIfXbjIilKNjzIL
R615gC90JwH5EgW64GcAEiz9K9Yhspj1hlNY3nEi3xIvV0WMWOUQjRB4L1OxiXdzFAr0VdBd89Z0
fPMtehwGWnA3Y+mbBgq/xMgg6xgInKqazpdYXe0N+l7nXetNDjVcBgMKvGvfnul/K5yj2GkqAWYk
cyjrkp1aJtVegk/cDVxjkie2sv1lufnwTVM19CtK70tGk/hFr3bG0o6pP6h1Yu8EE+AiGZaViKZt
EVbU/EeErAG5rr2DrS37UcNPR4dReBN7uXtjWoN70+vW29WMSCE05O9zcUvgB5u/kK3sxC2Dvqwj
V0GxeGS+XooVyJYJf2GIjOh22zACkngyf7/tiU1iZImTW568zJPbSdQ2yCv2q766hCbuVez9hzuu
xuW2Jyuq9YXS0lKcwH8J4nJIqmNbIqOw8xS7v6k851JsiJWWdH931ZGzAGfXOzkUYs6kHS3P1Y6l
VWh447OqhzlX7N3iHDgQmHYRtNc3PE/ehElMX4QEr5dBBrsz3QQwB/y+lkxlyIqCB3cqFBebTVaQ
G0OhflapSnZtzV2F1mXa2TcydDOyw5DfhfSKGjQM6BnSc3K5xSS0ZGlXYjSWoJN54brlIp0Zwi4h
Cev6fcTecKr9On10aru+aRb2lWoZ/AxlEg0hXDHlaCc+Itxy27WdcyszsS9Rzf82SeKsxaB7l8Ql
akt8X341AfG67gv6P8C7qneJr/dnPB71F+UcaHcqlAb6DsSrhojIhala6d0MFYe+yxevm4x0liPc
djaKUVJkGbfOnoLQMq8ldV1lhg/wWvOaT5K7LiPBKhtvkIVJcXlyO4B29pHm3dUkKbJ81/WwGsLj
c1ahBYWuoGFdGRw93rQw6ECp209opelOX96oy7DOjd7851JcMpcsmcpAr0RGI8wAPc7yt3Pk71/T
1IbAuTGb586ktuvffqoDjKvrNOz0WtaQYZDoNQfdzre30+YX28ktZT56GnT+UBmcncAMwjC/dYzy
VkyB4LhMu3vUM5dHEEEo5LDqXWS6pZ6jZgf4R5uM7BZZ79sVCwS8Jb3tUx7XVHDj9Co7aNBBgfLY
JYqPkNjQ0rCMTQazp+NYq+JfMiuWMIUvz2PKcaMkbaG6+S13KvN+i2zz4MmwMh0ebvLEXimQivlu
Xl7JVBwqn4dzeS2yvjhmiPn/9bXUUa/QA1nP6+todKhk1tfMazDRhrr1M4Qo1LjNoZZyA/umA+ht
npmBad3YyzDbPi659GyrNM/atLduThLEtc7hICrpe81exTbJoqvn41KrT6zbcHIruf/6UuRVSdDJ
TeVF1HUNo7WTvDZ+mJ9rY1R9bScgMz5fNveBWvCL33ovYk8R5LnoZs9YOLwgpst/jVU5vwbQ2N9A
FJafz0t2v2TDgviWrenKi4QPDaxcevikTehdtLYCtRy1s+FQy6Xq68sJCfMy4XAk6xfquWkxbh4v
NfV9Nql3JyltpGj+2RbzMXtdKPXCv/n5TVFalpMXbrM6trk9RUg9yELbbd/vePJKqylsLvwOksmp
NKg7LACVqectttMrNvMU6VC5xpYvYJctRKbbsIWUVUXuNv8QU8XeCAtrzFH2sqAMntrRE7aOcofN
ta1jxejCxug+7OsaQAJdPRSRQoR495nXIExR+rN/PsIqBR3U4jc0NN1sNKquXLLQReQAH1QaO0ad
B8BFYOreLoPkvonthTC/Rz5a54l3TU5pHvdATF7nKYyGlAecRYwZiBr8wlYHLTj4ktUIFJKA3q3S
8LKU4DVlHVWry8LLNbIdmuigJsNPI4NqHo7i6CDDusIa87+z1hVWu6zQ2+dJjwjR6e1Pk9cXsb4g
ecUJ24vzGRUYsFUt33CX3iKSMStOfoxmigXRuLwBmgQRP7+DDwunDH48mnBHwdAIRyvfg3VW5Atc
ZA/DIXjXJcMZ2oj/0xRY7YWaNNR12ji7CBLw2PNg1rcyuJyq3y4Q2duqdmlxlsvVs0QrdQp6e4iG
9iRH3Frb0xy9pi+RYUPknxdaVpecdXHVS9dXAZeLceHFQa88R5DPcipKyycNmeadswwyDeFKsqlA
0JhHp6iYZNB1I7vshhjusfdYcUhcU9qX7PxNtJXMvz139gFF8/wdRp5zlCvbRny8dMficnPo8uyu
V+Vwo8ch2pfLc3qzPMWvl5IzNXxwxVgtHtjxryolGpTnZozjYw1vvdDezKqtPSJYQEkBOj4Io7RH
HckBIcvxASg+msyEEwem6tW35b1Hvue5Gbz/ZXqRKVC3ndHcZt3IYLnd2xWS5+aJrQxVhAbEKDHQ
4GoXDUWqM90xunGnQktxzH2gpuwf2JMxE1M9t29Xm43vvFdXc6HZ6sPmKBEfwrocEmq6rUeAXOSf
3GJGYKkuAB5CE9aaTyZ0Xjv4cLxPkaZMHDZl841ZQ1EyGi6iu6mhfDPUcj3a3WLTOpupZHjTGptr
qL5mziGL+uahamEl7ctOvfD9vPyK0CmYvDn74Viwyf6fEYhweDvoGf59jS0iam0ewpvBqL4PQFfY
kihIaQQRFRxOpV5kGrBH3fVmr790aWl89LYqR2ZbcL1Mt2DxblNZuR5K48VWgSptucnP2cv0y+1j
IO924I0NP/3Z+vH48AGyorDfRVWBpsnvn6AmCtsbI0vuYneM7+i4tBe5jSCLvxtJ1l6pghFZppnT
tleh7YFesSZ4SBZvT10MMYsFJ7KEVAsu5INN0iwBoAxZPyKMrLSXwlYxcTp5ic6Ytgs1AGvwMwPf
VFFP3K0EF2iAjG7jPXMe6Z4XY4LE2lIno3vok6c77kMTx8Gn2AJNvZhRZw8PBioDZzL9t6QRCskL
DsIivgr6/NnhAF2ObCo9zp+bYFpqJYDni54eLujLw7PBtvlJMyPlmE2mf6wS25l3hTa2V5o6fBWb
DFtIugSPU3+Z9FZyWBO2OKv06AKtUFTfbFuumk3+tTo6t2vabCjpdZN59waoutuotIPbLmrDW5mu
tpRCJgSDzY6f0lOHeLfgP+XSS/JYKLm5/9dUydpuJsvRge/uRwNivj+8nO2uf0pNLIcjdL55Ljbv
9hKV1v4fzr5suW2d6faJWEUSHMBbzaNl2c54w0p2Es4DCM5P/y80HVNRsne+c25QRHejQdkSCTS6
1wKBtl5IsF5Ia8UcEATpKjPNsnsL4PbcnhLVSEtdMIOxd3OX0thm4/+nsWkeOYdMS7/nzE3k99wx
zUPWVxykCGmFzDFwT9zIJGpXkSiIVwH4o5qCHdoWhb81sm0wLIzAtjqgaGQJbCuwbgyIE4xRfPaB
Mg0SOYZlVIZM9U2ut/o5dpC8tuiGVD9TnyeAYbIQdSGR27njJKdu5qWIMdiTeeMBAma6JOWYAn+R
Fc75TyPJUQX+FkVljQcBT6NlyMCoTSAEN/gEhDswNzO2QSmHcC+MBsVmigT0TyaTm7DvwdUrEHUw
+/GsBznO35FqDFrkKrzEbv+EpNzwkI9dhtCJko0JQF7ALgkues0ILySjpmhtZ8tTcBvdWGsMf5Kw
RQQx9cFImVjtU9BUIZjq4Yoa8sIlCJcKMysBxdqCYgOBFCQ7u9lLOQA9eCijB+qhGL8FNhdSmalb
OIW1x48uWErWZC9Wz+pr1rYrgzcusiYlDsB/HVoOLQB0lW3bAJ56HopC0oaGkvJt5qHSwgfe5fkL
4mDN6m64jpfdNDNTw6seMAlvM3uNcDeJln1uOeDdqbGi5vWKuoXp9sc7GXWB7vuPDXKczb8ODfxS
pXW9eZ7dV34k/pKrxu5T1bgOlEKPO56nmx5iVPcYgmNUmnaEzc+7UYQeYDkB1BoGPkrUfkIcGXjC
TmBHJAvycbKICKJ3tqM3BWmxkjhO2EYkI5NIQSG1rmB7laoztuBg0QHcjU9K6htzsvQQV1mrVIPl
7GL2QzIB6o41i9NieaeYfM0e7j+AuhMaQibYJ716+NNMZDJPQsNqOgEN8OocCvPa1oOPeBk7e7Fu
Xl3VAIDXB385QutlI18i4aj6zQRZHjbO6vGWK1Dze6FeYXjNCaBFz0Czw1E9uG26jbTTbDUPAPc2
2LZi5u9oBCn+xQkZiErjOzzYuy3SyADeCuTfha02bqba4FEjgpQf8fLdur/KyYypSjFgop9n+8gX
ySVHMfhiBFzublbQAAAO5GBHKUFz/OaOFPP8rARWR2wBOpsUZOcaKPBRN9GOIDYABJrahGZYS6dq
crKbJ5onB3JEpGEJArAwmnO2oSvHQsIhDitAb65uBumH8WHEdnlrcnC2LLOgMQ8A7HazxfQKUX2c
8ZoH6vaGPXhHhGLNQ8/HfI+SSuDZmw4Kgqklo9nccIYR+PVAyBsG4R8DMA5uK914pF6GbTPCrEoR
5Y0NYhd1SQ3qGdkOeIT7G0WM7fikJZM4D/0jyRIa3EW+uR+AqtO9eSE7kKQDsemPQwDNZh1AB4r3
Eiae3EyGaqq0c5EcNPfpqupM9+jezJEH+QAWAxOE45EiZZ2yaIAd3ix6lgdY9v7MmkFUpPAQtxq6
/RCP+1Cr2/gZEC3NIqjDYNMmKdBwyJzyaJDBgbgsis9Z77DyoQeuJedacBwZ0HrcFPgbhlVrAGJX
1Eoaw6NmRZeT1NDaB9k45c6pxvw0ZG2erm4uwWpWbxSJ8q2TSnkiI3JEV7MMtWMPIKspdzei2a3F
ggDb7bd7o8GZIx756AR7LwTUFPIZkA2bR3pwBiPcjSiiVNlSsHMUhtkmDUCLkPeBOaxoBDWd6YD+
SgDY2leGRmI566AGAJdbNQx4Owk7xVixTFfABHzytSbbzaLER37mqszz+iT4J87ZWtcSIJpXtnvt
BoRUMyPNFtQFjxO/6hZKyobRy1cko8brnH7pV225nWU8l59FEoKIodWAsTqACkXng3wkC/C5OecS
TDGzfVPbxd4YwXUwy+wOBFuhBAvqfE+IjAOzOgmDHdkFTpec/MA6CYBUgewLhImxw3fUK5TI7ntW
LliXNEctH+ojaahhpKFL4P9b4J1X9mTEC4b0AxyZrGngrJi79y6oT83NtPhW1Dt1aHgzl1sCA/ov
WePWXWkkN0zb8XSXM497rqPrd0njvY2DptIU5nMDgKg1trKPbTv437DB2kUiAJt9OyKojCruCKn9
+8CMdZBONw+uywpwIIBnr/Zb/4cT6/uMV+a3MjevADbtvrKq/WpYZvkAeJ7vRVfnDzpQrbAdB5eh
NNtgW/goc+dJmz/hsDR/qvxyBEC5EHtdz4onUjT9NkRl+3XqIBnlYHKEtOdBDscKKSpBdJUgXRr0
kCXbJeBBR/G1+JKCCe1odkh+WibBLsCa4zrpTEeeYm14MvAMADxoBBRIDDFaHUnwRdYsS2d042Xo
2hrQumtzU4O/7YpAo3YVWfHFcVNx7Koq3+hdWa1AtIwcy9/84+jhaZqbm+6rX8d8FuboPtKQ2T3N
TnOou847Hq0SAC+LeJP7YAFh4KZSJxIOA5idDlrHQXPDd0VjyZUEq9c2NAqgL4NeYVMxHAlSN0nB
tAaq1HA1CCN61wsGTE7fAWuCMg4arEH1Ufuo6arXp+1VB6MO6ajhD7XO+Atd+wIUgUV2aPryGA1d
vwWqn3WoVQNCa4A4jilWy3aFf2aT4dlPmqIafbbEoQT0SddW+o50SIW1wVqbSb4ms+kyGdsvyMH2
1pO/yfLnbPO4mym5bkY54kdqehIjyzz92y/DZL+WU+CX4ViAubYNBuhtU6c17A0y+lhVhg2y5O7Z
dd654BqMV76p3hOoCFmUCY9O1PQANsAbQ/VvLp0+jU/gcSmOYAa1qNMD/BJHAX8Yx8BuMhRA4gDr
UTx5/aPd5N+KBTBE4HtJRuS8cxCsX016UxO4IUDBALbV6d9LrBR3neGzEyWLao1enWp7uFDWKAEL
eD9FU3IodSXvLrYs5ZXMSARE4cucb/qrHzLlnphc21VhAaDJyGSERAjtoU7wG0YSFj9gs/WVes4o
h2sc5dhRDhpqI6sY6E+9ncitF9USxYZqRAHe3EoCGEUmOnIRRsN290zLnh0QA2nbAsxRyNDrjr1E
aixyZNJgBbhrDWGV0H+INTmgxjvGKxo8rpeQVfpFsFiu8zAIJtmsKMw+W5YsbTckQ2llj6/1oFZu
eEekQ3bbzLKiTr8ELVYYs2i2nWXAfEpOMlB1Co2JByowo5rNbAg8oez4l6c6AxD8bSkQvrueadsO
vrSWbVm/PdUTYVpYKYjyeQpWYnF5DAdpnbB3sE50BZTW2y4pUED6pWkArDn1lG0UjxGKGd/GFhoA
D1OBOq830Z27GPCeABc2nGytdw5fkC89aBHVCQoLi+/UP4ci/1hLzX5pNNN7sqMOrAeD/YIltP2C
SreNE8niSiLwV4JYyBD9ibqojQALLxL1d9RFFKPeAJCjW0utcl5Arw4OUgHsdPLU2gxcV77ea9na
NSMHMMYImEeqoStqtAYBc9Rc2AcU3CNWTpezhq5IRobzOHKDB2OaL2YX87g7NwDxFGscO4A+QU01
+zLJA40D2wxgxLJenj03bJ/THKGnHmupqTdwMCOFjbmhbt0l2QMT5YV6Qdi0eEqDiFdLw/6YopLg
GYxYBmq8AIVMWrA+Pre1M+4dlXQCspkvMiuCXT9oYJngQZuCM+eDmQMsiwyoKYPcPGMxbp5Doyt2
ltQ+knyoKwzSqbW6vFihWicCbRMczw2Noy4imX97Njvu/feb6QyAGRZgpW3bMq27VQuq1oEu6zD5
PNjgznBAxIrUm9I/5+BSPOZg7Ct93TvPcrqiRu9B4FVyO9/OstkOfKXNVtecePI5K2ZjN9TXY5ZW
R5pwltOMY+WBRsoq8dhR93Q33jeb8Sg7c1LO4+ebLQ1AlifO8B931yPz/eYTz2NpMnV3Toly73n+
+SZaEIavNLt5vTsaOt8FEFPG49gbKxL14LyOGqz40tD7ssexrvvFdUqi6xLYvLrJc1u0X8d24F/0
FLx4uaO5j8wHxT23gOLugsNl5bjg93LdoO43KBK1Vkhk8hYJ6IYjQJMA4hW0ZPuO3oueOUSnyVKo
V2RThmsBVr69o1tG+oFkWgR2db/kcu12noj+GSIAToFsCEW/YVdpV5xPVWvwIDnY1NhiJ4Pqa68B
2EoWY/bQqIa6A8BhEceMrrOI5HXvZQ+1n7gHRZVNIgRpAUVMl14KKk3Db5fUu3MpJfZPgVyTbnY7
WwXdhxAJK8CZQ0V5XlXdJpDWcPZEM5x9/JjOUQk+YaMV6UYUY1VuSdMH9Xe9t8etr3WoxZZRVvar
xASjTI0KFzJJ62hEkVqZ96u0GdZahyJU1+PlT2urxDrbCs5xlIIYNDFz9y/YKtb9LxGgNTpzgaxi
q93Db28asL2OyIvK+JXHbjq+b2tw19EJEh0DVVpVLpzSK7azLEBZtLHoEJiZNK/nRUGBdTg3z7Iw
DZRxoQhOQ4wZhO3+eOkRmLv8SYGXdrWLq6pc3mXCUhfLIlMsbJUEe6cGpom9ASDhx1kugKS+FrIM
98g/KB4oLbfssgSHfL2+pW7nGdXmL6/q6Vk1oQEpbhhVtot1pmepJaZlo3D37lkWOr4Ojjtevzda
pCB2bcKPwEP9gMLzYBumiFf5JkCKvw7gFQP3ZvjIJXi3kSNTrSNLD5/BZZE8uG1/pl6vGJraGtFF
HzkCO5JxZYHStcnCsILoGd8RoKzJcNj5oV4cX/G5hiVWqhwUcO4PCaDzD3ilsF0mcRZDXZyyS/Dn
NmIP2F7UdyQd6hQT42Ik3H4v+JKkjlnzh8E0Jg+JbrCd6+L4hpTkgY+g7ktLoGFK1E1NZ32tj/QH
EWfucjoKpD440UCzpkLCjam+MU3A1hWq/BZSwV7jK33MmNZ9ADswKFzCBovDOHavKGZ+tcgMFPoz
M7oyqR8aBWlrDQgjm6X4YZYx1oLYiazKADifmq+gwu0hBCm6pyBxFCZur5oyr9i+jOv7EWaGmOmE
ajbWnthquaFdWk8rTzpIniswO16oIXkNGGqAzms6sl6gGEqhTVpf7YfiIjjNco7c5QNiKh91ZdW0
rbnkcZYBPECk29aOwQZvuuKJJYl40hMbdJCgNd4jT1g8iWhYmH5hPAyplj2i0tVFQUfcbP3cQG1L
JvJHFIJoR80JT2Qxy+ukB1c2Ew1YQGGWNj0D9L/trGuUJqxiaQIisyjTU16HIE5MPedj1dX71uPx
twHA6osBdKQv4BQZt7WlAEGj2Lti04mjbWWSgL018B35hbyZmcSL0RzSE7DRcnBwwVsJbwngZr+B
aBsYakUYvaS2BpT/THwzmPzcanl66cfReB/hK5JFmfZcSBa8jIa1LJrMeB94J1P2iPC7KO2MBnwD
VdOpJu8UKnqE0lzqgdDyQRv5q0ViJjFwX5p0N2lRJsnABovT4TJC8iA5IE2khS9I5OWHWMHUmchy
Al0aP1OPmjJqsdZNKgbqASfQFkBaB9iDnQ5LI0pUHySnCBr6p6n75saTlnueZH5a8UXj2Gw7u61y
H/kCjrY1wYdwDXyUbCLXVv8SJfnG1QD2NYbxNW/F8FF2sViJtg4uNV7ke7zJwCDndPeDsqL3vzth
eq2tAWWxlWOAjm7If4DwtdoTP0PQAqcVi5eZiqF3UczXSzxUInDeKuryVl8kiCziC5luvDy1LvgH
WReZ5+nRt8YHYF9aFyEdNsl7MHtsajOol7OCtABHBWJ/6ms3TkhR1/ZuADDmaXaO9GobLHqoJ1F+
Z0edAMS01vbmYrYlE6OwDODO92CsfrtDUvhG/QSKzBE/vZ+3iedZ/2DzL3e+9RCPrzgCjkFQ1iAJ
IHVYNf0K6JyqrvvnePr4o+DfK1aBhfJXuR7vkLSGY5A3calF6cGQ2ftZRB5E6nTrAHxrN38oUrQO
IMpaSzjbecT0IXm7itJOnOfPCN4V81jEKNhXH3uWsyrQUQUH6vk7H8BISpeikOP9f2HM9CMvM+M4
O8k8lSJUVKv5LwWygHgjUp4ACyw0z9z3vugNImJZFWKbQLKwM3BZfUS9UHcmSRdK8zxZ2Hh97wAT
8ZFkCOmbZxPn7sNqLPViZdpttJrG00DS/+tEswv/HU1Gguke1M3RFU1YMffj7LAvmw5RtxCPPa9M
ziLCqfwiN96HHiDVSMRQeBOBjRpg66VTnxPkUNWrWPEoZmBy7VDHgNWnYXtY4M4q0lPj4ne+qBJb
X6NwA9Drs4auWjc4okoRC1OaGQcOwHIlDTMyhreYnHqp74EmuvjueFa6pYc+vQjGnq8N5PZcGvUe
yNuiOFqPohrFoQSZc5yASTr2itdGt8fHnJc1kuJ+yvuWJajLd3EIR2ZKkXoau2RgGlCSLkAp6KAa
vwQNmRchi3pW0EyFXX2aJ6EBaqYmGDHT2+SB5wE1Rc1E3kgRgpJ5E4LMbhEC4c3xivEpjbzhCQnw
/Zr5QYG/K44fSBaE/d5D0PqBejnOwg5A2MsW1KWmD+wMy6NG7GgUN/3uWrrX2QDJxMEWUGzBapYh
XeuD0UTFiURaBTCGrEheqEc3VEYA30bwGfU96taoiXm+GHKVRa5ErW2bOxTFIEtbdWlUJ1C05uVh
diBZ4rvBpTe7LfWomT/j/LnddthHaXv7GTMcvdx8Rt/WsyXzDLGjUVom+ise2vPEpWEGWy0Jw5vP
2Mf6zWc0Q8s8iXYP3ibhNseq+Md2nx0T+a6+ol5BPj1OD6ui9ae+w1MfRuhWST9Gq6x4MZgTHlH7
jaPAyZoGNvC3M5m0k7NtjC8S2VYDznceQ4pR4HeGUk8ULVHXc0b9koILOVMRC19FPfA27BcGs8sD
dT2Eyfdp7VgLZDx65VLP3LVRJuWjFiDkoYMJCjgNJmD01Vhyx8tkR0qagdw17esNyQ75JARhFDgo
8nLDNNgSjtGEchS9CbsBgB4ghG1fjSYKhqSxxaKYKl0NcNCjVKTjVrjNXeyw3Lzz9rVe72TY4jRO
iahJjCi86ZIZR8XsnTx9G0CjEL+DN0/cmIE2Ku7AOg13NEXSnJHBpg0dMPRBEJpzHh8I/baI9XFn
OWW7pC4ixcYTvpCBgsIlCdCM2cIXenwoe4WW6yGcdmcf5U9kSk1klYDwUf7/ZO+LzniCvaXAdCf/
IWgW6X64E8YnHsdPTWz5OC9IDXvpWCUqdIEE4qI44eYaybX+gZpOGSd2MyxE1IwqnPLHAZM8D0Nt
GnZrNzubJgp1Fz5iagEz+xWvQdR8u4jzIEJmHmmLaMrQPFKjv11Rl7Rkd9dlXiEWMTNQ6KlG/MmO
FP89B2A+nwaR1FuaVtqDJRY07H+4DbIrJdBZ0tLczx/jTzP+SUZT1Dpy3uv48D98iNmkKlP8GqaP
HLNxl3o4hP373zIIio2p12I/KtxUQzWyA95qoDa6SHU91D4bdiQi5Z0ZKeSgkFHnsZHPxRYoLi+T
9s3d7IWuaIrZZHbvx169AIO5XE9acv/fg8mXpaPUQM8u853c3e08BV1ZXmOshlHyTWSEW7vmAMpS
XARArxFH0yi/3RAPmC1wQwA1u5llrA62CdI9/jSoEJm21OzYXaQI0p1z1Vi21p2LGmj3hgV6N9UD
Kkd/NrvR6lbMkrvOHN8BLCt+jPUifgSwapl1Auf0ibgmXq4/RqgvUh0Sl0OXXsWxejMhad0tvYJ5
j2QH/F6xsVu8myzWOEi0ssZFph5s1CTqKjAFgIz/pBamg+dbpZ6ebsziDQhecFbiRHzDZdZ/GEO5
N9zC+FqDVX1RYwsHFuhYO8qwsFe1zMuvdbogg04HGn3u8Rqsoqy6IKUc2e6arX8dHETDDJF9LPG+
BKStXe/7zM+eUVX/g0ZGSfYV7O/2M85sgz3NnYNInuZ2GPtt7ryP7BWwGOa5AeL7OjeIQaqLRLYY
WORldHFdVLgFFQhZkGvxBZEtHC5VdXtJhUgOlpEDFknmxYvTmckiSABTYnTmZAvAHwZA/OjVVnPt
atnq/hMlu/otcIXHKHF31E1xwroqAgkIo7EGx4TSzt1BhkireTOex6IQoX2oe80HS1ZRrKSXB597
HZhlnJmArHfSB2mkHDUQkDMAvi9krlcPnPP22mrZP0LJ8TgHIS+YV47Y92fvgN6GoATkwqv5uo1D
e5fiAP8TspNIbIEsdYuMExyJOsBvAPifWMajZT94gHxaWQW2WDxq7AeZdzlboOqgOhcIGE5d0qTK
2mIoFE40XUOWpzIkTQN0h2PuGQdySHaT1reA+OsbzNiCtqvk4D9y+Q6xpS+TryoHRcjgVC+iNnFQ
EmDb15dGcCyX3EDIpamj+smoI3vXytJbUJcaQLT5izZIzJ2nC2uVxa65qr3Q3Ms2HJb0jynAjLFv
VJeSkucu/Z+oWwfZrXHvg/pmHkva2ZhckRYQ4eb+fxgrQXXetaF1NZGotOtsHm8RUpIf295fZeDL
+wKIm2Rlh71+GsMC4SPwMiAzDgrNLj+4veM993Zq7UtA+a3NtHA/RwNKL6AHOXy09tMuQOQ5z57i
nq2LKHgAqOPwWbddLMYHyQDYayZXN5fgc1KYWkWe5DjFjl4VZoosH1LUQZBPI3iAKBRD6SuIA1nJ
QrCX6Az0jDjKpitqzLrqV2Vd4Mz4TZHq4je7yTjpf0TC8CZPZPYnn5Otd4y8PjyRlS8LJPeRfG4A
I6dtgeP1YkVejWoTHDtaSH12UfbfAY/eN3Z5jWTyhZ403iUqhmxtd1W5qiLbu1CT4Id+GTV27cbS
Pcxy6Qvj2OrtiUQ0nK7SXMe3y2hNHIjGl7rq8GBzhdAXWojUHNPJvWRpN2cBIFREQeP8CdAgoKU1
cYI6dZXMCRqG86fRW8+yDqtAtxPNyVbpOHaZRRfUR25mg0CLgNATt82yw9nvHomFwdKyRX/E3fso
9onNT7UTgtAzAEkv4vTNoyNrpG31hvEpKo1shQBffIwNo3yf+9qK5PpoxdshLPNtqcZX2IBrQd69
z6JcO6QtA9KskrtOGALTAIR74FaxAHWqF4siBkYBq8AFlI4ADC+yobgYTe4dA8NFmq/g7LNt28CO
rrJ//v8sDOWD/eKj7q+1QBoY8ckmdoUc+BSVW0ixUSyzVjB+4q5tb3TV03n64y/nBL8deerY0zNX
B7AnYw4Acu+OCcrMYgBFtJPnRrJNhkTzpdnn/XtHC6xNmBbhxkZm4/tC4ozIB9HDjrStBeqbKjWw
OFVa3xcfC0BCXkhZjObKH4LuuRg7/8XJgsUk7iS27XH5SENGvE5PudaDtrjk3RPHvgfVK2BgT4SF
SHNvHPAyDZ+pEZZol35pJ6CXhMyzIhPIJuNkQYNcJNMvNTxpdkPg9avWKMFZ/OsOqTGQ4oVM22Ez
K2jDg0B5IVezuqIFA22XujHI1mOAbQ2RFNwRF7wSGwz2o8WMcjub0NVMcEDDSNY1TrTTBvMw296Z
4Zz3J28CH9gjXiSvjme7Wz4FV2y427g7gC+j+meeiO450Z1oU5rReEFd+ngJDbwLLScsNo4eNfE6
1IrvoCKJ8eiFyWw39gDGsqrhZKa+u6w73V+DabjCVlAzstOAw4ax6XDKBdy4EzVWyJ+w8VFsFoG9
jBS8BvbO/KB5tr5lSX4cikazQHIHhA5EnDIfdD6w6Qjqg6S5gYOgxb3BEBQZ25GUBvSIrss2c0Do
IKMzEga/5Cgle7GElb544Abr9aB8IlHR4CeGg/7s0AIY4iUQHBR4QFRmHQ8fDdWU4JtA6Liql13f
h4/UBF0ePWoRvxZj5APGycg5qITb8IDk4k93ZijP0EDA0lz+++fo3ifYmJbuMNBsOchYNNlvv0bH
DoMRYGj1lQvtXd0n7bEx6/YoVUNXKYAcF4EOij/S9q7ZHme7P8nmsZ6VVEcf1NJu8Q3kcua7nlf+
+a0HGjcfHE/ZN6FKA0mnelklh4WlskBoq282eFsMvGUb2pRjPQ8Mid7+Z0xKPDNRcrErGoNdrHhI
ACydIW1g8Ht+CgbhrqW6eWCGoVBClsFwnJtJGBmBvkyMEgSPvgOCUV9LzqjQta+gVPiW651xLYDI
s2gYL08oU8c5EuvCd61pArZClv738DNwGPTvZdaUi1gMw4tuVdFGxiby2bOM/yVdxLnDFEeeiOva
ruHpNgKwBnKifgVGtpF3g3ywtry+ntjpua4/y9b4TCWi4BX/hF+K8WLjc4AsoEXtbhZ2L/9lEAPt
6WHQmTgh4wR/P4aUrvBXSCGUgyVLJC7UG4IHIqAgwV19D6y0x8wBUk8OgJajiGJAyel4oeFkpjjW
ihuOurMWYXC87oxh4RhNDX6FG/xFjvDmPgvtcjFDKeIAxlkhpZGtZ5nWFV9ZLcSRRH5dBVjgASI1
xFvMQ1rGEcztDsL8uPL1EcLmrT+rK1k/hXnYbZ2wrv+asnaHXs0N/M5RuulaOvKQkbZ2x34zDgWg
zIDe9Azk9uaEM2XURTO595BfjDTtojs5KDdsFtR34xyXhYVfV2gBvW82oitkeHSnyYarkdNw5uyQ
fCX31Jvl89hpAvJa+6ghuJ+V3M7mdPV2n2UHNI7ABjxYyPkPt/C9l1Q3hk1mi/Ggax5/YDgHXIHm
zv8sU5DhSNP5FsPU0nuUQQs+bJCK/Gqqg8dnlbHE/2xk1brzM+cbalkiO9NV/MBdzcCmSevHj956
AipV9Bt0ldsxfvvKkrqEZZq22Oi/WrYEeDpb+Zr38BpMbEFlv9byuATjOlIJqLHN8Fzg2P6Beo49
toBhcIrJIlRJCALfyjuLQvOLZTyUWbH8g5ZmQCA4KYBf+Zt3GltYCjjQ4Qlwet9ZIIRMlgHo/w4e
C7C01MLgydXr4CnJAncdV2xchB6ACpGQdExHQLP7UY7SIdXlCoK/6IOxmvo3l1hcR9GqAnkI+HyL
A5n3gFs1rnQ5NVEvl14CEAXqNov/fpUw87eXiXoq2aiEc01k44Or6e751KW8kCALKJ8to+AH3y4s
wHgNxioJ6xwVXol5oaYxivGUe84mRFrcZTLDM9jfFtlYL1jcFsm6d+Nu1dqoi6Ihvt+8DkaxdA6o
KNnsZoekVROhwua3iYIEkZe34TSIJgMpXb2gbuV8jZuqPVGKBtWxIW2rOCZIcCMRNTcFe0Zu5aSd
a95QwZoMUwrIm/ZmBBtjMJYxM17aCtGGgWAeed/qEnV4zqFQDV1xRwHckCbTgTauh/xGOxKejcdK
51ATSA4NnKQ0fCConNlnMhbvghjlx8g5Kc7UDL2nqOaseuProRZPGiQOB2AW9XZk0pBx7yKhmfql
HnxHmpO/dbR220V2CjItlMvXqpmSnlSlvVLWcQSyIiU3Cx+xuRpgmHgRjWvX98YtJd8g0alZdL2U
Z+pmPF4iAOu99OBSuDKE78CqiYwdLH8OWQfIXLIiH1on9clHLJNbH+OYLJOaeS+li3r1CTmc9WDD
rhSRFDVEFVWmYbUO7RwnuEox00c5oh5A0aq4p2baKcP2raXvS4Bko054PQgknvWNg+xnGl2++b5z
Rl0aEqup7rxaNBXZ3DSVtXZTpJmUDmDf6ROXg/8palN2CWzNfI8HIP1ZgC1iPwSVBFOQymsadWzO
dWnZKxyVZxetDiUiivxzMLb5J9tPUf1blvWLDmZDhBa75DGMNW2ju7E8od7K3ocGT/Yd0PbOKXYm
G7DGBFfWFmKVjnn9ziobc9HnSfU5MdyXGiTw34Ma5IcpzpcXvecDV7OJfngC1SBFfIoAd3SkvIss
DnAsVKH0ZMqyABGRtcAPLN5TJobtCn5tsjV1aEDUtnKHEEOMeGBaP1ED1Pt/sLRiyTnu3WLbFsOw
Ir7Z0OIRijnlsCI22tKsb7u5Wbkb04uybet38sUvwW+BaOg/fs4/YqNtvdiF8LdGz5PdrwZd+QmY
sexY8QEpWrpbFQ9I8ozOLP56IwqHsHjoAUizsBoUgdnx1zYIUPAw6Hl8HoavpI/BSIC/DZMTOgSe
C54UxVQ0G6ny2ZAeFvRU+amcnhU3dbxQAG37ddT8nKFBOEG0QA4wAtIu0cZNhDgXTnlBBLwAkGt+
soHFdHKAACVwlHdISJEoG9JiyRisSxY7WGwgHQKRsqwHcxzqTmjcWLdcP9Mlr0E+7OvWxrWQoxdq
jv4ux58W6zue/1h7jsx+tH0ZI90sH9/FLUNNAsuyc2qXHPTrsbYxMgvFSfiDA9Sdoaa9kmJDFA9m
hdIpuz1h64Gqg5kUosIDaVUZwl4aPc5WVm3ZrY0M6OqogNUBEaUgX+dmVMis1EW0elxEIMVZIflx
fDX845gb/c0lOXGa6odkbgcQ+/QHipBH0N2BtueopxKMzkwL06Pmt8DBUEJqSCbDunKXdCnoErxm
FxCbVHiyekBpEs0PIl8dNC8yN3miAXqIg3z7VOdLrZB1hqWUkk1GocSl7MsAhXz1AjkiSkP6aTzn
kbbPkI08OJk83Wq8okSMLAeSlOKEj4lWPqX292s5cuzeA0UM71XsoBlmtOO6i3IwgBcALzdNRbkg
dRrnWxlH7YEbSAZY8IJniHMYyQoVdezMVdUm8pZcvPpUX29A8KtHISLmsq+2ecHaYxo0q7Rr+ICa
YmQXT5dhqVb1HrKop35MBsjtRyF4qeUL3zHyBUIv4ZINYXdpUD1zoSvdBiPGaOOQkboeXk0O6hby
HwFHeRDZAdwE9D25PTy2Q2UcJhOyRnHjBqiqPeiffvojuTY8grJseJjFdYZXmCj/iRyzvZndrJA8
jSQyUBn1wcKoE7GgPWmchuWDFRWPdHZMu9YmzJ6NuHLO08lzZzhrMKcMa+oWLmCvq1A8kikNerMn
UcpcZ+0Pbg/ya5xGk73y7xCXK0uLZ+Dcv/pO3nxPJ9emLLDSthzx1dRiczkYQ7sMPa1HiBcV9NR0
QXsYEYs8Tz3w4jw4FYqqlQGVyGtF7myBmCyQRvRz0L85EkXmnWlU99MRlrPOiiHcsm78YGf0vY2y
XllN0JZK5Ne5fSZUS8LEVKJSeNZZG6xveNjh7hQSZqxrW64syYg8/OqPDWLdMOSeTxuDMsH6NsVR
DG0WqBFSB8uELybRzMOg0FmWEkwkG60dXb74P8auazluHch+EaqYQb5OjppRsCX7heVwzRzBiK/f
g6Ysjmd97+4LC+iEkTQiwUb3OXrhZ+dELzYUafZPVcxK2U1cDxQPBwmbxjFZsQb92PuSsx+ZqFAU
ZXpDoTD00e7sVCjpB5/6wnrw4rI78qRdV20OsNxiBAlgaoAD1e4KDyB3aFs+mrEPvHAaTlJyorny
HAbA7E6KG6f3KLq711CkcrRDA5DBwC5d6H7qbnur60O8ePyea0aPmhKB5rtLomOviDpLvp2Eod2e
hswCA2aZfEoNuz2Mqrg3azRUCY/g5+5dOZUAlx+Fw6mLjTz+n9lUMzwrYr3eBULvTrPItQGCZ7b8
G5URWyNADtBqZjRLj7nVhpYxcg2vRGBOXLQaniANaklONGod0ePD5WLjdlqyIIVt9Hi9JvU0tArc
2KwY7VQkFG0PZgFH29UqzByLRney0WrExlehI0Am4gQh7gGbZAF3aW2ip/Lo5l525VzHB0M24kfU
J+v0Twun8JudHKvwpAG0dGEaGf9ZBs9+7IsfZmLmgIGPTdyJSjRLB5kFsEaXP9Wx3YO0wnQ+TNFh
neNAbdN4OML2FmFT8ZWwN/Eomu9DxcXKb/TgDM6B6MErC3dpBmP24w8D0MIAoMLRL+81QHHHDdwt
EvmGg24Qhtfhz8Iq+aY02WC+lmHyE7RwfOPaOFFZmdwUq7FAPxYZ+74F2LwPPzKkWaZIwwdiHKd5
Nw9VxCzl46aP1zLmIwCYMnmlURb8BIJueaEJXXB4BhAiXottoKwmU69Ldn0Y41Gg3GU7yOvoeOJq
P82hyFyP2h7VeFLsZks34sk2R10xXjxScC9oAO4HIALAhNQCVdvVOAVFQ8oCDQrdvouGAc3zKAPg
im6cLkitvI+k56blYtbcqTupX9VOfXsnp+m97xx1jkcy30NXm5EU+pLl/Iz7C1pysSfzF5aha8uw
rwDvCihPgMcOkgNyPEcOjuboqAwfUFKGt2llPnDTvIoQt30VgmZ0mcNMYbVEvIdpTeagcQJITZrC
hu8AK1YrfDHif2j+mLmAZnEUEhnxRqD1a7KkmfLjnXgeRNftQtUxhM8H8CM1AmnFeI5r4Ov7HUrm
SEEy0tKFqc6iBCe3q6ap2uUc4M4uDzIbR5e8X82+c4DOLUHsmr86iUCBu58bO2EX2ZPda9kTqs2X
gBdIryQChax5jFtgWof2ooydNfid3EuNo4xnVR6yzSSyWo4J2u3ajMJn7HfXjtW4FxLNFuRAso8Y
s0XeN+8xPiwoxt9WIYv/XKVscWRkFH0JzByteOBt+MVCXeSOZh0O2QFXqBRAm5kUtc7BhNAa7qaQ
rbZ0wIazunktmV5HRJNqIFay9dX0YgIKnkXhRnEWPcg6drdB2GxDAyAmw66w4hUODP01y+zgC07Z
NwmYmD8BFxaP39xi6p8s/OKHlbkccn84dqOTvxYx+AqUvA/iEgRtQTy561Kiv7TuvQtQnJ1H7raf
KGyGFPXGBtvFlrw+VuGGBQ7a3AUtilq9M1tzKf9YheS0Cl6e14bn7VEa8EVmbfLkd1EC4GuPrVu8
wq5oOilkCPgVbQDPmjJBo8fV6kPv1Lg/QABlX0k6tIkBbsfsS4gCRuT1PuJM8yFI20VYldre6Rtn
zTzUaSQivGaM6y9500YHx83aNe6u+bdYH3Aj8YMv46B1OMby5bb1TesN51cLMtCavloDLDU/pEXb
vthe9mjHfgaudEsucQJRnlmgD/iOtwKQR1CMDGTW0tWsa+QBzNPqkrVZIMtQSZF/+/Nj6EiorUmu
PobKcZ+yvu83lhsc4rSXF44/27Pt9c0qBxTRdpr2WniMElssaAqCOx/70ueQx/YTSerYAmZFVjV7
mgo0sO2Q4umXNC2TyHrEG+M0I9GoGMCQ8kedjr2w+z55MNWFRqz9OXqBf6IJ9rfvYjQeJw9sAL7u
2Fv7WU5mdBGdBjRkpwcfmbK982fAFFtGovNWs2K2Yxn27CMDzvgcGWXyA2oVdNB/cMf4NS80mzD8
Px5GgQ4K+nShM2rTj8PSKnyItrNlBBS7s/AnGPl8zMUekN0gHwd1bbic55b1A0R0DbDEipJht8ZS
rm861tbYbimYW7sbwFqn19aKhHSxYuHqGw/v3EkRr9GPh4pzbFs/s8Bf90ExfvW5hRdJJed/yAMX
crIXJtL1w4jMjnICKur4lTvjgMMKMezdvJmCkXx2+lgkx7vbMbXHahupunnLLPfCdvRTF6D+nkSD
L6o13hibVaRK9UnWh1X1MAS4z8cSmKcki8pRR6GE4U2RyJhnPXbJY5QsEtfVwbuqoqo1wmTQT5Ob
CiqivFqjqgtrqE9BF6/WqgeAHePwGCI7kBJfH9TfhVrvgPio+wfwSTiCsDvvsXWc58KJ0NsVcrkx
S15umYRVVrQ4KrR01BpIUFBFzdlLwAhF92+RZcOuHfJiqY86zg1QqXSOGp480J38XhuO5b22A/TE
EucpClztd+RKeCcrL9KT17fNWpfA8OoUsdOoGJ9oFOVfGj8IL200vIurDq3FsylZBekYrFPJ+bL1
Gg2sh2MEMnB0CPUL3OsfLWyrdo6iC/eaTEbbQUcywrWQE1R2N8Y8kl+aNnc2KfYLR2LeKQIOgs4O
eYW9Hegrmzh5iEXnZtix+CeoifQNEkrdKeS4aFWhbzSnDbDTRR6eFMPY+M00d/2syVeJY32Os2rc
kssQAYQ52Je8tfkqs34A560Hlq9tPphgdX/Q+SiOfZribmGAold47g57sf7aqMuAb9g21BwQEasp
KXCUlWNzuZglNPKQ8V3oSWhsZwXC9jtPx9PBwc11C4wPNPYM6UrPOTgA8yhe4L9JxCBbXjWRGyYL
NFvoUqSQoNIYRSzA58IR98ot+jRYJBnf1k5j/FMn5WnwvOJnWlqPVcfc78WQv1k5WMSKmv9j9XX+
1dFRttB0podvI1CP62AUS5xZ+5vea+IXF5hdlBSlmUS9kUBt5KcPHeVP59mHTln+//zqKFo4IhdH
HDcBO1iGqM4QSEkBtA88K6rXOcSL1rLKnOAsc9MnedJ573KAyoX/KndBqjHHsS12H4fi64EHStgh
3jIrulDhoD22Mf5VowtVJHI1+1MXeMGFAFbJUs1mv0RPLlSNaIx2fFW6dOjNkw48pqUEGt1yZHry
Wid9vkCTcf0dt+tjkkbgFGnDNdiV0TMq0c7cFZn+I/PQfWjJ6g1PvXLJmN0/o9UfqbEUNPN99GTq
jfuW1IO3ZFlaXk2rzsGDMY77JnXbB/Rk26u4ieXnws//cfDc+YU2RT/sftlN9gtv6u3nzvf4Cv2T
2UPwiK87Nl+DbV61KGLLrDCcV+GM39TN+pcY8fAJcUqQJu2jtFsT2Ol2teSgDXiSXd1tYsvLTuA3
87H/MG/j2FbMX728/4ijdwPiVMjG6BygHTJq5C5sUaIMHlz+Jej7FKS1GMVKFgyl+2XWzqP/trvT
/ms8skN5KsowOqdeu5YLEN7CS1EVhPqRwNdvp7OWKk/q2n7X0nTWsmpEx2Xi+stIgt1xj7x9fahq
IObR2y+KfIEzn+Brj2P/bWo16MBSFyT8P6FSlx1pNiYRf3TaczAkDDdkNXGM9swbeZxmCksuA7D6
XkRoILzxCXR9HdQMp9zKixSFxtMlLecoN1J0XfqpBVDdTbiIn2g58qmdoEOhPDBT1IdrwJOx1wHF
tDAH3bpoXwJ8zy6uDsIPErhO2u3r3v5exx1K7UnW5vj+4TB/XGWhYMk6cotfI4D890NT+8n6PQaX
ccQXH/6T6ezaM9RkOrLZ4ydKjnSxVOLcoXR6AELNI81ntQwcJNp9ANfrsjB3pJjt8ka4B2EuSDyZ
3lnMkWg0R6cgd7Kut2qkR5ru6oTVihIw+FJHi7gOhpcIdT8br4urQ2C5+QVnK3yZyqH5FrJqRRmY
rLEBFcdl/1IkEdos43xJmEg4HisS1Kf/xliq8gAnh1btTGqCSCJt09rJiUZtoGCU5nkY6YccRxzo
hNbf8go4JDQKzPJ9FKlRXwz6G41mLeig9bc7uzlKHpUHcOD+5EAfXmaoycF2nOHZS9kZnxI6VhCy
ZdszY0roTFkeHJ6gPDXAgSvXwVg+NmhiLzLAl9pqSjKrtBzQoH4iSQWU3EmsVTWApCRIlEnR41S+
snVxJh8vRTozdNl7HPIanIirODSJuvwFlQDDC3skVsc+5emi6kGIGlXMWXdAMjxlccOOWqaHgIO0
xpcyx5FF5+n6P+yxVFTls089pHwNdABxyHtwQ6s6kLLu5IJHDt/TVOIhfJIu7tmjKvAAH8et1i1M
QHjx9EL4YmbWveB5rh9BYg622bbBd0ZNCVqMLrkmb0TkJGCla5Z2nFHIlFXVdLeiP2NxkQA/JdR1
YKEAyb4GNrhMg+paIZtDM2y4pxlxLLh5Pc1sxc3wp+XHjHQfljjxcVexUQQPoi6vmmyjF97Y9TH0
gSThhZn8quRNEUUvXh59Dt0w3Q5AhHwomHi/jC0OpZGNBTh1HzBtMWsc2wEcAugsl7NsdmYiAuaA
HWeTlhToJ/HwRgXC500qEm8xW+Oe8L4e6h/7zej9sVKRxGIPYIHnDPA5D7mhi2U0xPZ6mjaD/0Aj
K+rtnR+IH3dympZ4HofIe50COyjRJ+ENO4U4co2tBnv4iDULmuJ+Nl5plEYXr0O/J0lCG+LRxNdB
jMgMzaYjS4edUO5kcqPADjVI0vU7sWnZpJ+orm6i5kPm76Gwc+9ARXiS6PpsyGoXBJw3lH4fMlAF
ucD10L/aBqAOwCN85I4tnujSeB4wA/oO2MIfMtMqPrtpXiBpjqP2P51IZOjmu5PA9+AocgclC6sC
h9HLvESVAP44gFObhjxmQDvJcqAJzULAYQMy3UPXI3anAF77uDCZPBppLnZkrPPoXXk31fWO7YPS
25Cc3KfV7sLNi0eE1EaWN5+DFsDxz6OHt8BNWtoDMLMDzXVRxm3bK2Y63sZCMvOlALnooUwFiBHV
1NDt5CkBqe6A2k8c/oj6rWVee9bjPn8xbWmvRi5vXUcf7bXkCgI9eU1a8bOzgE44ctG9uHw0VsmQ
ZluatlqHekBLjEhpQ2sCteahCY1HmtFFy7/5zI+eUeIEPfa1gEv4HSwH0s8ULBZB9/K3YLoD/KWB
MbzeSRTkAGsQVQr4ZmhtiMqySqGJ0Ty1cIJpu76+9awKGeEPBY0K5rHNWOGmf+MsgTCJu6NAuoQH
3nGKSPpWR7FNz5ts4/M6QIoH7IPjKMBAZ0cgD2B5hiI+Fx2+AJhOzqZbYGipoRVZT5EB1iTRowYH
HbKQNQq4AA9q62j7FXpQMAt63ewOTgNgYh4CCalEOfuZjMswq6OtpRlI6cZBu56WmVaQVS9BV9pa
KBwu6oPMEqM71EB+2reBvZ/XmtbGVihbR63uL+Ic5B96bV+MUhWlo6ewXaAmV5H7he8X0mhKzbOf
LY64j12d4wFNIlKS7TxFKUe4CGq85oLFHoZzqJbLp6DgxQGdItk27ku2sAKOXKO6xEGfXv3WPZWa
o3ozfosYupi3PUADFmQxO/jghUbltHeYRUXSabs4dMEbFWbZTVzuBl/LOI0OfuqYLrqWAF7TG+Mv
Qy0TZEpWj20Izks333d5b7mLFFveQwtQHwpP8egDuEFQL9wB9ZQ0JUWGCv/j6I6PMkkQimRuw5HH
wTn1dg6QBYIdvdg+No0ToZ477bZ01Fv2Ne60gDSfcmE+8IQuYKhY4naD2y1p1ZRs6bgYmJeTw2RB
09GzJgsyoxhzyI8Ydj++JIavfe5N5E47YYWfeZegGdlqtavIB7ZBujs4FbnoDpHW5TsbCCgPAFHN
171w+TPO4pFL0Jj1RfGxM83rvyZZUiwcVwwbPYqta6+OXsIysrd6MOJQk85j2gJH8HberusqNBug
TJZnzsfsNGl1F2TKFAFg4zi9YQW8Swa2Ht3HW5c5DuYGB6/icnMxsJsf29TfBJ7E8e04vDlu1YMj
MexQIYTUCj5Le6IpjUhWO965APAuWp8Dt0F5D+ymIRkOyrkronCnVfnT7HZjkomyPxaoDxE4p0Wi
CPVlmtCKq5Y04MRpefhdq+2XGOjyL23iZfu4btpN11TdFz0IQd5ZrKoq8h67Ksxf+jY8cReHzxbY
A16izHKQAtOLHSmzEUBeY4P2w3go0IkxhuHVzBCQZsrhw53szUaCkaNKyl2I1DuS8CjCrWJ+dNF1
8YQTAvcax+ZnQ+rJW9jE+rZuY7amaWSgli7Jq/yhMwZgsHTmwlJmBao4jiZH1pq262jlQbOvEWIF
E71UJwDMHTvcaa9dXXWoe0rcc8BAdkOyAgDnV+B2IxMpkPWnKSlGhvsToMG+ZspiYFW4r9P4K1OF
nlTMGZQRuEhtKhs15OgccPuvrSVVgpJVkPagMmHIheWyFBZak+BK6slpRC2It57CUMTZgEZ0qSjo
31fJRxN5iwDdLueBipuYjf9udYmDITr2H9O048AIM/IOtyYoYhbFxyouqmIxWUfO72GCrPO2HspX
7sburgCj1ypReGxG4LSrtkL2PFJTnOR8a6RoL2XhBa/5Z+aI4jXoQvQi6/E/5MECDV0gHwHykrUr
oQKQdtT4FCCwmnrtAzdjKb0ENVLUw8QGI91Kjz8CSaE6CnUhLV3uZJMHafAFwmvHbDkJVawaBd2z
fHLhiXUA94K7DU2Aly5d3AyLhTcO4dE2kfWU5aCvJ2FV4NwMqLpd+m5w6zGNyW+ycAdAl2iA5NsC
X/v4LpuDk/pWOkVHpWZ4pCjTnKsPMn8a0ZjISSibG39S05w0kyMJydunRacfoXU04SwzJMLCGNnP
TgHWtaE2XN3RcI5oznmYuE1J5ttAkgGq0nGSiRE0KhEQ31aNciPff3Prc2EdyYJsB8Zd5GEdjnZo
LEYXz2XOEciTD7OIbNWq5I5uK+0IDvrpnki3PkpB052vARyDqTEgwqtb4iwnJSWpaUQKu7TlxuZR
OKWsZwX5ztPZNwZIMRKFyVbmOXAb7taYwye4k+1R3oyaqN938cmD1r1zS5zWxSkokpNzgPmD38ks
tLQfW2d39+l84eDzzF60RM0rYAzihHB6mPjlsBEopzo16ghCBtFwcZ3ddL6AeiH0sXl+u0IRcAJW
Yuy5gS9k9nia7722gJbOLGYT8iutmC1tAdZseniFaApdZOAr3tKULvSk80G7tUi8BCl59fQruM2P
XV5xAGn0F8cLJNhInOwyX1wWo0Qj1PztLKPR6IgBBWPglZ4VfZfmF13G+XqIEh+kDZiSlhRli5c8
zwHR1Z1HiqoVlFPnn+7kUrPsk8zH1RyD9Xi+A/j20ZJB+UBhZXQ0yz69WEFZn3vur1K/9S8gxvYv
NPLbZlzjoJAtR62XGWgTtWf8xPIw25Wikse68k6h+WqljRz4oRLIAqLFCcylPjDvzvNFb20Axugp
wyk9dmdb0oBMx90FKJLwM/vdOCzsAIfSgBGdnIGo9+5HHq5sf5Q90D11XUQNGIrNdRkC6xZtoOWp
w23c3ltOV5xo7mQNW6J8UV+ivrc4zYpWZ3Ce56T20ER4sExtWQYSML+oicpXtlMCELvzkEP0xYhT
HRRjHVtZ6N6OhnTxIlPbxwLHgcqwYT4MaTib0Aj1ab9DmF1S8eWsn82tnkETgxYRxVbWnkwm6xt3
kko8N9Borj4RuU9Wg/oMJByldh1DB08aMpyXYCgn9XY0n36qAFsaHfVy24xjo8K0qsfL6+A4R7ow
LXYPqfFKSuCv12gFwj8lWriViTCC38NJl2p+sQlM4xep7W6UANJSltK11n2OP5AZJ9XJVhf1YjJd
WmwZ3ajsD3fyCjXZN2aTg5INKKNdBI7b0tvN6S4mILfObesnO5dn1lEA/AANejre7UKwIR+Bp4s3
7aA/kIIusx1NM9SroX9T+d2prbRAM9NYV0tSULwp9J3h7Ew287TG9zlF0gQ4An98qpso5EF6cstQ
MLCSenqyAhRbd2k/vkVo4AZ2eDMcojYa34zqVbAifY0BsHjy0jpFHwTESE+9W3H8254kAFmWwsV+
2a5F+AU0tj2QS4Ff4me8fuYFzmSV3GoBqQKQCdA8qmmWFSebl+NzEvTVQ4qk1CIAI9yXdEyLVZKA
fpSHrfaWGJO4qll06Gx/WJEVr8walHlWiU7Xrlrqni1O49h/kn6OzpoubgCkhgvJ6ZKiQfJmSjLN
x45cvY/PZv9q61TAca4bcDqqpehCK9Baf5N1+RDvWhk//mvIu49UDJq+RtKwW8wKsM/lqyzF9lc+
l6B4OoDcID7Spe583GvbPj7SCCD15s4BmTIp/fa3GU1bv2oKlMFDeOdGsr+5zHYxs8S78wAGop1d
RtMid/HmKfqXNz4DM7TWaN6h62vvQKNRTWlU464IpD41n4Z3evLhlXfrrSGNtIj1ylzdKcjYMLFT
BwL+7wXJ5m46LfXv5jd6PgDaRgPc/hr1/SBhwjHwolDE2x31FQBPFntm1qLtgKQhCgWm0aT/6zxX
kZrKBIEPuSfU0xDoisSbHCieB4rFQ+/sUsaRwebasG8FgMQcYQOlCWTdwblxe7ypfWgmQ9IYhQfi
BgO8W+RDMrqA5h6KNPeTbRSN8SJugFQQ4KmKmuggcrc6K/YVIMyPjdeZaGa1/P+l5lX61IQ+6piS
Eb2Zteg2kXo1n/c0qCaIliM4a6d39lmB9vNgiTZbbVKkjUBZdmS5Pu60lbkpgkIAHB/IiOAgfgNQ
vP+IfBfqVdIMD/SK6UuakoKjiAV4Fo67sRPmTXZ4Anz1K1kfyYzkYjj5TRU90iRORutkVP5lqBk6
s2Qes21aSgCsqlXIRNPMZmX4XjyFjbqyQEX3mIOsTrv4wLIBKRi6F/BH6NZ94rjrSsH0gfQEYDmm
98wKAPmR6MO+UAa2YLf2SGID73QE2aUK9mHPI79+oBnZGyb+2Gk/LVHwwaAlxkRhBHCvv8T2KJBp
bX10lDTuyhoSE1VWvdSPdAHuhnFEIrZfNixzlrPixlDUZhysSHUjnZ009IUfzc5D91I0ApSzLoG8
rKPp6tzUnXnuAHq9sFKvRGOQDZqyDwVNccrrnPzymSZkP1vRyA+HcIPvCWCdTf+HrCXb0PHhTMAy
UbPMx5DE3ML94VB6zNrNp5CT3exXKKoIDhwFwnvgFcMZnYPiIxTDKDyIm+FgDtUqTDy2IIwHLRpT
+0ReWimHJRL/CTKuQFbCdkrR5IEi2D8iAQCcTRrq4ZUngDsnpZWCTHY129EIvUsosPjwhUMp8Gtr
8iTbIMM6FNsKpFznRCsfsrwWQN/LAJKGnBL6M8dm3ZsmwL0Np9mxor0dRU3UTrLgY3RnN/7p2+st
Xiny7lslNZBNZKaPHbiGzKPXgi1O670/5rWjEkdpjqI9so86c4mOO2I1KTlSrDVOEWnGqgGnXHGY
racpt5EdlADSBW4OqkaiANWeRdruie0kB9bvoXWCZjGRnyh0UKDygrEXbwu+gg6NGPadFI4seq2d
whF3SiEHcB5y/HYqEbM9ioreanR180WYxx4wdmtvmaWVth4VspOmLqQYKm2DvhUHuHP2u+jDnwxm
+RyDFI3EzuOdntQbqu4wt9OmeSDBL1Vkn8PerrfU/HrXG0tTUsxuJFNeoxaI7Z38ph2X7DjXzh2K
rHYUxOPVZ6NWLECqsXeypeEcxQiwNcrEgKT/TcNcmhqqtifYUwscXW6a6mju3nfLTZ1zs45GKlCe
V8F+6qibbLjqzwPROHLeQcee/7sJn/8vsi/XALSSjvNSQCzZnnHXgl+lld6jSjB8KondHfWC4zrw
9F9lPVhf1QCpT+trbFq/kNG1XxJtGFegLMr3eHcwn8LBygBSBVaCpq4vwRAOn2XjVBvW19uqKssl
oRTRZUItwoHgOz6sE9XOqglT4Lr/iYNE1rNstvPBALvWcddedh4H1UHjuZuqcfMHi0jWacgtsDZZ
eveuQdkE+vKUDVct51ENNLPIGlBhEHYr4iZOcJs9OYCHCRVH8sSFXL3WnuE90cTI0M5hBBU/0BQd
NO0G5XXputABsFN04BJKdZFfq5KLTTOidw6VAchfBBowKUoQNBmG1eC4zK3P//2Xc+x7KiDAaoEE
yAOjsOvhcEXhitzQtFURL2IccgOyvjDcU89wMAMG93KTAeH7tcwYmoLQyGMmArjCrgGaO6CpAJuY
uygHFvxpIj3LwStzRCXrU0s1CoYM3GNni8cwMYKrF6L0nEZGLdGRQa1UQL+/uupCCht1TxbQmbwO
OdmFn2Kdntf5kpROMyb4TVTRqw2UE5zHqSnAk9mhctpHXwXhrUDqCJy0CxSqD1fghTRb3nVs4dqg
9V0ABYlf4m5PSl8dqQfqAF0rbDBtodJ1N5mRm+jxBwFmBAgtwkg4F84mt9nXUG52XjU73pWIXjeF
93+AWnjaPeaOjj+G5Wqa5rncA/T13T+Ui/QVKwDa8Zw3cbeL1Bs+b2tchAUKh2mo5rPGjtV7XlLs
STnLaWp5QMdZzG7g/sYc6Ne4TuNZNy1R6IA3iE0NBWofi996kb2tPsLfo5iul0YbMihRd76NWD39
BGhLsPZubR8yafgXgfPPxyTqviVpUn1p+z5bGzWqqWka4iTZBzdDbwb5QesZSLaUFfg2E3TAhuwS
1FY6e8eVAdI05V1z1Or4Hl7vcaKvL2QYeFsCTJ9w1Zsg37PRxdZa1WHPCjBIIFOY66dZXpgWSsUb
T6xIRhdWS8B3tjik1zNUgJNsWsdDcf5sl+Iof59JbCRmqHjS5prYu7annWZ5pdYpM7BSzljxneFX
tA5wbrAOfc4Bx+GLscvf12mqZ3AWVw+Bjkykwlf5Fhn8WXWBvLhJIvYZchUbTXezryL+QfrGRgea
7o+PrY3vlQKfCdRF1JmxNFzN3pIsCYz0oiyI7oZElbLAV/bdgmkBoHubdjfIRC4S2wWPFBF/mu0/
WGK8TrSfyNOdA298sHpFJOqmI9uinwft4igfnfhErSwAVm/Ois3EBaoIQRtm/IpHZh4SNSP577CT
xMT9P46GhzkM6gjfQ08Lq/hz6DnOn6FJjnfzWAfhpBt1YMdx6MoslPSCQKUJT020b6JIP02iSd02
lnaiC/aJ4amv9jQpbYC74F3QWHM3Sk89OqPCCOCU2EonOF5UIjWyP0Z3Mh/pg6MngH/y22o2IJnV
dtq7muZjXTaHDJSPrDe8nZC99rUGhEnkj/XXsu3kEgcV5jWtomwnGAB7XbTJXwKAAa/Q/pC+4bTl
RR9LNNrmYAIEbU267dEIAdQFzfkkReFs0KukrTM35J9GZrQbtM75k1bYABlu2FhumA9jHPTZ67q0
tA35+gzH9qPdDysbaDNGGmRnszTScxNbFnpQ1ZCEsrHcpcDL48oMq2ySkbaqExiSTev6WzA/JQdN
hZljTSPl1vOy2ZmZ/TwrKVwje/M9CErxAflfL9sfIxhV1w2SIxctFj4IlHL9tZA5wzFtZ17okoxG
e8FB+mRAti0K4veSW99MYXjOgsxkaqVroMXkqxth0+JIlIUi2ZENonvn1ETTRJK5qyIPhkPK8/yT
2bEDdcNkY+CuULo5AAhHyz9lSKOYeKU7on2pWHlCyNVoZt6xCH3nKlBKshDAGvseDPJNkyVqAFpN
26PpLt7Irs2+eh2q75UBeUr81JMnG/HMQh1phNrb4Q28j+7kGeJ9cBMZuD8oTzIgz7KN240FbFVX
oEh5kQmGhqOy3LdjFl7pYpaoQuYAG6xFKvK1iVYO4A6DcWI2oRHeTVSCUX/AjRWRhAjz7QjacZAV
S4AiTzaF9r2WqbHvFEghidIq7Y+N459JNH2KNLbtJdBDOAoyf9v5AU+wbbDqwNg5BaCJa+kwtnQa
VzvWeqofLY401ALAi+jGKpWApKR3ynidGH27n0WT9f188iYphUjz9KlVkPMkkiAaX6OWBRskDqQQ
U10qp3SXIyiwlrMMJe/iSJe/yTQFK4ISmmMdcH+LvqGxnOKRxxxUcqRQZ9l/xyPtbEzr3k2TWL4l
eCqdyjLG3U86qQ6IIlc7YScbH7LMW9OM5GY/apOSZJoyo1Grx8kBEFxr3x4WUbhxUxCylHiXOQ5J
Ek4jkjlKQSPD86Nicaf+m8udjKOjrliUtlsto1HXl6SmiBRLci3GWz+YvnHI2Rzp4in6ceBw66oJ
H0KaMyWcp7M18usJCmDiZEV26BwzDyU20V/x9vPDDMP+WZg+/hPQLgog+ip7Ayc6KjAtpLQ8CxTg
aYqitGh0nhyUgW9jmaSg5PbNq+WicDsu+u7HwK663jo/ybRBscCNKeelNZkmaXhvaiRAAIpBDZ0Z
ZrpAbiDCXV0PgVGCEiQalWCMWLOhYMs7BfhPrb1T8ReyBWJtZqFsBr6G94oWZ/88icaofwBNqjwM
gC2/WYFM5xWyFqdqs4xGtEI6ei+zfP5cWMUAtO+ZdNxOc2tx9zNkIgyWfg5e7k1Vgk4HgFJn1W97
IHAjQkYaFTwSjfyUT8pZNJvVvz3JdJaT7Z9hSVmmgEWh0Ydywl6aXT9CzqLZVXnJ0Q8OnYYKWpwj
Zic89NCpz1ByUyi07t7iF/S2JS+CRxW62oCWQHLgGl3KoRnOOKPzlqgurI5BrAo8aHg/J9jbG+Bc
mrs+19YWoJ7RiIgaEvKZ8XFJNgHpuk6b7C07XgdJZ2ifyK9GV/0CBDRxtLfM8DuqW4YkWjYRshO0
nRlQiHYKdLZMUT19mPY/tBWatVxEWrtwPW+ymbZQ4mN3RBEA4sm2Zle6INsLxWaIS/M1B8QAiHOj
6hxJw3yVSL3i+Ps1cgX+FihbXJCVG5XB9m9OpMURzN+c/P+h7Mu228aZbp+Ia5HgfKtZsuUpTmzn
hitTcwIIEpz59P9G0THV6nR/59xgAVUFQE4kEkPtvXUnpmeaHKzb26DvkZr9W0ahRmblyYvkdiBB
GHJEllZVII8L4E2mTxLysGrjvY8Tf9BAgX2/9rDQSrP2RDUq6tzAz3BpUy3TgQrKj8AlZdNehpm/
p36z7aJK4VdDCjY0p+tx5/ZczqMsXes6ACvsdY/FnycBzvmTItyIvI7ulM0ejJKBMLiOXHtFNvAE
A4JT2mIOIdvsAFHFzSCH02Ia6pMhIC+D/IImWk+alVeWLMKZLVjugAbPIN8bx/1NRUbyE3UvL6M6
WpPLSgp3w8aku7NFvy8SmcQrZpXYZBkRoGPltMYvBVRvDlDkLGJ+iuz4hyCRgGi70EPLbajOlLEX
HaM0EqfJdS+LP9lqQHGBxLDe46i5dCPHlS3E6gc5GDgiunJQt6s5lpB5DsluI8M1dlAHUKeMZepk
4wiSr6g9V+vEr04SCwi+ooAllJqLzTea3FyT20zM7L06D0JR14NcRLEu3PfScJGr4McP4G2UR5yT
xaCm1WsnbaMitzO8CSqz3yta22lHYJTAKafWyqM1W6MdwnbBtNaAuo0GABgdJzX9NJ3ixElvY24g
YwPXyvc4t7rHzt56cxUbkRBoiMemGbq9Enw4mWPOz2AnnbYWmPWeM9/Ds6Mo3B+gSsZLDYA+x+w/
sS7+q0by7gGQPKSTtj5uoACC+jHxLjvOTfJA9epbVozVpS0Dh7Vyi+GYhf2EiytNKhwG9UugpANM
GcYjU4qd3X3D68+Tq4z3/mQLu/ZTnY7iRLFUQGqphsyW/aiE38x2WRWn/z6HY64+0bnQscXZmQ2O
ZWRqOiFIFQPv6iCOJ2kxKPyDPnrVly7L8jvTKapTmgD5nZa1esoVhFt8sMh/x20tQJUQr+Rx9KWu
yvYlGHKBS8Ycq9/C7FY51C9undSculVUALqcu/wr2ai4iJmrlfnWutOnCJt4oEahV437qiNkBKwv
2PInB+l59R5r2eCl7QS2GVqyGrdza2xhotsCwL/7AFQYoGO2tWit3Oc5NOvXmeuPpyCexpMtq/E0
pSXrDp5uk5EKpHkHYGNt7jvfLt67IN24EngzILAVkXK3NJBf4151HfYx36a9A6GStq1vCtXcVbZn
3Fs408ZWAjTSG4BMui1Wa5HYKmGtpyjyztDbNJC1yfGNDyHEjhdsvZpD+rEC8V6MQwkah2KsKoLy
BGj3W9HYyHPQuodm1HXbMhvTtRXY0H/XBTnmGInU65VTRfVucS8xVFNVjE8eyJsrOzXDoREn1XtH
GpNMVHCSgARi3NyW1WDgAPb3vEsM1SRDTj6OcQBn1CGq661j0+c/A19LXvSNi423gkTiBClxjkfu
cxJHcpVB3fYXEoz8VLQ/ATyyobKaqBsJtLfB15OJV2GIzf2wAtQA93+yD6BGHtkdeG6MGgw6ZXPW
ifxb3CPJdVhOzTnObVNAfRtIBiA9Pkc9JGtPBpRIbxPrNLemXP5M0+StCtMcp0IMEk1hNt7XJWAy
UTekj6kJZqnQNkxcC9T5Jmrd8hmcfd2ag6Xki+O1IJ9S4XQ23M7bjUbU7NuC2eBbtcbDYKXlDQhl
vSN08MJjyaW4ybzMOrSS/4pZ165AFiJPS2EWBZCK4KI0t4sRX/9MHpY21XAYMkxrqlKnK/dicwA3
5fM8hRNlfLW4rge6CL2oXvSaq9fdlgEvPvlcXVwXn3f5qBezXFQz+nup68WEFwEXVRprmSVXU/r+
T7UYL6a+6HnxZ/3xAy0jAzgVHP/78eqwf/Cj43LDYr4bOhB2DD1m/v2eI/NEDyL7Rj35naMTOY38
bsAhw13tGxDUApHgptNNdygbtnGrgu/8AZK1eFxP0LDXLvJXblYejM76TiM4lWzZJhSWc5o8pMsC
lwllXz12XzhIPxIhKHC2fe/+cjQ9hMmcB79WyYnplpHmDi6dUGukGPY8GCtkLUf4qZGHYkrmPTDc
k5xmB9mirhn23oTlkfRbpN5/DN3KL+BHCDNxttS06T0rfxvD0ttKpaaTAoPSo8zBCDOZdvwjTrOT
n6YMJAOQ4o6dyDri1VQ9xbEv5wg5xg9Y38kvyrMLUMfwDGddrEE2hnMcfRzHEQ3WUhBdllHm49lg
KYASg3dDTrKD+BPstFDg6c7h1nEUyF/JThFdFiIfwt95Ex4rVmoP4QZXaSD6Het2h2t90KRB39Ze
+Vlo7LswFvquHyBLvaBdijD9WnfcO5NFfQTQSIWY2t0SSrVqgsgujTZPSUbPfFsGgdzVZ9OKnoOq
dO44nnx3fnJf9UNw9rRlMYMbHjngEtRaFzYdT3FjPXeiEagAWs65G0F0u8l0J7I5dv7ajAU/kpNM
6KhUEZypAaH14JSn8oZaNGOsQAhG4a0dGWxFHmVfz0afiWbTy5F5Ngolx++PmCRRD7SqyHNkTMa4
Ypp4PtN25kXwXbQdtBY0KWcYt+UjNI2pQQXIDsHWNIDicLGVDTgjLGvCQfi/jJMCfHavUpxxamYb
H4AVaLbeuZbX3uHgururlNkcWeN/ak07sFbkpcJSZbHNHaCUKA77m99uywyxnEzcZL+MlTQ1LoCC
gG9dXKjeQGRZcw02YaY2VgySTWrOfIFCUwdS2yrBtFG7HJSeOnrmEJTaPVfJSoWHt+lF5MVAltmB
q8ip90swTUBjdy0QWkiQ5SAatb/SJhknViAaU/OlAlmudtq05yabwnL4I5TMy4ZbgndebkS4svmv
ZMos7OcH2Zi3PgcLFy/fU8AoGQwaJu4tvb8jNrirsFTtLrBFrsVN3FsQx2y7qgRH51hXAPJP5g3l
y1d4zp+k579Sa86rt0P2JpF+ilMep1JA0SNF+5mvqc60IZXJi8XH4Gx5Uf8c1SDMc2s+HooqP5Q4
0Lt3KqSgm5l4YCCdBTUXFMOghpc7O1dAHrXOoMGKq1+b9cEjWUZzYHswLk1ralY6gDvWG+t4eksm
ZhX1LRPJi59MtliXTuusOza1e/IC22Vt7WkK1iIwkr0NVrU5Wz3UWedL6vmcx96YeHQahXu4zkyn
fPRlhKUfOaiYR3BM/milsXsowvSbHSC9Jtcqx34PnW6rBBsrNVNtU+647kVePgxigIhz58ojKJ5s
KJTASTZRQRiyyeRwBLGggSX7kKx4y6sTFX3avtfcepAcZ5G/20tM9hG9dGmxdsJphvZcuZeYZYTA
DcrTNGRsO/pOcQxkBAjSaDbrGNd7yTqpAD2+aNeqFvuW9w0IKrR/act+VI9OXdaPyxhgnFGPtV3l
WBtC/tDgEMxovekziJpxFtsFE0j/nOJrOokniCI1nwS31K0jNP+etuNj/WVAyPMxLsLsTmENuyJ7
4+FKiWMncw+RCewIqhb53QClfx3x/wB0VNifTe4ZjxWLvzlJX9z+9xrEwr3q9R4P9/mehzv9wPRs
37lWqrA8zSnh8fZpUDWuy3zfOJW6GJgTFau53QISCVDEToSjcSKTA0h0sbpuz31m31wf3RwE3h/d
qMa7AH1nP03VWs6wjH/VZR6NJqXe123yUJ9/zk6j91X7DWIFzc6A9sQujlS8MoLWAnMvuF7fq6Io
4zNZqWhDaexCx/mSKoabGgdsfTcWGD3jM1UbT6JnIrJwP4nsjrrwso3V49y7xHXz6HW7OdGqq46B
sAfoAAlkrfxuUV4WDkq/um0qsNkU1hYkBfJgx2p8HVp1KpU0P4E+S953CX4EZKcw9RE2GvWJAbfy
CcuhyzCb5WvHNHEETE/R3AEuJazKW0c/bDOddJvowuhBTK/t0C6tDwyZ7yCwwDdf5lA3twM/XjWU
OkNtcInHq/mHsrQpnH4ZFivf+1CTHGRDalW8ot/SMjaNRU1yVAJai2P/i7Gx27k4tPuUqlY+5jgq
6GwPXCRJ35gbF8yEOxKhy7XXEj1SL1N4M+2lvrGPW7W8am5cVsWfbDtPD+MAOVtqRozFyEKob2Tj
4aWuI4YxaQ9+z8o1Ocnmd+mdcG3jTCZgXdwD3l5QK6Ehe2c9AItiCatYl34xvCDlim3jFoDZuLSG
F4hU44qCZ+2d4+F8BF+erZzio438olcAHfmOZUNxClWqHkEpN+F/FV+J/7cIHnvJYawN87ZAckVe
j+I1AyfjlpUdoE5ZUN8CQKW2gB13L6k0Hx1NqhxwOYemVp1si4FfhuKZPYeWmlRZh7YgEx7t9gV5
ztbO81SfrNNidNbX7WSQgAQn5cnA4mwN9nL2yMbY28fMn0BYEeSApwuxAWV+/oYLiHPp+c6vDhTC
FWurr2x0nHXpyvQhM+zw0NZue7BSzd8VB926Bvj/Gw+CnVKNOHg4ItnECliPhLkJVGoKqzx6XBzI
5mpMFdVsXaOmSQgsMlLhdfF3G5IBOwoh04CkAlDng4EXAnYAXIGH79jq5zvx1AyR+dtGX/+lTW4K
JBt4OnPotAbBOfVbHCpuO9cECV4f6a9Aw+8h2ml/An39kenfdJz51UEa5YSUhHB4RfIA0D59ehHm
6LAo/VsYFC2Qhjim2xgvzsNogmQmtX3/s+9I9+AxHH1Opgw+p6DuxT/JMGzA4BF8bgxu7bE2jDbV
aAWfzQbqNm0p6y31NfPc3Ll1522pbxErwC0gMLQjr5BYhtSVgMyg7ut6WNqGSMjdkxdIPW8z9mBF
pqYKQVjpmcg742FXbu3SNdZN1uB61Ul1soK+aWWW+btaTkKDefWFqzQsKJxHxoHCKXDuc92d2plG
0GVAz+CKE+zsmU6L5h9FatvFDvcqyWrUSdPksGuAhy7aZAT+pl6R2BVRHtlFv+uYa91TCxqK7b6C
VMU6HwbQTWpv8+EdtBdqp+GFRJZMu101QMtp6W/rCJw347n0MTq3g/hTnfeX/f8+PwlupU7q7kpg
BANp7pGf2L4kXYFkHfCK4I5yal4qfnbjqP4iqmm8F4PxjayNA0oflnnOhppA6WYgbMu849wnnZ6G
ro0epqL2nh2wT9PIeeivkyauZX4ULkQctIJPUar3QtYZbtt8aDQtDuwDQdNFbaNrQPJF4QOT75HC
T/LbJZyaFLLY4sqFBBrHkmhUzhshwQSDRkEmomJPzSBon2SryQ/d3n3QUYQqC8E9fBGVePUcNSaB
+wB5nHksigoyHAykYTi+fkR9jDVohBrNSFHU/GcUdS6C5H4YIYun0/aXLxp9vf5k6wSybm2VQ8Hp
41tJX9L5+0rGmr66iz8I/RZHiXi30LBzZMptDmwDpAR7ABE+IVP8Cfnr9lkm5vQJLAHY/iXC25Cz
mXz3oSumTdIC8wp8aGuCIxbvYfL2CTL6sN2K132ikz7svELuGIfEph7KBbX8ZgJmYE/BVe66t8Lr
3+ah9LR1mTtn1yv+fdrZqSNaXNZcTO0XATT5RsOY/wiaQU/fSVDJu2Xenqjrnz5DV05vFO/rcT/+
/KAv0zsZs2OrcRhD7bc3VKt1879tfQIiEywwAWPW3f6/+v5pjrLG76DMRbG9mtwjuAh1qYIBCZZG
Axyqn2HZ5DfpA87JkiccAnwSTuC9ThCsxHXcVO4HGYCWpypybG1De5f7eISa2Jw+UYG8Y0jdO2l2
aNIMSSB1lZxsEPyfS2dKnlQCEUIHus5Kt8iEUyDsCfPIAc84BuFpZwDWV6abMD4UmQeWTrer9k6f
+T/KrvklcdXxOopa4losGD8ZIT5HwYvq3m7cYZ8AXHPTW4BzDhOQJA3yY+4CDy+OljfiqXaxZ26F
8r9kgwlVDivOvk9DeKugpRGv/td8MpLTp1Sk+bZJK7VJ3RYMzDrdIKonPPaoCsWMH+Dh5LvQ88sb
KshONbtIfsctbqr5H9HzWLWdDtsS3CO4AXPWlkz4g8cgXx9DfeKAnL7yoS1stm4rWX+FwuMRb7vw
l6ym20o5w5vn42IpGWLo8+F45mhOPQSizSTeq77Y4cIeSuC6sDRopHMNts3bxse66W+OKU+/ggDQ
xx3Wb7vqo+j272NE+hAyCZty0xfJcOZgCjiPuhZwiMaVrfMTN+ROvyEbhSShNe1N7v/kfZRBYu2j
W13iTMStNeACXXUE+dquQtgyeohcShqY5lrs6TACULuMrj8JhRS+BZjRx+ehHgXNvYzw0S2PFHiz
sO0dkcOMifTHCMe+dE8fA8zj5WZQrBWWFOs4gFKX6TkvZQMCUTNzowe/68v7GLgIapEd39rogbn9
LrQg/gO+N99YYceSIpePsSPFUeHhuba2TUihNHWBGF6IaocNg79eYtJ+nI7DZGTgzcJs5GBQfT+H
UbibWzQ+84uVlQ3NPU1OH6PiyYubTfHNHBbU48ExIRST95AVXHV+xO8K58kC9BHfkfiyMIbi2Abt
dHNlD3JAzsrMxvpKdyjc1gRDgl/yjexC8IF8jEKDIpvL26k49VaLA0R9/b4RkXOeLGRHT4WT3XHT
6c+JzI111uT2d9P5GToq+qo8S259FYkbEIYwyMdmbDX2FvuOVN3brO7cL3ywxT4CNxpuqwr5bNrd
W6JHkIYCc/PAodkyZP0R2HoQ5DcdfwVD/r4cq7+wKXmywZD0kFat85B13rCeajbtYt0k2zBY455P
OAjpBtd5oGDDqrpzleV7atkuEnat3gbtLO+iE6BP78UY2m6hAVTRiTzOh5uaTI3xPh2dh6tuSPT9
l1GmFMh6IBIxy0V1HqzAnTdOtv7WlTwDdaKqGOLHDHfPO4ozbfkrmPiwjaOxOwGe1J18XUDpElsD
qkJGA1XyZ1SlKGqTn2pL9zlmcS/RF555zIuZlpmp5/VEy3BU8+zpF/RvvQjcu6njbRfw74wX7hvu
rFzc6s6eQiOJL0DDuRPG5yVmRhKTMbFKYIf/3b9MRDUaw/6YZ/FaE9haHQgprKsGYItyxLcPYunJ
kUsr29uZKb74IWis4kz8+M+I0Zj4HDGW6rODV9ChykOQBox199XywycWdN2nLG6imxA82BukhHRf
7an+Ujtm8BRX2Gr7rnLXZC9z/nWss+oJapHBbe0Zw5rGmbz6p3R9+zGPQHlfQPR3tlvSBWO2KPjj
aE1vgDaJFZg81YkK/6P2J5tfOC2+Pzomz8sf/+Mk0PL+cRDoeAFzAM2F/jg+2ZVacwbUURiNbfiI
1UBzG6o6O0NrKDtTDQRW7zWB3FAOZdoD2f81jMkffFSgs9NDcNOu+1UgWAZeaAwkuapPTYX7Bt1a
7FejWQBZ72Vt/TWHQZSzX1HI0s3yMnNTFODdvHIsTapZ+tsrksncXnwWiFsVayTDlZtgYOXeBrR+
M0sNyBhJHoN+obNmeOLQ76ws94YKKzb6ozDKrQWVl9nEXQV9bfLmwhUgIvlwyTRublJrc6G8zpui
xzflQ4Q9kW2yLyzjeerKS132KnL2iWulJ4V1CQiAbLc6N4ZpIENYzi0yDQbQWJsSqzpggdUvvOXb
PYfe3pm8dWuCkJLaNoSGIKYMIbF5wEHmap9lIOCIxvLH2IjyvuNCvhxsPy5fcrzu7rOI/ej7Sb44
TREfPVC4Q/QKzspmAIt2RXKkprL/B3bT8q8hgAynAswzTQsFUo+ur8bDwRRtigTQRw5G3lVbt42H
jMIiO7mm87nMM/N+tiFrKdkPlQTZXwoG722T5ObGzzxrU1hpfwxyYGCBJnD4uHbBt/sAlVXvPsWj
t4gsnGt0yB8xjAFXP9pJhTTs9MGOehA2dsBtf9jtCEk4PMOTh2xTAoHvFe586pUY0+qwBKpS2LeR
be8joefwgKRcyZyBKQRLeWRxFF/iOEVNBvILuK+ztQBR9JckCXEt5g/1F6y8foa22hCP8nwi1Yly
4yIlCGqGOKUix6BtUOMztgbdXuBSsNw4TEG8h06tepW896Fw4lxebFfjALNmbCkO2SnuuvNEtfUK
MZwriSTg1o+qDS59+/NFIfthblIIDueqjaN7UAj1nXpc7a+axnofIfRzr78YhzqC4ulvHTsTy1Ol
B49qI14boSXqdF9hkwHeCBBA4JQnWvW2BBUVUi3vDewVUAzhwcGNINmpIHtSyhHwYvPImRE4qyAq
0lvLCn8llgNciVFmBydnJlgNlXknsSu+C2Rq30TZtLuyUzNy8CeCr7vbUAcqGt2VajGzgCw3oxuz
B4YPKikpkI1JBJ7ZZDQg+SiDXYKcyVXhF2jqQkDhaNJSCsZ5tlL1woXTPPCip0hCIGOfsXEleyDl
DKQyP9UV9C9ApDeckLJqPXVBh2yQEeyrdT6JtWpAYV+HAMTPbY9X68aJuwfq2w84PKxAab+qqhyX
lJyp/5E66P/jZcIYeFhNG8mDgccC9+plgvMA8HgUwn1wx3EAT24HUZxbUvwMo6beMGTc4sQcrBdS
MRdiq0WG5SQYL8jWOfGuQJopMv7tEZ2zoTtauJ46kmQkSVc2tm2DCm74QdKSZKcaANEgETSjBCpx
k2fjRBBiIWC1Br2KBc7GXZX13y8YU2YiFaJgCTQYnWpUzOQqS3uJKbD3BVEsEutSI3uYtBpcahh3
LK3yB0u3YrTIx9zG/mx4ADSkZjb7dKt2HHcf+Nm0NnIvxDPK6CFdrZCaIVS2VZ4zPBeFz1Z4Ajbf
pFvdTi1OTME/DHmetPsLPBYvdgHhk8jE3SWWQu2TYUX5bhpK49ZKVXb475WBc437ZYx5QeB5IaC/
UJzyr/4vwWMC3FcTdY+F1+I6Z5UMESACnbWNgqyF1AL3jyIOFaQjC3XPS3vaWK7gX0LX4KswrMuf
VtCuO6i2xCsbpLlySMdviZTeiqnB+xRbOG+2RvO770OFyAwypN2HoQ3C0KzFY2fsvVv8fOpqkxcJ
vhWxPDmeLJFQ6gvvdg4ClX4HmkacPxp9+E2mzpbnXL7FrY3XfdZEp5AZ9QPuUpGmZ+CMvMyHbjPn
2iuN2sc5zHBbJbuL9Hvb//Lf/4o2++crzfEd28TpvOubwMtdwafDeIgnpZz0sc7AUFVXIHZt/eEp
kgKJ127c3Id9O9zUfPoxes0P13Psv8DsLEFPILIfTRBnL2WErXfk1Pl9X5nhwRNmdBiCOrs3g3LY
eFCEfenRFf/c4coHM84hMoMfhsvaNysJQUnQJOGxUj577cJd68n2jfcyOYZd1W4pKufD56ZnHAse
BhFWBh0kMXjDXewkOMuX5gTcQ1puirAsngUkPO/Ksn2s+1A829kgnqvA3DaDET9Sy+Mmx0Gv3R5b
HRHikbz3cbKzoQ7GJCH0IutHGow6+K5OwQZHE/RT8NzWuUqmK9WdAHgK6H17ziWi3CIrKYtNLwPz
InOIHAaYqnSHIN2PIx53nuvmj1gZ5I85NzcD3v7QUwuGeF3l+UPGkSVOTt62+aOIoX9hMpzRYJuG
ECPMohUDaG6faTfFeH4HSGEU5ju7nsYYpxUTLlWiQOsTIIamYwEIaYLQbtfzOAHWXIcokeDl0jE0
4Wiq6ASek9f50yRTU55roQA2bIeHd9LyPA8OTlnhukNJrERaBj5xy43uSt0i01L8yTb3/egGOFh0
4wU8urFT09xJz/BXGWfh51R2a6cswdY2BPbRBM/SpoHe8ms6IqlHAi1/prAyASOQtifCtI+QqsBX
QgynJQWIEoTmXB/HR841M/pv5HWHvvF2fpTmQLiXLzJlP32s+h6LFhrpliPbNaFOtd1GBt6f7KKJ
/2iPfKg3WFCrXxOZKXGbmnYKnYw4v595VMG2BIxbV2r0A1ZkqzFX4WFKAgn0g24TbaohkGvjQAFp
tvlJInFsrtIN4K0/IT5lvBa9fQtdRfnLMKY7EDz3ryLjoOl1GyTD1UGCRb7b7Iq0Mp/jgeUrUBdj
w8jY1zbt/c8hb+VKRV34ow/SzUCKRFWdQBssDb/FIdKcJzHmzxyHkVsVSXZuzBpkq100HMIwSO8z
5Ppvgt6TR+GrV1EgkREC3N5NphkMqUa2IJYA7vamjTzq3w5PsBInUrrLXKVIal+MM0L13hu9Ek/Z
j0BVISETuSzrjDY1id4CqTrCVoeqVDQFBABz6QFtaqoi2dSm8wKe2GaXTpN7GtrAPaUV907UzCUE
2rBP+t3ODAvtTgfNkR99EvKQcXFTs3EbHMPVb7VVhAdLb0aiyf2RK1Hc017kZ8oj8ZLiyOw+DEES
oiNYb0OIPa2HDW1m7DwYN0gtN+adToD+YAIS7/1HzylwqDeU95HMcUZ+djxoKnUnj6VQRYmBbafC
MV0LedRV/N7ONUqqKCWM5C+vIpeeV+7FQUNQcxl2ktG4/u83Uej8401kB8gm0qsz0KOYLLx6oYcg
C8ftd9Y9JmlcAQRQeWCWgdL9d5CcbCotHDPYxXMj/PBlqvJxk02uAWFEtscLLAZUH4UTVF8lOI6O
PmfvJrK7NZBUNeuLzZWDt2V8wqHR05U9gOjOPWSVNkMIiQwao0nNrZ2wAxJgsM2TwAdFIHN5hf53
u+uRA7WnZu4PL6FVhw+OnbVPhW/eJaGqXrsEWQMTF9OWmlWimlWAhPA71sbdZzw6oQCPsBrKQqex
zcGOOLrVazUAh5+XpXdDXjdbl1javjRt0oJGNtl3Gb7AxSYNhscszbL9wEaIs4DCwLzJRHeXgXnv
QUCAfC5aCJqtPKvtD5UnebgSVh8eQZ/7nUJmW+I7XwNVpiCM0SE5JCoPADA1K67HWgbkbnv2K5kf
rMB8TjsPaVqJ8ZR6jjo3ecmR/cL9NyPFyW3pg9MCZ93jY56532yWBG8xwFobHwixUz/hcRSAyaSa
Jv8NpFnuLoiaHdJP+rXHQCDUxeATanRBtZgD8eJZU7e/clAweTvcBO2px9UAQA2JlchSHEMHjnVM
2XTXaPQl/o2t21bTVlBzrnWlh+x0U24XGzlqHUc1KgY+DAcGxZZ6m4Nc+KnPpuoJqz15jEJI+gbt
CHLRoe27tTIF289tV3TroIAKHkUj6bU7SPEABkBomiEvF9S7vo2ckiYpbqxYuYe52TWOvFU4OQCP
rw6iNtXCiAPrE1RQ4fIrTfOr3XNkYrXToSqTaRXalrGNEt6/Dq6/pwSffLIYNoJd8lhVWXeaMlOt
uhCkKFhc4H8wM/w7UN5bOLHBMQEkcdLvwcD3CUcqPO491b5GMs0hHAr+RarplgKmLhYAm0MfdumZ
mnH2CZg27D9jbII6O/nLquvXouPRa8Q7BW5F135SPugHkbTQne0mUEcziPkR54rO2RGTvW3AwfGp
88Fc6PZV9ZbiPKLqsOmww+d+YuNeItPoiCTFjdtOxauKkfAylWrcAy1Zv+a4unQDs/3WAd6zMaUl
bsxEWUiDwnmrEu23QU72ykTCKM484m6N9y/WaTprq8nKhG0CZ8juQgW6XeRTn9KOh8UNoGaNwnEA
+dK6itmmcYYHP0Aqs5uAagKSZUaIW4xU4B7LuJ8grPytgwDhurdZe1czkKzXAtm2AIWxb74xPhQR
M545AKLHbpLFzjVC86uf3Rpuzb5lAVJAomZdIE0QLET4Xc20/X6XxVvFeL1KQAXSPpCHdxAZ/upF
KrvJkxrxXVF4B3uyAMvC63fdY+fRQ/Brj73rpA9u/fo0Qo28/mkmYM40wEa7bq28AftGy71P5MdG
DKGtJx7qScQrgZtRb0hxcZy57rNZTD9LHnAoiHHvGYl/Ay79g/w4O3HTu0WWSbiFqIz3bNmBOBa1
6tehDnZTQ56nwcKbDi3fUfmTBzoB6kkm5If890xBiKc9jWX+20w0Wgpm03+baQ7gSBn6+Jsg7PTT
BS6F2565YyW0Sh1dGEhVnGsR6DdBlarbVMztJWgCFPIiXI7rdqzTCwv1uogCSeh6ZgzLlPvsIady
K7WcL7Y2QBnk8Zem8uPT3+08tY3PA1Zsf7LX4B492WVSbC0V/8BX1FglXgXliSDCqJHxKhvs88I6
HW4zbQczJBSH6/QNXEzjn+zJ2A1PNTK+5vgW2xcLl6ZIrzMTJ14LrMlXqYkE0xaisyD3YTHfWY6F
8yBqW33b3rZ9gZcbVWNSOmkGDuysLHdks4ucv7v55GEQV6VgpE4v+80OCqdC2ZHaVhAzAooc2ilk
m2NICmWeUUzJNyh25/v5s1CkwhksJgNaZF/U0dOcKoQ3Ux0Dd6QosYhsVHCdhrQ0L2w83ce9UR8F
xFfA9fi1lpnCXi2sXwPIIU3YJAIWUzl3ePLJFdmdRtjbgFXZQZiqeQ2Vjx01Tsuapu4ecBP/DSfm
zatkyLuILCfaUaeqm175MHrQwGXlkzV692Vbp8j/b4qdzPh0Q0WQ9eOhx0+CWkmFq9y8FcjeHiC+
jLTiEgaygtkI7aC33zuSsahC8E11Rr6ZO5ExsGvw2tN4eIuXexeJiWO/KgL+1Zqs8t6tewvXh9BG
AjWAHW87sMyuuVkICEbCvRTYwoXYq9Ul5HRqJ97GsrM2WVN2oFCo3XjbA7u7luCD3UT6XjJHFue+
CorbAHkqzjaExuvJhvKKsyU3wGiANxnX1o6X8TMFUIdg8HHcI6ZmGzWhuzf9uns0fecvqAEMX/n/
UXZdzY3rzPIXsYokGF+pnGw5r/eFteEscwAjwF9/G0Mf0+uTvvvCwgwGoCxLFIDp6c6jZqVLrbsQ
x0RfNtV6BDJm7cRecyuF+5XbvfYMBF9y9FpIZpDZofp+A7gBaiEglPjcM9AGhJWFSn4VbE/57eCX
xZ2cEv8JEri2CqIJy8j+ShZNaOulsyLTRH5/npBMrQZ5G7SpA5qUXGrSChUzd0IM/lNp3dCdf3+V
o49VG0366VWSCfnR9MOr1BkKSQB7nCe0UBzM6+jl91eZxFO4ypJigEoStudp2f0Ys3za0o6d9vjk
p9Z/+AT/PHQZj2cudHJsGxkDv5LgjACyvTc4kI69QGGOjKxTzkUMDNCfvVo+KtG/ItXWK6sc6tfR
dawDb0N3zbOGv6Z9/QtwGPwaJ1Je0zr8QwOp72vd5/4aC0N2IHOPR+Pb0CFMsT9VQ7Ed+GX3ubiC
fmo8gOq13uMNMI7LZQIG+VjzwXY25MRXEvz41Iw7vWogiPRnvGEAIhR2OBbVh4SBIKFd+Rp486Aw
C6RJGVQ4+j15Stola/E1OOPpDy52oRvRNspRjsKlX+5E6Ta3qCgs9yD7xGcihlBwgCx9e1vzgu/H
HJwWsSrdF1OOnkrY3R5o+ezNSaMpOkXRGh7GaTAH0hRidCdQB8QQTR1xuFVn5l1e1vxl7EegYCEW
nTiGs0l1Kz9A4+WDP52AtgJ8Iz84yj9hD4tNr/yaKz/F907Cj4DCeAExi3bARyemxg7ER7qQjUo8
7pCFVzQi7yHER8oyENuzvMPKIUDVDpje1yCuNnZAlDtrLzW8NdZC3bWLWXdFGWR7UbR4oZ9AkJ46
vA5CC01h6PuctaAETIy8WbstRCwTUZ+7oirwC6WaQ92Bj8ZBjo58lizRzfG2rj9ExqE8o2x72lN3
NTmoTlCDP0cPXt6vcBBcrqPSxR2o/0OTBtFwowIRgDS/W1pnA28m5cqaZL8nc3JljcprWw/ILCsH
GQjvq+Pa3f2neKym7Qd9cN/i40IkK4D9ObJTE+TaD7kvp9soszQwEse3FfOnW3LRxbMAsvVQ/xEs
PgqZTAegHpBwraljGYanYxjgY+tvF1+hJhWl8dSDkvS4zNSJSr81QVsBhe7oZpmoSRzvnOBofHFR
K3JZDqVt9nOZmvy2g3PNyWi6FZlTAqQfBL3wOJbClvMs1EM3ZIOCLnRWvycfzUWvsJbJwQXJ6nmZ
3tML7SbG7uv9baHI3AE5UWLJD+8UTa1BU2eHTOQEIg7UbOpN5B/TIgc4CQUG35zJOAxjAtFGMEat
+jaafia1lgRMAzuE4UKi2AUA6Bp7KEgYWw3kdsg9nFuz49vYRLKk8ka+qngyveo9u+etHCPkcQNU
ACXgenHAMJHWzhdUKEoQCBj23ZBW5tYZXSjt1gPUoUTd7TTAUq6iyZJ1ia2WUVtiVwzQsLHMMTUC
arai2Dl+Xp0++DIVI0FCrdeldaKwRjE9kR/H3vVWhx4DdpXTyvfAOIwEkgyKutVejdz+GorO+DGl
7bFy5RQFOIjA+RO3INoc/epAcwDOmiE+huAB/xEO5VcfG7evHdj0gIKPzZsGtYe6KvJ1tbIGqiLp
g45KdMmZ0XG7od9o2cSPLkctsa0ufaXb/5EbtNhfaEVs8Ik4Dgh5LdeH5O+nTEjcWWlqTHy4ZjoO
lUxVbl73YKoIKw4Ovl7PvF1fJvu4Y8Op4z10rJbuMJ9ihrRoa5yx01pDfhCEyG09rkWqDw/x6OT3
0njFFnt46MNyeOhwDrOym2zYk2kYwj6ZrQ/OGdXrgCP+AfSjoKOM/QuNyqra26at/oxz8TQgV1UW
xb1pfyGD7iNb8XHWGE+CdW6geDrOGT9XXce7oMU68OzhYOFMrVT1+EV2n9pZuCNrjqMhZFOcO9Zf
q3ho8KHQ5LbOQdhWY6P5ajILwI28fUHyoz+2hS5xTO8Zr5Emf9hGk98xHvNbOWEvZY298ZqKka0a
KAKcUE6YP2Ws3NM8NK0OGOkuHJ7c8jiamTZt0wkc7TK1yrOm4ei+gSp6CxYk40I+upRYj+KDq+oV
VfA8jnpocFkxrQ3U6DLze8hnqmnrtHT3kwuZT5kLSBziaENWXR/gNEC7ak1vn6oI/0Xq8Irv0QQE
rpm08ZaVNjv4Vsoe/mZgazD7ZMsOh5U1G7/64w8/8QObT8kNwWu5ImsHDYe/H11gQhfILXWAzxRs
hbmHM+p3LC51/D4JdTp+H36epGF2dqq87CvDulKg0ualnwCyxm8/9t/qt1z5B+Ufld/7zb/EgzHn
Q7w5WvpLPeFMWnNzbZMP/jzPEk/zO4UV42UXSAPadl2sI6vcFbEtQaNku8aW6sFn2XLVE1ujPFCt
d9YNIADtGU7+orMVe/VLK2K5FTkzD2Vcx/dFxNogEXbx4z3Cd1FtQBEh9p33pQHSeooAu9QZhyD/
MkfF0nUk8nMa+u6BFkCA3ELHUq2PClE+A2TqHkZDG+KNMnMVJkjh+T3kg49Eod+HzdLPHjYOmxCP
fags2HacrWdtNQiF1usU2NhNRNprucaLW27dU2E4Sa31iSiuoQqLVVjeCfsCMqYIRfqpL0HC08kb
Wfmd9sBLJ9qjVM/HYnCqtaP3+8Xy3AuK09rd4rdK8NOAPitCCS3K4Y4Oz0F82B7jRlWREjFn5KvK
U1V+6hAJKDnJppZXXUY5OBdI/4TMyG6ayWY3KX6aQMDhR9baNZtsTU66gI0IPdBfsYcmu4lSkHeQ
H6k2cHmoATkb9kOf4O7vWUPaQhiS2cjjIC3cBHOb3IWtFcizju7m37ccsgadYzOgBjM2cgUUl02/
npjuINOWcBsEibC5NkDg0Qy1AIhIUNmCKB41jIMIJk/zNmZWQZqJbOoapGwu1MKzsD95vlgl1Esd
4Gp+6yUTMPb7xglPXpwB3ZWoL766lGxQhSjhqK8AYw7X5GROldwMtY9LGoz4VcPz386DJLWyZgXK
H7APYrNP+inGZJUonqq6HZk6QDYnE1/BIIbmyH3ILmGYdw04TlADulxwlsjXZWhnq0h77+7yDnWi
fMLimCLJnluTpeYoi0dtiJqdD3q5o0Su3ahwJOhC8iNiZ1125rkcE2C6qImzh2pdcWNamdAGBhJ+
6W8qZp45oJJBHQ765kM/6Jn+HF/lyb0by3L/oZsGfrCRNAlGcDefcpvA9uoWqAw15xdDd4T2V3+M
fAtJovep51c5gKh1547O66cRZNb0hyD/Em3MsolWsgUwiTHHDEClbdzShel9eEkbK+hEbc4u8meu
GR14gaXZ0tGoEKdrq81UodrN0yfLAXwITrf0jSCRAwiY1MwAufPg37NnrvsZJut4EKSHMrPpOJZu
fIbJitzJzBbAhyvqsFFwAUnHWwZ8yn60vRHrXgdSPOXkrzOrTZ8LH7noHPxnf0QQsAP29pcc+hfL
cKIvphHl67HHEzBicbbKM5xkW7LLL6ninhQMxNmt/6wLr7vphYsvpXLbo5UC2S6rLZk0KPnjjSOz
PXAAe5+ky09dkrvXBmnLxaK+eACfr+qrPCPeYlEFYKqqCaeL35qvWBYMh4RVzjHsCnHC6RjYt1FR
jCPmHpz4Dvj1MqNLf1bVH4Bo198NYflQT6jlTTL5EsUMTG4AF9Re8Hk+D76X/tSiBhgtzXnsmXyU
TlyKO9QajAfbkKC3TIAMCr3CAAR10s9+6evnTyZog6b/ADSZnwFNluN6Bk7SmQN4gGUSL9MHfYnQ
EPiIY13xKFCTB5po4xyPIzj82Si2vT+hTkUk/FXv2CYqdePJ6WV+hprRuNIGhLkKOZEDInORvo4C
Xwy36+ngisLk3/WowVpWoHzDFWw9WIP5VFhncKy2r0jJHnHqWz/5IhmPeelAe2kyvP/4fBqm8ekD
arkuGKAglgNSB8Nn+idWKegPO1EV9tGjWzcb1iePvccS1MuX3UOksz3OdNyXHrwaR7O3AHCA7OJL
BNLVdQdZhyP1Jl5ySBrJH0QLnLqOOi2KaqZu2ssQJCyPPYhZri2binME1e61nujxd+ZOQVVY1qtb
RXwLhHd7EBF43bSEP1NApWNHxyAkdgU/fbHucnC51yJb63pR3TPPKe/bPI72bqVXq8WHfVC6cvQB
stIqhDrkkK58y8ivZh43u9htDcgPgiYORPE/KKDKS4kC6MoIfChmnH2PJ+YW+VmxBUtxHOCBNHYB
mC9eQIMLDEjpOa8gUdpg2YsTex308q4J4SG7kd6zo6NiW/nLwZo2nt/1B1HY+ZHHAhWU4pipL6ac
qhQfB+z9yHSNptz6ss53RArLoxb8UA5oByBE5TyD7c3GD/SLBE/gycQfG4rsu+tD8nQTM0BTQ8WL
mTjhj9HPyvu4bK+JAUoeG4QhQV1n+mM7ad56qGRz26BgY6fFrn/sp2Q6RXysd26RFFcj006RCdhC
1PD0PMp1r9vDuXfa8UwtQN/fWuRD0RVO+iwT5NV+0aFYEHzf//7chNLyXz6XHr5yqsZAx4PzLzDC
VuSdrKoifkRWujiVuW1eXNbva5KSIlOmoHuKQyhHhWXKLkXb7QtRtHcZuA9vo6haATg9XKvCE5uq
soZrlOF/Ri3yfehtHYjBNYO36szCf8irbmMpIAgI6+V5gnJ6YCqzBaXArgVicku9fSvrFXfBKkW9
Uu9PRWEV96hCQL5TArQZFsaxTUzjprGc+CHPxmxfV/2wclgfP8RNKc8O976HvAzyQS+ewr5x7nIj
OuO8V3vOdIgrZxAmD8jM7bbfmaDN2ZDZ4HQbJIbJBJ1aBMfJ+AcvNQvM17DUjNCe8I5e6ubT81jj
+OmuBtitO1ShonOq+w39IgCul608e/JODn3CxnYFbG3xNMrEve0a5xtFOaLF7loNso0umKBz1h1a
d7SyC3LtD6UFwrgoBEkqhPr4EfsoyGoZZvXFwNefyQaEFboJTAYOXyDd49ZfqgkYEj0c263uDah+
sLE3OUF8yT4ZQwK0UDtVNXgJQF0bGn4Rr5f+qjR+mGkN7K/hD82pi+wdFIFQQaP+637iNndu5n0z
ChfKLO+uUNjfULOD5TURVJSaOZs0iMLeXVJYwF2TOpAsPfDH1oM81NALBB0p7kDBU1SiOlEqFXJ1
wwrg3G0PDgqIrFXQLfCGn75m80C2WfSkA5wBeaS8ufRR3B9x4C92UIoo75owltD6S7zXrM9vvKI2
fqGiDHiRuPyRFcB5u4UWQt6g1jYW9jmAQoj8VOIxvZ2Q5723XY5sPj6/33JuH7LUcl9ipzziv2xd
4i63L33toqVMoZdugH20vyGfEwEZG0E2HAtmb+NMzPjiiJTjGC9lim92vBe/6hCpP6iZ2D9BKrSa
2Oh8a7htgoLDErcsLpIjXhwEkJESfKTYMk55wF0T9Cmj1Zx1dakbr++CQetxnIGHUZPq6Y6sOWRC
EnYso0zchR4EIMHIZm5Fwfo1fVPo+2F2xUpvuHdFeS6/6+jzBu2W6W2rhqrBTTjlw2XZq4EdpNmi
Pmtc0a6Ny5t0tNmmRxL0JeaQ71AfRivD3sr0tQryBzXop9raA7zcrMqdF/FmO9/HthP94A4ZlGwi
1KF2YN1aRzyf7gukIiyNP9IvdW691l6xGCBa4I+0cEIY9UCCsz07RaG+MInvfvW1e5BhgBm6jSG7
ISb+y7KwwZ5QXe275bNd9P03uwGuNMzS/DUPn3vzzLrJWfk8q/dOCJ4FUTTh1uCIGft0eq6MpF9X
tmHejpNM90bJsiPkIZMLji69TTKE3UNfoQYCukLJtxYneerTVQ95dlcnKXuK8wJsVH9aUs+OVeHr
0AaZ8OugshcmSIg2XhjF60SZTG3Jl47Jy+M1fk+Q4BjUjn2JpkAakqP+KUm52IxIWhwhsAbuRdWK
+NCsJ0VTR8cQxCy3EM3NpxK9fnIy6EuS38vNcoU/0Aq0EY/0oR+jwxi5+usv3xunV6GPycHkxbjR
4tp4zXJ+N7EqeWi9RL+AABDsAio4b6J4ZctKXHAwlj/gwQB1L8RD2lZsvLzOAjeLbOBzcWIbm3G9
mibUprXiWbNL52fcQr7E4FH0AMSouRsGWR0c7LXKSu9OWmrlEAaJ3EuUApBDLfKNypcoH7XIl3iQ
jgM8/e5/iP33ObWRf7wjzael2nNRxMCuK8JDJ5HjbQKpxNlSdIZWzM19VkKpkXx0AftKvDYUq8Di
E5Z2ZUrQFNBvAPXLpAajIQ6LBaoOQmwT98BFRnszY9Nj0fmv7QgFvP8MyIGvQ8lu4JRm+hMntoeY
4wgdFDeARBhudjarIrzoES/XMk27bxoEYAetSH+6DVIvE1ZZd2U1gqdgBEZcFFXy6BeokmxZbN12
oW4HRtPZ2HgguZIUZfVUxhHD49LKDmTq0PFeQ/962CVGVD8VeZji4Z1HW+q1CmfaQWzOXFOvE0Iy
ZsAh7qpMUMhfFU6I5A9+CmusqfGdExL5Q1F9B4tpMISF8xNKqUA6h5nzUAFauBOgUTtQrJ+BTNwF
tPBTbA0E7QNXsYOK9X3ubv99LeV83oPi+JzZ0NeyDc9zfFtXnG4fNjB9ZyS6H/fmw/zbhuTbroaI
31a3+/iRIzsagKQ++0OmP1Dv0vyA5gDe8NKq7kQGRDFy2yg44YLfpbxLV27vdj+85us8BAh9KNRl
2oNddN4WJIztkeGn48bypmyddE361RvaPcVqsryV+NJ+FwmEerzGax4MYdj7qtb2mWFAvwFMjzpo
Qb9BceRxMIzyMaxRguBjm7ghvwk1z9wov429jPFLWA6H3nfPIN2MT2MorA2YrtKrZjVvLal8Y6Ql
1zKzrI1UrSh8rUyG7HFnphsikcFntw8at6mR6bCtR7NooeIF1fFkxOkqhU2x3v/H8tb/fU9pGz6K
O6C7omNryXRswT5hak1kvaBfUQG9D6wxMozOEbB/50gt4721+Dq8BJBRlfu/i13ClvH/Lx+woEgb
gN0+UpVPs6KnrwqcyCbdzT7NH2XZhdtPfoog3zyM7Fm1k5pLP00zK3mqyYZMD0FQ/OdNcpIRnSU+
++i77addB9LDUo/WJXJ5x/r3S4YVw3FsPeT8VUfXTjb2TO8x1IMCXQeE+U+L+9Mo6iAftQDChIjn
Yv/juCXEGy2QkCt1azpIzbys3aRgalvNOtcOR/mTW8aXsin+g4pRFVX9tkOysS+CHrDjMpxNmIaj
f6bbt8RkepXVuNfSYDjOFetysIufaRlGWNNHHCSQub2H3mm2F6Fd3ZsOYKUgvMczCg+3ghc/5TSA
+866EJ4t6lLsGppevxbou0nCOEbaE0A3rYqAicjTt45cg0wGdcTQKwecIRyvSBVMbR2kRaYfQH3S
gpWlaHWkWyr3aovJvVpt6e3jBqz1i483nXZJ5LQBWLfXAoqD3trWMnN2IYsuLkSEAlNyA+jo0L3S
+Bx1/Jsp7r01hTB1C9Zr7nwL8lHc4A53keIEnXJjm2mG9xBFsXb1mxiITsFehsxw96MGtnYyUy2e
INQqwiOZfx2EYpwuKHPvx8JGCHFC6Wb2FYVj+blyhy+QkQAaE0w1OJ7F8Q/H2mzNLUD+gKl2v2R8
NaLo6FWCugLkLiLZ0OERqoV/ACLhX6uwKK7IiqG0SB0q0WjFsQFqfGatG5/LS2VrwNWVdfrEsOAM
CgcI0RG6V6A6sH55jX/ndFn6OhkaiPgKw7pCSNLaDbwojr0XvQ3Huefb8Mlt7tOsuMQlMjQgI7kz
dD+6E4mbP6WZAb1juJNukBfkn5pg3viyxN7xCSoF1Nu4kQXiXxSFUm8XdndMzTH8OQdAC0GYjD7K
K20nC1LW6+vBGADnUkhyrMWAyC64W92MvMaHxuLR2gamYjfL/KK0A0xUoGdWsrRQ9CoeBfBhgZCs
O7esRzEZasWA8s7LLYXkOCo/FXhUQbISwaBO6B6gcU4GxfOowukwSnEPIekIt5Y3bvtUZPM5njuA
XtBvAfXkuXs2tbJc0b/CtaN8BY007TxO4/SIv+RA/+AGj7SdKvTe0amgGm7pg3UTV+JIcHdCxDep
yjRFkq8XgHwcJiU0oF7obaAAxj0+vyszbr4gsHppvQ0dGygoOFM7HDQ7E5APwMW04vLIp+LQO/2b
i/yjMrM4wfvtdBC3sXC2j+qMaUdvhFEWA5KAAMHTW9I0WnxngVGJLIqwQnGne6K7IYuGF4kv5+HF
0A+HBtuJwPeGzeT5x6KvhgcfGra3GYfMDY+Z/FJrLtsAvJrvbVUvBuGxU1l7/UMFFP1tzEMIN1nZ
9KWAPNk/hkU8RgW9Gt6o2bDdyGUY4pMUs6jYVqhgOtk9594qDWsoU+hjVEMNFs3PdmslcR3QgLmJ
pcVT1ks2TzL7aGRWD1C+o+aHQWQ7JShfHLA1Sdu5TA7Y7kEH723dDjk4W12oZdbgcHe6yjsKI9st
fvDWQguxk1G3Ktow3VAcctbIxdA4gNrFhamEBGYXbgI/hZBt2a297pHTWbmAVk3rJIsrKLkIsQvD
4udCUc4THBGB2hFcjmrpTx1jr5cBb83suNCbt2LHiny4I08bhunpn+bpo5/dFDYvrjnhe67pxinz
6ua5RdE0wAf8VSFi9pkviq2tTJwz31qdljxAtaKEiIBpBKN069dluIdV4gMkfHZRX/5RZK4EMBli
oXU0AskriwwypSZSq4tNLYpRIyAQN20pjvyZ4TgB6CjlejSRXci0MHygVlc32txq3lt1nMWHKXTA
4xVl5T5tWr7DCoW94IOzI9VJxzfNFUD6+kXUk3fTT1MOfjWcV9vcOrO+zQA79Yp5JPhy2UucPQoB
fhn16j/9HYtJvaZ0kr3wp0s+1eYRyFrz6CegEltVTYmFR54hczgNYYKzOfTPTju00EWxhkI4zvbb
gPdpPJaC1E10P4n+hrh2GmTtA9DHttuFEodIdT6ZfZxeLRcqqRoA9aKPqgtdWpB+zC0ye7OFKrMc
Lp/8n2ItVQYRow5ri8KQj+O9prX2Nh+669jKapXZIwPHeRY+sjbc0WO068Ni5zV9uKWnrV+agDA6
/SM49NNLAXW4+Sm8DE/cMXxEbcYuDr+VniHucZjNnlysC7Q6f2o/Go1KdKEnM8386c8wZnVfRO1t
AB1B5bHlPeeuLO4MoFLucQwgoY4I2Rgy6VJrsll5XR6qXG93Tz4MEg6ON4ACRV5utMLVUCc4+U/j
50of4wcUUWTnhPyuiaPynHXrCKt4kOECLXNuIG3c4hkocM4bRvU6MqN6pSlTl4m2G0vvFnLKCCEf
xVlt/ptdmC8hNsAniqBJ5+nU9J98891AIISiTbDiBRNKevfIk8gTXZpsqnmw2CaLfrM1Q75FSiDP
tokz/UHBi3+ewQ+rFY6lvyE3C5HHsu/uhy7p7iWA6IGf2tWRzF53q6uFCkmy6AJdD777NIo57dcs
BmRYD0b8kAOqkSXZzkGybAOMoRvwMsnsG4ON20QT41Hrmk4ekYHfgOanvkud0ntQGHukV9jTu2UO
jjlbIMnGX/zRWvr+f+OqnuvIOmngLtHN5IsLBcuYDS9dahSXPAY5A7lbQIE3gDtDyVhF2ZN/D03D
/g47p+HeyboLRWHR6u11u9OQhEEUqHQSIAVi6Cq8TW3p9fBiaeHb1Ki+yh9MTYqTdIruZlQX6CCH
KMGHvnEecd3Aylz9kg9ee1NBDYQbUXVQ8oXmzu+Q3mrc9EIRc3AY5f1J+v62nACGXc9j+eTisN1I
IHoZ6ybglgJc0oZmrvJ+MnADNTfdvwRHy3zr+Q7vN6SQYmwcLPaYtsOybxdFkYMDuiK54/H4YKNq
GTWanr/3jdBeS6O1XkY26Ksa4iRH6Aqylxo8ijQImqnJXTmYYNX84mBfsDc6d+96qCrGf1R6pwEb
7/mCb4yPTPM0oYhOOSNqOtw8A/BSvY1Zwj/PMdtlGPsrKxECZDeYg+akFssLoDqX4UvP+6uab7iE
UGuelppzfzO43UlHfZmf3/ihpe0WUqhEVVITfdQnH3V88r2P56rgmyLoArTqfeSloOZ0Gbt6oq5X
4H2IdmSaQLdcq8ipkBztMvAKIYQuRirLi+8ne2T5QL1HvsgzD6ZZeGfh4kMY+FX+NhXNwiGScZIo
v7f9im37GPoWQxSndwPnCYphqbLaa1BJYIDZQl38wrFOQArMEeRX6gM3Vo43Ww2iC/mT5AefIvt2
cQ+JdrZGX5wXV61DERRAQkDa1fTUIfsS8l5pXO+W++o1t9eQCqw2qJjn0Yqp12tPwMwsc9Hrxbeu
DRZfNqb2KU2cu+XPGioXlUUdqr3S7iWsx/zV7FFJZMYMCUplOn290uNxejbqyjp1wHetPOWvu84L
kBUSFxv7jMcaU5A/m7psxyFCtqXhcT2C5rR2H1D34GIj5lgB+VFW6KysyBoP9RAGGhPjrYbjxFuU
jjYr8AcV23D04Hvv6ECAFxgD13bU4aleatUje7JLSNUuseRPHORFoH9y/uSH2BPExPybxR1NSX/p
LaWXiJcx31e9FjxSopPPuxtTmP3FZKAaQSU8qFLbjxfyuUpTnjo8tu7L0Tr9XWj1NyM9CURF7/Ht
Mu0ShsJSo/181xH5kF0TT6+fbvHJlDSWZi2QEltDatIBGhWvXUytd4xRKyAsEHEA0ZsGRCdBF2KX
mFBu3eaVvFn8eoOKY9QFTvhi6OJKXBIZ0r6fxxcWMj3QECvB1Ww45xg4MyD7ZRZtRyPvg0hKMNqY
ZuOcQeH1dhFRwYcg5cZBoJT8QB00eo6e7YGjXqUbvxOfuDb57B7nFGTE0N57aBu72ZgocNiQrxW1
BbqnOYA8ZT9BM8DU9A3FW3gm33NUvirK8loH6VoeZV1QdQKyVl6Y7RMBeitLb3I8z4C5h3AEVr+A
UECLCpdCxfGpQQJ/1Oot+VoHGEbs0zA4UoMhmgIbp6kJ6GVN7PKDFuhLKyyy03Ixfzepww+H7MRb
50vfR+12cS2jjNAHel6FLT5q/eN0NGIJprFxBwketwdutNVLrHgGaMOAdGfY9S6YRLBrAD5h0FAZ
D47XclXabXPXllZzB33GNx+Z1EG+rtmC8WffJO5lguD00VCXKmTg8qcmXZjIwC+bMB4e5+bSNYeW
buRg0ye9twk+RMmpb3ZqehqDp7i57/V2W9gWamvwm4pPrc3OAHrh4I2adZKA6oMn2h3W4TVoNBJg
lDzwgwVzU4VHEnwMDhKlxxQc//aQozfFHmRrjjh+oNIhunSxB92w3ts3poMKI/JRmREVIP0eQn5y
uRA72RmJc+9rMTZBcjKQTecGaDBhUqtSJrX+zvwfhjFRGAWoI8aXPqwehpIZ+w6btRvPG7V1Y+j1
E1B+eI5A7OWHyRr8aoDjKxjSAhXtUnzXPOBapT0Yj6PtVhujB4+u3xc1dIVaby+1EnxxaibUjtVP
EPwCD2BeQbR4wI8LhBmsc92Jtwsq681N0royIB/1ugC71WuySxXYgZQjaGRub3VIoKMUMHUt4HW4
V69Fr0jowRZFFnXQFKKtEwT+Pvns1KAzvgcaCOT7wFaY+rqrI/0cF9Fw0tpfZYkKAcgjw0UXvatS
8AjHW0PDAzsJ6zf/HJcpG5RHGBIjg+6DxupIPhsSX8mRZshwjBKi9wCZeqvpj0kXY++LOtzxiM04
KA/ssuv2LWSYj0CnhAyKElIFqL6/eMnRT71rnChgmWaJH6GYaKwoEjTN2Up6yGj3VtmCasJv5ssw
mjfdhKKzT34ycxxDlVAxvCzx5LfttDt7Vr/65CcTYo1IUSXsfrZa6MtVgwVK/xWW+OUl1qZOQDEV
SK6DVsnhhEKiW2Afx12Y1sPJUxdqsQZlu1uALvqPNvVD9OC27VH/ZOtJHYIvEmMokCaMkP4MV8tE
1APpEx+E6X8O9HMwpQQUMzdpJEV6hguOIjfv5l+AsMOeFVXHN/RTMPVxs5+cETwRrAKcSf1+2JZ2
apksVmMIqeUw6gcw9BXZTpOcAyQWDw95XE/3Ep/PwsF5IXlyLBETqwVlhTIhTZ2egYb/SRZgMwir
OdLtWCTNFjC884Rk4uxfnFC39WUIoaUDGFOMcmdwT9ol2CWZupBJlzECWYKnQgSqnsb13KPYI6lH
ZFgPS6KhXKZYBi5zL73LDZYZhFCPgnlu9UooRqpbLzNkuvFFdMzYEcmJJxIws2GVtRCYfOIzIbYT
io0FeEVV7OKiUWTO3CeKN4XM91jy05QZvnbHtyNUpwcXd5W0jzj1AY5x8mIAcUL/JKywfnDd+rEk
noN3f2XI+kHFu6YNIgsRo5zNQULemapVV1u7psUWBlN1oH1CyxqzHh9pzayDxabW7KT+ZQyZk2Qc
esU6StHfJ6MORwj2Nk+teqh7di42OSk8Y8LYe5o5v6bF//nl0Kudp7EFvhW6zyy/WaUGN9CGusAQ
9cBHqwuZdAGObhXqXD8sLmpFKXSZ52FktynjJ4ux6s1J9jKGZqX51YRtPzorTf+i4cH+7Et/U+il
/eoOIdtyrTB2ZCaQHyoqi720WhEd7Q6F0+SXZv48YR163+ppBD1Y7CrIX5YV+B+gnXPxXMO8j6vo
0bT/j7Rv644TB7r9RawFAgS8Nk3f27fYcZIXVjKTIBD3O/z6s1V4jKcn831zznnRkqpKom23Aal2
7Z3wr44LgESjnhWDYdy5IF25K+fIuItb/c/SzvtDhPugA7x1bpxMyBFyFbHYOm61KHTMJ+z+uc6g
SfTXColvhGJ+C7Nypgcz13Bmpubi6BA5LOq2qBOoE2M8ZQPO4zZ0XaDtJmg3dX/MiiG101sQFCJP
5lx6zY7PMfibz5NkJShT3sdkzJMCb5/UpYbcSySNsaOo/CSeFPzjv66xLmRGOFkzdYDnc0i+d7M2
bSROxQIA3wof6JAQfMgDqjw4Z1+HHK9sYaObVyk9c0IltNDPMXQ0KKKaC+tKPQqhXj9lb0vRkJq8
fIzZ5xj0n09t39yVYkqvQOAkT2XDxD1qjwLyUVPh6XXIJzAPrrZm6rjfCiH2q+3vC4EAe7gaOd8D
8QZCJInUFQDM56H35Jn3yN341O20cCo21CW/29XyPHuAztlT5m2nzNZxkDd8bP6vbEhIvM2lae1p
mkI8+99X/A+LlVB7yQA7w4eg1cDsfOJ13l9bp+12hYhRMiZD/tiGXbeJkxks740EPY89vGZF3u14
qDNQChk4/2KQoAQtrjjFTdQ/yzDMdxGUHoO4tjEsoviMvdW4Ia8OtpRHD5LIIygrnqmJW+uIrEPy
QPG6UQNqxrCXJqeN14RltUZ67THKQhBl5S04ahzUcZ9nDRJz1FuHABB0kHqL44BszGHNWVdNDklS
WcXXZrKh+qwaDuUp5NCfSrdFbo5MdZJusGvll8XWy/qIUhfz5Jkl3u7cHIVYjhGfJZi/r6li4aem
G6FLDIqOE9kLxda/OkXuQoO98Qw/Bpth1DniRyMnSGRGTX7vpmN1zVFE5+N+Gf8AMU+QQ4D4S5fn
eE5z2R/AqAikoZzuKMCJsSGimSGQvLGnV9dSFTUXPQTWmiH9jnfR4k5MoribVM8xi+n4lgoG+sfW
Nm0Hjm/Q9YKGRv01Lnj1B1+MUCQzXjp5+9mSn2ikxTC1RHLzIXCY3NKPzLnffnCF7VgdkiJ5KlQi
mpokAlBzbGy+p+T06qBeb9Q/XbeWh2WkmNCWWXpa3pmN873VZLc4E2WyQZ0MZTqk7hs+TXhoJt4p
t53mubdNR4nS82Cq+uYZkHsQ0MZi2pA31V3+iFuNP4l0bn1gMO/ckiX3YV60z1C7Hn1zdNwDxep2
2u8rYI63SErizKUSxwiw3GozN4KdSYrydixqJz3i4B8U1tCsXONmUBG/CVmSx/JKFLVzKS5hoUs8
V9u+eGayUhUjkP1VJW3XtcnAt7EMOxy2nkGFuESs9tvYHiRcvbT2mYWvw+/C/sO1rBYZSZCjQJZy
tseNNVdxYKofi4oo14Zs4MbEL4aMNzE0rNQKTK1AIVpJv0Yw4ABfOEK6L9brV4l0BogQueNdmqYP
L3luI+PfZMFYDxa0KOc0vCxdMHuEFxpLA2pNWuydPBdvzlua/Bbuzj8huCn3y5BWXNxqMvUMV5h+
FVXFlhZ0QqO86KAa8dhQbFC5I88ttl0FaJtws2adnZzJaCjPREFkJHdqzz+NQjqq4ge3/98u8WG1
pUuxMai5t6hnTndQZ/xMpS6VYB5KpKvsItpcw8Oq+SxVRXKfjb+1/yae1ine10nNuT5WIBQEJfC4
VRmHF5Qa2cglDVui0H4fEYV2Ns2Ljyi0afT3eUBO3KyyzlO+dK/V0bxeY72i8q6x6vrr6N1Hn8YB
UKRnOQjFRVltTal1m6SpnBCleVV27lRj2HmS7NpJZOdRn7Mz9dwutVE68B4EndBpjxz3lZPDaWZg
zNZwHQwsKJMdi63bDs21MPtuJ4EpAKo7a65ko97Y8OZKvWaK6rNWYyOoJnDVUM+poCS8TNOr+WxC
OuO42NZVqFdDERknWyigvHGs16CP4WQe0vbqY6wOmkHXfP8YtQeGq77sULo069bJaOxKP1DXpK7X
eRYY09vyzUou3msx0GZ2bZ2cdARUjbr2rNegJwR1gj8W7ujTVLfWbCiJqFWWBXXXkBtU1NqbSBf5
Q+/K7JDVExiWp9J1FyOqfsE0poGwA7xBDxSH2/FbHA2pIa+oQcvgMnFe7bSm53ZY02jyZT55VWyG
LNs5nHFpMmF/+Nf1VWzYz467eY9b5/PSSw+GbfQbuurqeI9d7euaEjfsgCklK23DJKuDgSrlQTeM
L0DulEG/FNKH6mTgw3hSaZMxDbeAjQT4caazFXfTmXrLcJyhCLV6NAMkQkYFmXNi2pWV4ulVDQ1/
Z6OQwZpeFsrf99ibqTSk+bScjHi3B+WT1yVHWUbpRgMzEvZe/OrmtQDkRnxsPtgGLzoK010irGQ+
NyXkvXBvxn+nbdqfiqzQH0DUGlD1NjUuK+SmjnN2XmxDD50XvKKgghlqAxppJKIus3K1TNWv11ck
FhmUswANZ6q6RH4C2Df8sfrLEkpxDT4sdpVTqFnbQeTFfQ65tT0f6+7isqQ+xrIOj26vmWcjaa39
ZIAjtgcha1B4xfDIegZsQJ45zyJ2wUXoDv2XwpLxJs+S7sfUy7t2GtivFvqJzBlH4A6Hz1xTmnp6
lJ2MQR//qLTxh+46w1fot5ubHPQVYEBzPF/gMzyJcmqD9WMB9ddd+tGplo8Fwm0Q/Vnp28cCn7ML
8CFDDROoZY6ZrPmTZaha+oFdoBDDn9rY5E+V0sYxSlQ0phlu23YSsccseSYfRSU4HwkkOLYCCiCH
VY1bkFwmDxQRoVLqoFlF49NFyCbs4YU1KIqheLzLuqfZAZaB1qCITgnL8xGqbjRsOwhBxjhdXa9i
5260DYsYUkHq405GzR499gnJ8AnlBhO4McBxKl7ZFGIfnuiPQrFc6AI0qX2IRDue+aD40KAF/x5h
dX3qo/LM2w1u2gOjDnEVHJ979YV6BcThAOuoNJ+GyM83i2ON61CW97/QNhvAk9/igx2A/oESNi04
ocdwgzHHtw7sqtggPNR2Ai1gFJgzNx02vUjT7zzyHmYIK//iFfhf58QVwAnOW+Zl8c/Q0b/0Vap/
RbbR3VReZz47dT9vu9mqH7LKdQCQR1GaFBNyTRC6PTLXl1UiDgSABE51k5Rp/OrESXZOBY+2ZK9r
HfkCya27CSoKUJpMPxHSRy9CJzAa1h5iHCZlHHKlFtjNv3oo4GxxXPijq+d4qwFQjf/3qbgfEzv2
a+XI2HwGXGz+nIPADHsl/WSkIPsBkIQjldrm945m3idazp/dsWqf+8xP1YAsvSUuOM4N74vGsZ+9
uHnqhnkzVCJ/5nqU3qVF+YlGnTKxiW2R260fcS/IngcZA5HBBTvWZps/z2na7nXUuW9pgiPraZdM
dXxOZ7u4Sy1zAKbYzgKOl39z62myuAPv+uCnymhm8/fCzX810hJZt8ncGhTzU69t9LbWD4ywSfax
QinsU6lwR1Zo8kNSle5GV0glaijezmf90OoCWKbqXBpZ8ZTNOFSZkAK0M8dH1WECqLHEsZziS6WG
hpFUfKlAT2AvWjN083761RUdKg9V4Kwc5L2Z96/DZSmaRuuhFvqXp//sDEV+BSVFZhfOyfA0/qFZ
bciZc9DT/U8hNPc/xP2HEBfMLXtsYC//IXa9bDPjsb1Zxn//pDfLVMMFYqjmyTHa9gxm1/ZMPWok
Z1D6Ug31yFZOlrdLm+xlNd1MXR03UykOj3sctq4r2xHoXhzjzz5OhOLuRGkHSExQTYeGev8/trr0
tiZ48I+V0/5jOQi6cLALJ0NgOPrg153wvvU93nqKMfzZcQFJhLr46qL2fNuP3XhvjUZ2xO21PKR6
zB/yqbvLhuYi7X4HARLQb8UlkM+VpuiZxMGbNZ5sIoHve6cs8C1R0OHalRWIrM2Un3Nwv0OMwX5K
I9H/qOzp+4Qb3jcvF+Dc70L5BCGBcRciRQ/xqL8ap+yLqyuj+Dp+vbGuQ+p1Wqr5A25jW1e0YtzQ
TAFllnHzNp+T3QJBpy/bxuBITAyCB+DZQ5md1PQT1Rn1+RPHhuEVtHPVRcf7qU9minIt9xfecPlS
i2Y4keuHJioppCpcQ7FyuO3xF9/bTVu+aCNIBKSVeQGylsWL4TjGvgPbxDK3KfhbHRvNBdtvghPt
BBKNaq7h4VQptBycd6i5IMKIcWPk3/I59/6wDPseEojxq7RFuptRRHnCaZeLu6tVgpvFcv8wpt0U
5fKPrh8tv2x7+65sdGjTgWtyi7MuHw/OEY9VkF96Op47ODj1HpAfzO6EK4LVBLEyDzx8Iqhzmd1R
FDlDvZPq4TseV5vWAQ7opXiJgI6s90BxWYWnMmc89ymOllPU3mev4M/rVDfh5YNI9rZ0oZODE0+G
4xZsW8b52nuWhRe+eWgCvB+B1V8Zqem0fBi3bWWDLxQaC9upynCPcvsBL/xO2u1uI0EH+Sy4ZxyW
QJRHbGvU5JwpzgK955WVunXobZuro/V2KLa22ApUan+BPhu+vKztwO1eKwVy0/bTuJNnGvJs6/FC
fNFN4ZynouyAtiwhV1BzsIzEvTw1AwqE8TwvUJ8ZSlAmoWzVwseO2sn8noOm1+e2192vsVXZvcUK
kRuvjTCOC8kCJB6SbZNCtthTpe4MaPjTCACyvOpTeRnd4XsM2T+IS6Jx8vat6SPt45C8FEchvxuS
g0K4Ju1jjBrcsQPpAEjgQnnpOTbKbv45U0TPKQ59kTlX3VqJ0FNEmo8gigZMeHQ8MD1tNNdLHkXo
JFtvcKMrNVyCK25rmHq5s9we+LNmaqN9WcnwKPrGBaIKSnaATUpQCLK2P6MgsApBB4Guuwp1fxiX
hcsC3cFnpUlLEPk/jFGc3SG1OiNJZrC6R1mEdC6dQH2YmaHS44PRs1oHmlJwaz2DRgiOSPjedUJ2
NJj3idDG2IK0T5WDyqc67Iygo2c9kPjXDtW3VwqJvGG6qAkmvTisweSdNLyh5rVxWnHgg6xw0CtB
spUYRfhBxJVQ4hTHClCwAFBXjJuqB560drmPfH5xLlXxxdqQjVEBxu/cqO97iw6dDoIzxYziZLXC
Goxsx3nA6/X+xn67aKau/mFarGe7dBjkQ96C8ruHBFaJjjZAEcsC7QD+8ktHQB/u13uMcg0ON14z
8Go51c7tLXezICr7+lciLbAmrUKd5LiBVN4gL9/nRtA33tGIQJsfVkFyH/A7bDmMO2vWqhMOBsYz
NaUpx3OamG/DqQAoTJYiuLHTkCZQ7M1wXamGhEG1IbcNWPrYa5AHUhdDDuLtEjT8nW0N4eXkR4wX
p0b9ryUdKMcSB5B5Gubqn3DqYzDM0XjpjpXxi1VtvyObPrKD28TDQfSoK/2gnkdj4GeqM0gu3nT0
fmdjA/JSzsvvIteJtel1wcjtFrcN1C+sJQoSnPhBqyRMbxw0XG0g4gmaJDJxcvG3+ZpM8GCP1SoV
yo+WVda5SBnVEFTLWq4H7pAaPqBs0PqVRnOZypDtzDD8Saa1Ac1Yc1mH1LPVhKbURIByAWDa1SKr
Yx3ezJ2B1gBhZ4RiObUAXXYNJhsNV0eEndQG9HRdkOeVtk262TnVqCs9GoPsd0xUPV5C6rPdO+kf
dYbdCNgV3ccu9/gxdL1uh41g/8qc8tyoKn+KALB+OLz9Axk5ZEDeAcMEFV5Qw/8KGO4JQHyDOyYU
McGQGynqAHSn7jnsI+/s4TzsTEMHZXFgI3z3hDj/Ow5ga1pDaAY1ADTn+8KzTLDVjdxnBij/28TD
e/cEJUHU5Niv+FGupsXiPxtv/NGC1f9ZoDhlb5n5cIRka/qYWilwuirC0n52ACH+wNFD6PMWBzXx
0IQnFvX9tshF9jKVjnZgnmH5NExAy3huEpuBfVhPX5iMx+tURn+SE2qF6UPjIoOlZnpRG3/qTA7q
xjZ7IVMRXrXUBIuABspnycNnG+eV11jVNVrliLeQIc32rSqCdDNPOwpDglBbeYcMVEJ87n08BiE0
o5CJJfa1ux5p6u2CURz67m1M0EMwwDRIPrvf3lgyPRfgL6oeQzJxPEzIBuIo4K+KMq1BqYPmhM6O
bNTw0boHdCS80CgWWXVfuNqHMrSbhSgMGl/hh4UGvP3Zi44BWGhygMvzeRMzmT+A09zDppeH90Of
1OdliFOkEDjL6i2mZj2Oc1WM7WVgHS+J77Pu+9cpHaYvA+r+gTNNn4tat+9mOQIFpexNoTeBNjUz
WNsxnP4KE05p34lu/IbT7P5cdjpes2RV3MVWiH19lpindLSPZLeEjKFzIb3XBnKN547nUJc0CghI
qvrZxHbYLuv7diGO0hXnv3RsthBH1Yk8liBpe/JGWX3KjWxPdbQ9SgRBPtV4S9EtrSFi1u5GpbBs
ejLxE88SJwPFZ3jLLbLtSqHCjWbY53X3OQwtHEgRfcpC+UpdowSfzQR8vUihVAFBtPGBmjEvwBje
gkJBTg/CRkNmKNmCk73FacKHUFRT7lHAE+Nk6684hhz0vWUtk8hs2+C+rb3hzinn7tJAR0mLp/YE
/rvuQib8SfDtd/EvkLgebuA0xonEvNfb/DONbuJWGzloKan1sZ+3Nk5X1XpWNCI1TO6lu87xOrl8
hH/ErJehy2tJ+pnWXj4XfcR1GeE8gwu4EiGwzmWuQ9o1f4j1Sl6hGNk+tckkrpNtPfR6ivIn1YTR
UAVFXDcBDTm3m6dMlA+2Fb1NYsC7XQVny6Q6AUM093pvM6iTeGpsdRxPvRLnvNCnde7MAalYskea
mUBNiUJGs6iWeQLsJX/rvk9aVwzdRsnehnj7U8t+mEIxa+BA69IlpORAGWXm/oNt6VI4CnTxYdaZ
HRLpyPiHSNrL9ojtPKqxTGn6BjafyxDiIyaEbuA1Va6PhquXgv8f54KSyEGtW3FggOoEI+VCEkVl
hNIG0KMq40IRTFTCadOg/gOla8HKQLw6KFqoyWT7V0epKimaGaRoMVJ1NSrQBgAxAyojza4MxS4g
7uJNUGtSP9ld3j+ZODpEEWsc/4hcLdkA7YzjiQbPZ7sW7xPH1HC+x0XULhMLFIs/mI37rGv7pGgg
rVugBGNInGjY0rifxH5qs+k06xHS2SjF7YAoV13WiD9jHumoMVS21NP6rVBLQJcVtZBxnwdL4GJ8
X9yYwZLbN07t07XWq65xOdCsqNzHj1PMOi6lznj2fPB+dhCgOlNjeiHQ/onsy0AmyBjWXOpILEER
4WyTi7pMgHtn14IgPG5Bzb0MaT4KjmbNX9fjg45dn16UZcABx92QZzGuQT0wtOcPi3hxjEk4k9oX
OAw6UOCH61I4GfUq6XfDOH8bBbKDTGHCqNfFSACuNgYIyuwweSTTal+HvZq/Dn8XQrb/EEefQl0R
eqv/uGJWRgUSxupqtlXHfmeLJEAdqX7l2dca1RQL6bOpePRpaIAtBcIIHiTLlHd10CTP+rJaeK5r
DGInjQ9BKdRyihZMDol1JPo+aoitz3mn9FttNyE0RInLlpWOuczvACtfiADXWFna3Ta1eu+Aim8I
GhrzU42EwVXX8WBMTY19hfCV8MEWOSldZu2p6eInss+ZXQVyqOvjlEUayPj3ZHaroT84LeieMmBc
voKE7Rxjx/AsI6e/4JuIc3late6GDU7UonsXZ0SPc2IC2YSr4XAVlTncGVCJXcevKHpa4t0xbPcN
pKF2hVpWB08dsl/JZzmHKerlm3Q7F/h31uwS9I+yznZTGWtbd3LyT6FVAyFuLYPRyItPViugfK9V
1o4CBF4R71GidmisufhEJslS6eed5h5oaCRyuDgm/0ojanKrTaBzONdnWnKeTfdY2GAcJW8xDtVD
WeANMvW+5i4opWciYRENyOghHlHulrEToxAtYzUYVlmOrERb4q0FR0+PxLHSgn9Zjo64J7KVSJEQ
g2R1pWlRi3N9mk/kJ7uU0AdRQOId2RaGF3URBtSPv9roQrg9blMcltolKhpkOIdn0AWFZxq2xqyk
jqkl1+Lnngy0Wp/BGfHXnJuJNGRmO+11O3ru2wnZRNVALsvGYQ1gLKDTaAIOwuI3W2Ql4NBe/KYC
bXda+0oTdeFZKMcivwntxo2ndd62yQbr5OLJsjQzqvtPGfYiObjL0CUPxXgFaDMX4wf/h24MOQ3T
X5dyoS2EOgD+KnTL3XIBWGqd3Vv1mALT6aTXWTXUW4fQ2bVAeAfsEsWVPTeHDXUFmM5cPcxOi0ML
D33FwuO63LoI9QD0g95AJ+/1JIUSs7pW7H5ikZdfbiJvrknx67LUS8CwO+aQtWYub+dN400OUCOD
dUDe94VGtlU418HWLWQes/FXyPGu46R99xZMbhf8mzRjCa7ldMVbIGga2idAScoNJW9T3b52Vep+
zoVt7XTRdUeKKKOuBGUn9rLvEVY+WTunYB8jaD+M14FrkljO7Rq6hvypPe7pzD51GN86td4caQjZ
pq1hzc1LFSX2lSvKbrJDroajBt8F4bHab+jQhb4J65Xds3Dw/29hllqNptNqf7/oMEbtclFwA75d
dP1stLi6KIXVGpIKpgtdBNmk4yY0iukxmQwBItcS/6R25bw6tndsY5nhtByHgGPqQdX2PYKn4G6q
ssjdElC5ZjmYKDgO91YE8shwSg71X/BAKmQzNSGYzvXchCqOgjdPI2RWBj35sgZk+FX9LwuNLEVt
eAvqPxsi6sdM1xU3H2SbuGo66YveaT6RpR+z3Nc0MESSaNMaTzpNFGIUS3zfGmcRpfNBzl2r5E3M
bYOf4HtffKfvCgeSxI+hP3r3LwFapk2+sOq3AI4NdwEeGK8aABxASuDJtEGc04Ke9Y/CnU+8qbVX
N5q1QNqFcdLzon6YM+g2UgSkB/ypk+EThFYfUjNJLqUJ9iP6xPSjaEmx7/GC/EAmIHChvwyEz06E
ECCLkP8PHIlK2tDJrLPoQK++WcdkpMa0hxAMyJ2xWW3U01o1hbq/mwdZEBtvk9DBA6EApAaBQGG/
vLGpD6QQtMgEKRUhL9OSY8aHL2QC3lcl6p3QvHMM+xd2CvWBdIUWiaGozCUFsxRSMHjFiXZ014Z8
Be756539w7ioocqbxHf0gFhu8Q20z//xgBhYeO3swTuVhumDeVzcrbAuPkmBIlTHBImD9hcuTMWB
IytCVYKy1QWE15Byq/D09zs8KfW7JoSuRcKHeGfUogSFttPJa+6Nu2jom9NiS1pU3jcQkBskuBYW
G/DY6U7DVhiQMfPhf6Z8RA70H+xwnukaum46nsN03bvldbdECwKrsY3u+x7AxNzRegivAxOWMZ4F
rTr3z8xI03YcbKZ4cHjMd7Sp3JpQJ8Nx/8i0y9Ilv21ZgEEKu/cXo8fw2j5qbl5QWfKeYAIECVix
Av8KHegGO94ilyv9dcbNAgsU4WYtr4aap+WKa4TafTyp5+zrTc8y+/yraHD0nUM64NbbVPmnMc7T
HdOEdtZmKwR8pKz7XaXETshYaiXgBzLakHe105AayxjvmypjD2yCoJ6cvw2VJ/ZWy829rXnuV8cK
cPpjbybRYBtmlahlVtAxwo+J/AmkLsYTWUyOV0GQAuN4TgVkLkTapMjMDWHTBiU8YnXdT3uKYtBm
piVob0fd8TUkgAMyVlkd34PzM75H+tDYC0BmcSOGbYlO6zS+6k3nk230PBxGpRJ0QEDR3FGDmmrL
n0HjHwAeU7INjvvfPCi8xJGp051nclC07jXTURb1p8WGP910RzNwhhb6KARztrfLuKBFSKUEEkZU
ED7UyuYAOuXorvfKt6bGxi7sGiReYYkjbEmRgUZX7Us36mBvW5biKCSw8ngxfknaajiBDcPdIhc+
fbNG56Q3evECXrPhFA/gAyQlJGXvPbwhN0j/72v163UtJWeImo8TcqEQ9tMhkY6DNFDkKW8Z1eFj
wYaNbofaE0PBhp4P7Bi2zrR1Ij32eYkqhF0SgzCE4wWIsmPCKJEYM/PaBGFGi+JcVTTRugMuVMYh
BJsjrTmkc5f5WprZR6EkmccuHsAL0bQ7Gk5GNB+Ygz9rMTT2M9On4YJaYCCy1BB0ivnjqOlLrBZj
fjp1mwZ53ScKGFjypS/18EqL0aWysoXul+5cK0XvTM3kRXOy7ZDw5fZWov7Wb8BgcA+kQnvvMmSc
wLFyIpPOhgmfGyyB5zKDaJgKswUD7bNqiqSazkg1nMiUd7jDjW2cHUJP94Wqr8kkIFb6lBr3ZWRM
qASc8wAMshzalZBu4I6lb4whRe0UYHWvYW/OF66I8J0cJOZzDhZ5A8jHwnfN8YPXVl6aq4+QxwN3
/viKX/d8Iabwda47sAFPXYttNCNP5R5VtiAe6z0nsEOGLE6rCK2owXFvcS2KqQDyGKdn5I1KK97H
3AZtRiLmvZPHoKXSEv1zmNknR9W16Cjm8wWrhjs9HFFjF9ejT5UwU2Mc+Djlr12bZUDB9/Nu2ZvE
asNCjyJqrFQDjq2B7Etgtur2SVsX05zuHKjuHmwk0o6AGV7XwpyJM+SsqQwHUu3Y59vZ4l3Lc8pB
SgisqTKeSmVoZ4EvT9eBiKFBWfi9qW4e1CurGKn0qN85dppbi5ccHSqQQxdIrzWW7KFRgwiGo+6Y
hmsjitwCYRsuoU6dj6IAj1849y0rfI2BvKwhqQjVDIW+A28RP/Yoarn0pCih7KVRDzkIPtDNnKwP
7EybN2uMR+IS6xi4N+h7Mg0y6zgA246Q5Ptk2jGOmpkOrguMqLHs9kfTuPMFSGG8Aob2vMvj+k/R
ZS9O3OMpy5tYxwaPWqqFhU0zkY/TGwmOty4PL66Gb0Bi5uOLgTIunCro4wvySm+9WdlagFZPrWTu
bi2MW+vk0micQYehSupWd2924KQeNfwtleNDbZ0dgg3tLXydiWJ3fBUsFsxGDKWcBBJjcyz6IMkh
f5POTcVQz6aMyl3N8hu4MPmBTNKC3vwG1dTpRYTWdg2jXogqASPBBd/Lvpqs/lQORX1IlKmjmxd5
12/he8jyXVu/exQ3oN6l7nqwOOcOO0Gyg50y1es6jWdQrUK3Wbvkb4U0kXdsf+OfY9IuUqt86C5r
fVh2XabI8vso5tru9kofplM0uL1PPRY6hH+XDyINIchA6ZfOmV4A/ef71UQ9akhviKYu3mm4jRUT
aEBskUHEUAMVsQbaurtmzJH8kd8aEAS9sGHoHvA7eyYrEqreEbv5CPRavHitZisNYrdKD+TVHWgX
DyhQx2kuoOWe98SgRrcReF3A/hbbYtogL5thMJeDqymBwoDaQpN3jWP2jJ0HilIg+pnLQCQ1bkEZ
nc2G9zlxlVR/H0KOTp3chvcsQUWkr4Jbh6cbz+C2vJYJUNI8jAv3GOE+gMwST4M3BUHIXIhZMbT5
wwRlWOLtIFIPovEgyWFhiSZgSYHbGrnfOEDAqIiV4CIjNSv1x2rT7cHdDEbeBIs68br4MkbJ8cd1
FiMthPdclLjZyHxPtoyAuJi0U+04GgAY6JGtTuJXrbRa4A1hRz7uLWJkVpiD2OOf06yp0nIADxH5
obuuva7Rt7XAfzmp/+K5hMop9cIJEF2QGNNwzPNWB8JZvY+uzWJkkj/pkawhad41G1NMZbBS9N3w
762OlZPvdyFDA2iVxNli3IGwsNHsZ83o88sop2zTqmGWCO+hjJ19CRWo3k/7n0DQl590ewJS2oo+
xzX4+ymymawYeW4NQs1qIoR3qgBkxTOeGTV/NhPZHGwLuu1pMk/3kotjPE7gRgBkb7jGugRoMo7L
HSpRwcCgGqC3kgmJCnRriccZuSmaGt70CcrGjZcIhwZnR8cxKsj1jJfQMb87DQNnhD3stdFOvrGk
KbcA2pd3XoGDgMptXysI/KoiWI7qDfTW5oPNnDx/kHbk2xGkwD84/m0u+GQ/LvW7a0w8xL/fernf
xaxXgibeH2/lInWBel38PiDdq/YZyPCXfjJ0wzVz2+wxPi3aOmUECoBZfAs7VgYjGF7OfdHa95Yx
Sd80a1REarL02w4Eq6niVkWpCjtMTQYlVUW3qhrqUTO7ydRs1jFNY4YNGONfM3437cZWJtGDBN/U
fZQN+bmCAKHPeGW9gucoCkIn1w8aRCZe6yn7bA7SwLGGVjxDYQ0fvxH3HeQD9lIRWLqpA2ZM1aOm
AbPSdjRZv3BkLlSYRHe5Ml2u8xZ3p+3Z6ADD977UB0ZNPeUxzkRQJyOG6cGNzx0go48lVNof/7LQ
wG7K5rFFHlbFkGVQgdPbLBqQ2cucNeZv63iJ++L1Vh0xtevAk1123j1Jxg79XJ4nZ7ozlGm1Q4CX
bcO8tLYddtmoHoi8a8GiFrI5MwfTvWUePbwtA0IOQkVKmtLQQ4UDdpCt+dJOer54KeFKXp7KN2+C
Oq/SA21NxkCGOZYQjDeE6y8bBiBcjlUzgaSO9KM0pToOQgj7no2GtTQWE4+oNIZswbvdg/rg1SqF
T1GrfWxzby8nCcYyNX11JJ2w/SluzKBxc35ghfalDU0mdk5YJ2c3K+zsZeSs9kGliM9C4zJNc39y
wlzKA8QBKhS76t1pdC0n3RgxSA2HNCyCMeKAjdlhtAH9FkiLR00cw9oG4NgGpVgoR/E6tBDbNSOz
37pqyHCrCYqcoeTIScRrUoK+yC1EdqWhNuJWDbjXJxPa0Z8GSOHWkLCIjWdhoOYfNHA92xYJYJ11
hvLjvneE76nz/3o0vPnQqnyAOhLHG0iduAF18cG4uUSRfwklV0Kn/tS1IifbuJYVB5Oa3+EszA1o
aXILsNUA0VUmQcgHvNhV+RSdBVRluH/bdSnAS53ovHQrALuODnL/v49klvbqTbFTmE9aNObgfRCA
LuURDj9nvdd8vIoXcts6zPRRqmmeS/1pagQYsWaT33MoeX0b8EqNs8tqxqGHXu2gx9JeGJRKTqgd
nvch9qMPegZJwSyah1dN9n/oAHj9xDo8qwBxdbb/h7Qva3Lb1rr9RawiOPOVkqjW0JM7tuO8sBIn
4TyP4K//FjbaAq10zj2n7oNRwJ7IlmQSw95rDSmoq1LQCTKRMSBGM5In1YgbOcrfAFGii1KYFKc2
D7hHAAWLIVXLgGnEClCLlp5IZiF76tUD2WbfsOcV+08FZoQ4HU/wHq97UztTI8ek2oxHCxnogdRZ
hmPsphy/NrIasIN2UfZKRu5KUYNk+eTlCeAKwioC6mWhs7AXXIGGl40HMwG78qrZ05cP5HM0Rc9u
nLfHnJJSE4EJytfIvgAdzr7QcKOh8VqFQwkIGjJLo+qNWzEqlW72JP/Q84f7iI2RzQVsNn/qQWLs
uGCBTvQAyN/ONTZr+g8MWilftxvgUkBo2+sRrDn+yVgyC8xkuROfmVaFVAXdNNN45K355DDvvTAa
QHflhZp6bZw6IDtSk5CG1CNZsoBCFd8FfKgumnrUeJOd7NylrZJ9t1RADg78jmf7bMnSCzXt3L/3
7mTR4iQXUMfh6LytG7R35qQvDB3Z53YEcHURZ2MoPf0u+7VGRawgH+CeDw6HEjN6lMfdUYezfCnC
xFtmqVCP/rnJ/k6zBXyOgmscdZr+c1mu7FHEKLXxPGQdZkACbQG77d1j30fdgh1djAGEt7d6vNA2
MrIhrTl79W5Nwag71CCjD4a5hSPpJ80rHlyz+EqG3ADHMA4CflfptYsTA9ZoHasF4CAvMRuBZ0S5
usqE8nM97L1fqKcakkkX/H8Jh6FMT8AmvstPIoFMPOqayDsv/n3GE+USGZH7B8B1vqPk1btQUzjD
e+9elmo2oBtQMa7sqp+N/92XwuvTGU9wFNCJ0Z2tzf3iEEf1KJ8a9D9cPhnkU4L+35figcLo2UIG
XThrk39WjwMyINPts0X27x4pbgw+qq7AOSkQYLH3TUXYsutYBmoRK+tEMj8vM1Q4UOE2farehHSc
yjG+gxuUH70S7JOK3CvT9XbHsOlxdFZwgpEiKZwHE3x4TyRKVsd/rKLujF2HKd9REJCl7hoTXGym
IMVEATTY03MvOs4iLxGI8+LUlTmPpAX2Gahjhumzp43WS2lqn2KREMkscBHw3ENdotdmhzoz43h8
1mwQg9Cm45TM39sWW1608eiDksUG+s6wkam9SSEfemyeKRH1bnLariQRNSK2sldOlYENsrQ7m85k
h3SefXeoTcfWNXfXq+8e707aSaeOuVtnSEKs7QAg//OxvLIjhY8a54AuGLM0PVm9+wX/2C9ZXlsH
TCXS0BHDGKXbgIidmx1p+8TqnxgHXrA7sl8m0Bb+wkHNIixJsjjOC8hc/SdyLkee7jhoOU+JN+gv
PQOHVJvgDTTq84EKWDOkB1+9LAalINas/W7ogbcY6W9UztqPGU7R2hZ8jaISFptjWWiX3TlzGv0g
c0olf58DXPigTGwOQEMUt+P+7EeVkZpYs1RQAqrf2s2p0E1xnh+BpC1ptcNQzCjL8YZoT8JEd4Ff
St0xsyKAPsCyBTGc7K04MtQOSrMJREKgwy+nufMkL4MiZ1C8EXeyGhX6+8YDJD0pKrEwoh41Oi2M
1JiYHZCEsXUhrTsWzt4DoMPezbrKO1nRiFS32ADevqDFrERyf5Mapf2IU9omxGQgD1riyiS9YzvY
WpnwiJUqHQBnQBoQrnPNfRaSV63xPJBjR/AVWzGOG3iOpF6sc+KLS1M9QLRhqqfGho9tm0DqSEwG
C0j/LvpvSLtzzjFNHJWfI5ylGzmA0u0vJGGkYRyBjjKkB85ET5k0e2WlbZ19SvzcKCw9anZd45Zh
5pvTJRliwAEvY/dGjZ+nnwt7Kh9p1HPPO/ZdZO5oaAizCbtRzFzdVxKBADk59C2qELUhxUEUGJ6f
QcAQknJlDvYykVsYjInRnEhGF9WxTWxMPIyx44gd38RarjzyHSu0Jwf1phZ25Ybcs7BVDU2VVFq1
j4cMNA86YL2EbKNoxxHFwizh16qJRhB3JN2eZF0R47QMfOcu0tZ/BUfti4+6qU/D0k2vpTW9ofal
/hXvE+c4aMB7ysu1wkzBxH+taGqftGXQP9fJjKkLvOvW56DuBdgGDbHCw0IhWZOLHCZdkKZe8yUv
uP0YLajdomixxXHWH8fVAw3FLSBTHly5Ll/D2HJQZSiaqplRfDSh1B6cb45UaNg8wLlJgULo3sFZ
njDJHMs0AmltZs2+rqMFS9EMQhVn7Vlg60vy6JaFIUOTsoyrKQQNlRuMg5u5exSts6dRK9/4OjM8
H8SIQtl9X53WOv1KFyIFhTLAu8mN8bm2xkMbpdmj2eC7ZqKJUHJ6XgrtlUQzqMXBYekhxXHAu2Sv
7KhnjfUfU8f4KQXS6vOIPeRnwHhPTwZyKMhAybXBX49z0iNfRtiqQBmIO3delLBQGZP2dnNJtDwt
qAR+MCOjuwB+8b3BHr7IMLqNqads2ILNPw/EAkqkbEmGw6ltvDs70t7JKEDcevjqUAII7uQfAT6y
s2x7OtUd2BVF8YfW2/Yhn0RKJm39qrHcKAYAog3G8RwkvQK/mnzAk/UPGdkNmG3ttWzqX8mYYilf
fruekv3neBlyInc4wUSZF7ihHWNDo0WEWo5tNpd4iUIiziLANkksRorM0kJpJhjHFAPXBM5f5aVc
qfezkkIyL35YOr85q9PEuppBHFbp2Cb/+YQRM6Z2BB4Z+NgaZjworTxxpDEKwrfORjOh7Ig0wg/5
R8YDjvW6cU8yJ3b/BqNt3wKsMPMf59RtQVA2RcDxEQADmQAToF7a6B4QpPgVoN9bOSmpKb0MSAF3
bkpNociZZBEKmIIoGpBadLuGMnbExdXQJBACGv/r5VGmpM04ClNWGy8V6u42Prr44C0+KqcNJJr/
fBvK2F0XBm7Cn+/8bqjulPn5y5rX41HFI1v1aZCCZDV9iv+qzsXXYOFrII8VCBhYuvWBNQF+cRDr
RzNdAF9KY80YLEB3Cik1mzEjK2mrdaO+K7nZ7wwLh34oUI/eHeTYEbGjTANUqnQjgbs4TRJSV10c
07p2EZSjwkVGly7carEu5Yt7iEr8eN1qfWqzdfrFZB7fAWjQxW8SQ56jMM0wWrAbimFeGP0VHC0p
wKq06Rcr9bM3bMSTjhoRrJsGkFlJNKSZC9iGsTZfqVmd6KuOpOOLEmWCdduOs2eNa+br7LTtS2b8
rfQu5kGYtxYvStQNWndaBx/IkLH+HtkA9myIZRcK1kQcMgYW2LQvZ8/H4SXugBSW5zkBoAemB5KB
/KAFtSPtNPpgJOUokWmx55eCa87Dq1qOxyq1LmZkYQMMCGttoMYkTI3JvPjJokFT7Ju66S8bEZlQ
w0QE6kljMlp5bB3f94uY75tBXH+xu9XHBK/GvAP5FOBgWewFyZX1zAIH3GwHLN+9q5U7dXP2gIsR
AlIjRlWVwcq3gklvfQX+pQaiiz3g6gAqz0Hyc03wVr16g+EdylFgGmjau0xpq7nMpoAM43gFloNr
IiUGaVNTQEYZchuaveVP9RWZ6xRBajuUxQemtTiHkeawk4e/RY8nEIuL2SvNbgGA0IocWccMUKhY
HtiAcjk5ZyZ9NKTJCTONp6aooxc24NSxa0o5ssY1euE9HsGtbqAgT1hQYzJk1jAf82wly30DdaKt
xXbk5rme/+JqS3425uwvEpGtNeFnbxvaTo7EFagXD/nBmUrjx68YvEteoN5z5QI83nHARJZee/Se
cxcW75iGZ4F6b9o3WcpBuDDlvo1jVdsGcWXvgJArrbqAxmbK0F1s7epXYoJBQ9JMolpC6wwz8JFD
GDoFr14mMLeijGpwQxzhIlvRaibA+IdVZrBvtjm3Oydl/SdnZn248rq/+vZonpum0Y961+snZODy
nbPoR8rLkck5bWnv1tLUUQ2LXB0wTvbPrF43Fil2wHeLsCCHm0XcO/luWIFkrVI5HGOOkdclMj8o
HcTXoxRZP/kcks175odIFNlYZmYEYFiLP6k4WMUsoNamymsARxg7Bmqqizev74295IAvVWPuGuMF
idpkZt5sN14mTtu1lDhKF2TrHsbBAqtBmrLrYINcUy+XM4moAZEB8gVEo1kuMrLIrgGh4Klh03kj
k11geZbHuUHC7ysWbb/TCrisQXZWxvzk4ndsP5LsZ0VcxOnwaRFoYcIYqB7guBzxnfU6itPsOTmA
RAAErW43nMhTLsYZsjcnH4whm3pPJOdgFZkOyAB1wQciq0VHH3yfVekvqDdeNRSJuvp09VHjeJlZ
8pMsrucraaMhmvCQQEO9FRSVqC6y5j0NQfeIL1cZtslnXnf1tVncZtz7mB0FWQoeXk2A7RRYTILi
aAYRGYv1x6iyxWSp0UOgqjmgombpk+GaLt51XvG96Y74v9H9gTLoARyY3D7WxpAiEOC2G0w3OeiQ
WiBvs+aYIZcKmYBA5SZtXAPIOuAoCX4Az9SnlIb4BN/VZIO6bAaErtjak8IHAcbDeyIDlixINxYw
WC5SLE7Unb0FW1zYmFqCxAAWthyTKkfSZomF+wACuH4M46nKwKCNJsJPHtDTVl8HNB7HNnJwNlLq
p1F3AlJHUYGjr0680GVXefLnyAY8CCUYVq07X4vo8J5oKHIOnd6ukFAhFDzHg9ct+20y4g8FuUtI
jyUqeuAXtuYxQYaK4xXRhQFAJTTiMguSxEeWNQk7kadwP45WJCqQJo+xGUQ+NFQK5Xwnk7Fm0+L7
xDa6Zn1DyZVgkenqNz8xQtvNy3Oacv9qs6HtUESALpMQu4JqoDGMw0YDkhZjCkbmrAddHwxwKZpp
K/1jE9OtsUf1oAhBTYmN6MB1x/pAm/ly915u3NNmv+z+Q6exKDri0zn/w0jM1lixcJy2ie7amWeR
T/ygsjh88VmpIZaiFgDWsWVLCkzy8UlT4rHdtOiSJY1lhojwrlPHAuvcauzuFMq4dIGMYL8nuBHX
A8Ag/7ByLC40gyHpbZsAR/pcT78vOdCGt3rSVKD1xV4Sjh3pCe26ODIyOftVPpDlU/suQY+e563d
f8UKej6qp7R6zt/J/JztZnfCYViBE+TemIHN0LJmP3dxVwUkpOZ/HesCVU65/79iMIE1R0Z0C/nc
PGD/D0uTSBsvigXljlOFtP+FbCx7vmvyjElSFiJYUW7U+59keH+/x5PcLILppSxK7PsO9om2P9Vm
KY8AV9l49nBQCiBb/dhQ/XDzlPZW7zXW0oJ2qht56FVTcfLzxru4omkdzd00H8nSFLmBqMIDbtC/
Gf/neJOXhlPn9gCC/nGxBcQkS2m0f8xV/qkVREi1aKjnGsD5pF7jGyAXtwx3p2QoKQf70Z2hXiD7
c4riE8mpoXiMOJVoDJqT9gQWw7MKRb0CWPRhNxYjCswB1d4b+1QcyVZ2h/naBhnIw/tn7vLsUJCG
jGSXwIHyEpvpW3sRJL05qUCbwNIHKfKovkyQy+Wka4HXInDYe8CZ/MQKlgqCsKbw13fuMBoTKdhU
f62WEvARgl1M+m26H/qRnpztteL2TpGLASNqPINhCQXsfJ/6yOIn0HGCG5fQ4Z0vkMlJQM1MiONI
WZxAM0F9EpMbINu0w7w430lEoOMkl9bKTkZG+WCShkr6j5hOkT15NY6c1T1RTOWyiJfuiyZOgLFE
w9kvdePWrN67NKYG+QUgJCFNBPTaC43jRdcO1ZJ+v7OragOIM0pYAmv0+I5KwkzrxQVCyPM4pN5T
D/ZTMWgtH8B61PPKKJwnLB1IwXxHd4OswOGfW4B4iYRlBC4gNqx2j/8njtUA9b0Grk/cTHu6uaxx
4ySUf5LfIQs/oNtVN6T+JOpt/mL5J5J5Xi4G0kcRlIxKpC2+T73dEhvI2pRfJnAsgAo+7VG1bOV4
J6IKW2r0pV+GK0nJ0tKS4sJToK7uSAjCGiSSg11u7VDwDHrk+VJaEQdrMqZwftLhfw9N0pw4Go91
AeJ3KVRTPJr6teXiAP4u8w/3jjRuvd+Hvl6vWl20uxUljvsUdV6XRZzt5p49YUf9NqYeNebYgXvH
BxCyUKqG3FbheydTw8pZqgMIQlEuebMDFzdOuNwBqb2OPk2HItOdEmm+LZJO3cL7CsCIanqhCSAK
iQbkITSCpAfrcirLz1rLAiEcuLUxZwOuJwm9NMoveWYAQGa0sc+e5oDXxcGFNMzIkITYNgQSCzff
DUfQah8iDoJCDwCxD2BQftmUr8yiOkyBxP1souTkoRM8HGqA+2OW79d2KL+t1XSua9P5E7mZX4yK
zV8mltuHyXKMC0DM9cdk4jqI8ABwjVrSSq61apwh1yiY4tgj68qTWn8t1qhfGbZW9KLqrklsGHsL
VXNfiqT420ACyd9NC2x6ILvhc/yt1+bpazlW3T4fh+l5WCqGiT+wRbu1TEB0VO/jZQLr3gfkYACk
nh9bnF/vpoQJYj4shlHd84NAjFxaw5ml+l5xI/pqSm3e0UUo4IdXEhdR9yEvfAtAQ4pC90FDSUom
b0EYVuIiSi0jCB4zFUvdB92q8iUTkikTpb37u+hCqfjIlOL+arfPREVW8aTx7Q+modJSUMD7s9Pq
YKF4+6vUxeTX0NLfdrvQ5rtRsdStbj4tFUj9sUCGBo1RJ8BOb4gcMXJLUImGDFohyhWChgTTILwN
2ZU62Z+AR/2OtEF+d+AgQGrBiZ6DDDnApjyuEyhNkf2NokMBYtBORjuFNLapMuhnm3+oyTL2vUcm
4kgXkqH+EyWMFPNnG2TTRRcXhEagMPFleYisB5lRc1TwT4uBhbeqEFmFuI8a41g6Yxnc15kUXQkA
vNzFzhH5m+CJ1nUODAuz9ReABjQFpjjA0Jb3s/nDqEsNGbUl0ljo3uIsQ0UUdUk9lvknHfw1YcRQ
wGcLaGVDzOipdyfTMntAUqKwAbDseBzsAUlnGCk7GiJR7D0UDf9/ZBYoOfcddp6wzFzec5IBTaud
E/4HSWTKsSaUyqIDiEq/8YgLZM7kPSgF4rgrkYh/y2/GGXty3cQwMzBUzA0+V1OQP3Vp1x79JXn1
pkjQqgj2KNkl9UY6TyjkxXsy0g4+oIqDdDpYSPt+ThpAdcRxWVqBWzffGtSbn0hGWmqiyKj3DopN
93eKbB2WhxJ7UoEypp5mihql9yswwBtnntM2yetSpuuB8FC1GHRuQVH733XsZoUkW3p3vIwCbZV6
dzIAPcND+nkNqJAXbuFIwufYf+9mZBpxpIIfaOzaZnRc+2lMDmsBRp97/f146scqXHsj/hytfXRw
2dg+WHPTfgOCMChEOEAiar25VCgM21WT2X4DQ8iMOiZTf+pAMv0JMKmfcLDoPbleu8w81Oa6WL9g
F9A9VoVVXjLb3+vYKD/RqAJ2EDJthIKXKFCfbcOtA6kSwlkISUMyHHZEmBc5+vIwxuNRDkmjVW11
0Yz8hzc5bqJrgIp1UR+HmKvVgNe8dQH4dBe90LDFQ1eTkUmf0jWlKd3dWuPxuPZxeZAXETE34aWr
umcykncm/0RxUfUXis8jw/T6JEMkZorz9R4TFG0akD8sQUQJ7LcQeKJ+7qdI6U7qkDTUkALEdljp
lG4CXD0BRqrUfemkQQM+rFDakKbLol/bznRDtQdMPdrxRZI5HlNRj2fXbcdYbQVv9o7rlOMnpVRk
rrzvFOoCH4WNwFcWNHq87HUfvJKK/BHY/n+1pqkdSH7PIansSH3nq4bUIzJJ6omgq3gA3MkVk6Wy
JRkOtZHkqdTKj2S+nr11cx1fvdy23sBw0CK1oGuOM5Vflja7mGUFKOQuLzqRq3LAf1P/PEXslSFb
/FFP2gMq5LX60I9AWPLjBCsWwlNw1laqE8HMQ00pSHGUnTYhmypArvIESrFux3iysu73HPiTPkC6
zvJZkHnr22YIIqk3cFTgMEtLXwgpeLIAWBgo0GCJKQxCYkjv8YXlGPxCJ6/yqwcFcUw9q6x/m1Dh
hro81KOOqDD4sWQDTFq0T71s3t+t5WxLfymMVTsrOdBAzEuUYB4g3Nu07UJjQjZNXOKIkNFusyk2
no1yXs5d9kZynQgVULruZIA7RXZ1GYPTYo5EzZSRa/sCbDw7qpRK6m55pJ4sqUo6Afgq1FRstamz
ksVXP3tTARZ5kzZxi3L3vmzVuqkJNRP8ou26PAGgYHhxRGNodbOfGj4emIWihyA2QL0HoCtkSmTD
CzVkHKXAAuzZ1J+UIncnC2nphSUOCeFLhnHqAeJBB/KMgw0R2hURzWJZQEPPgNJHMm3hPVbA5h9+
ytqzBwTph6RFrjSSkjgS1AbwkzblGmD/AxCXzlC/pKBnEcCWnq1VEUBYMj2YAIsFSgFYFNEEyMtx
MY4onseCVsiWmMUHU0cSuYnErcfUHdxHDzwEB1dgK3Dgoq7g/bCBStTh6+uzrLk2SYGhPjj1bgZO
yKOW5QEHCngaoBD/vSdkM7jCXvBdZ1gkAuZ4IM7NeC4LLEwxVo2/OJ0LEGcISb2iyCUwYq/cK9mH
1l6KxykgZbszLwxwj3NtPhrA7P1MQ8ze5iObHOAtCi3KVpfNkLQmX7vPzXcVPBcVzHQTpRuVu7Wv
PHljCT5KzIXFPZLN3Z2VVN5Mjh/+nfMAYlVQXyxyyaWm9bRimD28UQHw/PLR+oFkVQR2KLCfv3zM
vvzDX64cXOAArbN/GsvBfZpM032yCCMP1Aq7QQxJRlrfy7pH5FsEJFcONPSBNCZ23bWQFLHdTybg
akr2YNvpn3fGFHOOcSiRz0CIFZfmNbZ+fGB9HyeetngOgfjNKpEiie2q5Alnu4UeRKKr+6jObuov
SVokT7bpWzMSkJEd2az5iWQ+6h7eHTAvtnZWy+09CV1/HdhehS4xPdthdlPt6DOmBZL8VOa4AbrF
5H+9+/Dlcoq0HrT0cat1lTJmfVIDDluTFmTWCNDgpDGuYAlyL+DIAVWbDsjkBCl4sWioN7FBDysj
xX9WoWVDMz8pOx2IObtiaHzkBEBBHkrrJ/XZxJTzTHIVeMz7NWRZOaE8ykRxMcgQB3FgSxza8ohE
DCUmAI1vdhvZpiu9f8SiMNlaoxqDnPv2/SJ1PuOEivOlN3ZD5eYPXaMBnzfzypdBNNQDPNe3KM6K
M41Q2V29WMi4fjDaFCT3NzNSzEv7TeN40Y3pUr6QqPFTQEwL25U1v0TciU/yKa5KaJcOuZd97ZoH
9SagBzo19HwnEzYklmDQmOXLghSVfKHMMaqv1upd/S4UVyBzdQEa0lXwVn9eG+851zRMsAwPIPzR
7NeBHCegw3jMG9NYg1oDJ1RTO5dM72CJslRAmAi1Z7QJYOrMYU9DUkgXc5zzi10N4TYYXSc1cVzN
k249bqJxd0Ldgv932vxGM5nNtKqhmQ5Nfyzi5t7Mf8iWxrEb4Yc1fd+Y2Bk2oVrkgaI+qRh07OQu
jRPkHvZ+a3riZ+LdkIhmXsCBkQ31EaR6wI27yalHMt2Mn3Ucl+tIDvWufjYYu1QAy8aiGSfgzORW
VwL6GkMTp7UbRedieU4yaiZQLT137lw/KAVFIV+lqDTkC0u/u/hkDUjGX+coB4EsYOHj/TB3FjLR
0ICb3gIuq1ldev0fyhHwfJdeNGSL1SOyk2lMGh1nAQHQbvKQ1MpQDd3ahYsaU48aze3Gw2rFvQyo
FMpYOsc+/xNcOPZhdqP1TA0++xlbq2IMwO+pBCQOCKdn10DXTI1VfDk/DN5VMLX0tg+mDsWcG7V0
GmVo4U9RlROFU8PN5Ukj3e8vf2c/0o2RKzVuFALtvDlHgsPSlcyXSMQ5+4IvczO2jWI5gr7vImXe
nTm5kw/1SE09pbBykKThNBpxMakBxgR1pVQ5Ic8dlYqW8YtKastqP95VNbKBOSXG/Xsam9RTYty8
2t25amf8rpEXRy4qYe7DBLqZgte2OwJctLgAeOIrb/DCRI7KdNUF+zMxPVNDdM/UI0UEWJlz1/Ld
nfwjWwo3JYa3BwWOFvxrzDvf2+2AFKK6oop00EYg9OVeesXO9ryE1LWWIrv2pXkFa9Lw4KTVnIpa
13Sn9yvfryg8AWuq8OFs7nGcJ8xdnCVk+5nFBQC7/AzAVOaqvapwto/fM3hEgrRkLTtZs8kCpLlG
wHaZsb+GJD5z7zYoHJDju0dQwn4pDNO9bp5b9FQiN5SpmTv14KIeCPbcR9lLPm9clRm59nppIk0B
tvKy9DCU136/oroRaYGTR2xU4MWh4WG6axOuPVZutW3mObPOzto9KLk9JtEa0Liz51esEprTR67d
oLF9l64O0nt+iknGQDQxVeDiZsFT5DEEpqu/aijROSlXedlBBE3bcRv02qH+ARuRBjBtCscwzqi4
M84LQ6EgagfRlaoyHoGRY5u9e+BYajy4bXkwPLs3AZ8GI1JTb+PjLaPuX5RK2qOCNojbPvFbMFAz
E3UWMQjIYyyYLq09HQAfUyN7EU07eNUTDW9KMlVy6pESiF6HOznFICVeJFJ5566BzSxYvLFDlqkb
5KafviSDF3+qwEh/dWz+rKd18kmK1no4cq0H74CwoEZLlxULCCAq4lDw3S512AtPmAk2aZj1ed68
+GwOlFPOeHSasxwLerPL8x1w2pqD0fMSwDA/ghgj3tYo87FP5EcKlriBa9TZyzRNOp4leTVPoO0W
SY9IobxOgjxAw17WQ6VXrzTifdGYIWlNYhVorb7fzUnWY9/6h4utTZP3aHpLaKJQ8SQNpc/gpdWe
d3Yb9lEMlorSdl8Yavhf6gHlNKDQ6g8kk4p2Lh80G/NgJastIwOoQnZSosUfXOBr2CjkXNYnkpPI
AEQrqOfM7hSLy7hAvGIzcPbEL0OflwIPhWE5xiXIUwJV6mAIDQ7LliMZbtQ213/y0bU1RrnPTTqI
wHdVFaRV0egyMiRpWIkl5qb8QkQgGxX1h3WNu6S7tpm+gNXt57oN4biN2AyBp8U9MpVugGfYogGp
N57JBF2mFEC+Nh8rA7sQPyOk0RBF1W8oPIpONKrXGXvlgLBDHiIQ/A8kzLVqfehlDrtRjDZgYGPM
e636yR8c72wJqDxk0M8gm15bKatsEIUEyGeTdlab+WfyouYDOYluccmeRCouyeSQrgi4RKAoXbA7
Vl/Au6g/U+Mjm/x5DKnPouFdaoID6+L5y5MyJKUxJeMReNvYxrhFWIWXM48r3ibM2N8pelSq4TmU
8aOKTh4aNv0aAI9ecMLdPnaDt+dmnbytWoN8t3qczzTsdcD+ltP8Z2LpyRuJgEaJNDjN2FoU5fon
KUH4E7/1BhJmKAZ5JV1tX24WZNbVycuAatEGICATMOBOdoFnETVtZLz3lCydugSYHUjRIVl/M7kz
rtuoCpu0BgLtLZ4Kug6WIOpOgWjtIreTfFUoZad8cVS+ub11Wb6+5/oXaTyeADSPdwW9MESTiQaM
EIAWIyF4sPGuiRokOYJXXo5IYSONDW/9m6OKU4t3FClItgnWq7g4R2zN3Z0pOW2M5IVK9zntQCkH
al7zrKOM4pw0P3pKxgAxsu/YCF4eYaIUnTP6pRSS5k79P8lUVHLLpzj6r0IzMAnMWoIk4gYgHCny
oZM0+mKVznCqJ10/lHb/NDRtcwVvypWwcVxvXl5uI4A5yhHB6CQxntNFiTw5I53r+iTrYIEbdHEm
Iz35IJkj0aZ8tunN33NQRLb5JcXKGElmeM7FOsCnGq0+0Ui9kellzKzJRip6i5S1H2929aK/KUl0
5/6vYfVoPeH/qTacotjvj9bKURUkGjahPmgVDQ2zePlrSQp2oJGOLQYppyGZkQMN/wtZbBUtEFVE
+PcLmRiTo4qjrm7YmJ6sQAYCwdOC3B1QhvhFEQHXx2LJngvZoJvgR8I5hXuhhjtjffT78rMSIZ/R
SPYyAnWVKq9QkLTGI98r2cZ87jgbQroO0tb3relhb1oHxHueIjFHwpYQBonCLtnglNxBnSgb5UK9
yY8eKtOtH8iCRHeuJCPYk/YOKkW5fGhzC03auzvoRgcVu6b1O8G3uOaEiSV1qamAPeXy9EqDuvGa
CdWzjnOV3dHsuv1SoTpMeVDvPkwKmsoa6xxldm/BFvAUfBSKLtfa61stSPd6v8kf+Tjh0HWNvzUo
1kmPprXmgD9EYyQ82RuTHu9rbOg8+gVbgOzr1XwGzQAcS3f51hlIxSNr5UdKJfs1rTD3IuEmDo2j
deRg8MJMYle7Vnueu1Rzvhag061zf72mCZ4d3B7Gz6uJw0kcFEd/AfUPK5HiryL1+sBO/OKXZvXq
sAeAMzLs9eEYL+kK7EStQAkPwKEO4OkpgHRdGoA9GsA1Dgzc353aAhQY0uXB6BB37kGOhXVkZ8jT
tepsX+Z99IQ8+eiJeqmWodgKCWwhyfq6scG+2WAeVtWAFFSGUjMC6KrsxqdOBJAiiqDhPCaUYwrL
Z8wYKYIUqjgpP4BZD/zN4j7oQikHWPq+6fyjo/fpFVRpPSjMUazGgDhyXdKv98tQWkHmKC3EqdNi
AQF3xpJWLUFHg1dYMyY8cLsYZRRiZkFzgbHujzkmMc8kwmbWesx1196p6UUCdJui6kF/K6YSZKFi
kJeIkQkLGnVeBTRgcRVmCn7BFSdodwlw2ZiyswEUE5JT6hwlxlGjbH82UxZYMecAQ0IBx+hPwNYC
q3OI1I0R1c6pvaKyd/FCXTNbgFXZy/xQADfkWDX2g8NXdqamX1Z/kWPdbJBdOPQeAwBrmgJJ4Wal
7Em9sZRd0pNKWVLPN+fGuyih2eK9Aoyk2D3GhvNALuZqOYHTAtVXnf14vOLDVY3VwRYAjZD+SRp5
atTzJj8UDOkd8phoKsFzPXXRHiCC2NFwy+hJNQ2OEh4z/itJeFWh/pcvyIM3hlY7krB3QGMUjBko
K4EeFwVRXD6NUXV2BKgjNTjIdTbDO9lQ4BX7n03Ig2cDkB1V1LswNLRu15yiojtpjSsd/jV8EaOw
qFtqsAyJHT/wyVjnTtwQDQ3MzKpAaahHajKkITWpcFZD0iKpBc7K8M5Pn7CTPdn6b8riLlTHdewQ
qrux+99tE1twlKGrqqocZgQFRzaHrL6SRVf90jpHw23/pHxdKZP6vkOSc7eOYEyiWq4BsAmgCMJ5
ckPAKJM2dtjqqxPADNXYYphR+LknoZXhlx7ifAos4oI6NdMKl4WuKCqVVuQFnDo32NjLeGPLw9zA
dHpugPsAROoSZWI4fSrqdnpKxNkUDZmhgzobc8QDyUir7Ex9+JT2xgqW0B+u1OMlQE1GFsuQSkkx
1AXHzomRiViXRzCBOtcpLyo/7DLXAyMrP655NrZ7VOI4V9l1mnwNWp6aB7Y4ZvM0C4A1HeTXUcIX
5GfgWRWwAbTU5EMhu3RACTqfPm2+ujFbmXdQX/LmN7VR2X76zVlXZC+1eK/t6EuXQe5+FBsf+QOr
bUBQs5j7+06gpVhFBdgVh3d/2Z7jhnJIGsfJlyv1IgGzQsMiLvEyqwsQkdxkZNKVWH7JiHEKKJk2
/Y0sGPB0R9SR40rKox1QZzVE+qKVeJ3p1UkXCDoJnjpDpg1n+Tuh3wHgsFEamUHTIwntvPmZcOFC
4xy3c0hAtB2BtxGFjPoQ75ALkx45j/odzoAx1nCccALmEdjHaWykHRMn+J9m5vfxbmLz+FRF9j42
zezV7PrsdY6T7LXL8Cc17GVOuzEGGqR+BBi6/kg6MtW9+ddo0aOztBgnneOdrfMHikENktpx4Ov3
Syiv1WENceiQLCEvpuGbeIqS/+Psy7rb1pUu/8pd97m5muAEold//SBqsGRJlu0kdvLClelwnmf8
+t4oOqaObk6+Xv3CAFUFSLEkEkDt2lusjNKAQhRqHXByymvA5QJoESobbxs4VJdaZCsrHHxM5nR/
E0ZOXY1qU2vcDYn+7R/nIEcySH8V6frZjrMOfwcNyD1zjIq1lozQErzpT2nyw406eRydqrs0sjwZ
istUqt5Y11jaQR2y8dnsc+pQPyb4i0K6knW7JMXPuRP4wu64K2vxkDYMULYAYgHaJFU5r3UEYNy9
wzoX3O++Yv2mC2A++lH6cbr1B+gEQxKiXplVad4JQomAGjrdmaCz8TTqg7a7fcjMFx6N4Kx2HJx9
9qH1ISvcerPI4Y7ViBqksX8gk21EzjHFwSb1SFc3N0Zra3Yt9hJKV5cujm1z3BEcIAgMhkXHlJbb
Dri6S6sgU9Ggt1hjo0s2AKOCS9bz5ywc8MBXdjJ1FjQfA4d9oNDZpJwF8AqeqfV4LDYicVfStf2H
xKOAfhzDi6ZF6SmO6k1rGsWBd+VJL/G9NUV6ffHjoN72IIVd3TiYimMCBL0RuLw2i5cc1IX8zYtp
Gv4dTeyOvL2avbVOta3rp1uzejOQfjmZDiQcUxSfT0nEocnc8kewJG171P6eqadnUj740LUFK00b
e5EfIAvbaT8o3qlt/tixPthho6fyIhhOjraFKGyZDN02x9F/jJ82lJOmVI8PNAR6Cdg3ONze+HGP
56dlVvaBLqMbgvtVShv8s2iRrS7dv4DyGjfGEoY6JXC3q7hlGLVuxt50KWSZZhn7j1O5eupiD58l
IMcVFagWqcRmuQxD70E0odtHSYH6aXKI3LbEHZXlODjZLFZktahZNABjG13+KRiAV86bCMVMqnh7
rtamJl1qHDHGPvJbVMVNJmwRixM2+NW6QxXKqkLxkZh2ZoDCZTy9ouoz70YwQengIW6kXn4WWfkT
jDDsInGnvAyZ/xeZmW4766AbnL1dmOnnfiNcPdsDzQLsBERl1kWdK5kWy3wBMf3J7mXyJKqJPZlt
cd/6lfmSJHUEiVXQzNq8qD4KiCJKJ2XHKXX1Iyoq9blFNp4Yw70uvi8+w6+rjRCMQaKpyS9G+QJY
NPR2FFbRl7gYpt1sRonbGdnogv3NT1MO9q4EGdc+nHqoXFgBdp24oIAE8jBLf8yHOQS6RHAk74G/
CVlM1IpZFJ7qsH+bmWYaUGYuS5CYgGChVZdOcSnYxLpA/bnpDPVfda3kJamSt1PyHBS5jCFbjlyl
0ny+zGMDEE8DUlJsTKMG76u0sFppBMobDPxiwPE+OeU5EeArAAMzhTAV5yD/ssFO0dhoCrMIsoyM
PedVq/ebrDjQgh20MCMOVWW2y9rxeq0fQmhwJwd9XM0L/avlPTUpvC/zlS7GRw0MFdCmBPevxgX0
iY1hRyTAZIpQNb4tY9msqUuOJk2+dzj42kzNFG56s2i2XZKzF3DcHYyphizg0CO9Jrn5mIWxv//v
I0AyU3iWzuTOSix2TxfZhMbc+rOtk9Ezkv7V1VDma98tzdVBhxu9VU39vcAK2/hPRt+Pn6betzbQ
kjbvA5f9nEtkhW9Hh6FSVcgGiAqxl3KOywVlX/gMpwlHOSOqCo6ygdQ5TDcRYM6+tplDBLxO0OS7
LtRH8I1o42UCHcquCWxn1aouOSC3kV/ATkGdQKsKHwgMZFXzUMR3YBv/gKzgs/HOJt7bhQOoh4Ya
93cbtcLBQuLP0GzQuP+iHqdWl7deASmnE+SbQAzNKwEeyTS69NSVfrgyawDXIxkWxxEUxMfcbgtk
BMJ1okxkBwwpT9dXTWyz+EqHKOVatAIuCo3LRANpk8NqqDX0AAKGIDrsFKX33FK3/quuclSpH655
Y7lzcFFLkBpStF0VMVACf5+iVl2yuboBytpOTdk7loAQnWpeWSuaahmgZ2DVeCMpcnxwd9LZ3nzu
+I/0ycs54c3R4nImqBVYQCeaX3m/Cx5qw3O7tHptYmQmRMNeRGo5w7qIonCbBf4AZqFyur+RoagT
ierVHJLFqBmyxWruU6SsUAm+Re5HQltXnw6Gk/4Q2eQ/A4Df3umTxXaNG2Yfe7/4FAdx9h119T+i
0f/nAJQYgG04tXe53+96u0MNjsXi8Nj0BopsVCsI3ATQovc+GfUaeq4JN7vNjWOM2hD0sLhQ3Egz
Ur9PsL8AcnjXN01314fuwR10nM1VUEqeU/pznxL7c/aesvlapbemR00kC8C3QM0ZHTA3VQao1RWm
YB7Wt8B3DEz3sUR5HzA3O9ayuy7zsfwJuv4ZfIjg5YAoPUTlwT3ZyB4i54m1IaczVuaDMO0dOYMQ
8XliQbsW3/kD2XLB+L5oXBNHJ/A6WHIZZbi52lP7MXbi0gHi5IgbLoPwjRt+DPstKQ9Qpyu2pDvw
y6MrDvdfHfI4ElwLeQTNRZ63KFgCug/XkjMTNOHIwgQCZCpU5kQFTimOjuN93zfJppCmv2KoAYIQ
HER8QU7Nn3uJPJiNspmVrfi5qTsphvBuCpFnU166tO+txUFxoktBKv7nITR/ZIX7Oi96IDyD6TV2
ExzI1sU5Qur13LgALoCmJLfulQMkoUiZV5C7nN0DNpX3KRwJlB12pQiSFQfT7L2Z/qQy16XqdWYO
WtiGfoVdkQuRk4YR/xB1cTjQq9lM7pVYOp1uwRqdnE7atP9dekhTvopfJZ2WwQHyYyceHyjnBHHA
77KNQZiqeDIWSos8bje2bmb7xbSwXIjUUCVdxdRD9+Zvw8hWC1v3dGFaogaXyhgqRoX6USqaSLMr
vw4dEL4c59yh5wTNdTeW3Vc2SQeqU/g+eO/BVQ6KSgiO1Mv40kiiRz9FlVdk7HsBcuWp7Yovhvkz
7Hj4bZJQmzaiit93ALxcOh3Y4cJswm+DH3wOwbnwbOGsfi8eq7rvgMyC7ljWxvHFwIFxijvNM5k0
yf6yiwZiK8rUoixrOyBZAEAhuhrIlJd4iog66yq+0XR/a/tAhbnQUbofqqnZ8DF4GXpeH5uE6U+S
N/kxypLXwhZT5nVmaXs+QCk7FoTsKQT/whNyEuQbrAi0UarSnkbSBZToL6YjRq9wqzuuqp8gJM3u
qbV09SlA1aDF7M2NY+kuwUOUFocQCk6EBMc5yIRM6YfY4BDG+NWr83IsAD1RP4ug9IhLkyAdC64j
DqyVY4Jce0GULGFBba76JtWV2MAEkQcweEspHnp1MUCkAOpj7eAo2gSyjzj/vfcN7Z5Mi70KdB8a
bN2wJpuYHH0nIRQ6Pia6MA6oF+ObiKX6wQUf22U0fGvVSif77jvhrtaL5uR2uGXPMgvQOW7XvgMV
WBJLIC2F30krkHcJmXImvTYBemxhBQqIBoj6rYVPGofrinbJ0Pi6awzo677LlS6sQIttZg5a+m7s
vI1bCIKoBY5chSPs9b1d2/ElEO1Wxnr/jKPx/lmCjkkxM/v7UdkcF4hzO3HkavYqWzS2OwtCsg9k
ygwA3bEeGjfUTdvaxm24Lu/aEAfUja8/0aUXdbuFZtywbsNCz7ycVecSFY6nvqjYU2eZYJi26uhq
RCWMzGNgtLqjCbCRCh/VnJMtmde4+ufAHYw1D03tPvKH5GKPmbMaUCbxTfNDpOus5pOWxVgwyDK6
AyU9+xgX7YUCIAMoV6FeWZfcEt19k8pgk+tu+K1Boa2agaaexkisx6aT+Dt909Iousz3lkB8/cde
JL5WaRtdpi7EPQrjmNl+c8HWsG1KqGmCwrXASZRaFFGfLs7kj+4RpCpnmdnmjmxV1xKEs940vpW/
pMMH0vgOzFAeQseMQK4iplfOeep1OW+OIxTlXyz3KiqyXUR10fRqhKgOW6La8iOZgbqdDqUVxnOU
zJO3qExAvYjr2XZksocEcoRy9WoMn33DNM5lNx10HqThulLM9th60iZ03rb2ejbt9C79umxRbze6
FCKD4iqE9q4Q08b6TguOoRK8QH4GZxjpA3VKpX7BSgi1IsUKfjoVsDj0skGVGc46dglPGV/5cbWK
UfY4FYDOsH6zYINv4L8SdbwocR8/30CIaUCCKk28VIziNerzLBMgpBwDsEuD0Xh1M9dVuCZDD4ds
zoHGLXMjEZOvUQyH5WhaDis76KILyMRcpK+7ypscK/4KuaOXRmbls59BZStnDgOcAfZkKnZx79qf
XEAt7gxw8mxTKGN/lZ3nyl7/AuY9e9vqvLyDDJH5glOSNfmhCBhtNBwSH/q8Tj4MbvtE81lBBvLY
PstOeW05F23QsN5RL2ToDWqcAzu6oHj2kGc9SJ4kEtd2WU6vWds4GzCORnfCSuQrr/R7Q/rlc9Va
4wPqopHfDs23sKkeojvq/j1MT+1Hq87WWANscShpf+jGsDzjwKCbNewjH/nTYMiDPX1FLYRBVpQB
hNsXaysytWcnrz+FubS/lhziysJKzYehGbLTJHArJYcdpndt3cYvbiXFLgOn+W4SjngJRmtDAXEZ
JaiBLOURxCrNxSqQQJ6mxP4KlO/XCAXWz4YZN4fGQTqd7A5KEQHO+RpkmrMp7ZLvW6vSnu2x/eQj
0R7meJqPUKJ7ai05eqULWHr0LnA/Jcm9PkADgUxtHnbnEjekODago5HXSIb3+Hy9BPLHCRL3mCCD
gPHVBDgl+3+ZgKb327Y5R1a6bRQHddRiXZ250z1Q6cWpUyayU5cucYVy0JaPhbfYqLXETTKtj6MO
7d567fr+cFgWmZBa58Wa1pt0eQ/hpK3qkNrqsjp9j8E53ngorPCvIHFwbPu+EKcleUSaPrQmpzU4
uZcuteaYZQUfpH7k9XwM10sgjbMcH7Jbc/7H0EBpwHPUCwduU21CVVFjqYqaWLVs5eAaFKfIQTby
Lo5BFdiQbXEAxPE2Ioi4gnrGCXZljVUA+EcFQoaZcC+G3OEh0Wr3UjcJqlvVmZIx4oRn0NhrUoRi
87uI0Kl3JQphX03NQQVzpNVr37eMHTRg9kOTSIgM9762TtyQb0LwaGZYE5frjLvhpa4S9tQXebSf
mgq4EYoGFLIClqcrDkFn6U+BFo9nNVcw5chjlXmzddVh7XKcO5/pxoa5ZSNOrv13Lw9bMBotgZOd
n50OeDcyudYQe/mIA1HHQoo+UmKl1LLw5WmRMVrMEG4AoqPJsmndYbXtjaggksiW/BqGEaigQ45J
SZpCUhnltOTsx/ptRK085CaHk8nXt+0D1u1sjc/DOhNDEjA35jq0tWSN7fEv2iSiREL2pY7AIUxh
M6dSooJdO0nXZLwageDJ9tM5mA1RfH4riM6qfdsY3Q47cCzcYnlxM0v81Q5fuRvYCmTcb1BtPf4A
29NX22Xaa43CZy9rh+BDgGUe5MUd+WCnETYRXWmj3jtpDjqkHO6kUaIMIqvdTZ8U/dauMiRPEwb5
EKUhAiIrd19q/mYxkZ0uo8XHdnXVb3uJh2h2WkzEvExjQx1lYUC8jSgpB8o+SPXojHeefuy0BGpR
9vA6anGz51btrLuxHl51sD2DBjqWJx26Qx/dEalWFZZxGypEsQuZCC0bXwtXoARRs2qc36HSbe87
he8VYF04xQVAsnqEm13XMLBSAfvrpnmy9/UaZR0UQhctDnD4XyWm1ziN1e9oHPg11c3d0dfhYJwL
S3yqQtzv3Q5PTUPVMqcS91bqMlXpvHTJW6hgXwXrKvhmLHnDJFmDswWZ3JKD/mG+hkC9/GoPTvHe
zqDe4egGsDCiY/d0MdXR79JdbNfjyPo+eH6N//BTUFxjyzOFyX2YB+aJjT3OD/Ug3AkGAhSsimCk
i6socFOAI1s2GxYrQS6SEqImKZL3kPL9zch24Dj7RKU5Hpa/piRIR4bN9wR0PWTbbVCe0cssIagm
jjaBhbKfwfYLj4M9D1kFKHekZdg/xOoydMjmiwAcxuSgCyp++oc8AYt4WLrd3c2IaIpfYzz29zcD
AqTG3Rwb42UOamlDvfWjaThSr4mR2FxFPFk5OBI4L7G5wYAQAgKnjRRrvrrgjAwUvVjPzl2y+Wmm
eHqVkdxX0VjAtRxy9O9qWYEucghIIndI4lnk6Azx3PVhfSQTqq/jtYgC8NPUDt+YFpJJIOUpTsiL
4GZKzeXCOn3HUq04LCZqcXUPnm2xfj0LOYTyJvldhDOcJ+H3+O1rNTLCamOH/Uu/zzKsZSCnCTEe
Ifo1QznnhfZ+Og7vN07IoQ4AEddniwX5QybFPuw7qM3eTKWXVb/vC0Os2hE/jywxnF3W+HfAAIXP
EFkMn63WwTEO9Hp2leUA7t9k0UOquXPEFHxGJZyTgnvK90HkV0IzDOI3PnibdAfQ+UL3j9TPU3x+
nQj6DXUNKKRqW3JPWASvcbRbedR18xADuRq4jObF+N2ytPpugSQSmFEYBj69pCh2eJgCnJK1erwb
OKpypiLUZrhiE0A1qxjS16hN8azoU9M6Y89nnW2R/QVAWXNHvcWe9WO0x6/hs84a62yoiw9d2FNQ
8exTwbtPCZJegAGtRtLGLFzzY42VwavfatIzjGh6BHGGwH/Ol/ddbA/QCsi1bY2Rjygzxn53KszX
fGw+jWFYqXn6enQ+S814piMF4BFeKmvwt9RbLouyI9lKkTuzRORNSNWK2/EO0KkdKFVpK+cg8TSs
5u1eHWurvAa0hDzLFhCHdNzzIQSjZDiaB8MCHNLGudiirIbiVHaENPEuM0BZodWZu5tlISbUxwdQ
aV2DYr3/4EwJO8XZ9KoXkd96eIKkTv6B1CSA7gDjS1GeaJyQ5u+n6V2lJVWLdM+TZriLWCh3yD3V
H42uhn5ogryBFv9kieU8zwFOj8eIgyM+3Yx3TNTfSeedEzyEROFJ7Z0u5HmPI1MDcNhaZrWNp0FV
VCEkN2LrYqpLzqafFgh49gM3zQvZ/a5w12UktfVimwo8MoWJTxaHB5q/0jNfv7ioY8aggVuwWC27
msi1wbM5YgUBZWhD8k0rI3EYDNs9UKv+TXcJoThQUL6NWIYVcbOqQ1PfL7F8qF+Qt6222I7rANv+
/SWWOHrFpUutm3dBY2/iRgjArcy+LjxHESy2DbJYWe46W0t1oZs2zBfykm0JwWcGvptaMQIugdEE
vkyagYY0rWz2+GAhRjK68m7Symmv1zbwJaLtN43QIWRnYRVjmmn4jcfGXccDSNdaAng7l9nfIZ0M
3aaRmx8rvNO1SIV2pplAHTrt0z6GVIXI+40B8NtZhGl2R3d+xxcxwN/yI9356VJYU7m1C79ezwqK
XEGZIVMOSJodDok3hubK1KLiQtFmkyfLBCwG3ZoGnmFbA8GV00L+Dv/pMJ+G05roNehyRXgSlPyL
0aX8nGgBe4J0e1eZ4TNdSmwDN3ZsGZsYcKZnrEGbhzL/WuSpg9Uo1j3r1ger/NyfbJCyj6BrOkA3
FH5wJ66mxPEf3CjSHieOd+G2EnX/lf8Yd4b/6BbQ3s1NZGWoSw4hM7lOG1tsaJRV8/gBNZI6IHnI
u4ZHX/D0Htvho1nYzUMzdm+XwrXTjciSbdAV7Mgrd1r3Ina/jsNjM1TZdwGid7zjvDsLy4cMg4H3
noXABjKeVtuRu7jNOwIbVJ/XjrfA10AvhlwyYdLokgOYIeRU7ys5mG8OaNtmMxLOGCa2xcfxSa8M
rCMMfo96DwX0Slt+7+BN9fvcASs19S1oj6ynjjVe0QCJ3Pco6+T+l9JMcOYhFY6QZPqoVUNmdQ8e
s1OQxj8grFx/rHq/3mpycnFcXoJLb6jStcOD4Uue9lst9p0fKtS2nGoOjfpCAiMW2wdktvrzEIOT
wAHx60s56slOJFO+TaVhvkiBExQpi/hEXnyaWS6cT8ugRLeLi5RliEJkRbgH3jlRrjqj7e9xDnTM
wKgJxP67rVV0fXP/On5uj2AwuA8zaOKZbm0fB/zGvCiW2fcq+cgn1/hqSCzZiygfj0PMxnMKTiyv
Ak39Vk9C0BWrnJBQlOZ2X+BNUN9X2SJqQV4UAuAjG73F4VJGaelT63aKsgqmLZPVd/xVQhSlg0Zn
uZBNKBLcoEndNZ7Bb15yxHr0GPZteMfceELav7OR1AEjybGbSkhOVUAdkA3rpjcHtSRFU7OY8FTJ
7ASK430EorAqR/5SKccjR1I/KiTqbLOUvvxiw9I43rfMQTpriSF34Wba2c4DoJr88RmcTdO2HHwk
NpMkPmmVW0GxSYs+xU78s1Y1J5rxobe05keJGrQVsFjTMwR5pq0x5vl9kiCvDGz/R0MbmtOExN/y
1tIwn03LOyNT6bh7gWXb+d//+p//539/H/9X8LO4FOkUFPm/8i674ONtm//6N9Pdf/+rnO37H//1
b0AZoctjCe7iXxMS4Jbyf//6FOWBCv8fYVrXed4W5jkD8nVHVDtEq8PMdKsz1DguJmLeWboz+04E
nRbcy7c8aaOZkIcibsh+eiFA8MosA+g+PznaDngOImQWPTxOkyPOmPExUxMiDglwYYihLl0gdZF4
XaI/RpNleQXylV+hUe7hz+/8mKAftMpKrfygIQe11Rs7PRjZ1D6YVoJ7ggH6N5L+0Wyc7mOvF9zN
inrUx84yuEspe7n0ZwU+rGT8VeBE4R2J403+Ror1/PyLgyTelpquQzOiBCCR+rXqT05mD2uApbVj
gpsbii4fc9c1HqMQUuj1xB+oZ2bR+NC3nccDJAy8HpRu9ygb/7DEm0Ni30FnESXfFJI1YbbNHL9Y
0wR0gcZQvDbGsdk276+jQ9B8ZYQ82M9TR7n1BJKz9EhT68yKzoOIwFAlwmfKL/RVcU6xkj1RLy51
BrUfpC64PxTen79pXP+PLxrQpS7wAo6wODNM5+9ftDq1gykJhDzr3AjuSUfJqccynMWXZnWlAtV9
UYTjldkN5Zl7MOnm3dwPe1aE67/H6LL0my1qMnF3IwpDHY/XfTu1wcqfjOxCjIbkSNrxO6jDzD3S
BZBrmiK2mfCl2mrBKosn/i1XDzKjtcpTCOn6k2Am3guAl4A32tuZ49sOu+jsVPtiREnWLjDBTBc0
rrVuwR6+NcFrhGqvKtY8yjaBFRSQdEot1VYKRdEpe3BSpFnmHviE5a4O0uoI4dDq3BoAC9JmTu3e
CjOvPIiMtvP27T1Cn1hWeGnYwGtFb97A/vLnjwo//dvPCgI/uBmYAHwIMI9y5b+6KfS9NhaZ5Y5n
wDJ9b5TukQtDezaqxj1K1yq9sg/YZ2xCzRVKd8tzZyblk2NoH8nuh1q8kYUp9zglNF5D7WANHfuM
kr7hbooMf0NRDrafTpXyTdA17Z2Vls1DDtzJRiVaPerGQjYPobp0iXntKFGZd+okMsg1i71YPXF9
KN9t8qAM7qa4NF+GCLyEAmCbvHHKj3oHrkYVNdWjBq0YDPI7+cqCpkVpcAL4lI77zloza+HRkrcQ
Lk5gQ5GtG+YefaYPn7tO872GD+ZD5NbhHopz+PNjN3thrELtWCXllyKM9qW6+Re5fbSmfBNrIfyD
2zwJJ0xWhduyA3WZmKyHMetxMAo8ule7WbBDMYsPSadS22sxx4l5ZLxOpR9/Uw3w8SbfIjQGZVEN
sry7cl0uMXDtWJ5W97RbXC60b8RJBF9DuafwyGHiVrP987fH4tbtt8d0HCAUIKNgGniq0CPn6tsz
GQlPgtCOzxoQd17luNbJNib8pAS0l1uT/RhVQRKZyEl26uaxnt2bob65sVOXLuHQt2veFdo87+/i
WpbsRx0VJYV65WUovcI0QiSIJ+zlxk7vgeduf4jLYGd3sXsw1UXPkBtD5Y/DD6M2okmuuUlW6lML
HBPuYbHdxtB0i5taKDa8C1Dde5cO4TN+Tsb27fX+caqrN7HMdTP17StTIL27eXYKX953BoLZTL32
Yr+KW15lmWaxjVr00enbZuvjozuIJIEgHDXpEkM76YDtnX5YbNS6sSG7PoJRQU1Bl6s+TTH3eRWB
oanFMdTv5vidjV4GYECs0m/cIUjqVpVW51smgG9ghf8TmDukI4X81KY1+Ciscjg5o+QHwDGh6ce1
6BlpAPAkAjHwXUmnpK3l/2Ql+wreVPnJcYdfg9QipSrHftuW/IQ1fAouUpbmHs8bifoXHNhpuRae
k8E+MbqfT8pbdMmbN+vLiLzIFIfPNEB24fV4iogwXkdCbju4SbQdAas4csNMvaIHdXYd4Sk+Ggnk
t1hnfOg6E5CjsvqM9WG0S0zUbA8TLz8buXPnjIx9oOGTC2yDrcKW4QL/ZxqOLFYIkWXs62agHdN0
sYaoOP6v7xi7GXNHHpcZ24rn3bq3ivRVb/ozbwznBxKtj0xLhhcLxDybIbdacErn7jEzzXCTNUb6
KsZ2Ca1iSFa0ofvRrUrrLBoOQp4WvJ+ql3LfBNGSxGGhMzHdAyi+2lAceeiC8jHUpGPEjV1Ca9zT
p1pujAFYfG0K2jnLtWTOlgTX4NhYkWZYlKgk2Zw/o7jeBBKv8+O3sTTiJjmmxuIJAwEOLdyRVGCS
aSicpGaP9Fq7YnawadooPpCtKAVK38hRcqnt8dxwoM0iRQngjaooruyKHahlqy61Fken6o97qj+m
JkVbVDZMQSilRgXxMrKr0nI1iQYAayH7Lc/a77ZadVVseLvIPoKqEvV1nPHVq06JXy7+sUiBbMiA
j8lVBQVdGlUaUVO9BfVHQNZWhq87m0TBV5ZAVBBq+wAH7/P/mP7zkYvFjYMbx6yVmKk/yPxHY/Gb
h/5SwKMwL24VKqzvivu8Td8ulS/ALL30yT0ZCqxKRupD3MXYYCEYrWbP/88c82xOU29jTTeTk5uV
KY6NQUSrCSEuOCsdDgzr083EAOYAUmNHAGqKqPBbuRgu6HgoQgeB5qqs82wNZIB9BOXqfhB9t6ce
XYSyL10UE3aHKqiBc0WlYGkFBepD9HEzmV1VrYjrxIm66X7uUzOs7LzcUpMuGfLcelWYW5DHdsWe
bDQbtSK/VJBxNbsNcl8cszrtMW+wKY8bYGUeybO8Do3BMXUNgN+gxV49sGJPMMsJFAL7ikNDnFCa
ZBu2je3rz9S2dezuKNxVBOeogboOD5q+8Rw/LT3QRgvHWHV9/0MyE6+E9fqOShQjCfox6jKFdDYb
K9u0yitVl7xGnBY7qmCcMj8DN7nxh7FLMI11beNQBKm7qlHme5+o75mFE3moRyOLj4ofZdVLmSM1
hjpEj/opqitRz6VcdImNrN8MgY0koYok25BHQbKlPk26RM9D/KFf/3lpxnR2uzSzXFQBGoYD3UYm
TEct3a6WZlwPNQfHEsYJ8K243buf9fjV5JW3oEtvQKkL2PQfQ5Ab1vZqktDAr7b1oR3s9w84WypO
vZ62qH92xTERw2PWje0TmTqjLDZ213Qb6pLjN4Nyf3qkALo0ahBXg5aJ3gcNVl+tsGBP521faYF9
rkjdb7T/y6AkAdp0GYYr3IerPRmZgZt+PPY9iuMyVws2/yHjgaeNwP3yMJCoB8Hhc0LCU9OArtqW
W3GJB1qOfF3i/rBKjhVBMb0UAWgUDHCCPJog+d4mQRccG3ASQh+ztXaxNO2HHnt3gFiZ8zEYpxop
uMH91jkgl8YhcgCEvbsSw05gh3GPMkEItC65yDROxNpqsEMMCzsYV0uCcu63BnK+amAE8e0/f4HE
f2wMLdexHFd3dMZR+2LcnBbFftFW+On2p0CA9CcwUeG7qmSFmtci9UwzQFerMqhQczcH7RcqTsD0
XUJILc2sNRnpouGXqeN4SfprCLc2nl8wc8NtU2KRBB6/FSWw4g4cyl0upUddyL4CM6QuFL048Edo
HyhkcVAcjVimCpV0l17a+Re/KZD0RCXK8xBpkFd2IwiNOQ4KqFCU5fm6jfqz7BWMCOWdjbSd16jj
1+5dMoVaZEOdSbJztOKZpFQW++9ir0JS39j2Qy9X8TRF3tRk+rF0LPdTY/50FO4vhTbpIefI2LUT
H18pqg4H/YhCHPHJzn9aKqqaAJkLbCTkKApbMUVrirkoCnOReYmiQTQXA9fW8c/fDGbZt7cWpIod
ZjJucRd69OzmzMAAYWQXCqs7WbJxPamYtekSxgySgg44chYbtbJp9EDBEp/D0YfMBMUxPOWu4rAD
yy68nnAg1cTnzo2C/dBZzaoo0+wZv3VKs1P63MVO2ouM2NmRDdh8/cj7+MuceZdO/aLVpnak2JaB
gifFx7+m2Dqvquf8OEcOYSC8rq7NeZ4OS7xjE7ef3QQASm+KsleXgzWa5tE7Q+4qo9XAcsPrdTFZ
zb4BXTqAzUzsJ64ln3DOsisqY/oydOG1vUR5FNlFmV/bVXysJ/KLn06fNbt5bm3rjNLz9gn7UP/i
suIlwnHRq9PwYqfYB7cpa6tXM7BOb6Co2LQAGwt+FCBtOBHuRvVkEPgnAuW8+2zZGh/fewTJee+9
jwOF4NUsNOf7OLAt+Cfq5UE8v0KWANgZBACxqqn+aXCK8D+9PXqz72+BIt/fnnQbb8w7FISl3Fay
80bJIRjrag9aP2RQYrbL5wC7KhzdteVzrjtvtsW7tChO6xvzv/ktiNujTnWo7tqcM9wqcfxh3/wU
ugHg/CAb0lPJUTHG2h7LfMpAzWkpUJftDKuVEEL4lZ8yRYUsuT0eNVkjA4HqEw+kWc4HTQuSE35Z
P4PYtj9Yk+s/ts645ix1Pgh1QVk3NDmm7IkCBK++x7pTnebeiKLzvmuLPYUi9QlMY8iCLXWZkUwb
wxo+g6ck/b+MXVmTnDiz/UVECIRAvFJ7VVdV79sLYY9n2PedX3+Pkh7T7pnPc18IJKXUbXcVSJln
caFmyO/arOV3VV2nuyHQAKtVfXRpgtJZx5XdbpY+rfXi1RjY9k4I8REHiO8Po3XEseU2Es2AtO4S
zy8uNCuts/QuxzZI/RTqQSauPAO0eVpW4F3iH5ffKBYiAETBz44TAxU0r2txC6pdr3KlEbLh2fRt
bIHfq73kxYnCcF91Yb4rC2a8Jh5bUQBcso31IMA6GJBquecSHxsaoCVtudK0AIloN/MS+/AfT0X+
9alo6IbFmGFy0zTBDWDqo/Jpw1V2oT/AhEm7CQTU1BcSiUCVT6DWMxtWL/0LmeRLH+y5m7WUPigs
YLG5QepPn+RcFzJPkMOcgDnmOI8uA6QZa6SwRKC5ywAHCEd3aUSESQMaaH3bEHI5Z0A+xRGwUrW6
NYFu3TqmP7o0rCHJGO/oFnbTB8/w/SN+t+7IHOwH0lwrXgtoQK3yUGTbvO0uOR7dP3xRfblRQ0NU
1D+mqfkyNKBnUkO/xKAmkrhcDOW+2lhOWVxJrlXSzqFcU8/coP5qo2Obfv2lB4i1yK2ZAi7kTrPK
FPU9VVpXdMkmS7+JoHTUkJoV8rJQJolt43uZa/b+U5yaZgPkvOn0oF1NEmhkvar0TR+CBMXHw6Jj
ExZF27gkj0S6NstFsTunvth2Ci/gFVXwIHr46WF7B5irasGxYu8hz4NvcmuBjgpn5iSBlWEPDH/l
0i1dMtVJd1JOEL2IWmvzdaAbH37/Abf4l7e+odt4wAkLzDWdc/G1UmDVE9T8bIABMj9HhgiE9qc+
N1+LyLDq1T1cqJLHEJpIj22mg0srInFqeJs+xlEBtGNUCuidoMk0OFIAg5kC8GSBWNE6ShGzQVIh
SpgDOEhc7qiIQxfYssc3QRmdaB9PZR7qZ0V+AJEhHu5YEnk7EbZaUygpnU2g/RgaPJbw9Pvmiwjl
XaCPQVz82aRRHNi/NT+LxPHfEXM9mCKgQnwX4sw312GgC6QDnYmSElVuJM/0m95JXgbK+XW81eE6
1n2MRs2g37QYLR1Qbn7/V0Bm/R9/BgffacfQdUeH/vE/imsWFxJbfmRKuticQEOEMvm08uOuDqCL
yEowdHwx/FGOLLpUOFI/GEm6gVYrbH0AQXrQioDjKNZ2qL6U2LqE+rTJHV/eRxk480Nmc1gU1PI+
LrTuJsZmCvKXXbaanDKCG6Jj7Ck4Y5AdhNLPvovLIVtV3Ziui8z3tpPH7Psi4WILqLbNvk1hxu7M
qWu2EMBr91PoYTcL8Ywa9cv3ICgapKIHZMarfnwFl8xNcEab+5f4BDmepf/XeFona+MfvYSBBvFZ
GbyGdyYyQytBXNalTcNZCsU+0RkefHyH4saPcBFjBkOpycIl0vpDnic76qLBJcxI8NAE4htxRgjy
tmxlfMp7wYBmxIWDTHNpc/ZYVHl36JOo2ImM45jq+1PjOgmrbyTdDk0S7dqx+jY34fF0l0+lvx0T
SPu7GjIKx2xy2BHHBdyZDjqp/en2U+h8+ylgnqYWWJaap9JIULcweCmBmixK/RSG7Vs3BnzbRA10
nIxRw5VGAIbUT5/ac7iaQ3cVh0xDjwfXZm7S9HkRGJRClqtwf//Rt76+YKFoZwqJ8oSNLZfJjC8v
WEAbOl0k4DtUQxZMQEyCgwfXtAIuv7r5FP28y8fgo2+5+59xuWnibxN63V3mPeLckLxNKTh5TtgZ
23jqx3dZPuXWkLzpqjtEuXurBbw8d3EGRffc9+CzJnHaKMzm2ewYoFkgBXpdEB51HBLWkWISGpX8
LkNhxOeEleNVTHh8rnwPlpe25ldnP4VBtaO3/NaDBv2lg6YAKp340U5eQIga4vS3LYhanwZoBry4
PmaMJiRNaQZQ1anrdxiYoPozz/Dgc/+eRBGWQnnj938Tx1G1/M+gEsvgusOkjTyB0C1pfUkTNIJ1
Pbfy8TwmQPcYMOJGniyU+YkuY5wUcKTCJWmAGnLpdtTbzZDBT4lCtLQtThY8nj7mfWrP0Wo2RS7N
2vOarelpgZsq/c0Qdd1Nbpf5NRr0/Ep3jQ2rvjzwkvWXgQnad9ugwAmaBmK1Y6A7CBgCKIujONKr
fy+VqPWC0QuPER8eltUpwoHP7U3Gp+2nNdRMC4fnS5vulnBahuZUfbZKIZ0Oh+xYP0XZMFzKIg1R
dcrxprJSYLZUX2LUieHi1FICwA1IWqqjDJWnI/8xiNCtItOE6VL2wPrOei0EEDKwJ4GLXg/aRQ0r
wI3ueyfUe2u+rqr8Pep78LktPIF2/9JEhWXcw20VO0MAT1baCPepIC303eAYDPtLi0FNU7G+raaH
aD0sFnctNyDog08aQGfXOQLKIfquLSbmpoOHWJrwc9Yk22nXQI7sMs3yA5z/YRODDYYNSAWNerYm
MBH0p5FFI7wRtZfhGaqU8NbaajiVtS40MScImEIOFRIzTr6WxIubZ0m7PBUojr7VaeesDGB8z7YB
+BYqUNW6C6fhe2usCavcqgCmAuDY6x30yJcnQnzCZtLegqmBl+KgkF0LFnQGiE7wPQWQHRVjBaSl
y6fA4OfwYuIGnUysE5kJ6PEwTVtlqt7h+8GLFkywBKCWOaFLXVoqDM0hIGPuDT+5OgO375MqC2FR
A1LDmOHFPIxJuRnKftqMfSTvKcSYXjhe324ozD0XXDx40tTWdQ4CRQkln4cAxc6bvqjfIaAFJ9Gs
Q+kzC9t1VFoWMisg7IUJxPcgyTAdB6u7pa7Aga+QW6R2czQd/Q6Pvgl1PBuqcVHr3C+z6G5sZQTt
sPjxS39bw1ME9L+nT0tCbABkj0Y+0w8tyECrwgPn0CbZK/XNi6jfC0ZF3YHF5psIfKhJ1TUgOqZe
fusUe3AJA5I4OUjT++6Ujr9LYFzgClXRqxWfDW4K4M1pHgBHmrX60k8R1BeHY7bqHGg42kSNo85A
0e06HRaZai4FfxqdJ1vNxzwKpmmAStkrCOxl4AqHkFCos+/cFzCTSFv21ATdsEZZR7v2Qzvshi6C
j3GOMyykxcpdhAoo7DGHem02nv9cyh7WX1mhf08sYw8RoDBw2zJy46TX/nQy/hr3ofM6ZkO1suK0
vIAICdlGqEznnlEd2pG/kGI0XRbqxuikW4YywQ31d7UHZd8KomMrLWuqzcLcmIfNtjrYnniZ45b1
1CpZ232sIuJtUe6ops3wBgKD1Pbmpi2kc5mA7aVBk8rkpfU5wqoy7+LH7WGpi2s/I6jv1zUqRYsp
jOKHgJMIchfxCfhfpOGBdmYxB/MutZO5j2DQdjfALR4GL67ZjRIimUq3sufGBoyZ5KjJVL9xmgTi
lfOwp4Qr1XA6QDsrgUI4s9OzXis77Dg1whOPkP8h95G0gv9nVFs3RGfNPTgZ9loYYTsKKixdaCAy
IGIe+CjQT32PJPgHK/bvzpy+A0YGjXwlpDqrpy7nyJ55L7wewV9dlHv/FulFlsnJ5Es4iGr3ad6s
xTpioq4mztGA9qYujOcg99KFwX0TQ5WxDLLHVl3sUn8JImM4c2w/HxsTSX2N9WDN8CZ7rPQkPTK9
gSSEim2SNrgvmxAQTwzShF+nayGoFKEPeL7RJxsPokP7Vg7jK9SStkk7sEevZfUFb4EGslzo11WY
VGG9ataV2IZOzB7BqF6lPOlvoL0JAQGmja/IASRKVc7ZB0k8rxipFQvL+1iR+ukHU5iWAm2VQAMW
6bHuMQoDRTEvXnRN+OcY2QLXtP3ixfC9ame3nbWhpl3ybuVFwIhQU8bOGao5xh2tkaf+mrpHEUGx
Qa1h/FwjzHH8rTRrXSa5Br4PMg+Ug2hzKHbgpT93Lf1IxPGV7oEqTX1zXmJIAV8TInmZmxMM4Eur
h/4yMo/Xgh9ST3SXrLIZ7If94SLjyTj6rEV+WLOs5Do2+CyD3DnsjBpIg3WS9xHI2p2/wb4CrixB
C02+zvavdDHAcd4XtZa4ZRrk3lqmI/4njX0n+48Ip05BtM5i6xvU3/zD3KS5sFbT18AG4SWrorsw
DeZFI63tDx0e8hS29FNzav6KzcgERgY+lhW4GzsYL2E74sOI/AAu62MH6t3F0+L8Mg84UVesOkOi
aA0M8SfrcgGQitcWUDwkcPEXO/PZupyGaOLPaGoZdXmqpCePzoZDEfYTfZ2+nh+9eHnV14G+tQ4k
lPviOnPT6XttreE6B23XUDz5da6tq8YC2B3Q9TFww9psAaAZ+F7qYXseM1UR1VCspIQGj9puZYH6
vY2pgpnp9RyzJD4gPDjtkICBnYDC0McKZv9FCD+X/QliSNVhUb6nuwaQJcXXOEIu9w4ssvExB//w
PmpjmHeh1bVifOxFdPaSuL9Sl9UY/ooNlQ+MCQY9oEM32KpZGxqdogp1yib7UYg4h9xN3L3V3Yi9
tmD+Kc9b57kT+aoRY/cW5Zqza1A53lJYJP0bPJP9x9hqkzMK4/Ecpjl1uBqarsDpzrMe4gyalhk+
wAWz7WOcRO29X+pP3cgg0QRu1j1DgupsM/smwUPnPlMXrSzZJu9EuFn6DKO+N3whbigikWCPZPA/
Bvbz1BtMPA02ax6l/kaNDpKCDwEIA9QS+Js8AFMK1fTAegoD3bsHrms9R8q6u8cTCd9sz3rEKbCM
oe0RgoNQaCGOpjLPIHJugOlNZ8iYoVDr4xF2bWxtuo4pTDK8nMsnnCqeFomH3I/xNiKxsd6Gare3
JzkIOBI02PTqJd8BGDG5UKG8Rc09e45yPUJ5ARhVGBFr96JpYpdwJ7Fn3XIALJ99qLnNEcWY+A9l
U/6/I9RP8QRc8YyYFZsR1DUXys8Mpt01bIa6BjJAwdBvRTz4YCviJb5GAWncdMEQ3ZpBCmpiIKPb
9jDUjXalXrrkmcM3zMCm+2MhFT9GcEQNS4izq9YcF3lip0GL2G3x7ck3Y2S9JW0SHGnZOc6K8mOv
Wy9zRBEm3E17DVYSYON+/Ip91UFuVC0AaZGPX3Fua8e8DbXrshxwC3xTDQxFQZqgWc0uV7+UkQz+
2u/scqfl3but41VVwLr8SbVYWX5qxYFWX+rUMJ5MMcxjtdfxp9ys/23ezzGoNuVuGGmHVtj4zDX9
98jpcAZQLRjW+3vpgftNzUHkz6lEqagaN5mHRN2oVKO6Ooe+ulcVu07RkUcx4nvkaI8O1TKrYPoe
12l106jByE8+FpxHe3MTOiYWKli/yiAKubMKPEdia5xVRhe9UVlH2DgX4Q0pklJ/yaHlwHIWbEiE
lPqmLhlOmtXfUtjS/3N64mkgIaZFv5VDH8OJftLe+sn4uFv6vtwVU+C/T1CQm2fIqr7aaX1qpsKE
F/BoPIOrA28KbbgHpxVZm+HFrhLjWb36b4uAPbQqBgJD/JRA88O1rCg7J4Feb4Dtru5zY7iBhLb5
Ajs6+zAGPk6kSttYm2Sy1j3AtKiJ1o0VDe19WnWg4UKf22Rh4a2IEzXgX+49+V0DaEEgvdXMnqp4
Fu9HG6KaSFGBHcKas6V+sZ45gGJZwb1lFtpT1O6oNwoqASUT7UqtGhrfNwEHt5+aCevYvsADeU3N
xk/1Df7z83lqJgpUOMKCHW1Ryb1m4ZAJLR2DuyAwYENRQ+RhgJC3A3b3NECgB+aI1Kz44FwCw/kz
jJ1hj2ceuFcwNTl2DmS1+qrurxx862sE+uauYLCsblXfMjDiTwjTcaiZLn10l5R9vdYhArr+MiBZ
X61G2SRbGlhGudkphWYkE+hH0gD9NFTuvjtxWx6oP7Ts6SydadqI8c0DUAufbTu7obsaDm+NS7d+
i5HAQWHFNb00XumTM0LpGp00TJeIhum2SwUSc1mnrTnLASeFSHYtS7Gnlt+PMTSd1LOb2nywnZM/
+W6oBmg0gXrafwC5DNv5mmHjDk67kgnhCAe8qS8ZNls6gdkXY3hmVT64M4qqh68lNnjZdsFMNTkk
90vWXwgyNYJuqZy63peA9H9MApTI2jYojsNAwE/XXgLy7qKzjVwJKl/BH0sP3S2hHpTtpUthTvCH
XRerSECDajSCq9/Y/mMhIUU7DVAEgLt18IhaFYNs/gjwgBqdTMd7AOhDDVEHxF+R2tBq80jhTNYJ
nmkR/rkqHE4bzqVsrDO1aBa8gM+dMyVAcXDd7f3Ih5EBPvKiz7xjBSX6pxoepmsckMN9o5qwIgXj
2oSwHgXr8LXf82wUK2oODCiD0BrARVTBRW2U1ymLbufYGvgRmFS6eID4/apN8BZDDfWefsykp09C
8/oLhXY6vrN47ccnWscKLLeGYgtgOxMs6JVmCl6p/nr8tUmjwJEZ86hW2Z+DQUn/3Py3uWUO9YK4
g025x7C1h/3Pg9+X4uSEdnWHhFh9p7pEGohTjFPFHfUXzJi7nKZeZ0UMLpNhQ+0Nsh3Otfdhmi7V
7jxuneukLkGYw4ZjkH9RwNKPs1oHmXIv3dLAvMjP+UtwUENdY5hYu55hoRIwm7iP3km+k7rALDtq
dZVfCSga1yOA04lotks84BLv1CqrSL/jDUiFKg9nEW+dmD3EUfc64MUTyMWCIayybxSUNbqz7XD2
WbV5kF5FW6gPTj6+19A6xH9fO16hqJhemyTU3UxhehokRecBmhFC3P7TDHi3j4CqpRZycAHbke4u
0hvYbDmPoLgYT032qfH3CIWV2p7C/p4z1OE9MAYO/HUABR9Fz1/0aMyPZYwEEBnx4ECQ7w1ei/gc
TeyVXv+0MwAbeKtZzLtSKwPdaEMXatKAiqAtAG0SwEzQkeVhwZGadAeCPRCFtGn4uRz9BMgIfixH
wSE+6Ffp4bkh8E22gg7fykCXh7axkhXeHPLRjsrpnPLhG7V4l0JD0mQTVHtt7xBqY/jYaR3DBksB
eFTTjNPiGmBzkRUtcILxFJ4TDhsAjnrMo+YbxXpM037XlVr4OFXwjYhArnVpKo/T7GYchzWk6PKT
HwAyVBY9HFC0qKDm6BnIsmhZlu5+X//Qqer9S/3DtmzdQVUckjIG8LZfilK8iAod2Qu8pH2tOHID
RxdZaD8cT9tqfQcBFmimDi1wh4rHDEK5CbWBiYOxhQPxH3g8fDM1x383TXy+UNsSzzWLkGnINPEw
dtq0zoCzuivKzt8Wsm4v0eBNkO+3Iry8y/bgl5N/1B2zO8EZItp3AzNx+sza7ahp+S0AsP6GV0Gz
AiQZyAJsN1d2NXQvEvBl4GKM4rtI/DN0UUffzdt71hQhdAZ7f1M6KdwVLHA3uNpy6Z4i/9n1E0re
+Tr2xvxubLpsG5bFdNZyTd8Hg16jXNlDX2Ua9J3pRxokgVCIMGLsupOG+wdLCOMEjrfj6l5lPJuD
He5t3mjYW6E5MAC743YQ8LhFE5b3oMsiaXaipuPwZ7MojSu1Itm6UBs1H62qix+qINpSt8+r4jKB
ezr/gD7Xj/AYNcvvQpiQP3EbA5qGKDmjztTGkGlQoLjWiYSbW1N5IhBa/bPZB0i7Isn44HnpXTuk
w0sy9KCxtBNoLHYobwxYE22AyIxfURy46Hpr/UCC6w6wh/7Fw6lg00H69QYaFvaNFSb6miv4Z1/1
OyMts9sxZuktBx0G9IoRltgW8gBgAae3mgOdVQ6flB01KfhnXMTLdsc0L4TxVzRstAz1PEPAuYea
JqQ0wHECDn4ZJVi8ZBX0e7QwvqH3TmBqK+4XwQO1WmxTl5Y1+esCLjonGTMT6Mx4luaNTbztcACW
kN7us5uh5tZ6GNLsG9P/3xFRITsQYwvn39aI2GT+B1KC61+xeZYDPAJKxtzSQcKQtipdfgJkMQ8k
aa3EwhXvoSq5CCuQ+EIY6/EmklE7azHUBgQZZpUFGp4lGGiSrnOWQfMC2gvUppk44bdQaPop1gAS
ebhqgA9fe9xnJ6kuOFBOJ2oCAwbQOt1SJw3HwBOsrcyC5pcKtLiDGLpdJn5ZZ5nsmFoJTZPEB1Ud
6ZwJJHGXsLZtyIExD+NuT01oC2a3Qzzyo4orKc5KxuyW4npkkPdzJ8VAa+dxxuiGgIevZK+OCN74
FwFVB15XK0P3mzPUY4G8ifu5fwxRbaD+SRf9nYonwKve6J/7VTwQtO8BNuJ7q8j0s1YN+pnulAzQ
OWg3zjCmn7rhUDshmRo63SFIqwuF+poHw0Nu3wJedjdY4WADK9jIa4pq6dqGAsKamnQp2jrd+9p4
gr979ohS1rRGcipBZrxH00C9L3I8xw1Knj5yHPYgFyFWloqlCcD4PSEFap2X6XEpkx3Fj0mgHaBZ
+jFdD5D8kKBNHdqqg2FGC9cMiL2t06StTwyMgBHFceyiwko0EHExXyisGxxtdLVY90aX4xSKjTCU
92kyXT4FYZs6L0Z9tNYSR6vK0nihfp3Z9UHzzRvW5XoBZWutPi0XHhXNp6agJhtKJA2N9RJGdxQ7
R6hFvkylkK8/g2KC2pcbkcWB22UGK9xlYkPtWovQSwvT0BgG2NTASgGn1/Y+jiUHpYN1bilZe1+r
C+yL8hWzp3hPTRrIW7hnNME9TVJuDvuCC8+dDL+b++BQYgL1MMUHitcElO5FPY/JEsjwyOYXjt0o
/Gfq+lts8KMnzMp3JcNZMXPaHz4DArOFfcazb4gBdOqwu4alk+8nbIJ3+LX3voUjCXBaChqea+8M
ZPBJvQ3ywvvLMTz5mFbptM2wh8WxB6E9l9rKKi3vHaoxG3pxSNiRNCiYVn3Bn6BwMV5YJV87szOe
rBjK1dhHvC5jgyNeSyaNJ80oILHwd+S/zFOReD2Dn1YHO982Ucyxw/EcQSIVZEbI7FHfMiDUKDUl
JJ5hcOhBLAtsNJzV1OTW1+SmrKpqo+mp3AITZx/LrOxBuwSNlkHZ5blu9G9NXXh/tmHhBrFp/uFA
YRBEkTx88Lh1zbr+KZBQC3VHrcWOQV0CndfHcEAh2/16S+Mg3NXHmMbnSaXfzDOX6Z9i6DaEBMjv
d3ri69vEZqZpGaDEOJZug/X+hU/VjZaAuJKsbxrYw3FDBsdMb0N31hihdj4Nf7fLFNvqQo2PqBPd
kbAIT8JhD2qsWxncn9nBUhvtS1fZcKJMwB024XsN2X6nXGlh72DvqIEGu2pMsV1ORhC6Cdw41jS8
osGhS70ohM5b3M9HKUAH8ltoheKgZJ15VKF6opzEvighwuxg3I4pL2ZCkVw0EheCkQcbPzjV1Yc6
Mtnp9/+X/0hp2MjOA3jAdctmcDnRv7yZDajk6BDiS28+dN30GPpP8ztM+vjqZU7qbaG24Eh3nKA6
I7vx4y1Fry7UV45Wb0Ne40qiS54MvJsYLzSXpB98I463Y1EjK6YEm2qHQzcGR8DL6HTT8z8npRDn
WfXBkO97BQn1DJDPe83PD4VSEKI+UWvV3CdqyAjRgM9/iWvV3KWvKYwKUmABvNNAjJbN1raRj3T8
9B7YTv+SlYN0ffz/vKVZDAwZlxKV1qa878vpmfrbNBFrZCezo6jT/MVpi1XfetabXqt/GHKaO2oy
NuEUK8IXJ2DlMQQmbE3T1Y9jqZ7cd3EQzD+O4qsELlH041IP+Nvf/2HxIvmSrLKZBVlLR+qCg8Dy
D42huCst0wax/MapendyzNWH5k5khNcBTVLooa+D8z+68MFbzcI8FKHWoO8QzcQ3J7qqCGr1JXDh
+DufsJ3Oj9Aij7cGEF+vkHPfWzgH/cEZvBUs6Zd30VAhIq+Vplf2agXsbgrK+q4vQlguGMGePjhg
XjN8ayf8xKiA1DtsJGCgacYHakJF7dMk3Y/2Odc0F2z5Zht5CpH966XWwUVyqRPm0eleNP353+KW
vpJlZ4AzTesdRajeDZXXTWSZfF9m0yu1FgK+bsMNJ1CD2HO9whMiv1DXEkYzJwzO/R6/GwAScWV7
IbsNObUKB6tVF1TX+A0r+LAuoYjxfYrngBpw51VgldUlsEGc+V2A5ZXFYXKcdQhqBEv3v/9U/QNj
aHMdckKCdEZMk4svj4sM+ZtmlHpwgvEO6mluH3bHtI3158a0XRmx9tGO8+nBi4x1UHD23I8wYzXK
7LsXley5qQYHYIUMOihqjpOCBSrtuILZLGLHMvXW+AnRfl5RgNnMxDTAcgdz1cGTeR67/vxxzLPX
fIDZ6QJSD/NhWjvQUd4sfYljWFeos1HPgltPmPE5lAYotO5XVOnteog0ChM0VHx9ClijZCbcHbuC
1eDdApdgleZb0+EZFvX4t6AwR71QmTAvfodcdA8vjhdAufX9pEPXmUaTX5cobH1eotUHWkJXC4cm
+1iC5rDaZvMSvkJHLL9FLKu/Jub5hwUPBbrcrSEtgIIIKLVAqALHSPByMmFkrjBXy4ARxP+RiJHq
M/A5D2PjvSyBhueObhkMUOFfD3tWGZjWVEz1Efkm8EBUCrVVB37o++Bwr/Kt9a9N4FE/RkXG+Kfg
ujK/OwxiQFFhZpuGsWTre454cDQPEv9m/AIKt3iATJ54gLLK2RYNpCBVF2w2P+JpMAZ89xw14Qu1
fsZn2GZc5gXLqodF0Ai97txqdfgTeOGeiCxGogGsNfD3Blou10pdqJ9XWU391OpFUlycLlzxRmZb
uzfih3LCcSaODHClgNgAKNn7Kx2hG8Jgu+J1ynwmje0HQ4vlJrY6pCZamx1RoG13KZwQ1OMQoi7W
GL3xdLzPYCj4V528B3mU/jngIewKXkfPCfiz68SBvBes3fxDYNnaLawuXptCs6Ey4EVbFjJ7l3eD
/ZqAkaZlQ/zoR5b2H39y/pWQInUwUE3bFIZlOP/Eg8dDb+pThgqV7CTSQKN2bnWwFJKgYZsxkxp8
O9G3XLxWabyZ4Y+li+40pPzXBogT6z4fn3v4Gv3ZOR58d1H4d52iXjeR5f0YK/3d85vgzRiwQwF+
2XyYQpiM1W0dXytNil3XDskpaIroNAY8RfIfkMn8P56FSCt++aCDbsuZjQ8gB/0Wm6cvH/RY8A4p
0bw6mWAN3oCqYe9boFoPjZ/7l0EKtTvXm0fNQSYXGj3RdwbTurIsWuTFimiNmpn2R5aCNmTUwBMa
XGNr1tblNbOKaj+OUsKQxy7P4NSZQDe008OAJ6YbpgZSlRPyVbRS0OLwAHfuP6c8DaDUI+Tz6Iti
zfFffMuM3t4ZXdQdkYwzwH0L061Vt+Lei2EM5gEQ+y5t/SpSAek2Q7vtpBf85STp9yBg4gU2Y96K
lgihy19d8U3sYO8wjLscbOfVYjmmGeVv+mrlSkbBFFeEKQC3AnZnoPnLVVkFQFQMfXUPjKKYKuPO
M+Pq3sKj/BAz+KTSWDCM8pIMyILhT1k8B6h0ACI9dt/wf3AtO+C+XN158vTQxudkRBm9lt0PqA1/
80p8TnCcDlcSdaILtPKjVZCG78vmMa87ABCM+J22krR3/LUri4E9yyHnv/ODapWXDJ/FX+8iHoPe
OOQlyD867j6NbnBuAxbGqPr6no6RqgXB708tGqNDZZZPG1NF0qHy57xaHTHVGM2jsQKt/9+8n6v8
nEergMrgHJyWD5sqHMeTrWvDqchY4k5tYcx9PsiwsFf9+0JxS5PuqK9LIOiNvO6+h8FOCcoB1suT
IYFUR2ds5rix/CGZPR6YPWT3NohnuzAIamQR0OwmJ7uPoTK4CuTU7KmvUX34CriOkRa31IX8UHEK
zfoParV+BCYA09kOCndIh/iw01CZK7oYlKyi2xolxl2LPDEOWCrPlUzszGiY2q0eAK4+1iG8FFSC
a1mD7vwY7DgINIU7E7SzA1LrSCcCC3y2QHI6QeNcHEUVzHzAvIv98dC0BdsWI/QLYofDpcluisPI
cwiN+TI5t1nxEJjwf0i49B+WCOpLVQQAxQ8UTxc8d/51jcjOL8h6PbUiDL9zXq/taDBfYf8ttr00
xb6o9Pip8LI7CgjgkOYOOpL2WWRDS1BrwjUMdoPvpd6sQVMzX9PQsHCmgXoMNh9gRPqtt0XKLccu
Ek3d9MOHFNgLWaWAoKsuPBU/ImiQ+n6NoDVGU+RrgM+rS8WsB2BGoa6hh0ghRk11GwFPszIHLr/D
nQspCgj/yhp8Y/B0CpivDR+xxRiIm6FJ92FSDavRxp7cTJq9lvvan4VpAinqlW+N0wTrIRPjtQY3
5YAqYLk3nAJOeWpSryY1ILfBB7K5twB4xh8mjh9zLT2wzBKvnZV4u1gMwbZCkhHiidP7OGk2tM2t
4k5q5gt1gxqnAdMI6wcYS12dpF8lvLTvjEiz7ppc2MciFz8qKA9GEK+ogNeHlqgnI3kIwEB7i+GU
YkD9KzWng64DnZzAnOKNVcaPPCn4rVZ0NfIFHTJeKgzy62LNIf14ALMwxORsiruX3+/mdfNrJkVC
lEbgu+nYwoA0zVfRQE948Ck09OjUOB2HtIPeKyeKINnA3AyCKChbbWQwyD+s2IvdyqyNZ9aA8O/r
8XDLnQCsOm7WJ2/qcEESY6eMuG8bM4FtwIQym5HWT2aLAiGU47MVSCb1k91N3Qn1Z+bGqlnagOJW
oo9cJ/Obp4a1wwX77heaKrMmu82lf6aZmim0O69xwKDExJYF8iHrfzSo5qzrILDXxcBzME1waSe/
OHVhj8TX0jbSELympa2J5oZZcV9B0CLo9FWnVC/acEhvG8tId2ACaC71LRcjro68iQrUkhBLl0+x
MF2/lIn2Bvcsx42qEBSftDGCbfB/lJ3Xktw4sKafiBH05ra86eruqnbS3DBkRvTe8+n3A6hRaXQm
zu7eMIgEwOouQwKZv0lif0XVUp1YVk7KZrGQQxjcOFfcb6UrnJSFvFsMyKY8zFRWzgrk8ntITvhj
rBxm4a66scZUVVZ+rbnPk2ZcmkIrHlzWDgpmcTgkQUdw0U4RbRuIwZb7xvRzjuN3yqFSEvxrOv7O
VVCU2oWc/E5ebJnD5nAdOMb06KmB9yw7UHmOVmqUG4CybmYLn0CV6ISBDG5rD7fFrU7Gctg0GytD
s++3YDcMUIJthcyBwDMInAPQ/WXuPSTjlS9svWNH/7+o5Modye87Fpd1HAtYVIF1Ssj/Q6BpgBEX
GO0Un50sgwNdkUwmhZyxTw0rtFDz6NYJonihCLvnHOm40Js3C+kZO3Vm/O+/S/PPHRTMSg39V9Wj
oq3iAfvHwjKOLKskQYZykaOmDxMQB76qHOTZvZkVlTC6KkmxiV7uNN3Oc8ua8vqEnwIk8scai2zZ
uh9cu7tmUYhdtRglDzGU1XUdU76NMoNM86DY5SGHc7SKepxTksqjgJsKHbq6HfWDl0DULCFq7iTX
SvqgyrM7wco01X+GCA1/2fvbQcSG0Lj97++beHP+WJJ7DgpJNhlNzbVYjv75zjWNP8IzaqtTbrP+
tbiXWlvfVodLI2Ci7E6ClWy2GchQo0aG2LBJm7cCGppjrbxK4IJuahj2K8TTwksRtxTqjezs5nV4
kSEKcCC4ZdvOlJuajO41LH1vP+l9vq2tTnnX1QlFB6zkj7KpOGqySswJFrjoTfE5KT23fq2acr6h
p32wQ1chG6rCbSm4M8qmG31TsfI7mGGdruMGgoSNVPRTASxjchroErXVv/IjW0dhp1zlgKAvG8xd
qv4sO6EBo4abtuNO9s5aosHQytCVyJUVBMXiA16ev6sp7u8kacLx7XzdxdzMZS97h1NUpvUtSHLz
xcydreRScDvDLFIkRHADNs4hBMk1ehWK+Y3C5/d4KHG68DBFmyQhv/6I09q+SX6RgYjItvcR+a06
Y2O3aShwxO+BbehgofLwOSwGFlOTEXwucrgkEyC4I8DE8LMC/V/vs/ij6SPtXNa6tpbTyRyE6yKr
IxZkXfoGBnWH36HYGCrBoR98fq4DgBRzwAlhVjL/0EVDioI4WtSLPJnWJJ/dqcxOC9Yfyc9oFdtu
vKoVr9xDTpkAFZhXFcvWmzoF+rPSjn/JMJZl/c6MUnhhgmfcZ/bViIKIRSujwm78axCTnczsd/Ja
XTjtfZLO7LEE+6pJzbUizMZD4UeutxvT5MskG6hkpxtz6Ou9bCrNlF+Aub4lqo1H0dgpX4bBaB98
YXXeaerWslHVnqeY3bGQdajKqHi0Y+2G0CG/ft9VNj3l2msiFCFUr5D7n/noDTl0oabs99OA40nk
To+KpeTotUejiYrv8O7P1vgsDwq2kM9FYh/wVXIflmFZZACQb8Npm474HxVGZEUBi//q3WG/u8t9
jKKw17U/D3X0d+HFyRVjFVxF4L6szLFxPpsqypKBCWO7NdL2xY2aZ5wEnc+RryHOVPvdMRujHjnm
N3mZKC68vWLY4042A4N339PctxYw2TlxTPwwJphrITfKFckDTyMTXHm7wcu/Lc2gLUM8J5GOKVZt
0GpHrQth5KXhxCNa016NrvcOke/PazxVtVe3CdWLXnifZcscvfYlLN+UmJEyws/uAUcM/UlOtszU
WqV5NZ+W4ZlVY6nXr02KrFsVy/hbKagSGiSUGtX6iwypdjA+5GrxSjpMRZA60YKtnODZFXaTjvke
TFa/ImvAqwR59FTqMzWrFL0G2eEUgfE0Qfd9Uhvj9w5dzFAUzKj+mHHvqMWlEiHx0MTlVvfqsDti
BLUPE8fdBWVcPBaF+j/O4l+9o532vNmFnVwmYNdrlvDk+P3mHeYBDluVjhxSUgdncvaUwEhr8gEn
GjulMvzuKH9D5vb/DqkL9H3yc45RQMCnMhewiKtN/FAb5liuimWYeZ+TtMm3fmr80+CTHm5dyjmw
6p2j4tY2HDAMVhthmtK6IYIJ9vhxH2GWgX1VI//PEbU191vw8T/qEV+iUB8w8bBMp911DUkRR5te
QOxpTwmkl0tn1zjDdJb6uQka7jxdOVwmdkUvhj8/K32O3rqfT1sbL5lDOND0NjjrjJ91xYiPrgac
V05m83VFJz14GZTxeQCJsUsbo4Nv5NkvgcZHXjmW8d1OL/JtShuAaqwVrLfMC/EIG0b2cKHanilG
baZxOtR8e9jfkQXtxaHB4gzjVutZhryuKjbAcJu9zHQCQpvOk4MWhjVo3xzPibcm6MHVwj8ujMNo
C3OzEW6yqpHucMhNHhaqso/OBhIDB8tDDRCgPspQv6xAlnYXjAKtK5xDcLOE0WQM6a5t54a/Z4jn
d7iWwB8ETErxbxomq69SHTQ3XvRu+tmI6hd/qIUzmqpXX8tmMCoci5x0fo+6onzPM/g7VmeEF5h1
xkddICEXmO99bo2Pdo/Upww7KK0ggpVku8EYRv7qEG8Rg1ucXU7TY5Zr+gaaW7yRTVPE5Jk8tOb0
PCSed1TTSHjhiN7QzfxTHUSnJVZDaTtacIQPmm9prH7ZS0eh/tpSK3jtlCGjQuB1O7WNIV3ZCASK
AQ1W4BsHdvRDAVvmuYfTO44xT2Ol6l6GbOi28NTYKHf+eNB0JxLqjsMD5BMVr7q2uFaNgp0Bvkjv
yAdnPOcxap8FQS9ucszlgH+5Zhb/CFLlXUG0+7OZxuk6SwtWX9PoA5pi0RAl5cB6UFEOwFT6V7WB
9zooibWRvehF5jjOR8lK9iZK5d2CnsSWmNqLQ+gYz31AhQONqAF/WbK4HbetS5Ja57Svk9sk7IFN
BWJr1aAmIJtLh4vLuZwgY/Kgz+hlUQN6lK0xxYXQ1YZoRd0SNV0ADCTzg+o11Ux0iCCY+uWsH5y8
wIlWEExNrf27sD600PJf3Nz2thkKQQ8kovwTGwd8smvNuoK3rNdmUTR/xXn3gP+L+UODJ9PVWfht
AKS/UszAPGmR/c1SWuvF+VqwxH2R514wpGsg/9nREV19NA7HqC3Q1RTNclC7tdopI8oyeHgNjt6v
y5J96H0RLBe8Zt3hzOaiZBvk8JuDEpo43ss/zyJiA5BTAAYxsFp5dh/3797IrM2VGfbN3qka89Cm
ytPd20eeSR8faeuDmqFxrB3rEGTYpkV1DYZzrOGMJUb2r3bvN862MXhtD7vV2bu4UE0v3sCuG7p2
cLGTuWg2EQo0x9p2LniJfNP8uP4YrfnVaNXipeD9Pics3DaLMBDfEnXgdj+3GnXYTAs3WMLGxwEY
whpQS+DxNSjCv8wOwuzbWOlfZsdv2xeEsnF18roMIRuq90YwtYe5dI0Vlgag5zsDrBZONAbqk3Qv
qdp7TJoHyTlyjLyEG2GCFggj8iq2geILVLlXUYU2LIgEhmuFBxsXuk3tZ+Y5azeZ8DoqxR2tEzew
P5qy4x4rR2CsudYfG7zc0QMflDcPMLjUQLIaxI77yAhOA5iye9yfkEi+x90wP8i37D7es5BCabg1
ozH5JIVUAx/hDLcajjIkZVV/xUcKsEcZ0hFD2qkip4RyWEzyoQ0w4NGTq2bpX/p4qj5j2pdu6zSo
j4nMOjW7IcW+gjVxdnIVdd6MYhSb5Hg1wvqpa3T3rVorSXdryXOXxl/IhCHkWrO5UCWwdWyNlZaF
/Vni5WWvbPKhIP8sBt97UzF4EnMNgcGXzcGv27XP57GWC9O4aRCjTUKqYWKdOlNvOcuFqWwWKshz
+7gInCEcm66KPPPOaUAyri4QQIkqhCBQtrXOszjIpjyUeVWu2smbtylwg3p175ED5ZQ04JEbZ4XJ
ytAo1Zo9F4azHxbIn4viKSsHNOjGzlgySmwCDM+LGcUxNNjAuNk2xXCBUeijJj4JENBGjkI9pdqU
cfWM2042XpelUqK6wp5rzi8lafIt3EX9FQBXu1KV3vvWhena5mn2wwCfpZbm+LntsM0cGyu+UnYf
99BWOoyiiy94JVskyvE8AECGRdz0YKtT9LWKpmFDtUJolkclnj//DGjKhyge4q+z2fxrgJ7cxtnm
ruJ5OSIXRf4aJv2T/FaqBj4C/xHXeuRJ+N4U50bngxLj5bdeU5puE7o8aQrfnRsdSpkbPQzKcCb7
jPy8KPjISpAIGWkBPV96QP1qzgKelViN97go0XVZl19GP2MLQy31K7LfK1Wg+SAmt6ACu+KlU5Rh
D5O8O3plkB+mILNhz1u1jeVeq5nWqXTz35/sejrs8kbVz/eHvXz2J2yAkKcu3mXcCIx/HvtQafU1
j/J0K6+UO2nFDdicVvL+4849yzscS7f3ytEfMXkjsn+Nk005+M8YS0x0ZeA7F4CfjnOlfGEh2jwt
mhSZiE2G+5+xQeit3EUt4qpQ977x0ud8c3rXi7+2LFTButnfrWlEImecvZfAbpO9mQgipa2bT3gE
zGvLLY9WbxnPGTieTT5V7TMcaJ6idoLEClq3JyA8ClvSKXlSUpgJBdyQV0SAHJTHp/avttCvdSSW
0Jr1c02SN8G5M/v4azfxn4Xh4LyNc/o++ibiXGPa7SVEPmxxoWhw9tnLlaFsyl65Nrw3JYC+ib2f
g/+/5t6vLF/oPjf8958hX5e30H1cFp4NSUPAfw1qPQI2AbQCN0tTH/ML1LE/kBQL5GIks7MGhT1u
JCrDA/tynsz20DSK9TprpMyqrrzO1mS9NjZqMbnrjQ+d6IxnJH/6dlYPsomWNzfpsRy3crDXB+bR
9Ev0/8Rcbci8S9pyBxetNs7dW+qPKzlTvpSwaB7g5/70HradV09s5wOLnbw8c1P7S9mb6cnpS3b9
llor26RSvLUvswC2kUwXzPV2Ta9aJ3BL1jqzGrh/YuWVOYYNaTcvLordRO8Df1Xvog5CSs4+pom9
Wd49HvbXZhpsOEABN0PDcexT6PMKiT7HL3nRBuvBdaJtUbplTyKTkal3MW1kFcpg3GN3kTxjftJs
sA7N36nSFULpovqG2vNuAIQCkaSLNg4g1O+FN6K5GOrJR1wpwcbCr/Z5dPpwL4oW50EzorO8ptvj
690onvOQ+wkca5us0+h2+lGryORQaZ9fICNUSHTwg9GwyQz1Yrhm3uyvrVY7O0h1PJoVTm66XpZo
0JH7ki5u8qCZGKwKNpgSltWbl9jHug/yq2ShDyoihTCsrpJpPmjm0oeAdrWLWjgdKFUG29S2svMc
mPrVto18JYt0ted+h7/k34wmKE+OM1BNdtvyi6Lh50D5T20g6KCqczWKVlt+UihKsA4VTfnFl81p
UmmKx++9KX9SKCC6GzVsq10RY5otgJbSGbGK7KtvIJt590nk2QQDZwofFndGMVSENJhFkH69nxNF
SE4kZVg+1Vr01ikQ/Gy7HsK13hTxnj3Zv9oRd4mV0lM9U+J93kzk3/Lp58mvyO8nSqF6MUtmZADM
+UIKFicaHSSYogaP8s+Vf40MkQd+DOQa0tcYIZr3/xEtPxJebuBR90OFbK7QByaT6WwwsLS3bYAw
/Txo2M7p6bwhJWMNy2RTQE+buN7OQT8srygvKkI1nPRl1K+QnHh/g8Ko2spQKD6mSlFBu1bjmu2W
8cEjAstDsoMH2USk6o0snv3s4/QIgTfdyTB2E9F5k0KZeWptTfy1yW0GGHebuLceAAO5woIzuclD
irDruoOds7vHgNw/R2HuAPtlVh7GxZM2kgbhZwD4OdSV9UghYZ9VY/jiYY/7hH6qSJNBsZA5n65I
rzCs+cLPZXPIBH9Vklg7Z/wZu9NcjbgmOTVKociGpY6hYP4zk6ClxFF/buNnmYaqx8xawtmY1p/h
e8uwHE0yz5UpABU6c6Rp3xvBc+5KLIzVujkrgZJ9gT7jkSqbRiTWGj47duGX0vPCk1dE2cGM7Pmp
ctR+Y6IO+94ICFWvWPajriY/4GOZjxOifCTEfGcvm33mY1wQKIp61Af3xZyo7skOeZh9M92kifrq
Ft589epkjYJ9wkYTvWjYqJV3WnaQ2uDte8tyly0jspPBZsmEsJ/ZSeCsljjewcaSdyWb8mCn88/Y
HbIe5vXPmITskvNG4z7pwkOtmhb4RIr+lWfFN3nw1XiDOKD6tLQURLOa0LzKFtZ3ya0dSNGOA6qd
95iRox9T8TNIqYruorjFmlccoK//POsh3QeRdYlMkDuIZNCpQ5rbux5GOPexqRfR3ZcUAnJxKcuM
x3U6pGIlK+TM8jwdH2IoQqVQQ5saY8Ccvim/xGYVHKWGWVOUjMvCXN06Ecg8GUySyd71VqUdPCeK
D2bJokWb1frF7Yv6ZcS33SjR1EnZLr0YEVswn2TdVnZWjo+yiapsZaecBAA5WluNER3lCEQbDbSQ
xerl1yUz13/XR/DstngBRbwoH89DUeVwgvVIXTmIBWyqsK2ddUWK/Ow0Qdc+GEqYnt0c/1eqqUTl
QQblJKMoId85fp4kB5Ak6jFFLz6DBZlGuzrK2m1kYqQ6m9QeE8v/u8ysD8tUQZJao71Ryjh4bAMV
JbLeIcPlKv3NzUKAhi35DHso152gfJiT86G3efFRVdAD5aTcPNgkRycDVlaDM9pzPFKLkAe143dX
qCh2EpF9JrvKbZaigOOSNPhtqIaUrF/U2uP9EmEaeNvQGaCoibF+YAGS1jI8gwAzvxQ9gpgCATqm
42+tX30SDjrp5neWQazqO34+TdLrr3CZZ2TGp/gyYnd4mpUCqTRTGa5WEXVrLavzvzJNfyjUQPuh
glKAmGl9VWGDreAdA5SL0nQ3V3GBHUXfnYNuMHZxB5ByrN1w7Zn68KWxyoPv2PMbjjQfTu9266Jm
7UXu2Xoxizg+odqL9J5oykObXF1P0W+ycR8flIr5oovxkUZ2QvbOhvfS6Gp2AU29nZvEfzKFsp5V
AJjQ0hDzVdGU4nkV9ZsBQ+wnGfJTQGZNnIXUMoTn6H/0VqJ38bcTV2/mnkp+0XxJSdvu6gRQaFZP
n7xs1r/jtXMqyWZ/LgC2rFwgNCuDsuehdnq0B/P6Lcl84zlQquS1DvAHFeEG+/Oz4vfD2q4j48MN
bX9Drs/icQDXmVpTxVIFCPIHxAKyClo9cKfN3YM0trPST0U5OB+1kmsnfkygOIXfXTVgLp+1bvPE
3dK8goH+sK3yEx7sH56ZzJ8KG0ICfiO3zgdWAS37e4Vt1ydvdDJ8YmFZ90XYrNLMaHdz/5jpoX2T
d1eKvWismLV+kM3MCUIMC2ZzNRih9VIUtvXC+HzYUdOuLonOGvbU9Gm2SZomXukpGFz5T6olbAUF
INhevgUlCdFV1eXqo2UN6ns0P8owVUwf/SEmQeHZOTxAh2nnzQ/sqJ8rvYfziTBd/mya1bRy2AYd
Upg3kGZciO9ijOBErDFUsRYB9UiJbchY6rC/Q9J5M9xzF/4EtAf6WB6Xwkxt13wjwFmgqBV9nWMF
MlOgFLfSo1SXmZSxZIY5WCl+HnxNFX696I/rJ1KZ9U1ODHTqjU6eR8emduvbjYw+1ShRlwJIYxyg
54OylVUosxq8Vcu66mBbs3W1wp0leTZmSTLN7y9LPq6kWZjTcJG72dnuzE05zxOsz6zAH5CDPGOz
nKwjIzK291gFRPq3XsspSPyIGfcOOVjOdUSv7JAHCgw/x91771dW7fBo9CRRomL45OodvyA/xgQv
MIFRxXUcvTR+NTwkpbk2a61bKZlZL4D0bDbNFWKLVCcEPt2pXfT6RK+8d8nmvVcO/n+Yi/wm+LJ7
FTXk5t6lINZcueMKUS5ZD8Ckd7K8Ksd1rqscBzyTZQvXpASXueYa58JFqcwz1Jpnd1wvVsiuiqpI
gs1XPVvGY15Q9kk7BUeoJnP+YbtI4svYUeJzCyr/ymj543EsnBraTtGTpRnj5F0imZpsbjFvB7Mo
m15X8O0tW/esoS+7IJ4aPcP4N22ng67V6G635edSz/GGwd9oZbtaeZNFZSTmjRVYHaiCIpWHHr69
8waWurKXn80xaiilSKlPx9C7TY5tzFpqfcqYL0Q+5cEVZ5FtxofGMa7TVPmkbjz0lEv7qfMzjw0b
ZJ97vOr1qt/JoK+OxS7xtWR+H/XiqcsrHylmDAqMgPtj6WsPOluBF7fGExjbNlQXTJOSQqBYcFr8
6CLZIrA6s70jwFKSEXJnkJRNdRK/zwfLqfKD6fbR6o8Escwhy1jhup+obsX7e275PnZsLSCFJC83
YLv7pyF0fia8fZbjTzWfxvJ7c1giWTs77hxyAoj7WyVeVHWpvk1J2V3bWi2vzdC+y3BJQnsDF+IQ
dxNyeWprZC+NG/TPXpHubKkzHIdoVxeTY4taK8877or72o7ajdaxS0Qk1rGc46cMgaC3uohZ43A/
jjJvxCU5M9Dyptlm3ApHGOYXjbIHyrbo+SVFFV1KtViX2gjdVy2z4MnTHeWx9Kc3FzjP8R5CCDF4
8h2n3/BDHTZymOyVHcYws/DWhjcTyA5IEzFYDhlQNZIvI8eC3AjIlHJg02CtOju1oBvSXKY1ol2I
nt+Cv/5IedGcr16HwI6dlO65tBXnPKetc77K03tQNv8r9scQ07J1fpSoe9073F+Xvsf+uB4r9PHA
rv4h6h1/hbKw+VPqeMk4paqZoYjgbWVOaYkt6SY5PowMc+lagpLdI+dQr9+GQih5mXPPWN1fh1T3
tEPAW101/aixihmCPYQD+8YtElZOWXffQKuRWWJdaSNBolYznmk+2qVtkRuXqNEysJOsC+uqDD6g
hh0UbbaA/ZXpa6bHGwl5mrPUv5jcglayWU+Gd4gzctGyOVZtsq16j82MwEflfTaR6Inth6QOnVOA
n/E2QBztLA+uiqB44GQJ4vp0DHaAjIgMLqfLoDQl7S9PnXGqzogZ/Jy+dLudttPHItjw8DWhRP2z
cXLaLtlAFJp3cpskOzq9uTVwrx9kKEwCE+ivvb5PagcWQPJCsxleI6AoD/KpGMQkMVBNy9aKKWpY
93Yn61WyXaYFBTHMbh7ZvGxkgjisu2kv4/d8sRyL+mS2lpf+4/qyJubWMTlwyvV7MrMau4eq3oXQ
vUlwJJZ2nBXvx1hX0/MSaxyk9EIlRR0fDII8TNb8GArL3bgukUJI5dGyxmSdZF67HYSOwhLk5oak
gjjoWbsOSUGfZWuZuAzUMS3tNfeLbAURoBAj64N1m5MeuTRY667qwLW2me1E4Tbq7dG2NqaKIvG/
gQUSTJDzBD8Nao18FDW634bkulIcCkv7Acx52mNL5u9rbtrvqJCcgs4Jv6oItaxDvRoeVX8MHo2p
H9deUkVfqYsfoP/nH0VWxORsvGdb80PWQAhFYePiPRtKRIVl8F5laOoPbeElrzLiJNkjAIHpSXYB
Bu9W/ZCpZ9lpqeyqswQXQ9nbWHa9w+hg3spercEup0IHcS17K25QD1hdh6vlwsYRyETpO9d5HJXt
aGfNAywXTIwC87nsy/GMaAv6RuBoH0ZX+BjLdl9xuVoULnkc7hMlAbaCK666l21XZVdrFUZpIAdM
7s5A6WdVk9o/Tm5nvedok68UvuQAWWjGfXfIA3W8KXwwb3xYrGAJ11E8PTlj8YlkofWeeI136mLQ
aLIzDLN0X1attZXNqOvKTRCpydENkZJL4pjtoprsEtxjthKT0qIN8oieNvgW8CqBoPT54fRet52w
4Ki6sxk1+EXCl/+NBS+a7BLXACnr8z1uh1KmTvRWWZhsZ5DXrLP/mZv1Vnk01PHcgwynehN108/T
3k0mCoVjewBGdpStFqZycVzGsEo9L2lsY+7GXWAHzdV3k3jflj0b+CYgmXlvg44wHn3PWCuici7L
5/KQGWl8wmh9fy+ry3iXWv667AN/M5NweGrBNJsDe691hGvpKTDxOkg63b/Kg6v7xrZoSnMT/YqF
KSn4vqnVgxwiO9oqPMX9TJVeDIvjwj50Wfs3mlXboDPVmzwoATtrjHozQBTunK0nxd+PlO0eZa9f
Wd7R0ZJ+dZ/RpoDL0D9Ay7hKtNswQcIdim4bB3p8jmLtTa7J7pTr39jWMsh96cHJ4ubwxzirs9wt
eI9qpRYe6RvdHatNraT6+q6qDACPnk53Pi1A6wKz02Nleu6TIxwt6ihknz+bw9oSTRmTva4b/oAi
WBzvcRJ38H9iby0H8LClvKGOjyiZaexT8/IxV5r0NNRqyxa8TW52guzyWHbzV3UKN3kx+n972fTm
abn1NPSTsZYbN7kw1IGWbWKzRyVABVp67ziGlGefp8p70ACckKDyrIPZDuYjrmveZnLz/i2l4Lwa
0W37pqGTBnAXzRP0E/dU2ZuvnaLj4d1l46vSRdhO1xALzdhqMCsMZzQUWXbFKBdKpK1V8m6ih7Wk
EtCzQPIf2bY1CJ6RCgEo8+Go+6Wan1zV6NauxtKrQ4s5P2FhxbN2oIKujp9kI+QJ9TA0kbOqMlI5
qFfqLSBz3Gfzsm/ZXOR+t87aGECSCI4VDMuNej+th8I5y4MMwrM4+FWkHGRouZo8XSYupwEJMT2a
LzZCk/Xqt4tZGfak3RjWG11kYRFw69cBT7KtTMXKmDyLMmxD9XFctzJ3u6Rs6/SbHutoRVvdsHXG
ZvrsdgEKuWH+jedDsC5TN30G/Zec/2PE6KTBWk/G9FmQLs++PttrvWrzxxHBhee6ThUeakYAeoqm
PKgjGkNaYtz0KDaXkIzPvb/SNY988684SfdxBUOiO8gRVZE86omwSxPC9GNysdQhWQTqZUQe3HS2
V5VSazub76K3QUDW2FO6KVdzno/eps3Gv5ZNT4xIOKyYkhWWyZksgCjBf7TtfvK3y4KkYwu3SVr/
beJxsDxasKUvs83ylMk8lI3H7nuoYsbdI3iw0lTWl0CNjvx0jRPro9rYyH0697SjKmKaMgfa6p4V
0BnMncs43Tf7sxwiZsirREZWGUse4deV79v+f19peQlDgUWq89JFmeFrz1NfB5mD0l6YPhoDzofI
FzXLUx+O00mteus9xF9lr/advvf6NProneTYTS7qUHp1NXxbf4yS7NOSnOwH/TE24t9aOc/Biare
wfCCHo5vhRZ5bIbNVsXsc1XrNvyApDSqhyl/WnAPo2Ot/WhmWSl90FLuF0sb+ykMqLpf/QsmwrL0
n+MlYgLCU/Hs64+uYc64B8ij3B/L7bIZ5t4eKe9XGeq6et5SHsl5S5BejQCdolkBAVf+IfeYbErI
hYzhG4EW1i+MhtXaxkrG5B9wn+s0HVpr0ilwxuHq1OIgt0/SaNjJPSLI+L+y2QUAzz92C0rvmk0p
GOUFmVHobLNroAeSj1CR9jxABBScPkBj2qzpj6CKr4NoydCkfA9cX7nJBjd5sElzUS70hzRMzE1Y
Z8leEbostdY/uHNM+h7dzN8eEIgsWpcYz2P5HLg/OAIPHTl74C72R0fb3GIkVQeeO7fCTO3r6JrP
odNHn2jhjudPpFJaL/pkFxYP4LxxH4QS7keGVV0UfaqURnuIWp06mZjTRy00hihQD7KXkj5PTq7s
l69LHa11BjO5OM0nLGWVPc7L2qtl9J+BsmXf+Jn8NQAUeZ2huB4wMptx3Oi+5GIFpvlpsRpbdt9y
QdZRhUkczbwBAnNeu4lEv1i1WT6s7SRyP8s56LMZp8GZm2XVpldhuDdaz11WbWTWkP8s9fLI7Tdg
+dfBtUL9ly81CINuYF0wBqQwW4FVyKI8eUS/+70XLT9F/FFPUrSplFysjap9ZBbhVXamSMOuiqKu
H2QzIR2+HrBZPcgLGY4yCPswmGh5gf1uCipE3g51lturYHTwvvp1c4W8pu4Ul2rS/S5qVGH9EPHp
g8gyn+9xp3CpsTbWRYbkXbrpDWfDM764hHP1JYtzYw/uoLiwDEoS9rx4bYy6+SFH+KLDlx7wIxvF
DasqZx326RefzcF+6ZAD5aFP2PYGsfOBVCzqocsV5OQgLL6ETtqQEs6AMwcZZH/dnPJj5QNWB+8q
Nm2+mV8HaJLY1Yp94mim1xrkDst5SuquR1Haq9wzKuf4zjfCI3Y5BTBQbpVxZEYXFOjcceikhex9
zKRjxexEPLvcPj3Xrjo/4RPj7b0syw5Fk9avnjN9Qe4u+xYa86d6anE3BnUvgAO/DZAyNVU5fvLT
NL8NXpZsc8fEUEMc5NkEp5O7nhaFFxiF8ZT1D5CrAtwHvlM/IBOdj5+0XKm2rg9e1NT4/hROmWwU
LdW/eDADylKLv+PMDsLTK7UryYHkaBcqUuy5UpJJUH7oXuc/Rz7IQs8J3gOUTF+AHKcPVovouxrr
qBCza02ww2yQzOT+NVjjiULgo4whO4XT7K+D0w0PUVdhR/orJIe1ntJsvAJRb9lhINMDmWJvm12F
yVSefEujLz1OE9+1SvzKRj9+UTRqFAG2GkeN8sczrhOohrngrCu7v+CyVb7AuD964qaRY/By1FEQ
2MgmafcaZUdfP8tm1X+J4356z9E4uPicwkFjEiQDHE8wy9nLUUjBfdhGrz2Hic0Cwpk//LjsKdoo
HUo5nFFx6JczhB8+BtU1djJuSXX8+xAP16FypRRTf87CITl3Ed6HQVYeKilYjXqbtYIh/q92Tlph
E/VAj7vBhObfe9pKYjpDI5zPliXQ8AIeem9KeKgcLHurLDBY50Rvkt8eY4wQs1xjSwupPBmm/ugX
5N5lpzyE/4yQLRM1tqNtqD9HhGnbHZIxBn4UzF/dpBrOjm01NyXszUc1svadmrY3GQIKUO+q0m43
95iYVHb2pm8+dGE30Jv/h7LzWo4bWdLwEyEC3ty2ZRt6ipR0g5CZgfceT78fsjlsjvbsxu4NAlWV
BbJJNFCV+ZvuGymc9AFiv/2SNTlW9dgOpEqOgCiGOGulNY03E+bcVg9HGJKh5uzjYmx2fDMLlGTa
cKep6N1dLPwC6Bp4jSy9S2YCBDJBYggtZzE8AxsrkH0d4+Y2Ilj6ivzPvMfRd9hKs1geyVVmtQdp
2hV4B1TcprtLsDutQrLhL7AeoqepU46a3wdvNTuQM48va+X5841W9b98I1Hw9ID/2E2eulEKz98L
4bFXIlS1pLnQIaU5zpqxmnUVJ7hTWaVP1wWXnCFojuvJYM07WcCZ4lV4HYlIHVAbp5iT1mG+64pc
O1XZZp6D4Yft++OWp0p7LGIUSLw0+lsWa6aBBLIaBe4jZrXRCTOweJv3LNRrHEdcsg5qrL52Vqbd
KZi8UjPzjDebkvx+cHPqdgKaKRME56bBP0uTSXZfurvIb6AKLDsyJVSMuxj1I2ldN2n+4nZcWCyZ
Ln1LYS3WRlgjVBB95JQPdmDxLhdwx5BsTMwbLuQA21PytW4H4aGrfpToxe1L7JFuFbX2Z1yBOCVf
3q77uk+3XWIot9KnFwauMSV1vxs0Bt7em0v0NUZxkq2ddcMJy8xg5zpBD12twxDJK8l0yqlKCgsY
Nod+GflPfUNHxSE1p6c/Yku5inT62bmsahdoPn7hGE1QFplUsutZnJxtHefCWD9iUQwD0qpwXOsd
6xzrSf5Q5sOqyofpTlqpdCmFvrWtMthIX+tNSxap51XYkbctmqA6jZKovbalMwlmPpOcXoKi2ljz
dGmBwTMn0KD8rEAWvl9DOqtkV2XTeF92jrIqiyb7VEHV9aQ6U5I5yrZc9uEk0gbE2B1vJS97TD9z
vCLP15e3dF+bXdDlmwCtqvV14PK+DxFe+gfc7Jl5tO0qdfwTUB4tQPTr4QI6v6DMBX+e1CU3xDIR
rK+ZUzfrw3ibssF2ipUzWBNSfUm0/bxglVVrn4CDrFM32krzenDQIFGc3j+pKA44qyzJraNaxk9z
mNS3GBKx11XHZYc7Pnha+1ubHPdw9ZFpFXw/UgetXQkDoz89JI3pYIvyPnMe7P5gAvPy9lrhJt8C
uyBhOEfFNglYxjh++JZnrrYHQmDv/cExXxU/PQpyMWMBtgb0gBGPPSZ304ixlgiSqElyYOE7b5Uw
TvZu3LenzpjVdTs549ewYaELKW84DYref8WswVKKFzw59qUeDQ/eCP91odYmCpnVfAA3LHzc2dMe
hiIvnhZfLl7V6czzENHXV8VrfyJI1u5RPaj3Yi5wNu1u+G4vnXrV1HsxFvgmndmI9U7lw6/VBqu9
hRGtwJQD64A0UsPiF4BPOLb1F7tVdxfQA2Lw+0GNjEuzyouT09XxM/ybSw0hY9eD5pZ5lIpBbFf+
o3N3LS+MjdkfWWLE4KZ5C69hHuDnWrj1VuIbwxzxpBcrq4gKEGYW9nEm4XstkMrZdT8ohVRpVkuK
J0TTVDBi1x+pc8ttABepoJqpfMjAgg/zF6CYdJHm1+6tINxcJwnETC7U46yw0QXomrjsiapwaJJX
rLWDJygfl3d3OE+7GLzgvby268ro9k4QeOvLO3152cf/Q4SsBKqxSM8sGs4XuHGOP3fpTQ/dpKdP
U5I9SrdNBWnfYlK3Gwo0Lxb2+kYEPKZFaBuqi9FhjdPHgEqkZ16ETZQGrwvpy3h5566m3ibB+Bos
ZE3Xj6JtXmX6QQW6+bXrb+cOqmethN1NiRbxTpqF1Z+rJI9e9AkzMy+zYDEvszvQwHBe1PquYxX1
tFy1DL/ldZthic4jelcqdXnTBg7rS9h+e/Fr7JxeRdwUeSppmmNRPuotHj2lA3cbmNGTi4nHnbg5
tlZ7GoRMgl6ogaULHia2546HImaTaOm8elN9SrfV0kSfYzrpXVyvZFSr1PipZHMmg3KoY2R12Lnf
S4sbATwtwln6bGjnrk2nU+r4xp1blaTcwgr2VRH/LV2WPoNGsGXAyr7hfhoeJnx98HdQXoIgKqov
8Lirtb8vu3L6Dvi62g+d2e2NxOi++/uAt+h3alnVflaRu5NeElpB/9eMsLVdOl6zK9rIeYTNixis
XwcPcVqUN1ZUACtU+fN37DXOKDuxhB+TYNc0KnzBZaC3m+EsZwAO4BxI+3Ja2fUxdfT4YOtDgNL8
Mvs6B1ULI1scCoYwdh7VzvgtiBon8fOV6waIkrl1fuI5G2wFg2O5O8Mdih+Ap7VtbBnFsQFAeuwt
dLbRDUfOdwGQIwG7aqOq/jm2+ghRKfXvJ3M0Dz7WH3tYM8azxJbdnd/hIemrFm4GSeaetczGojMb
1lh3jGcL3YqzsRzsGW3nXeP67QpoH9Cc1gqbu9TD/U0LWd70Vj/2aFhATFM9POuUOdXPrNltJBcU
kABOc2KBj1GXDBjl1Jys5eDXxjEiP7mPfLJfa9ev41OhzJqL3Rmnlh+2aGHWSX3T9Ci04qN6IkeN
uI2cWl7a8fKa6/ZAKfRT9t7QnO40afrqksZPFp/EUCvJ6Mvpx/DVI5GaPNtIaadwFrNgRoLMM8Mb
4BBfM8OqMDL558AutxlX0p48yrZpT8XG6j+HYO5cX2ZU7ZSt3Zi15adp12vBwcp2GXWEzknRb4sB
BCMCBxDcqDAkNZPiICCbTjLLqZflNxIonf4CH75AdJZoVXXzg7FkqmVUDsPQ5Tc18jErGdBD61AD
9D5OqtrfDcvBDYyYjHrpbVMEPO6uA3Lmh8UxaditymAYKlgaLmGtqtgnS0GDYWlJv8RLs9N4R80B
IlTSlAG3CvlahtD8ahBv93D8X/GXQGmvqcN7OUh/bkGOLvEPAiv37wFVLW6spMTmeBmQYDkz4jK7
s/K7HM828zIo/c6U38D3xJwwNW7+yOPKFiLt1K8pFYkbacnhuufogukrNnjufizJILyYXpStL5kU
/GEf3cZJNsFsRXdKUgbnxPXLLSmx+Stf86Pb+NFvrWPLBFi0eKGIirFh3MSYAkz6Y+eN+kpCEAEl
C6PNP+RqJGLrdTv7xb4IHG2D+pLyRZtjnMebLv5dhdYaajQVmhYYFX63xg8zAwRf2YbyjOYEtgNF
PZEQUY2DMnq8Gksju0/VYl7gi4cgZL0X55p7EkpIOwlUMPrc7NwaGMqyV5NgaHyfm3Otjasqtfoj
0ljaOrDgiWEbtxa2CsBD9jdWF77YfhDtA2AwRx4P0VEPqC5OY0Y5qOtOlo1BrbEc5MzV+uyUzmzy
82S4q7r+vV8G685Id7VK7UKa11GZH2joBjTUonfX0etVPn5gzXazY13+bNtYzDRO2x3wwAi+1TUq
FsnwlvEaP/ldY6+l2+JZwRrCq29hBFsvwE321iIB44040gAEB9W1zHbT6EVp1fCpqdC6MB38U50l
zCoQS3Cn8F7yIZLcuGZG/g99EpLrs3JwShtFY1IplzzJ0D2Gc6xRSYNGYjXc0MV4pKLDmtuOWTOy
Bkh3fyST9cJdJ2mn3V778xSRvaU6KSv4wFJ2FO+q45zEXbVxk9q5KUL3tk9SQObwUeFF1QsvKu/Q
U7TSctxdInXLRsNuRAIDtczpobLbR5I57UmoXXLI8zzZ6nj3bq6cL2rI2dnEtEMmXYheBVPNZar0
XadqmDts4oRnAPuz92kyeo1bfmqrljclkjMn4dSVfog0bZyUt9KsP5pCPEq85H1Ump9GF86wuOlc
50qwmtnFrbCUrsGJVnbbWZ34dIs3sMuSWOnDrbcYAFubT41wj28TxuBuTImOxAPb98TUTtfD3IT6
5ya/BQiBj5isIGWE/fuvWQbUuY82eVM5EAJVahSPoT76RxMG8wYdkOl7HAy3aofQdBPX9V62qn/s
XGXzGy5IJhmVg91k6bZtPVTXPgZ62Spf2xIok9vaQCIGtC1ClYgO1IvPGrZ1/g2biEdpSb+Yrknz
GtEb7eM0gnlYXQckTpl1/6a3xsdPhm0SUk0YtoapcyAb9CJodXvBrfO644vRJC2JOJpkbLGfdaoX
ackBaUZKIzNG2TKrLdrwdrnGNUKugS7I+zUkYrnG9adcr3H9Kcs1IKc4p6k0/1JzLXjxUveLDQji
Fle48CWqINhP/VztZDACK3vCJgRfpGVU+hSQmgW1jSfp8tjlruc0mg/9ElGjfkfGDFiujFZh0TxU
i+nhx3S4IfvGgh64sLTTautbefg3MhHUnbAwf1VjzaRI3ap3hTKVbLu8CZBROd/zZaQS62XaWzzP
3zxShkcTKZDqZxNAMkypdhvOm1uYpLdcf/peGVTx5ynBZR3N03aOURObB6R66HcUn/60KU8qsiDc
0mgGaIaf7wQTlsbwPg1NwzlXMGbkwf7VlnHXHry1YMvMPHgKTSfegGYZrZVfZeNxKoNH0y/44vRR
zyOu9B/4DOqXwUnZKde2sU6bOvppexbP/d5+U7BS3adDV9xksRW+spO9lYAWcP+anTD2Y1juYNwT
HJwWhorLv+m2CzEoQxzL2aauV7+68fw2TK3zuzPsQ2wWzTdH6aaNv4Rqdjafps7/FCpaof8O5ZUZ
HTtyHwU35dkt2nKr+qX2dYAEkWht/Nt1jADWcZe/ID437F1/jg6wjMxHEDooIS0hZeKu0tAZf+Sz
lbL8GcI7FoIhuaKvjZnna+o4gPWsvviuNKF3Qqx7fMpUt7wNK+Xe4s3/JF0Kdgyb0rGj3T8T8i0Q
PPVeRkEuIi1TAD8vejVnBzdayorqq3Ejw6Zh5+w/flymKp4WgqzCpkYGgxZNlYYa9Q6V/eimm/UM
VIEW3zd1zzMhSXv13DYoaC99mD/05mVY9fCBrLwcG+MmUngWcguHRm/ue0RF32OiTFVZ7VXcUteJ
8mOUHmkOBaOdEGG6s6uq0IXJMB3sKUG2fNDYly/ZpaQ1y02V28NW8RfUYa6yXnWBl/tVkN/7JQaC
sVe0Dyg+hXxdvA7HJ5oTbKYHRHL0PaqugK+l+TGQ4HWtwKXByXMJW/oDNUKXNoN5ErsuhESVG+ic
O9ZRrnSJ6xvQjU3uAq7vOy/dVZPrHzV19o8dqlCw4Jc2uum3Q1o3rE4++iKjeg+UaIn7NFxROVS2
MnQ9FL6hWmuvSfLlC5TCyYlY2ZeJo+J8rVvu0Q70PjmHMMl8bvI9D3us50lhkIjgRb+e9BiArmI4
t3IWabaPCtP8fO1PzQHeecgT47bFpXiVpdm4t5PcmDfx0qlp02WKtD4NDIobrizPH/YyIlccOnZC
dkEdm+RZjDDKOivGDv/3cLy99KS5MVzaQDxyp7udlrFUomVMDj0QRsZk3rXXnbuS/aK3bd0UwVPF
osiKVfxTq1QBwkA7o4CRBHAO+WA/UCJYyktbUfvnsh7txV5GfVJRGDoVo/OjCRH+WLPRmMCNNu0+
HjaSyZH8DX6h7t7AlWklSZ9S/NRQBLmf2q49SUi75H6srnX3WR6qn+Rc5SpLbFum77GQ2E98Fu92
bJMGBzA7Ocovo1uDdkcl5xA3vvokXYMF44y3jgm7kF93QCPlycSSKrFLrDiXrsABUOICaV1dZ1GG
/dWYv/N2poCjp/5j3YRfvXZSv5Hc8DfWYKNiNnXF1yz+UvSB9q1vNJ6pDeQkTCe1byQ5EFtMq5d8
LOezFhntWmb7RkGdBK7cXZ5296OLGsOwuqDlyNVyYwaOe2QLray0hdsCjfK9KT6L16aMXoPFlNGJ
8EBM6xkyZjkb+yxtVUrTHYhvuGM/FLPZ8ib0/1LiCXHzOf9aBgGiIUNK9S3prcOISsq6mAFKzOxV
jv1o1bdRAs846C3nxU6LZpXoXvwbyYCVYxbm33GsPTiDUn3LNU9bV9hcQahy1L3joY3vWA18fCfo
jrz5lEOQmu2fZwl4vWNfB8rhf49juVTsBmSmcOvW6kdUkGH3/RwF1Nn66dIIy3K8Zb1vsOIPGstA
vAqlYjBfx0vR63JsWvfcYXn8Cc9kfbCftMQ/l8uM64b2godaBlLeODsv9Zb/ll+GX+At7kI9sP5O
QwxVqXD/sNAmXvdWVz21RWTv1NBqTpBl83NeKdlOI7f1PPuutVJNMkzLdAfs85aKU75TbUgfv3FV
f7LxoyhmzzrYuT9B6KOZInC5SikE3LG6q5HVXvDFS5XsetCG7jloHcD3S3+Zmv4u80x37QSgPCyg
fJdF+bUpy31pVkkY3YrswLX5aZQi9K2s/mW0L9S/37mwjaNQ73Yyz9/mrukdnRQay42cpkt7mEY0
KOTUz2L3PSpAN+eYlGyWYmN+HDAjySFt0zdYoX8EtGHvimF4doYZ8YblYI4Ji3w5VU33vfM6LH2D
YnzTy1bHyOOfaa0dwdI3A8wWa1YlR3RA8C315vY0Jq19XykpFPDRyn5FDpsEtTLvPEf/CQxXu3dN
BQlIF9KZDTnRBsxK5zCwdQsS293VY6nfS58crDm4c2325FZV8r2pR0W/s+1HiWo/QlEihjhszt+v
s2WwtRzKi5X9VHQ1CdJ/YF9Ji4dKnrTnC9xMmktEhq1zWyB+A08LBOhykN3mZePppzmFtD7eSd81
JC+pjK2ubaSh4XvB5NlKYIUINiXiyUMSzAcX6aaFedRVmIZuXmTbIfFrZOWTeHt1qwY74t3383zM
y1w5oSsEISfGse/G1AITmiWP378yHJwGwXCHfllWq2GBb8vhU/vTqQw5hV4cx0X2aQS24w3DpjD9
+OfiI9ErQFMsFzwl1gcVrNSkOWCInO9HTddezL7/LRGOAyMIsfivOYiUbV4WOpnPvLtzNE1ZazpL
fcVSAKY5ab6G41aeIbfXb3ayODzB0DIG7Rhn/CWk+d+jImgEX5FKfY+KFilZiaIuV53BHMu1pNsf
LO2I20iIoD6XvkZV3UMKje2QREP8pACwwupAC3+6OQAcm+o6a9RoPqIg0m77pLV+1F/UIIl+GkaC
PLBuuEdz3tQRu33ot9DinLiDr7cw7+QQKS3E7FTxttc+cmww9JZo6UOiF1yiBMZ96m/9InH2Y+F/
+R+1zfNeBertwz+86prLGUKuwe1FIT2q0IyRmHhBFXVDUJ8MZNMRd0qNAZgQ+elw5yz5aWDm5KdN
yVJLRyhp7KgEx47RpLPBgBaNe8lYJ0vy+jLB0TUotbGuA6Oucv2MiOBe6Tv1Rqv1CUjtki5HIIoc
eQfqDK2kGo3G2rJvYJexvhmnr7yI4sOMuuQ2UBEo9KoEr7A2T+/Qgx3vxsYjR2H0+3BA/l40Q0QS
5Np31SppLf89TkIk+BonfRIsfRObBLJ/C1jsGnO9/vVa8YCNYZm1OsVE9IuEGCYcsjnR4k2bQ9GW
pgxcyGOVrqq30c9rqFn52Wq0gmzXTWx3oX3F9snFiGPlK1a7tYEIn6RPzuSg4pfV7OTUiDS+ftfw
QM+LeiVDmhem3SKp9hfLlGoXLpVzOSRSKZdTROiYPi2abiA+X3hpVHi+Evgppm58Yq7T5UymyNnH
vMsUNgHvP8bJxl/FyKuDXSD3r9zKiGI5xwV/ILe4dF1GnQvqdrnxYVA4xwzi0+W+v4zzxWrIwuNX
4xhtc+p7EgCfT0fbeCwjL9/raAadJMYIs0I/y6kW2tkxGKOZxcbk1B5/lTBrVnWvh+chalHX+Thz
WQcrUOkOf/THMuMad50be9y31bCkEj+uco1TAnKOyLH8S6win5ECWcQr1LTpol2sON5Ob5Sn4kPQ
4pPWBXpRhLMRHNe9vCFDvhGbPxk6HQZRJ3LfF26OEHQSAV52Gn4ZA4DXrXS62FFs39Xboa6X60aB
ZtAGfX4jhUrUCq19aOBNIs2hmNJbEpE/rTnrX4LSj1/YE8qQHJRKe/OG2byVllwr8pUX1dWMbdfH
yptdFesYpPl3WNPxbpws/DvBY2JEoe8hm1qraNl0hvEMpjdmN8pDS72Tvn7ZkiogITY4Ig/bSHaj
87IbzdiNJgj24lK+bHbLTusAzxIt86aPS3u8wbEksA76qJn3cuAD2Kuy77lRlj5Hq8z7uQ2se883
t6ZXoUHwEZsis3FqzfF07ZIzIyUF5vQdls9LLBCZEuMsq9/AwgMiCeJLX6MDN23Q5Blv5dDGgXXO
S61nR6xHK5GDp0rd3xgAk8kIYEvXZ1q2ie1xOkgzNr23scuCh8iJm1elOIaLO13tZh3IO6eKvttu
RK4xQ5t5Sijm9kYPpt3rWKmZrcP7lsNUx38PUWocpSX95eStk9xlF7dMQg3QuSPjsG0sq8VPTIe9
EmoFsmbLdJlAzXjcRTqyizLDbXuKlklosfVP+7A61Dn6YCv8njFLXw6XtgGf3FJgkAOpzNONjFxO
kzksWGFX5s6qwt8JxpJsUpa+iKCdWeY6by20JQABLNlXUXsNdKvaNDHiade+q9uB6MNKSLWEzHbG
PeaOTyHZs2PswkIVSW9wiV/AqaTPQTGH5wwTQ6Qc0ef+6E8dZLb+Qz8qW+E5bJO7cgxQVXMg63au
vhUx2KtAbCOVVWmbnq/hpsZ7TwEBH+yvkTLbZxG+gTzgkgtS2UsLJ9MDN6m3azPne8NMMLai0QPb
gIpFav6UPtHp6UXkp/bB9pqTfrbrSt/E5WQesRH4VQRe+SO0ystJ/M/Jx9ByghdY9UN6dCv/bjnf
S3+4bReEYlrX7cPSEjRj/q/Wx1gGPXPt83c6XIAKRj7+raCOjw/pouxVxKjRTrH5VbAMkWvjsZnf
iNpirCO5CLSmqxcGuZ8C1v8QV/ynW2IkWgJI90v0OAzkT//7BSSyGcEnOEX+d53MrFxNKIiuWaY3
al/iwqFN00nOTCNg9BKD20SqrKW7yRPzphgU6CqE60wmU5Litord3vsFP02UoOvhenXpg2CHGGn2
dfLb+hihBrqRYlob6YAMKyS0Ozwan3W1vJX+cMwUMEJJyC1Czc00nHPjI4TP7r+/q+2ROv7SnwR9
vTHmqj0ilKx8/S2dRshvTJF7jzJ8DHGRhS1raawsLPYhC6jlrdC/SHc+QQlJoD9fPq/8opcPJqeX
P8v1g1z+NBrC/WvH4ANJUI8y01armnyVDdHQrubBrM9G3LjazvCqL8pUq3s3jJpzWrI7sVHOZ52/
QwXFesYdGa1zw3NWoGesAy7d5vNUQ1DPHbtcy2gbQXDoyi0Jfdur1whSIQB+nhAYP2uWb659v7HW
taGiGvwxcG2meTA3K5xV5hsn0I4Bfsb2usyn4PS/nbqI5oNmHuJiBc5/Ps7dVrrspV/O5BJyVukI
n6LRiTTQjCb3O/+liXYg6JSzVBqlAhkZvX1AS/y7aQ5ssWSgN1xkJ4PS2F46iyR+MMsWQ1vQuNUG
hd5VHm/yDJ+mGSkMcxUi3Hwfz+NPPnpwaMY0va+Wg8VX6V5Ta/QUrMVyfmk6rQVWu8DHZJsA5qNQ
4VADnmIDV2DT//XHZMoKNpgc9B4TAPwrGZXLVKO3lt9AukjZHNCzUM+Gp4cno7AXGwvtoR8LzV+5
vrnpFD+8a6WZ5nO6LpMy3ReZrz6YiCA+ICFlgWVk59cv82Rymrv+HXI6710ytyzbH6kzlEcJk4NL
/mMLj0TbXPuop15+C1AyC2fKex2bGq1ez8j38VK1qdFNSMvv0ovhykevYevF90RF11d6uzJaYme9
Vx6xMq9XTYHASzMO+veyr29bJwDLUCDcj5ts9lcfgUIAheq/5p1ebuLYVe4ju/fwuuvqY1irztnR
a3AXOA88y5XMhhVl2qdVE4GYBUkdLiWTBJuanam46Qvbm3SxhrF+t8W8zrvZ+jEorBS8LB7vm0V0
N4r7n+3IRrG2dRRRTRsUnxGVj2nRIX4UoXC1FARxXUHabYmQ5keEtGTSkBjqpsmjhwZTlMujoVT8
V7Ods0e+fsNjlISXR4Pe4o1QR6q1k43yWNqvZlbljxHw0D+iUK6ycD/CfSGLU1Zjy7M8zIInLckb
tFpoSZexPNYpnjx1vV9/6s96FLCaAbOBYTEVnKbAHjaD3Y236AuPt16Ghmse2SQ8UZzc4jI0hhjs
OY9dYBSX/cl1A/JpQxJnFq5Jshm5nGbJYtZCWXvl4Ry/muC+P9QueTsVAt1WZETNpCeDzLt20Rk1
6y5BJCGc9ziojtvc0KybYdHqjscf2jgab5E7G0e71woAUPjJhTbvEDdpSwqImvMYmQB8Fj+5NrFA
CQzKi2GDrzDIEz0m+qLk45IC1LLAf1T5yBfd0xSFIn/+jejCe2Tspe+RKAsBXzXJOgrmBIcKt1V/
N/NGJ91we+E9XCgO2utgN/ktXmowI4QJceE/aK+hH+W4oOCQh+jerWAKVPN7XDjVvctewl+VbsV7
gvXW/gJRULrAAm+15O0uWrVxrOyR+wSF4dnpWdhL4PFxpyJ58RSZqXbI7GHewSjL3kjWnO3SYs8p
Tl2oGpAXLIq3DELxGUKH+sSNUJz7wnkLhBCPGYu1Rh6h2cuobanz0285lQMJ2woEVeKs+yahdJGo
1RtpGpiQtXKOTQAXq2SY8zWuPfPWU5Lirvc6Zz2o/SKsQa03J5HzANsxvNMMM1rL2i9p5/cBnWrH
3cDaeW3WZoQp7KInW1So7+e+9kylplwhQ+38bgeS/kXa/lRg0K37KKMCGYTmodDmYh+x1tvAypw3
Wj4MJ1Mdy408XsyketQDw3mW/pb9DUkfCs4f/WAsb1EWq3+5Zpq/lUWv5IfWoUjlqG1+C1ga4bRF
zo9MXH471uDApGzQTysL4Zg7gCL+SWF5KziuP+Fey2DgwjpfiDBXpFc0eOURRYkMhavtsHCr1IaS
rJF7JUaoeXwzlql90xgNvGCk59CQodbzXPsl8l7DqN05rm3flgalUaWF/IsR497qiu4NO4t+X6OB
tNw7zatjAGkt5vwB3MGw6qe02MBtN4Gq29qbVv1qZhWtOq+xbrJgnKji0TTQVCJh7D4Wi4hU7ffV
ShsjwODL7CZCmMiCCvNO2o0goUBR6W4uWVbVyt/bF9Ivj+/39qd43VC7Gz0bjPXYlhOCkDFYDCDp
m15He87pimCXOLW9mzDcfDVijTIEb+KDjJJjSFBuz61bGXVi88bok/IpGxwboe0bCYJ05TxoVXUv
LcOOJjDVIVW/5fpZX5NjTdHezeFFdJbTYdvgZc/qLwCq/XO/HMwceUsdnaq9NPvanUFmF9+lJVPc
JnpzTDXARY14IEz9PkZmcRMVnnGD+xdV0KUOVxkF9IkkrNZSr5M+qcMNng1kAY34a7+ihNpuSYFe
bBklVkbzBODtEitdeeqDua0mNv/8zdcg579U+ThhzAqeAY/h+NK0IzyhqByMIPJz/84qm1cpQVCh
9O9cpXyVcoUbep6MSbXCWiIdIgV99B/mLVeRSL+AuGpRH9tFaraX5aMsGn0FxXrHDuOzLDNDPwz2
Xj6OGxllVZo+zMbboGMpvAgpy6FE1vrW14b9NeFno8cnXZd8H14QHlbm/d6vPRRskiK9SfXizV+Y
aWloDjd9O8agIOGtWSEQ8ibUajKfNCHIbs0m6l9yM+ofLCwlqugbix//L3f4KwG68TtTcFsKZ6t8
xg7P2EXg2E9sgFB6C6zFuSJtXn27/OXF07xxA7tZIwteAF/FvTXWNXvviOgM+PF/tWU8Xca7VOcr
XEEX+Yf+Otd9sRJCXhV2zRMeKjx9yulWumqlQF4x1p+FwCeHYKm8koZEF3bh+V0O/89JZUixcRQ2
rhree8XMr5PFzjZuOvfgit6B3rnt5p2h2wPi3jmxx+6uaCuAK5PyxYJDLflf27XNA6o606aZWLNg
xhDNr3UIOjAlMbQR+RORp7sI7/XThhotbsu2Ye1h0j/bZuHcRotAl5zBm3Ju24qHf1i20/aPAQkZ
qLPg3+RspJVnuNSlIyIh6WTa2xB5tq0QKMRf2DN3CI40IHzgW2ildtNQLjxqGKZNqytEbMz9gxeU
0VFAX7OMyqlAyUgDAO4f/zV6ucIyIvPkUoMTq1sT21dW+w4vKVUBy+9Ufaafjf7XyMsdEXkyn6ws
WMwbcrokSlutQAqQTUYDaFNbNQH08Kyf9M3lZpL26Bn6pgDAre6v45ebaUj6u4vgRTZ6cE80hDyC
vlVO8aypuy4xgycV71G4uEbzbTDcp1hUo/n7JYWl/u07/TcVaeKvaZjD766j4DHFPm8/Ds5wM1r6
r3nsnltBUjV2g7kIzcv30Ip169Tpw3NUKuu51S86Ahc86Mjfa8X/kmer7LNcJY7ucK69bLgufWmC
ZQurnRqBcQPwZdC8DOOovnUbnp/GG8U6Hc+MvANS4hlvmOCqu8hojJ2M1i42W2ZoARuxOjDaZomm
QudFKMeZ2A0sdtOmNoUnu8U5Vv770tfXcbwybGDy0jRU5z1EmnKQq+yBEg832qwm6r4O7e+zNxbv
qFc+iUb+K1lXSTZuqhQhKzSq22AvJHA5XEeufXI2CEVcTrUOgwTEjqExRdpRH5xDHMLFclzjL11R
z0llB7/zBAgMDE6QZsnPPlX073aVozHQ58m3OoAKP7egxrQGqBGMsfg18JHyG0lsvwyl7q3tLoWq
qbPcSFN2VHPIYzErxzvNs7I7CmCUX+vA/JH27j7NFjQfRPyoq9Ufvce6XM8a+wng0rir+IVPxcQz
3q4pCYvlWat0yUHRxxvRI5MuOWSLe9DVFO0Su5gJSdxgGtmhT5Mb0TSTrkqZXsPB7aHOdP3zBFW2
S7Cd9hZrRwhPydYPfVACSxNGeXyfhv3Rp4yA8BaoaUrJCrnTzO6f0fOrD762FJWXK5VkQdgnGovL
B5BX7QPoeoW8BpWjV6sYDN7OdPNvV9irnH2KS7ivWsQ35lcyJsayw/NCBxCpEj7Kli7pkcuDr8bt
sOwIpU9HuFJ35/BRurhRkRjMePXJ4ISg+hmC7SuSqvlL5OQzaSd4833E+8rVcbOdWLMIHyrHmWUN
RqI6GJ6avUTgX/fjbGQbRR2UnV7ZxbpQAq+A9xVpZyR2d/4cBMdLn5/Wz3k/GPfOqjTMAuGfzMJC
w6YcuKzhbEP7O6+KAXSjMT8M/0XZmS25rWNr+lUq6roZzXk40acvNCuVUko52zcM77TNeZ5APn1/
hFxWbnd1RfQNTSwAlJySSGCtf7CsHzJMtczjLu3oeyMvwue+qrZ/2BBbkQbTJpjg8M51a3lADqc/
iTDBFtf6FZLxrAz0TVcb6ZIPvweiNlvUOOSM7qUM2NVdy1VrHGZIsy2lSlhgRdzF7TxfdIg7UD+H
WV8W9bGbnODMXTA81/PBLCJvaVqAC2SHjMneCGy9OqM75vHyEnagcoMwwPH/cY2kUP8Shaft5UTZ
aejDC5J8xk7rYeIULg5+si5zPWQWshizhIY8JHbjACxx9reQPLvVfmRzsPSftf8IZTjfXXd4WphM
2zwQ7uKKMNfEGJ1zc2VjNNas0YhBAHIe3TvN9pdlp8EGBtx1bj0NTWA/ReF72/jDo4yk+SBAVzTD
TvYF5ZjfKaVLIjwAYXndQ4F9njY3yEcejXz9b20J9fgEDmmb/JWiU7C9DdEFdstY36R7aYiHDqQF
FP0JMVv0aoIiwJIvVO9lX+47YjWWU7OVvZGLan0UjsjtAhx/Viy1Oo2Rdp1aj1q9yJoZCy0Cc4mO
RE7xZvZksclp7DM3+RGii9GsSeUAyI+V4/VviHHmOp3QNq0Lzab+DFAnBfN4LoOyPsWw1m9wHhlX
+Z/AQWOshyrIp7FkQj6N9Wdz3NvYsRQ/gXgDP0ZiyihOcLHFVhmVguUhKV3Nzz6aQFTn2oy7R3CU
DzIc1fGvURL3oE/l51GG/iDDIVUKH9G7VVg1BrI+wrvTfTxIWd4a4CfKZknGu/waNOZ9lmDc1/bD
ytCV+CMs3IkfRxQ+Z0nnrvEiLJb1iLokarbto41q4z7svGa2mmge5UHwcGXV0atbOCN4rcYuxEiU
r8/xjGbvbNu81tvsmI14bE7TThbdZP1M1uA6gKsC/a5beDL9AH/k/k0OusWLyEnXGuZVq1tHj9X2
v4qaVeNDiCsLd+WDqliigIQB4oDHwvVMi8YTDrGPqYVc7i0uO3X2IQefr3lozg4MMiYPsQtntHP0
n+xtu4fcAalY2rC6yDO9CbWfDqRnkiUeHOVbJdAFtZUIsw27Kd5gyLkLJzWze9kbTObG08b40qVo
clqrtPCTtUzRTEP43Qorfy/5H5JTMsG+3FiOZy2v30g3UOwjvI3rBDkkFTgvK8gWY3aMmVRu+85R
nkVK4R6HQEO/KZ7c4zifkXhwP/fG5iv5pmCJSb35jhLJSvrd+KxVV0Et3HuhVfqD65O5l3RzoWAM
WGvJy+DihuE3rbUJgGgv7b519uDozGWgNP7WD3hA8lho7weslOWzVT4zo2h6QYkuP8qWMfsvawJe
oXy+GrM7M+9A9smDi+EV8CzpajIkpN9rK9z2eWdc2vlgu16OQbZq74OJJ+iyycz7Brjv8dr0lD1l
QP8sx1oFDw/fGjZyegG08zKVYXCwNPHXr+HR7GdN2nKpdS3bA3JS41qrkY32x/nqqeKrS/kO5Gy7
6t9GQ8eAYi5RZiTIlk5bButbdVLWJG/N2xDXSUh8yh6gNlQCZL3T1RptNU6VPifZeqN6C9PhwhqB
jHQ93mGiXf6ctPZbWwo0kCrTR5Y/MREBK2esAn6ckV1llF8hlOS5UT5C8a2WZeeAkvKKe20aapwG
SfPaLKqs7TQ6f1a0x6GIVknATVD+pm4HuCvPbBOrOxmSv1Qn4K9p+N9lhAIPIoZBjamfPnnFQgZr
R1kNno8YliFgXeWT7+36tD4asw4icq5Vv7ieXrsNTCl7vg+ogszDYZBTpYtRzA5KJ3wwprBeKEqp
bw0EHB8GdPrMxTSiaBUbCu5xc/A6cD4zqP7eKXp++TRYnjYWQo9T0h5vYx1XsXaN67xISJOEMMVZ
4C4Has7LXEKeEPiKD7JbHq6wJolwus35BIu6Db8G5TXl8KxBvpv/2DcchL/bch8fkfVFwVd8V+dd
fozGJSJN5BpOAvsQ2XEdl/xrnFtN0c5Qxffhtzxwy5flqFE4PyqR8d0E0riVnbHUFpanY6Sn922r
Lm5j/5jvhFheWWWOW9jvC49xuNfQ2btvnF55wMFE3qNu/LQurMSitPxyd+toWF1sS3ALCxnrHG96
qJKj/K4XsEmw8xoffSq01p1RKzS17rHGvbnY2mGu3f/zH//zf/+vD/FfwY/iXKQ88PN/5F12LhCv
b/77n7b1z3+U1/D++3//09I9l+2MY+k6alquaeoq/R/fHlHIYbT2PwBFiyIK8vQObHe2tqIECp3L
j3zOjcoMusycGzB0SVfrTwKnl0ZPxbPO03uPa5i7xmZ9+iYPlCvdNSkKbR/n9fjsWTXyOjOlVdNS
FP7L8aT54MPrQSCNa8bqN9RPH4Xo9J2eTDZ8tgFawx36eeYdgnaH0iGvh3357CqAT/gCa3p/Y+eq
omP1lwf3qENuKGlTRsId95qhC4SPXUAFA1zLox6sxNyMUuSWVJwinMKKl6QiYhwrOCQj+ujAytIt
cIfkGovG6GgrfP/liKKa7JPA+fg2CQRptpMXSlOc5//zp+Hqf/80DFX1kGYnW2O5lqHxefz900gT
g7QLuIu7NAHnM1pBfU7duqZgqDUr3HbLtYzJA/4R2rFs4msIHTlYWx3wa91s4hUVV/Rd0mp4gE/T
Xw8YcuRgRQueuwCrEXdJwwGUcqdtx2hoonXbVN/R7V39kvko3cY9Ka0IlqFKdhlRLOiNtzaFBipY
U9A81POZ7NAr8gMy5uYOQISuxVtPBq+zS6vVUQzYppbhQ0Vmw3jdYuYoZkzFrw2n0vKsTzXj14YT
ucAY1FF9J4fKSaPZsOkMO+NOPgLhVDT72yWvMS6Z1p59li15ya4Q8UY20fOLH1Asuu5Z5XXlJcFK
G9eXkZf0dMVH441Nr84PaPefP2pDNf74rDXPcfjJkSY2LJDj6h+/PEVxDczG8nAXlap2J1KXvH2D
O4SeogGMg4G7asMRPI9fkK6T7bFLbbgxT/oYW6fOLDHMa/DPXSJpVa+vbS9SmnsPYTcn6v41pm74
FESMXq6Rl84pBP29q7VsIJOeeM+jl3zFJm/6MKbsGRMl72VEpGxjKF2/n6rAvnCv5x7mdupH0LZw
A8Lmix9SKZzISB6w0vERfmgw7pyG6QO5uXYYow/bt71lVnf5SfcFTuN836HYWDWUQkh+Jq+WBI29
8KxBOU9JniJKj7SH6aVPSKMGdwZkuAd5UGvSDWGeNIiTTi4cWuhbMiZ7hR51m64zgmXd9+1se8i8
sCAbga/d8RrLxcy87HV9HwyiXyVDEvH0T9G49vWWPBRfffjpqOHIg05OobHZ1srW5AziaFvicBO8
tpDOw1+Zu/f1IsKlzNywiFjfLmIVaGAAQYivF06rqtqTA8twE4w1koM4HXB71ygjxVp5ylJ8iYZE
L7E9qcpTOcda2Og85lz7R9hG8e46WvaYbfzmOx2wEDl3niGnySaM3AdlAMgnQ9eLyFOtcPZa3xoQ
VQwuLGPyKp5uvBZ2tLX6OD70E4AF8fug2wWSBijKgyWmjP5Hh2yGQQuLpgJWLJtyxm2caSvGPkO3
9o/4rdmhdOZ4uJn9u+mDPcIaywBAyglOp0+rMESy9kbzUmtn5SphdgiQo6VQLgliM21s7vDnjlvo
SiqzjpnLFlL9qhSZ+NZFlbVomlI8aGZqHuvK7ZeyY8qmE+L0+YtjTdU+btMEPbky+4ZwpuzHIL5b
aKWxUxEdOZGEbE+OcDgAfl+boPKX1tx0AUSYiNBT0lYBTmysAGT5Ss5Rq/zBwCt7b7quri3kcCti
Rw7Kab6cDFz7/Kq296bdnq+D5DXwIsg3sDndhRzdw9/esTEm+09GN34q+52jY7xXdvp9Q44ZJX/X
vCQGAkJadG3EZO2PRpfuZVc3D7J7fnwU+jLcz2jKmMn+i9IibGTZlB3mrOiMl0ZKaptxMqaT/cDF
fsiv15MXLbWAZdoM2ZlfXY4dYpBqQXupjckCiWxMxzJAeMoGAjKStQwVHTWHDqodfrMTFrZxZTz0
vmo8yLMqM6eFrbvjNkKWzgYKQrenFptmdMz7a8xR4vY+ZQEvO6+xoaFAAekW2JB8AdnVWEKHRIz7
g2x+epWU5IhI6jsxv7CMZ9MAb7Sffdk8ADtzvCxG8oF9+P0aA955/M+PCN31/nhE6Krrevi1OZbH
qWnNy4VPizPu97pDEsvYYvwxI75SW0s3ojG78t3fx6Ia7pDh8s+mghhpO1TZh6mq2wpro/fa5FFS
FdPnEaR6xHuZYWKW15rH/YACetULNNjdBi7wzMqbwrZbyl4pOi17pw6msJWrxqfBnoOiLz+tszsp
7aaJhognkQsFPBnL+R7roh9TCf0SzwdhAIiK8ereyVgY1a/RUOsH4dp/JdA575A01i/Xg6pscWCP
T7Ilh8szeR0taelgBII79plVbnnQZq13wwu7ejHFaEVXijY/E1F9b0aV4PV0bgcpDJp/24NKozfp
nwfM4+WVp/nycpJsyjMZk82Otefa9wMsa36/AkoZPGc/vdj/61qWPlwoIajb2/Wu726e8PnN3/4f
RZg3u9bQDre3dZ1yGyLfV5rFez0D4hd7tn9km2QshOZkX1y86JawbYYDiETndfRAkrOwR11mFBtt
pqZIlaVP2ktX1SXucCgEz1u82wFZP2M5Wm7Fnh8ii+y4XUJ4qFNs/uix+gb/zS5wlh38/rPdGx+o
Wvj7US9xfYMEU2OUpatLR5ld4CYzJR+VtQtk//qidd/JiZS7MVbFBsUqhLv6H0mnONewOyT5yq5s
f5tpg9EvpizByTcUincfDVWx6Wfyh2zGc0yeXUfaZenftxr1ws6uzYN8sjROhbh8qG2vzxnJN7Y6
HRh5pOs//FEVv3rmB40cE1lGs6w7C8k+1l1bo3XwWzXi9M12nW03FuY323PcJbaHwREr3eBcxWSF
S1xIv/mwTAfUb55aS2CJgFXeWsb5lQbdUH+zMMFah1Vu7VPDTJ4TJcMvcQrWU015iG3wTExPsMpT
g64Bo4FU2jXo8ss69GjeyBjO6uapNXy2TmOkegtuhQ3sTIKyu4o9MCYesPyFef1HRF2yLWvFP7hG
E98lVUFuoldrKn15vQFimly44ZcrcB/NS9FlBvYQevLVzqpXMEuYfYh0hc2fOIgQf9ROUbSTnevU
y0XBUs5T9dM1lrElXURDv4+5+x/arvrVUc9nZo6JPORGvn1ynAzKeVSSPoII15GqC4NTHN9Lh9oA
JXHVt8KTHsN1AzOrbGQTGCMUpbqIthP365N0rg15Uu/9OOiVp2tiXvPMFkhPc5ZgSZEo9SqJ8+Zg
MOV5jkvkkozHTXH+z7d6zfXmrd2njThpMM1WHUB9msVmwLL/2PqpQ5GySe/1jegoFPvA/fZa2wRU
hEAU2RStvyFktWr6OP1hW/GPxGy7l9gMYWVXGYJ8RaodXdDyK8Udh/cpzU88Eb9PE8sR9ATb1Ug5
5w1fjmiNumq2k03TYR8VUtwg70mvEZqrHOe/p1IbtEcTRL0Mh41Z3ZuDbSJjx6daimzaN+PXQOvs
F80V/bmLDMS61fIN41V/bwzIRMRzxjdUStyWUjXZyd6yj9505alDMO5JuiBqykMrhvBRRtqqRLVY
8M1GQC4vKKNcO1VRZbswAOPt6WkCmPRfB1GKt4of9tZNUDUISje+dhpot/Hb+d2W3XIariMI1xqB
s66swlqYmjedcq8xl40bFi/DmGXLbLLcV3IKOtrJ6YQJCbiQEsudr0o7fKgACf8qMvWpw0z1OzeO
Q6j60U/QaxtdFTF6CA5gONZl8SIGkCfU7LVV03qBX8fw5iJBByW1g5NfKI8IWu1lGEuFEPCy8qpa
zX3f90OxtewJlQM/0/ZzLJ96EqE6AlALKykSdjtbpdT8D/TLyb+mU3yBWObtYhScd6pLqsitDBVd
iw5pcA058Oz/GuqKLF7YmgnOfR4PO+GP8U4IXV5eWodMtNPD9tel/zYUNSPrOejcj2iq1fsw68a1
CsDtRcmNn4VX2T+s4RXHi/x70ZGxi1M1fYIy1S/KKXoRoUH2y9G9PUvB5LmwUGWMJgO4mZmmzz1e
NCcQ4w+qiQkXdqHhrlGC8lwCp1vqIO+2jeggRSjD/Zy6OsiWo4WjtSjL/t7OWmNLbfNLmirqK+DU
bxbO3D9srL7cOjQ/8rpgo1130ZMZV+6mUzPnLixwA7NsoEn5PAnbq2/OPAlo4aIUw69JQ9Dbq7RF
T1iCFBJkMZGBz4/XFqy6vRdOeK3OwIe/j9ATjK0ipTqPhqKxOO2PV/Dd7+YVmxe2JUwVcL4qwt7g
z0td6U9FpJUXk2KUtu2UPoMPVDn8NlT7wUc69tA72b0MpUZfU4JIm3ENRsRbRp1ik+XgIAfnDt/Q
NEsRyRzSxlkMSh3c6R0MagjfF7nBHdziTrUCiidzSFEgiIfcfG6bXzNAx61xKQnfJmmjZ67roDNW
Mqa26SoRBhLuTXdUTd960OeDPKv01ua31xhL8lTaTmgwJOSdIGoDNtHCwQG6rMMnVw+rixGhjjnf
K+QhtVNt5XlkWOWEwK3Ki494zW2EvEZWFNa6z2Czedqzi3bdXSVsLG9ks22zh140Dw1f0W7pheuu
spJn2WfayUuHtsxJtpwa6XycwPatr1XnLi79tRpU2iofWpRx0RniQUGmfX9tt/kXa0rc82gqMbge
czrEvfXl2nebK3tTjAIeb/NlDIDW+IC+z0KFxDOOrImHgrccwzN+bJOo2raYuN1NkzG78FCbzrEq
fZsq61V+QVFSX6q/J2WGWj36Keh7NMEeKj3LTnapoM7tm4/ykLlxsZqUnOW51dUnrUuT19BlS4YF
wVMjqvAV7HU3Jq9ZqKhPg9Yu2SAmr3kwtpcJ8zs5QQUn8GDznIDAh8AwIlp43ZdICk6IHMlmSa75
UJfJd9kS84jBKjJUSKrgEFvUzfBS3rQuKFOBavyFrGO8xFDR+bDivbx3iRzVdaO2+sd80pWtHGp3
dngdWhSl++FNu66FQW/6zlMzSxXC2g+hxrvdVrK0cqBHgPC17io6L3tvzQztpM+D57noSx1T9uqH
umfDnlE3+WIYfrLkFoznW1TWT+yZzzKuaGJY124OHRus7heMW9FLjddqUSDJidrUshrD+psolB3G
3PrPCltA3CCsb01SKYtcVM6j8OpxY4lYPzgzUKwT+P9FQbqLfCvdye2W6fr9impNtpObMQhGw0rU
46/elFr0KqckAKtcT1Zjjm8j7FrjReRZslNE/7npzc1adfWXwmp/9d6acm6Jr8xTUfJwHEKXVU9G
xcQOYQhiTPEl6qttUA3jd/DpP0Y/dZ59L7Q3UVFQOKhrsC0dFc4MsYS/4uGHHKmnyEpOBfWCHGWi
rdew+q/NsrojaYeleBe1y3JuylgAHvd69p9jJWXxKWDLyirDxn8dBK6KXmywneZT17Kr5ZALrOUb
EVJATaOjPJOHDNjO2hlbfaUOswyEjqKFmhfvQ4VJIl6h/botteLdAWuyiCtKwFlWR6+GgcbwPCxA
F+0ubXp32Y/JF3YurfI0VKW2sdCWZ/tiia9tRLVBARN00ku1QPGHDin0rYKDRKtO+dUBBaBaSLFv
2XGbITs8i5zOZGaXkAT8IwTSPYsz9yRbPlyjnR/08VI25UFp2leWjq8jt/lFHWY/pSQyN0jzJLmF
8jC4IaDyLtrf4k2UnAsHBIWqmMpaUR39GaWqYpGqNmnH1agV/g/L8rNF1Jvus6r0Ym1EGzMr7LPX
eyZSSKHyjh/Po9YNzk9PfK+wVvtu2266qPlbvSjCweHMJQdcGJbY69jYQTfs7qwsz45RELqsSbPp
HW7c/RVtP5Sgy4rkDYeqaqlF9p0RlohIFGX+MfXFrh1B5fAEO5bmAMrFTIbzWKb+117T1IWPne5L
gQPyamQ9cs4EDAe91d8a9HzO8lD3FZ4QaVUvbzF5NmGoMGXAmW9xYXXaOgeuuqp+z5e9ZnTAYWZ4
wOQ69hawJ7yZR75gta8vNaVEkcjz0r8ydTAOaIFOj34ELVwxybgZ9vQoQ6pA+dvSg34jm7KjivRF
h5ffWZuH1XFj7yyTpEljhD1ywdyHsg7IYRmrZ5X92cHzgVvGQNb+Cp9DK+//ikRkrRTDdQ6hqMrz
YKImO0Dh+ksd7KPwbfWuTptqY8Y+HjVSW/R6Cr8t3tUjUll/mLJIe5abYum1W8qYXmVIjTRIdoGS
HzpkINc5ULyjElbOckzRYpiSci4V/W6DPgU25ID5r4B4LDKPGkVX2PEb2srYk6beY+6N6lODvQPP
vvgNtczg6PRYGMmmk2jUa5u0WedjnrzhK04RHjov7lgM1g3jK4aZ/YPsdCxq5EJhdROHlxyG10LF
CPUlb1QBD1gpzgmLs+0odPxbcy29Q4xD3aV9ifNFbFtrTR3bx2wKVdwZM/HWqyBV1bEpPxQz38XC
ISGdppSIymGWWswe9FErv9lZKhYijMyXqFGK1VD0znmyPJgDw6DeTxMqvEPghns+ue4YFyziocLb
lzi0naUwvH3VVQ3y6GFzH2QqxZL57HZwfKfaoNlYLRqvx10Og7eW6k6cr3r2W+q2Z717bZedWgBh
nAfJYJUW+aqeg+wY2vumTp8DteRv46vOoxp69mOPuFmUDWxkKPc/To7RHxIr+Slb8tA2tQVLC+Cj
HB/nUXvyjfQ6XlEK53HAWBWanYi2kLbRonBLcdfE1bhSK7W4y1Wzf7eaXTJzwhpLL/aeaPN1L5lj
RfQNCcr84sRZsWyFNW58/JgW7B2KL5pgvdfZMAMFrMv3COeqOTwhhI9fLDpl16ba/gx6vz/3k2Jw
V6q/k+Mqv9hdRnWzift90DbFl95aA8pW33OjRr4aFtJKhmu/zRZm72jU7dXxUiTDe9KpuIcLd7h3
EcheT2Gv7TK24u++jxcORfgXfl4YdibkgO1qst4Hx81WuoMELwIL9vuIaIMbFO9VrxYHFyIbAmWE
Gx/mUmfCWIkS6EUiV9K1j8nGq+Bh/1qiL3axpwoXckKk1uN7nb3VQjbdyY93eVgE1wlRE6H8zqN/
J3vlOJvq0JacVQtGe3qPwlAcYqHz/ZoPSZUv8qArzpS9nIvdYRoZoq9+G1DWoJKcEvbgLeaTw9yM
bp+t0oQq1lKDe4SQJyhEeRU5EHb7zwLlxzvZkvHQrFe5jl9ba5rpygjtIV/5QTHAe7ORuofLrK3H
NB0Wpq2LHOspv7/XcrIOG1SUd5o1CdypiE2aPyrXUznHjyFKyR55NXk2ADqNM3YwkSu6c5BBTx6V
cPhqWBlJ6CoPT8Gg+edcM3EOnjuciC+ZoymQOpqwv5BV+mkgyfXVzcpuqftKcqzdUrnUkf7X9UKz
hK6aPeHSmYbudOpziA1OjNdBNglqQyDu9IU8jcv2dQYI7z/FAiWz7nQ3QC2GuejVCHuFB3S4shzd
XMlpgdG7G6+G2yglUDWM3bQmCx+kfurvkGo5wYPVlM1FxlWyp3KUDE1Wo1Feh+iE+E3BcrzRFnoz
wYdw0/KpVq30YOgINruOFgNssopXTbFQf5SDHZLJsPjbpRN2SYnUrI5UZdafZW9WOgEaiVWyDo22
eMrCOH00zcfrUPDyf0Xj8IY2YXl95cyou5MZYUMxv7C8Ql2Uv97M9YJalF3fjGzKQxHXn95QnQbN
DkIGRt7zS8or/f1NdU53H7TBcQq95IwUfXqOVZPFA+kssN/QmH7Hu0ajEJ355ebW4VJMP0UFxb95
mIynqRrDl3dnPAm3xErXsWqAg8wmhibonOxI1vuxgK0EcKJm2Uk+KNrJXphm/gPWs9DV20ORD/Ud
dVwsq/AiXVtoi5n7rKrFOoxDMsBgWVd+EUYbqYUmD4Lq2arCDuNTLPU0/APwC90UoQ2kEBON2hT1
pjXq5tVu9afKCaLvZqSB841ysiu4eWQsd+48N47OgKVZV88jBv5DZaF+aA0ZaUtvuwdPJ8lBOTfa
RLauvBaxca7jAWF6y32zyEq+9Fj/bOysrjd6ZJwrpJIhwZb4Z+PH855H1hkVWv9HbdQbJW/Ft8GG
P6ezpLhoaeVvxzQb93JS7GO6nerT9J4ySboV9225gb01fpqUGZG/HeZJOZpaD0OkQh2fJ/1+JWdE
NWDVjmb6BQkoba0rCVp8Or/1CvoMbhZJ9jEEyHv+xxEjI5Ak+/fXgB+efiDhe70G/PPVZAfp0a++
iFTJzvKgw/I+VxCFVwU05XWmJa7LM6MLHxgWTx3rfTkuCzNv6SAwlcRUbjvhrsyiTV+VNIsWuaJp
P+L0LstN46eluW+tVfhv1qSi92KCVNYA6e00per3crbze7Y3z1bVVP8923Oh042kPbj94bvc2c5C
8mbzMgK7PRnpWQus6SQ7ZBq7FCrfWVxNJJRO6WJrHTqUYFtJgdMfmwhFzUTfhFaT7FStTb647ovc
stSCBUyRzzSR0Um+2J/Dfxst9zFydDxo9mJoqi9d0Frmnvtpft/OB7OYhUo9hzVpU8w0b48NU8Dt
g/Vdkj5qcWNsqX5Y22reoU5a8eGo3MF7s9dfEJX81NJpJfABwZCx051HylZYd+IjV548tiLgRrTy
xUN1aGIP8RYEiY6Z21hcm92QJmuKBWIne9GRol4+gDxCs/lJ7/Jtr3v2W2Ro4x1ibNS805i8pbC1
5TC/X0ngl9x9eVDbqN21moGMnzaLv5eGTYVubt+Y/nqZN2j0sHq1gi4mfZhaJLi8GKJ7gdK+ZT7J
kD2OxaIusvIA2MB6UrMew4G/T4D9uBqkU70V1kjmNcmqKpB9N0N1ug/8sIfJjVyp/F632dNgpNY3
wLPTqsUeFy2hpj/xBeCJEWZfcPia4dsQ8khbQBs0PLGRKUsdnYULLkyLeCx5Yt56XVWP1jbkr61G
+YedVCe2XWuU71U3PANrqy8iU5WL6/hnYZblO5hjimCKYq3lKJ3t0aKHdXdqzASeIFoSh2E0VrLT
zi1lrzouaKf5ikmqUACg0HOQvc7F42J3lTYPJ0t4V1IjvR4qFk/54tbWCvtXTw1zfAHPM1uz+Xfu
bvPyJnTJCImTniM4irKyvUchvH7s2QFdvOzRR/fnUUZS2ES73CnipWzKjikMEAbII30nY/KQFxvI
+BjTJPDPM7cbl0NWFcFyQuV0jyFKuQBVHl3kYXARaxny6iF2gzIgS9QMD7rO4ks2UaMuNkD/iqVq
NtbKiCy0SvTIFIu49NqjPFRF3h2nuQgJVuu7DPnl1B4/jXP8ODoUFUDreawckpLL2ceQo+NCc+/Y
KU6oRCe+eycP7u+zP3vk8NAe0yUqowhnzQNlTJ5dR49RZ2wD1H2NoIgOUOKigzz7d83/r5gX90hT
OFa8ul0PhjhUU4gFSjYOR3kgJTEcixliXoKp5D7rrm+d3u9hMjaq2IymgFnkeDkTdg3y0/JUHar4
PkMYUI6VUwcr+I2vp6ZurIVRawCFTfU+MCZ/BVQF4+wI2pfdRGq3cKIeET9F1ziXA8gPBtcBZkVp
+pegVe63RzY22WOkKsnFbB4DVMQTpPzUbO+rtrrQTVTNY577JSaA22hsjLXbOeE7YtXUqmsPZWwS
qW+Y2Db8MN/rQIvvC31OVoZl9N4XYANVABp72fQ7cZ8qaEx0QEIvQ6I9WVmbvTYmyD8BRDSnLmPX
AK1k08IC1174nfKOGqe2lzFncIcHuGIMNsq9QpnjIFsyDuEsOxn4gErbyyiqwsMkEMuWza523VWp
utaOhapBCVJ99oAknws8DgpHXWlj6p66vkBKE+MjH4GJ5rHGsYT0ENSaVYT4qz4r5H4iRWW2oR4u
Sd2/db1iwSIdgsdJ9aECtMDi3eAxj9LgEXvPEAnw7LvsH+ZBVZekm96FVS1HyI4wPnnapYydFzKW
5dnVh+C1EE+Ss6JjtXtq1CIlu0tBc1TbYjdii7OWTW9ORICDsK4El/kSjq3CLYD4s8Z7sViZnam9
K4m4rp7QewBWOfbfRGNUSyuaiosvAoUyeyv2kW5ED8nvSXhZXycVYDPkJIO0Ts7Ka34AyCdGhrqh
7oXZRbaMFAxOC0mNeijPFMuFXquaKcjCeYKM5XX0acIItrjF/TA5dmb20gbxRzbLD9aJ3y9tkJHH
wOysC6ms72Wlj1+RvsZGVEF9o29M9dKFxg85Xm+1ehkYlLcmnDYvlYv5uewIVUw8S9GIoxaV5Wyi
FsKP8c1jmLveRpP2YvMhFwEixR11xtlZ7BaXzcYqhh6RjLxd4UWG4fbfx0QgdNGGGmB125mLki/X
y3Co3P+iiglX+2uc2ldVmNl7N9hz3oiVcqWhaO72g7rPIiU7BU7IJk+L/ZesgzrpTm7zo1VZIJvm
z7/PdmozvM4ObfPz7L4N6gW7jnElkzDYDBWnCPeKE6w6falgFrnqux5iuUzHVG1orwHyfLToEC7H
yncekM+Bpp1B92bBREndCHlO60357AnrNGKuB6qLdOxU36ehp32p54lTO1EIdJxfE8Nu7M9ezLZV
uF5xKPCRXtaSzR6OIe8EqZ2BFPT+uvaTbIo51s2x6/qQv/C1KTvxG/b2gRkPaztfA0d2zrZdA6uI
8f68tTp3BazcPSciay5oujUXIqPRvf0fvs5rOW5kScNPhAh4c4tG+2Y3vUjdICSNBFvw/un3Q5Fz
eGY2di+EQBmAZAuNqsz8TTsm1Q0obnojthC+ETXzG6k5FE3skUBvbfYhpoNk3p/ktLCkaliaJkLE
uIlsIgQxJUTNEny2sTGPF1kGMf7ZlKP4I42XKSuirW70rADCfJ3VKnuh3svOErT4ISvS+LkqjF/S
QlxMy6tR658TdMWGvJcYW8WK2oeaWtb93D3ZDYrsXz1D/PQh5yHHacmhVuvDvTHOiu8mDtNtEkPJ
EBeHfP0kLHX47KuSqjjIZvifebJPT1SyV/UVIW73Menz01hR/JYtTHKUQzMlLIEdcusba3Tfl1CI
ixzVnbZCJksnnWsPM5wZds6DOmtH2ZQbadmMHUa/mnK0sHcfmBfD0O+tWAfHz485Ow3I5hXLL7vk
Wew1yllE3YFMbbfKs9S8qtP4ULHIHBI7nJ49rfzexzGSirn7XnTe8iwnqGOcoCADC4Qw72NCroXv
tTt+TpB3iEc981cXwsv/njUpdXwg6vy8jcPPMVBn/fWf23xNkL9IK5rvuiGqJyIre9e0itWQq13C
M94MRGa6BV7DZvt1lp3ZpO+qwqqP/+qXg7Lv4zLZDl19vxQopO57oWkPmgBcDtFa8Y2pdd4rD2qX
0HGW9QaMwNhavo2k5P9/gJCueu6/qDqm43maA0PHsCCJqLbu/hMNCm6rsG2tso6sdcshxpxh2Xia
KE4t0cf8cZrz30DNZO0lcTocK1g1mt5HOxNzh6021d5zG4drbWQBIaDaJsk9+uKuKC/tVBU+FSnv
WeCOSMbQOvUOlhgb4YPtcp/lzGRJzo6Gsam+Tmw7t0BpA9qmHERcz6Iy5ZoH2aR2omxJSilbOTmZ
sHZxI/fdQdN3A63BfrbsmdClI8sum4ZF2QvO064eGkqM6wyNX7Yr4xwbbFpJkb3iEVVeZQt79HiT
6GZ66vsZTiKp8pMZedNxIrEVxMjpHvoRlJKXlnXAR4SWRocmkWhYt8sl9T5G9cizYf311VFOXipj
o7mYrpXolR37buleBkTXAzupBAVnmp6KNTa/Vw6JV3Qv4DOiXTz2CFOvo3reh7tSjDVxD03FUML9
FGVTkGpqAiMPzUyyfumdsx7YK6d3i616p9nrA9lCJu2zX0776iM4BOaXEU64Tvm7L9XyTh7spKw+
zr76NE2/nxLHOXx1kXDCw2w9yD6kIuH08A4igfGPATmqzGGCskXSnEhjWMePvhDxUS8C3rpY2VMC
x/uuyKMQ0DdM4p2RAo2Xnf818tUeIcp7jh3BZuO6r8PHHQyxij+b/b026Z+jS+kiZxThOqIvQn2c
0VGqzfJRNjJedvs5NueNbKrrhNyuf2mYf5xll6y7lVb2YK02KLKrQKkigCRJ0X3t67o4vi+HKqh4
wMh23mzoEpcoHsdH0lGA4gV8EtmUh8zUQRc1TnJEPXR8tG0COiFwVF4vkAdktZBdYi1H/4k+yD/j
Y5JUv61pwUF87dKxhb7WuCbKlrzPhPDD1nHSciv7EJchRVxZ3k6Uy52DwNGdSKr+MW6s5oJ4xIts
Va4KzAt7bPixCHPJPnlALOo4IANwla0Ocu7Zy5qfcr7sws4E3H7jvBrZSNFIddvvg/mXMvbG26RE
C55/AG4F7Gqedh2ec+2qL7kzGcGk6XHQu+K71ZTKCS/ZYu+U2bQpRF8hQBf3G23R7pORnYJiLGTL
ukZ9H7TkTnOF95TgeYW7z/IDDHi7b2DA8UPGZYuSyXCYpjZGuKHA/nHqTuQQcL6Z0oNaRPZdZIXp
fmJTjcfS4Fwbz3gpG7QY3I4Qw+OX8LQ2P7Z4V229Ecbg2Ih9bZvtRSnucC0Ra7jlDZgeaPxGo33Q
8nSXGVV2SGsrBUaeo8YRzX41L9BQith+UENcrw1VmU5FnFCRdLXX2pm6H0g0836pTPVaKbUFqCZi
H+RW0d50Gm3bTbl5A5W7qWY9epQHRBLU4wLIgZv/3QfSMts2ldUAwfy7b/Rwlo+VPDzi5B5/XBu1
BimGPL+X01SgbBeq27evi9RaGXn3hD06yH9flEG+3Giak+5l34zq2CWMvfNggtHwjXauT5REMb+R
7XJFXsi2PNgKUNloxnUbRbnc/zjqmMWdNCQgTpkyaOpWtvXBrE7yDMo5U5d1vJVXyd7PS9Vq8kNB
/UeuRHKRitIQbfn1IPu+ml99/5qXyrVMDn+cfo1/3YIvq/O54H2cCjEgTAehBvfU09R2n4ckwoIj
Ww+pY8W5L9tyWHbKs6++r4EsaRAv+hr+9y2+rv6cid75vobZtwnrxB8jy31QkA99SvLhiErEX8AH
l5s64A9jDpEetIB8gKeL8GnJReUrZHF+W+bvKpoAPYzYzPIWjx94D5qHymsrmGCx+TCMAjfMpMv+
KtxDamjp71pMA1pXoXhSuqrdl1puHg0l1yFootXnAvT9kc5OsKjYp1keEPUIQYPAQhvybCxV/oK7
0NHCXeI9zodk50YNqL8RCzUuoF4cpdGL1vPN7Nv0Z0cd8EUfxNYxhUG5M+/esyXbTr2pvIztUh8S
xfK7yRnPNj4sZ0T483NjbnXRzUcvL9aSKxkPEpVFYNiNd7D04pgsqXHsI4QewJDV58o23lbQg3yx
p2ve0SUQDMIXVs95L+wO5TRFS97ThoIdH+hjmlSHGOWxK2lTTFDMHEemZd4X1ZjuXbEEs9K121qs
hfGqQ9wIcNneiCKVAhiIaZ6b7DgrCPI40GIRNXBzvNDTR6XR+oM5s8MJUxL9YLDtn4jtH9KSYnw8
xeOlz4Bisq5shIIlmDY7v5cofTA9xaSGkG7MMXvJEaz4QYi1TSO39UlL59eyisZriKzkBu085Ufp
Kucw6YtXG23hQ4GO335xCOEHgGxeQ13dTfpfFZgEf3Kb4QGqpnvM53TapaGmvII4uIL/ry+QsotA
hIW5wbGkOQOAz9/UectbUNssggcG3TgvsGIIvrVe7tt6Ks65SzHbqcsbsSJWzF2Ub1rdMAONUtJt
0EwvmNAg9ewqGFvb2PeJ6V1tXX0D94cGRYekYo1ZyTGlXLaJI/0vx56yEwJjUNDMJ5fXmJOVxWlI
wVMrlbpi6qLqWBqGixZoUpNiqtSDrYiTOdbaprUr30vyLvD0og5KJJOvjp3kJ5sNHbQPX+lq31Nt
cGOTG37ra0Q/O+E5T+kxYV+JTBh5/sZjc2IJ0r0J0E/VNfZzOr8YfV08FUdrTB6GzsZgG1kbvAXA
58TknXZ21rCVXxR32wh2YbN+w6BYOYVGS3VHTED7VuKfQDwp9VLSn2pz6dPpQbdTmNQPCq5Y/izm
hNd91l8gsERhegx/9+ms7VrcRE/yUHtNHszY582lm/qI43SnukLjvRYe8l1FdrAUc9eYuW5v7azu
N9Vgv6tMcHSsgMb4iZ1Qt6v1qTzJg+4l1ceZbCqVXZ689SCbEQ63vMb/M/tfwzkZOmr+o28QU56a
1SeQ0G4uPtptUf6MrZ9ObfEcxM4Gfzr9VIpcPy1mbBGis7/NoRl2VegDWP6OmxRW77xFAAVjIQyZ
yFs28hTU84utx9UuribjNKa2cXJmaJqQRibwb8cwSzy/jAcyJCMGYKlQ9olFid33XO5QNtUmTXtW
/QYMce0iRI0Dx+wgm+MhC73hHQ/QiNe7kVKmnsSDPao836qv6nN2bBq70DZTLl4d4WBptv4GsNJs
T62Oc/dSV8V08qJxOinrwVODvI7RXSyH4hSuB7nWyDNUcGJIPKQwfTtStGAcUT9T07E/kQTCBG49
G6zhV9WUzzhw2H6tZnwC9brEkpWz9jMrAsZxDY/5GO6WJLsiXa6cmtX8UR7CBFkRJTdJ+2eo+7Xz
0Ur4w+T/n2bWrxZo3m1HmuU0zktxYgPUK/lwavXCPJoWAA9bE8RoDtW8weiLran2qKEgK3oqPfHd
KFtrW6jpTDGj7HBRqYvXSPOaE99SeHZ8sOaknO0UI89+hi7kOXv5h8Uok22KSoD/SPTllNTdcrI6
FKNIn6Md5lYn8hX1ib28u3fShA1JoZ6y1UdONFX/8TF93oiPSZ7lRT18nGXoPR87g7gvRMYDOL4u
NlHpgiFVm2XX2taDUQo08yIPEX0lbk/y4Kp1e+ozqFlYdoCthKThV2XpQ0xvTyIJv+P29NDU4AGr
qO42qa4FoNDObtP7auieNWs6RYl4TGtQaAY4kOMQNae6IC2vOdZ7YyvhXToNy6ZLi4cyFROuJtpP
VOMRO2/Hs6Bcixp8hCymXbiwPRCXtYEkZGr3WGdtFNg2O6Kmyttdgqz0Bp4uldfaREwL3CTgxddZ
D8UOiZc0QByg2UYWnhRKMkZEfrCElYovnJnvitD9kSkkwC27e5rLagqmKnK5xAs3ja7Hvr10+S4m
sofANT7FDtXVaR5Aoa8JsLW4mlk2hukO4lLg6vBBdVbefur486oP0Vn6VsM6YYdcDmgrwqqALxVc
QLexDmCR1V3rdWwOLLfZxl7MIiEeAH3ikamOsKOjyTpAQLp5UaA0VQS7he+EFhbTHr0hgx896ajG
8fek8UK+c9L8iDc+xsE6f2XPXoYskwjv8yxCnjX3lH2U5PdTanUH1+4udqjY5yyujilr1ikJk30v
0o6PcnCQOcBCNcdKzMeOS2ybpVy20ETwOlOia5aIapM1jbrl3WpvsaUG5uXkr/hCqls7hVyUKjWu
RhOKBkmcb0dPx7AeycVt5kavwoQ9N1L4iZxuurLY3fgONecixnraGS7rsupDun9XUcILEko6m8I1
wI6w6w5c1aFaqWnfBxeqfNc18Qng9sZq7Blb5BaNmiHJtk7f9YEX1dcmTo5FbIAQ8MwbBrGQhUrP
hGWT6xu3BUre5+2e7yf6xG35oJcVDIWm3fKftRxsV1j73B6206i3sGDMxqeIxEMt7LMVJ/y/Kmn6
uBg8crpxXEge7ggmruvu/9ImaKfl81QeNWMgNBhUapXsxrNlBrrfs9BT2diMFdKGFmpZ51xN/qRz
L8Dqr8pJAwrV5GUxFTRxVlORDwKqi+dpxuLnjbcomx3fUhaUIkC/X/L+vl2w9lIr/v5uzv6yqrrY
aq5i3CkWrr9kYP54Zop2Vt68EEydl1ZHu9uCtDy66i1NEUuovGWvK96dmcflJtM672RpQN4rDR2Z
LHV3Garm1867myItQkc6Tp6cYgoJf3Lr4CqDE5BDsqD8dPep6aLpR3ym25530hLUzuM1ke2F4R2U
aow4SJFd67pRbouFXxbQXr2s55OS98secvX3stR032VbfD+OL2We4+Uw4jbNhk/bso8aN01jXew8
tg4I2qPyqjW/ppntCmIc4ZnV6JrmVn2YpxuyeZZvQdXeN5aTnu1cpTwe3zne0AYFleFmqNxbPOE6
YTRduu9GEEkGOXg/DTPnrl5U3vpLb8OwNjVsvthRjYNwg8gT+qbrjcrXAMDtpsrz0UhzHmEcaaDk
y2DwhLMu3BYkfqfe1AP+S1GNkSWpLSRuwexBvEJutLfWXyq9xkNxT8EFncEobJEkQfE183hOhE1p
UsmSiFKfY2/75YRWGn8+xOKlduONssDPRyiy8HWXtJxmDsFSea9zprNEIwC3j5Zqhz3mdx26VxAu
lGsTDVRoWSX5rZzAGoKH3kTq1PHzCmD+hVVtxhg4AtKf2WYkdbOZR2c6jUK716O+2QmW55vwClgV
FowhFoH4PorKF0wtL8jdXXvSy1eUY2fMxSj0VeMudAfvwbSGfT6z/tSiNra2qiIlWifiNiuz4XtT
v/49bEWL2p53jVo+Afxvt65R90Gp9D+yQnQ7261wfBIgLowIb78sRiLOMCdQgURO/EcQ7IeLOoJV
KtG8q5IRmjhcw8x9WUpTefZS5R6c9FlHVf6O1Mew09WUAMhux6sWdzs3q7RzvLb6LhmvtjDGq6pE
1snGhQW+MzOSGLQzb4hNDuNzEQoEJU+/JvGiXwXstaBFbmgjm7y0T9OctpiOtBO49aV+i0zw1V1V
t29VNY5+b/T92wST3/dsY3gjpzsAnIymt4g124fHCBuSiMRPEIJ504q5B+5AcdNbsh5A62C8tb0N
WZsH+s3ElA7JkMZ5Ay7V+ggIum9sP4h+YDYHU6chgG6Sm6lA+78R7/BENZ32LW0XQK+GGX9bbQR8
IxTDaxXHaP6jJ/DSJArATsxPm75+sWEWbzq1s57jvjCQ2oiq50TwVp5t6maOFxaHqW1RAEIL5REK
HBGgaUYgMO5gBico1oHQtjRgZUvj6DfPHutdpMMGhY2IIU/SzHdempj7NO/mS+k048HEHvpMlr0+
dk6rnXpg+Sh7Yi3sAh6AX+WGB2XO8cez0/wwj7Vx6gBTboWwN3VqOUd4hE6AzwK/EuxjdErafNsl
KmFs0j/ks7ovo1bcg9BuDh2ScCv/w0J7qXhuMkwd06X6VkJ3DgAJqZvSxHesMM92Yl5wFtOIgrRf
Q2u8gtr9U9gKiRc2/6peHzP2D4CARTDVsCkmAvE+5gu+xOPnYciUU8Hv4huz6wVUTi+WF0/7xplf
USwcAyu01/feZO6SEaGXKhf1mejETwvoFZqjTYcCgbHNhA6g7xr6tJmx/d04ayiRWsZ4NEfxaHrv
rqPqL4Uy/44HInOT5zVWDr0SpbcmLwgmPOcthJ7oV5bVv7gRzC9Y8YCHmnqXRqR0lUYHdq4YBONt
dx2S0d1FXqH7jj1jm0r+dtAvUOvRIFrFGFI3e9PAjwe1J46WR27dGHihJiKOdwLpUCQ5k8eZcruv
5fFr5bQQD3xjXMDb9KcqUbRDrCQPLFzBaKbTRptRCdLV5g/Sy5rdlGBDuj8kZEdW8w6Um5okvhWZ
1kks2rBdir7Ag705x7qT7ctQe6P3HtZ4i3RW92QpyiV38p1VgZ9U2AR+VG3GNWrMyxcSAISUSEKS
EHRJgRa7ZsiTvW6+66Uwdrwfn+uhKDa6SMe7ngeesqMRBQiV752+yc7CAKg6ViMsSXt8mfLa3kdh
2GFdM3xX25KUgim2ix3z7pvC4S4hNWCHLYp7sF63VOnfhdXBBzL6lyicExAefr7A8+sbVBqUhJVJ
qapt2WnONndY+OseDYYYXxgIO1sIHfFz6+7qHPPIUh087G0QdvLM61L11HVReEljb7kv2Unb6fBL
0ZEg09wMZcoQKR3beRL6z8khaUYtnB3n1L8/OHHu/uXBSUsxMQDJCnGiiE5hq2UQnSY8vcfFe0DT
0T51+vy7mQtjn43rB5K4zW12UPvbtAlJT3R9b5GX6LuxWNpTi1choDnkbsc1VyDqdiRVRIpCNJsu
s6fmpuoqD3jiEXdUMyFHUeEKDqC6P7IRHvazHJYjDaQnfFvblPmy4+MG/zUm76IL9WQmYt7bzp+s
Dpvj0CvUTRp3o0JDORk42+POAzVNq1T7gEHOpoKdvqmQdtXi1N4b8zajiPWI5s01R0N0k3Q9MK4C
bdqJ8uML1FU8cgY4S0W2HTuo4UpW8LIELUT+Zq8UtvMrSqn9Y1HKQlAugb2U5PBDnDYSZJ5VklB+
1hrE+dV4ruIu6If+nvJa5WNqCQdVA2BqG/1DvwgDeEhlQiTrtnF0jCN0cowc19g5M2tkKFZ/SJGJ
7QwmCBm1+LHMWa/QNFPwBp49u0OCyDLQ42vCIAzj516gPqs7p24YtJc+f1ZB5aC8EDXXvhx/m9R8
98NSp4dajSmfaaxvC9Am/M22UDWNTTkBc1CU+Rp6SPxUTfuShA2VufBPOBbFsxoOP4jvegTI290c
hauiNd/FqsquNlYuR0xyo41n21skfd6Jw9G+Fv2y7Z2QYLd1v+MWmh8WBW8bIx0oHRnh4ovaiXys
d3iumtfMtCPip/Z3M2I/5aTLs1Vlu6x4q8vY/BHW3Z3d1NhZoHsr5m+REKWP5jjWlnP5iGNWv3MS
59GY8m9lgQt80r5nk/YS9t3vImef2kc/1GT+4yZNwY7C66kcRBF1uUQ9uxrKR1ZybOt+r9r98qNO
0GULMfjV8wEH1NovO1IpSqHVO602um1qFfDwk786XNYoXJXd3TigTinUPAUsWKPl6Y1bLWnbQNFP
1BFEhlOzsMI/7YrNshyIBMg+q/dDT+aNJzdxMEPOwaCi+gsHmd3HAGTDWxyH2Dr8rnajEVTW7Pq9
WL7nfDDYzROP9PdlbXi7SVTxfTiZFoi5a+nZQULg/Oa009Gyx9A3Ic7t0T9+UVyR3FYa6T4NFZao
zjuQjvb2LLw/FERtStWIjkUYlo9Rk/1C73HyXQ2ve91Qzj8dXhBsH5zyFFHq85Hmx07ZG/KNO/GC
P7Drzo5ZZl5Hl51XSUptU2JZSUqhAByrGnwlMImojaoIEnTQeP0TUCXgb3YLKZdA1U0k3Epzusoz
oyPd6sBIU8cSXknYDFB4muQB//Jj1FbOwbZtZVOmlXI1Sv5UB78ZC1saHuHcuNbJbN1Rlip8NkjK
qzcDmLPybFn3S8qrsajQ1SM7P+hWG98raZlCNI1tZIq9XLsBi27Jq3iktaN0abb23PGTsCrvnkAS
oOWd95cuCqnxZEuHtEUJEunTBktkQNuH+E4deAubS55f3NSGwgOVdVM6S3gHZz/o7BjN23pMf6sQ
xditx+T+NKRHcTpLTAiFNe4H8UxBivyFgudEavkSrNNEojnPGWwmyWguPbc+9zhb+RLZo6Ykqr8m
y1HZZEO5sVLs33ISuWtheMB6KGpEkKjxuBNT6N1srfw8jCF6B6BWvrp1Q8P0cQE51i2LdHT/nNoo
GN+nM7QVFNPR5e51SoVkCnlBwkeH7zC/tcjxU1pzb3MDL7GZkYVYu+Us22ULgT/axyyXMOu2tJb7
qFvDnexGSOrqeFT+MjhyWEE2D1Jrph/Rd82z7Mzuk7jTaVS8tEDJykGpXCO71hmki3AQks31Hkam
H6HsxyzVlnMvD7r4XWNKdkNxnDVE5f8ExEBy+pogHDQWF8KuLVsuQCpm7k77eNIihBzWSyis4jOG
yIS8pKiWKrDTjEKSnb6xq5qfqm5uTipplw9pVy28a1A1/+7Ec7ur0Rk+alY04xE73PHsLT/iWR1J
C6nmXaG13c3pRseXA5BI3tyqvesnAB2zh6tE3mbUJwE47xUv/TYMXrxfUpUi0QRiMizi4tVImjdp
/pcmoPgWc3gvdbZaMIj7Sx5+48UHHwdVgY1t9zAyU33IKAd0uzw3nascjcq+ubPy9i7Twz6DTBRm
e81TcbZa9RlMJP+voHieB9UOFOCZj/WKnCqRsJYtyStYW3OT6Y+SgfCfmZ8YKzsw3WwO0s64oS6N
GtfqavFhY7FYHe5wAomuWdeKw2fnOv4v64t0spPj6icoHchB69rnD4dy/MzaPSn0JzkA/7Akxwhb
6vxhWF4uCXTwD4PuenSdy4dOtuYUm7htjPOnbPDfTfSq8dixnV3bHBzH9e5DHAp2hr5oG29tygM0
tew0l+L3V1eUINMLb3yDEoepoNTCXJx9t05TCcCaf185tWrsu0VvHamkh/cqmf/7xSVTh790tZPz
5ADKfi6xMGmYH6kBCaSKxfSQiUS/G5ehCwQZ1ECPm/SmaVp6k2dTYiCF7861/6+B2V6KS2blO9k/
LtlgfkxpicHrAjiRvEnXDL3ph8OC6KYaJaTXuP3XQbHVLqjgj/h9P/2WCvTFtFjbyh1a5BdXufpZ
n/waBs6dHK3jcGM7yvBcLq364PbpNVlnZeT7T9HQAIwBsUsU583bEn7+rh6Rt5fmZl1B6jSxFPZ8
q9cZRhE41ptWciebfD4XvVf7B9maWR7t8VXLB+2hBjYiO9uuKe/SFi0B6a9GQDQejTaOgn5K1dd4
LgaSfFTYTNf+pXvYk4h2qPkPBb+C0JR4zuJZgJ9BDVyvMMsaY+OtLMHryrmqu5BN6hN3J+dahvi8
dFhNUeSlhJaflw6D9XFpOpXi2eksmxKy4+w+5pI1gQjfUIRci8a102vPWBNkN8+dbuXa8qpEe17E
FsX55KMhCvWFV1R+lUMc2g0Ces1RXqz3QKrmsVO3cjQp4uwEp1Hx4x4mXkSK8OYY7XWsx/xNCC0G
/tu5fCGi7gKcsdnOyzR8q3jSXCQ9/vrnVNvVP6cOqlv/a+o491c0WOvskMQV8Lk+qu/B0dnAhcq/
1NWzxVrmaEsMPB/HHiJY/wcxuei9GpC/KtjTBHKSvDjERPoejqt9b5n5f10Mz3Q+ymkNcaiFV8rX
1fKeOgxwX15tNWTshjpTNuEESK1F1fSgJaF378ZKvxlD6sv1ou9tMt2/J924ekuZvDeoO6zcmvam
Yrbn4x1PHWV1LVGHkeTIMuob2ZyFkjxa2IDKFu8R62nIxgkDrAUed6RQwk2dfHnN8huUsxapRKM+
mJGaw1rVUXiWndBMYHVhmeEbuGV8TJwbE+u2sWMNh+ToR32RXJrRE8/KmKvbLu2UrWwWrQZfOQIF
o6eTeEaMxn1yoT+sDTnBrMjSUe+7zEXbniwVJx5YN8tbF7HxbhtTP8kF2obi3HbdN1aSGiBep9+r
RPeFtihXAPvGSzqkr6xWCsxdWusYprXKNcHX8lhjGB5EmeXzL/xdL8u7PmkhW3sjJLs/mKxguXqa
2yXe401nPlozZh250re/DF4yWtHeV620bE2ne9MJIt66mV/oQTxSmqTQTLpWfJwoqAJizkMp5H/N
UbEu21Wdh6OTM6qHoSX13q4sN8wh1YNaVyKYvaI6f/wo0151EfGzMUgSSY+ixYx+wpqL7mRXgSru
lnQJGL/1i6zbUmLaXmBhc8FKYHpErQcz0ngVDe++J9pKixdtcfGyLrpHTRbnpDJuf069i5BKnL+W
Vu/uKbBbe7vzqtdCFHfkNNufrQMMoDAV99bmTX3pCJCD2vT6czFABZBEGSy0hkOr5Y9DL8iQO9Wf
0SoOpd7Uf1TyZf88WefInomT0YEurkTI4Dk41AYCAfEjkoczuiNzUFdI4HUqNYUMiJgvH4N5SO0g
HeP+KJv/nAb97HPa1L7pifdt7Kwx3qpThkGVsqAKNo3kShQi4FU1QaL45ZnTRU5gaiqSM0g6BFQP
miPC8R7mpoX+8K8zfr3PPqMYq7Prxfl9pES7hbjrsRW6/rK2WkMtH6GW6NDLdbxVewA2MfscBbNm
03lm02MhTw7CplzZF3EzX0QM7sbgeb3r3FA5SDMdTcfnOkEAcsdSB0alh2x7R0poJ013EhVF3UxR
jeyuUGOschB4nP0Oftm+nXnvoPwA86mougSQBZg+4BqdelDGiVAndimxo8osLghHpT5labuaZzQk
3Rn4G2fyQFwz7ewKtRHzP31fo1MLp1ElJNvLvgpX5I8bGNNg3xnJBQtrHWWSEVWIJEoexVLN584+
mHVHtrgZKVaDdx58vp64Yut6iCNBYZ2A18DyoEsehhYZTeAl6bUxl/n0NVeeqcsyBfO62ssmUCbv
0DslVgOlGz4URrvTRgLAfm0lVLyvWC5SCKQlDxBWqqNhkwj76gNbVSBryEFeJQdcUja+WogaTRKu
RfohvzlDsXXHkhzXYNz4ddXHBZmtY4eeL9mrUhWbtu+JuZpRQeG01h5zE5kfBHkOnRyNYYhvha7g
Z0gYKzbr/TI9Hm4Z8O1ccZDC6p0LmNqbMi0OvIXCecg1BV5wlgBCWJtyYMKilgvDdGvlfZdulDj0
cO2DbR9hE04R0wyRKzGni5ztrfeyH3IC3I9bJkVibGBNZDsookrZOdfRHPjWWNn/3WLvA3iBXIpc
OxJlTi5liXvfPlOcOGhLRDNa9oSBM6HUEDiI1FBXxFpM6GH9cZhEt2GVHc5f/SMVgCGoqtWW0jNK
Phomd+VMQePrutBsnH0l9O9fXfLs4zbp1jZ3cdNE953++ys+kz2YmX+EZ30bRfdC/MmlauhSYGdh
2REmz6A3lG6ra2j9WPGoBNIZA/XEIznH8ICp30LeXsfhNOvqXWvOCHmvzSwJseBJtPpaaXr0bXZ3
WGEY3wxYMxcEvZv93CHqIaW7WLCfP14EH7bSkTV16MO7L6LU7cuHr51lzcchn9A6Xq3OQRzw3Sdb
FWhmlDwtpK6DNBrFPlm5vUljJvc4eWwTSea1V60WWEmfo0adpvchT6icm+eo3gye0f8XwxG41bDT
IkgakuHYrjRHeSYP8t3eiHcRzc5WIdd9mjRDv+tyV4FnhZCmEPF3yVvqwOqwTxt+ZeNAZiAJ7ceU
vNkeibhz16ZhEPF2fzIRijxOEVC1bKVATytxrTM2/8PZeW27jWtr+ok4BnO4Vc5aOfiGwy6XmXPm
0/cHaG3LVed09+m+oYkJQJa0RBKY8w85MMFnGSGPny9tdr97FHAPUREYbyT0hmAaf8TGiDgqn+/c
5Ij51BTrKcsJugjrQieY/hjQt7NyNgOqRWo9tU8NuhPL3DLJmwZBn+yzSwcd+Tq7JptHUAh/JSSU
4X6E31BVLNfknPojZIpwpYwY9fqIBbE60ernkEX9zpttSruTZr9OnfVUzmNyclv24LE+NFfd6Xqh
LKZuTeH+Lg//XYeMZRYqi1TI7Y2be+hrGmq7CNVJbJNpypg8kwdlmtVTGpgqQPOcuz3FrLdY4NEd
+z/2tImqLZUyih6kp+3Yd+0hckBzyREy5mD2sLQErFxx/M/ANKZvfp9e6iYcXpQgi46w1sYVhMP5
G3rEt7grACJJo3zFXca3Yrwt4pmIx6in7jOnRcrCC+IFIDDnUiKu+2am75BmjPdwiCwUAhBkdVIF
fqje4zWNOt/WEk119B7VMsjnN3Ie9gp7buho0vxRr4JnrBK9FO2gmsx528FQ3IOm8QDGKGMbUNV1
7ROkuJmsXolgraV/L/AQf6qbzPkj3mbqLR6pzB96cOl2bmNo4nlLvKHUT1fBul2srvWhBesYDN8y
o0IcRi+GB7NT+91k18oOQ3tMxxyL/91AJSax4+YKwss+ZK51QeV4wCFvRLbUQPhAxii8sYA2mhKl
CzXBgsEslZ8Gv6z2xTFa60kfWKR1XXtjlwLMUI+TqsRLuT1NM7/e1HNn8l2xD6X0h/JcnmYn2XQy
d6NZtXfGKv5Z41o8NaUXr6QvOZIOrJwoyeYJJSUEFCk0FUPwqhbOo5tU0Q9VH4VbwWhdtbSIvphi
MLymXaC3xppNEKY8Dh5iSzU1ywWaMMpeU934SR5q72SpBvCpukieOs8vj7bW/5BdMmQ5rSh1QDmR
1tmhjnAOTqchd5gxe5Ax6cYNqeaHplUu3BMkV7wEId5onMhmoLIynF1KEaWKs+0tNhdwBcIoOhQq
vOcg0azH+9mcle4qHEvrMWAJu8JWYD7EU3aJNCtDNMVDcFt34hXk7Pwh1pOvgwcloFQC+yLjQpJ2
qXu1j2AXK9IoTrTHqUe0IEyNauObnvHuCWC8uOPcR6TB+DXCKGrzPSmK2widIsuiaNRjn+WgrSVj
3P7jyE562GhelgBl7tQTpj+No5K18nFun40p2Add/1nPlnFBWdO8xHlJB07PfyMd0+2qqMXmwe3/
Rh+mPzfYM7a2oRTrVFH6pcsuCrUCHRlLYdLYahiSaBnah3ENY8wxjAf8uc0HXRwmH/PEuOSx3EY4
4aBXBHCm02sYGYyTh6it/E3umojBiBky5iujCXM9P6SmDwwSOQq2lz6p3q0rNAnJPvFuFUdZZJPq
n2RMShRK2cKyGds1qelpKWM6PitmZpvVj6Rvv7sRrnpKxPeRYnEQoB2GwFfmr2RToWJNMsrk3m6F
CNTOSnFodMzOa4ThlhAccLJssMu5Rj5+6NLgk4IFRYGqd3e37npE4h0pvgx+Nlxq3VvLNYIS983j
PXbP2hZiXNMLWKlM2+Jy8dW+ry3kvL6scfNRNfdB3rs0T7lY0+ycTXEnK7zBhEtZcj3Ju9lkhVfZ
K8eGYWnuWr9FdxaYAvgUCrClV59CEy6wPGSimYDAWyKEOazuHaOdNbchWj/O675DHWDQhw5prGnd
+V79GCYKJYTbLTOsImrHDWtpA1OnA/D0/GUuDHsDh9JZGWI/TlmhOk9189mJjXwjDlk1L6ymKVHw
Y3yo4TUAKmkb650Cewfcf4gwwcM8p19nMhaL2Chi8WAVmxEI4l9VAya48cbwYFVe+IyNaHUCgP6Z
VWP47FjtZbBUHK6HgXsmjsTTWaXQ0A9KwE/NBwEKq3hTia295rg2UishPgH/bEpRWCj+znoaqWt6
LXyLXkkWVCf6x04oDbObQmwJkZ2VbMZwxZ+RDKDSkSKwJqjyX87qJqgLr03nDkdfLioLzNuKQhXW
v+JBLB/J+NHQTd3/b5aezoI82/dIm91rpYTJKwCnmziCZZeYDE7Yo3nCX7uj8Le2FI1qp9BKwP/i
NqnVuv+nSVOQa8e+Fh+wQvBFri0DoER72ZTCr/ibfDVlbzj9o5lghHMbnOgKyKggfstqs1qVLpqJ
aPFPH3bRLNKont9UxXLgJ4E7UcYo25jaHOwzhd2lVxr1UzGSoNE8lFdNHJF/FGwxecTgv1nCCVVM
ZPOs4smbWBl4osODvKrgiSPf4oze8wUfhg/5Dot+Vi/ODIkcisIreuD/7psYGdYjfoiRQzHTaqi+
lJASzTKHqi8X80MYAHKfe3UvNbjkmB7H7f825opCjhwS9na77QdwjuFqjjTUmLPqSo7DvVqiCiXP
kogkdh6DzftXBw7r5w5xkuM9XoA0O5pTvMvQzJC5VJlBtYzmgOIuZQWRto0TkGWofA87maiNdbfb
geMxlnLCpHTaNZuMw5wn5QFF72GppQny6HYQ7i2ltZ5zX9f27FvQl6Pg/FwUtvWM0mmpZhXSQER4
bv+IAe4F6BL8iGyMuzCQCQcEQtUo984UuNNzGg/Vysmpo7Ty99/qfMdiLWuXVXSmsolsFy25lJXx
NlFvcRka5eX6z5gcJmf9fg05dgBZdXshZHTW4HAeQNeC3I3yvwa24YvRamsKn0Nw5Lc5rzMT4wwx
oneN6y0nVmvtGlbaeJaHqKjHcyAOsknuextbwM9HMKALExA5IoiHsslApAxT/diL+6EPSi4cpgdT
CO7JMBE3c6aHVnT/J2JU7hZxBtLE0JxYIWFotLzlX9SyNHYOtMyFTM/ILIw8jJYPVSfuDv7kvWvD
FB5Lk4ReHnk3OwpZBdSddOVTHL/Ix4c8RNCkUqv5CslHz++Jt+2qaDZ6c2j1GmBapowPY11ND3pT
QA8EU7GRMXvQpgdoB9BvkpbtnBh3K9s6IGsMJOAuev1jnPCOiEIW7JWq4TMSFQf2VdFa5qBEXOvy
r3jipNEahvX87Z/jZTxjlf8ARi5eJKF6atPQfB6DXjsrE7h5mfW2FROFPs9JTwjA6a8qC8tb0rym
ho3YzbiRWfC5Iu+lYHHX5sAp2wrFs1XfHABrhZdby2pFXtBGU1wRayG3Sp9ut+pGbV9RPVYfkczE
Z/V+RiYcYfNqPeJKSUZyGpbzqKkfUZp/arEe/7L7T7VLBcQDmFyexsb3QQfBkY6W/dJ0hbIqsFW5
KApYvXH2YoE0MKinBhXY9B4giQvT9RcfJmG/VtjJuZlnoGq9Zr2FXuxvsLGAFC+buKisvM5t9rLX
HBy0ljNXP1dlYb0J7HuZ1d5T74b6S49xopwEUjW7ZoH1Tc6B/zQf1LLvlha8jYsXotXoZP6FrWy1
6gfcchvdBzAvg2qLgnuc1FfZkge0/EijiRmuMR6ruFcO97g5ZjoFaXASNVh5C9j4JhJO81VkeVd5
FuA+E01s+u5xqzWcHd6g8ULGgId6V00c5ItUbk0tI4geSE9PFctAgT1R0nR3lxrO1GMyuepxdLVq
i57/R127CHVNg1mfYiWFUtErXX3qAu/WnQwUJVcyZsYQdjcBaI7VNPUl8iGrQVfNQ6f4JCLjXk2O
t9NUnA69lxzlmTxYA5Dm5a0djDNXsBh0i+JOoDm1efBnm7c7e8dK1PblMwQYHGZK0eN/jdweOeWv
Pprixwm7ynDJYNmST5X/y3SFYv0uSloMGpo6vHopgrTxTOVWNmtFC0kq0gGJpjzEJrgcc7aCHWWR
xZwhZJ/PAw7At7lF0gAa0uftfZrsSFV0Ke0wW2KnOgJEV8cHeTBCss8DClGtuE/c41YX7Cl+OKdA
EYiPIEAh8j5VDpZTnTh5k7MmcSuSZ7+nOlRwkFBL0ImUU91Wm/YFVxzLOs8gJa44VA3ieH9rKlpx
9XHukS2r1cwn3jmCUp4aUGQtzadCHHBN6EpW6XKUC3QOB4RQX8o+OQoE3zMUAfckWyoa9EdV74Aw
itlyVmJNvzIYkqQezP0gZfZqB25ei4yRlE8iJZk+ox8l+2QEswpoQP8/49N+8GHYRuPOAbCztofB
2ujCj8323QlSS/ln894rB8teVQx2xeB7732uJrzcFFcHj1QZ1saaW/31X3Pvzfv/GwYgpSvd2cYi
W12lKnvAVls0Mh3tTE6+aVuolsVgThnQfP/UeI17doWcghlb1gFrsWRhyGR16VXxEvmdaTegvvto
Oj8MI893mktFSipGatM3NI6Ujy4J/gxH4fcOs8GP+2ipRhmE3/81WobH/jvMC/822gxdY42GIb9o
ofMcu8U7HJ2nqvSEOlFUvQbwA2TY7hL9jOxrtWi7snwHG+5sJ99rsB7qinclC+3l7TWyb06Nw7OJ
qFWMlAa/9taEaWG1ZnzBrgPHiEGzXs2ZVSti98XfVvosVT5zTX/tg7D+qKKEfHc5JA8KGdhdTUJ4
7/yerf2ebZdj/rc7PudpYf4Ss2PEyD7igDTjXDrJQwZtbTf0ztfsQIPm6Lfls2YN+OX4IRhGxx8/
HQ0TJlNX/25g7XGrRS9/xDRq1mrvJ3eybwq6oR/tiNHRoAL0GSyKGA2Jrotm5soWFXTv0JpgspzY
mLehabRXlW3WqmmT9CWZ3j1gZotYa+OfqAgsAL0q351ICVYi63nJe908YmLYrZMyLD5Mtz26jQ/c
ELMqNKrGFyRtym2FFzbsZexEYtAEQCGTeG8Ds6ZmV4bHOMGORCCdUi1yHsAE6w/jIcJ/Dg0kryWs
ly+hMxfHWwxZ3n45N1wssvc200TXpBgQD0nkvGqEXWQH6FkqZ1eJzG+Bp/2SJ/ip3U7ApPzSVNX4
Jk7+x2PE9FnM+sfr/Nfpv8eoU7bujTB4snynR10t/NDigT0zGpUvDbssJLzjJ9myE1hCsWPnB1OP
8xcyyCwboIutXH/szwDOk5WRYNEkPBkLt++efQeSprgjxJTtnn/3UWy+9UksnuzTmCdbv+chvwE+
ZYyKo5VVyTb3SSGBpjBf7bm5yE3ZXPrhssRZ4ppQXjkXyJQtA7QIf6ioj5Cbad6QLFvMgn2YFiN4
i4LkayzOQM9+ncmY7JXjkD34P/TeX4WkDuSlcGr3E6RxNDm0z95zSJjqUb0zo0H7bIzHKlbbjzBU
zL0/8T/LUdXUvePVHpGX0PtLkEJDlHEKNw0qlrV+0nHMfmnhZw2eF6EUVWtP3oDptl10zYOl1wqy
g7mKtYFafgalhioI/k5N0StrZHrntdeV9U7WmKl37IeaRGuPq8C16qvsVooOgdbdhsmKtRjGMtt4
nm3sc2oET27DZg9x6MTNlqoSGgKGWWwLtJ7/92f/53FuqqlH0/eXTmMUW3IZ//NXalTs20NEipAN
bK4NviLLBrW1TdE2WGulMBQXzYSfhYRYBGHWb+Xn18P2QemV6ikd0u4BccUfrua2J6OizmmojXaC
q/tDFnhkESdQ7X2oGVAGRc2nFMxWA4TJRpZ7EG/sFiFgqy1UBaCapppvZJlNolXlGejr4gLNx8YP
o/uzV7rVy3FaY66nHnVhYaXlaRZZY8VKxrNsOwo5ABWe2CZ1ChKi+FftsHMOzvJQ+HNwJlWyVAMP
RZrf8YEE904zaiobUXOaxWK0kuvSIt71imYfZUgetLbvW6zP1WDlFNg5Og5QU0za6mdT4zsjjYHe
XqWXD1oXttBLaueHAvmlV3z7Zz8967n+JL9X2MPkxrx4un3NkaVd2c51T0UPpAiywF+Vrs+L3O4E
DQy8tLe51+CbWBc+RNovWXiXRXsV1r++8NU6WVZ2AWa2/E8R/z4GU2E8qgvvJEv1GPk1K19N7K3l
96965xhvc13razCO+KmW3IqGqDEorOvKBzC0I86W2XfNRTq0hLmDzGO2tAqrubpD5Ewv7YtVDaii
hD4LYdNWg22D5OhSSgZK8UAZS6t8XPZTuIHm353UaS6sc9JXkEhleQdVBChv7Ah2xpzVLOk940Ee
Br/urrP5VzbC0b/F0UV9y/XRhUdfmLdRqlh1GgWQsnusaWN3V1DsLqpfUvNO1Qd+7kZihbswbEqY
lAjkGeIgu2VHJODkKhyrZYlU5lb6ejWdru10A/j7JJCmMlZ6PY/HSKNMI6Gq4I8fMsezTnJIhGXb
dXCQDhETcBQCei6BRKjTtdfb9n6aayAb5hDPb1W0r9vEazb4xk77ucnXuAz1SDbObFRa7ZRBijjV
iDOfphQuqdZ5LzhmDVvYjGOzkDE5xJbwiqz2o93YOc+TTNLoiqMfXGNC9kMoWXtWYhwse7j2Ii1T
6VjhxFqCTMxydLxwKb8J8Y35CM3eRANlSH5XIu5ViI/dQ7/H/zsegV60SQcv8cTgW/f7Zr4kvqDa
8SZ+t8R7GEclXuADNKAGBRRHe5AZmziiPjti167ZWHz+p0UVoFlHhcjOs2S52jZ6BEqX4QslmlmW
tkeAJcfbJ1f9CcJF6O+lZjfmaA832EKm92eZg+k0OAEhqbDdzUjU8/EszVqn330BBkR/q4FxkvkZ
/lRI6fd1KKyBirMdthAt5ekYz8nKNXqQfKLHKfviLM/uBxkDeKx6pNHEIBXO8+brIm9C71MGb6+J
ogrq1i4eBjL4r5eTTU/8F2pnLkMSpsf7sKmr6n0E/SHaasITNtbUw2Dro74XBhXrvNCpdD/kaF+R
j/3978CDQLSnr39/97vovyGOw/vRd6Sq3RtSvc9ASUZZ7q1uQHSSAs6uD7SGLAdrPDkQ2X3v7LXm
+gZnD0RHAARnouxxjuUKzptNIaWsYXyFuu4SF0x7BaRGH77bevot0p1h0+ltf2zHpD/C1qx8pOKy
EnpQiWvMMGvo4KIfLM/uB8WnsGo70+4e+u+GyRgAoB5c2BTfkEgSSaQXPrd2ALJL2bwf8nxqeTZE
63tIQpdQbvAvaVNAhaljpKDAL3WBae+RtADl4PNXiE3PWpoVhDp78i1npbfU71rv183QN5zrcO1m
irrKuhGTIqTrVGO0r72atk+zUagHNZ+TheyUMS8xIa+4briVzWpSP/CwcqlPz1433DCqeuCvLR+a
jWWoOaZD6BbINFwXAibLUAk/5wbOgIFbnsJhqEiMKWCUDdzs/GDyF5btWFv5QA5QhN5Vc/J+f1Df
n8f/7LzHq6He+BS+Dj3kzBtDxEC07azjlfHFHyGldpa90p6cNPefvZ1o3ufKXjSMnuegbL/rWGRA
n4RzLpdfrL5JmwXT06ggXhlE8c94wqi27ofxGIxsHU79ECcXCzfBJSvFvVdg/6k2PsTSaPzsBPzW
1R0D30MIEEHjtzs1bucHzLdm0qeh+k1M8of+qGlkoGV+dfCd+TyGCixjkQX5nZoN3fTH6KOUJEPy
EMRiKZ3NmNoY5XBJvGEVlfirUqH8oqUMlFUsC78RuTYYdQUTiMYtLobT3IbJTxkMcYBU8Pxfhinl
qF0qAbj00aV0xkf5yInHRBia+T9lSx4SUq7rrhSKyMKsUsZqXFYXjqpnhy/HS3NdmtjH+FDUb6lk
+SHiMH/P4kw/hDI7lCGwtJ5dEtj3zxlHhnIqTFT/xFdi1pO38hXHXclnOAy4KxAJzAe55G8P7NyD
XuSSf93IEfKpXZhRuAOFY9we8zI2aCwKawQe7ysCvXVLtBE1nepzrSXztkeu5AI+g3qWMBD3Y2BZ
ydR727Ry/5YPhq6fdjVl9qNs3dYBbTz+EZPLANif9XIw2VQ81hALIUAsDLN28RQa7P1k80TjWdu/
uwXm0QIQ8N+NwMOuf4e48seIphE6olaLUpdY1kSx4p4KTd0bUcKSRn7MfI53TYoG9/1jlhk4Ja8D
0nmPwY0Jt5bjYwcjlj4Jz7r97MbwhpX2xzDk9as+kWGHaU45pGvqK7VbMH5YP5BFmxbws8afU+Py
C7Nb2E0YuJJ+c+0dX+n42PIHuw0Rjplq7v0lX3rQdVF0cOEmGHawKJLoI9MRdMTLrj3UXJAHuwqa
jYODKNJ8Wf/Sh/14zPDkWlTx3L/UaG8/zQEWqEXkt0s/bU+N1k7Xxko8yPnqtLJNfm1BbKaPNRy3
Q6cBTsljtYJp2e5knQgZ+q8RrRjR/M9GJF1WoWPQ/fEa3ly2axWnuCWYi2TranG6zG04LoBl/fqq
xJ/d5MCISyZosX4Ym7tbbwebemVWySbTC9J4rWm8KyiFLuPAjk66l5rvJsWnbCq61wlo+pVs2l9y
VBGU3tYyOibxEfho0xGHRJZ0RYCPgDy1e4WfPTZPcFyEtwDaGZs+Etx0ITauFoq36oIS4RfRvOOX
pQp5qlkeAleJubx31B0QZ4uk2cp3vGzlDTCE09TYO9bgAegGRQLZOQ9YN2KGA0lZCIJghoPlIpKD
uflqaF2/RyMDlXsnKN+HHORNMaXTLsy78l2NwcVpkaFeZG9oQd+chzd4i+61N+2Pzo3wqcH8YKFW
+ITaSuh9t3z9YFoZXqrZ8Dl5afqr0eYPTOasj7mNOlaeZvsUsoHZAKQNz26u2Xs3V9Vd1A8DFBIj
XamwDGJ8LjfSLUuaZOlpzl1VxNA+YI2YB81XexA1PTlQxmzsJm7zZMy3B/QkdL3bSKhEm4JJ0VuL
hbTj+qc5mv3TVOnBCjqtskQowu7Z7WbKSXZnOmriSI8uJ9X9hhKcc70faqtOVvaAhYuMuR07K/AL
4QljeO14H4eK+XzM4xaxOeanqR0uCt+dG33px6iSBGofnzu7XFdkZa6IHllXeTYMdbJlF+sKkbmv
mFfq/aGOrZ9TZC11JKRfyWbgIjJHJnpV3vjRTUikmr2l7k0hzO6hIojw1/MXeEdUimX9WBaWjVjf
cikED7JlaZG6wivG28iicj2CGM+U+JcsSWPh+J3qmHPWxEGeqa364WdeuwvJ/7VbdujhTm28H5HT
fo1o1WraINXF3tNrhl3CFpIF4wDJwi4mqtmDto3AZJ5vTbTlydsWRb2SY/LSaR7susVZJ8M6O/cd
nsAI1I2hnX3mU2YheDCPxzoZ7LdyREUzabJPSLTTbh4Q8zF1DDUoP40L6DrNbjaYOjUBpE1kSOtb
m0wlPyNfN55NX/ucTEt/G/P51Wl0LNf7+MgFGHwmia+vEsAhZ2tMnePs5zrVG1S2VM8wPTxI7UoB
SzZ21WoMsWQuWuPQ5bUBCAta74nbRLIOOoOytxxj6rV9gjkzbLkVztAEVOSQdDOC6F28sG78yl7c
8xWknBP0/QBLn3z1ZbJQDnPiNQpb/d5OuY62s6NGICUSbGvMwjnfgtAhMBVnzCaBIrQosfY5SxOP
gUvUNOp3YAfRJenInMtwqUIc03qn38imnBRqTb20+tFdys1T7lSK6y1G/iYbsm3dfk6155Rb/HNa
88UUJnIoAqD7za6M5wl3yD/ijXhO/3P8zE54lfbeLT6hVhTnWz3xIffLXW4q9sD57wPq32LrK48w
NyC8YLaxgZ+G3K7dv3ZQVg4+mmMr+V9prb8fnHl4RaGy+iMuxofURAR2ujnnNZt2wzcfLccNn0tz
2ss7e2t6UOc6B9AoNfx39KN79pzsMuwyTR6/QFZoxYMi0qwUbhYOMm0EoFoxHdR00oaC1gBY9ob5
k93yYKe5BVA+06sffun4+wrtg5WTZcPWEwIHc4hP+VRb4EITB/5U6aaPCf6SrdFB/ROhVKsokrH2
keNVtJr1ujykJApO/37GyDbCbBoJoBq1TV+JN6reKMshqvUL+qFILmoxaWnLAGCidMMOOi22zmNt
PadWOz75LlcVjRni/CFR9b9yxwzOUVc0y6nGYVA274eE4v9ZNvG3RdMDbOMWZacBooDLN2GxNd9U
VJL21GTenTFKuVCqeGsL2FyuhPmD6jlsZAQGuFD0H53dqejiA/mQINH7oU5bEBu18/0ekmcY5Ixn
tDfGs22kqBia5m0ESiDPoWnj51Zm+1Zrps8RVtwKaLF7brqebaaGmn6Uq9mbb6ofmMjZP6lYUdgI
T7rSvGuG0jxVY91SWgx+FUGcHmWowNLt2o75ZhYDZMi2fHUTJ0q2ysPOQLJuaNbBWCa4SljBUuJh
y1nFdS6e7D0eVc0pQuTAXRj5TwWxcK3WnEe2Hs6+ipxuM48NvoxpeZTIdeBk3cIWxQEk3LjDBuEl
yRtIooHxWqs6onm0DCr2txbyTn8ZIVI9oz8huCUBPw272cWoxscw1PWnKQLm6+a6wBWDVkMNc18j
oAWwmGY0dtFKS93oIC8AMcmaLNQqTBe94SEEuDd7dnFkQ3W6OQST9eKdhuEJWZ7s2skM36BtkIoU
unZ8e/Ib0h1/WhqeMm7vX6tVjkCU3flBhhD7CQ5Bgtzh1MQVqVtQOznOIyCnrWo9TE75qTTzp6cY
7WNYa/rV4UmwkHG0E9EH98P20MZ2/tH0Z2coq0/Hfel1PK7DNJk+UoO3rkASOUP39V+Rx7rFraQy
99QY0GiIndVYqPUlH8HHvsnbSoA4hUQ/KFHhsE1D/gIUhIxIZESsad5mnuJw+a+OvERhqa/Veic7
dM8Pdr7lmwcdfbUxqF5l/cZKl+FEQ+6L6UHvsnpFknK+aBpwF5H5ts1HLXDxqeLSK7aDgUtJo1Xa
Q1NVqVDTzf6usXrIAvOXqgyvNr+8jxG9FWQn9fTBQ6tp1xqmsccjIL4MKbYvmHQo1zFHk8pCGeNM
YbU5lUP1yvYQUVbFDP3V3NTWuscW70keNLIKdhLb5yzvEMl0/XDnRpaenEFyaFszcx+ha6hX+YuM
U/uRn59KrpXfoOiTLSBv3tOszetgyDa1xZ1/chQsh0fWllqS24ccdaiNbob5K6Sln4Of2T/F0MFs
smURJnb1A4OfZN+TCrsUWvxmVWVwa+H6WlxkfBSdVh2++dQL9zKeACPWFnbyszbM99qbHFIxHAye
obAoxekAaHEKVL5nHqCy0037bgbgpFYrHc/UVYFWzeYGR7rR8JykfsNNvVpFHksg+Yd02unP5r1X
FvQM7PiW/Ric9Dzh4/7jF4RKt7ECvItq0D87cr289F5QH+/xJnfro3gNb6qLTTVjatd3lnEexSGr
SwVl05iCRQqH5I/YbUzjZLtgUj5lhzwkcoY8RRYiX+axU667uv96wWiLOTmooNCw5h9OZ5k7Xygc
hX2DwqS4HKPQwRzKU2GtNG74qobTVsZJ31O0wsNrI5sodR3iPKlf8CBIz3J67QRvNwEBrwzO6qCH
zucUes8eEKUS7+Vj4pfFkS16gHSRqwL07TugCKzUI9Cr9LekD8qFPP2jfZvwR5/nqvrCMMpih6Sm
e3WU9kH+LpOwc69A3h40TBhPYzxkiPchZpdlZXluxpydUF0v3cqyXnDWbB5LZ0YhHIrGVAXqwSal
tjRctXz3UQRet1g8bOWk7pfeAS6YjxLDHOue9VAlkCH9nhJvN1kPv/sCv7BvLV6BHYkWXoYS6mhb
K8kB+XSDxIN2AAVuoXM7Bk9xll1SyUOrnHlv+ECVvW5uHtwKZQdzxtPuQ0HztEFR8OLP1vgQ21nP
LTz8VMxkepChWzzptg1bwnNIQe0W56PGK+725IMQADnfajThkB+03t9h7KV8WHOSruM8Lk4egqhn
FOrLlUmx+btlIpAbZkAJWnhznsE7ZTfi7ngcalvDUnCNyFyU1Uw9+um6yo7Vlb+/LYNax/DWLOb8
Q5uHz+2E+t9a71FfMsy23P2xVY3IzY7mcW7ZGB3KUYcJauXWyYgRo9bU+CJvUdTo4pNaTO/yFiVD
hapBgiLXeruTaXZcnYeuOdWxviPBZny2c9SRuGqCi1t49ZHZGOxAeHzD/PBTbgR+D61Az6KiHn0N
bXw/2IxGEr6hNX8f6vWVc5qN5G+5IsKgOrgtixxTucDCd3b3lZJcLk22Bj1lSmDX/2aslMpLFfjJ
VXJYJGuldox67UxeAUoXXkuZaxdFad1d7etA5pygQqoZQ6Z12Djg5spB6Q9IH32bBv6qYdj1z5Ov
x88u8MHM7gEZhP2zeLYu0zlyt7LpJSrOglPwXbbknKZo3qZ4is9ykpf5LWJzWbyinKliHzOra/LS
wbmd4biQtcC9U5Rc5UF2yDPSduHJzjIYXZM3LXwr1n/260Css8y4QvSvN9zH0oTD6nqAqGYVS7o0
ZVlkDnm6TmpQ6rgKvcAQCv76xwlmHqGMsNO4nbhl5bxbabYtO7zZudtYj4nbAg/Ea309+G34o4bH
27U4KFjU/S2WFAfdQly1M8e/Zb+caKOPtSwbPb0i1Lt3WBs+OcHQPWtCOlVe/zPPwhJbmIViN8V7
NwvIV4dYgewtUuRN7TbjBjBG0Wuhmus2B48ECQ/mWbitezxyjaH1PvXwFlaRYd2qSfoVZvSs+Bi1
+dqADNprI+4c7BW6FxpSAUE2IhMlTVgSfazLHslH/08j8GukKfEqerzxzK2uAEhnQ8jBJvWbmyK4
kLDDuTg6tzIAgIB00dp8cZv2FwLJ03dL88nAjO8NZkq7merhuRhAq28nYh2Po4Tk+csENgnGZFic
JUpNNtFtLs4SpTbXiIvJXvam+qaLk2xlWtg3DbraHR08ZZ+zWHmo+D+Vl6jubk0tccZvcljh/VBn
MDBzicasSL7yp/qkwqu9RFGP1aLexbuwVhFv9NtxZ5va+DjAB5I7CnlIvcRa6ZVVbmrBr0U4eiLL
+zWiNm02HmJEbk8lSo3sQ0KnekHvOX80TLRJGiNqzqy34hfbRWpYiIXgsGJumi5tt80MliS0rY3L
qgeiSt+d4qxGvq63G7SGREK50LULGLbwOTHZA/g+8lw3I96pUVZBjSmM7I1Eb6DQKz18U8MNnucm
WM+VnTxMdpPvE5+c9xuV+mQXpojF/C/Wzmu5cV1rt0/EKuZwq2hZknPsG1ZH5pz59GcAcltur95r
/7vq3LAIYIJUuyUSmPMLhopbwQmSWiD2R82CtiNpS7KNfOrv9tybq25GpRkuuAsAEi5uUCponWYo
O8mmhEBa2B3hM3AvezKvRNBSxMci3tKwhTjHyxC3/Wu8keXJIgqxA62FhWvvGPpKyZuZhIU39ZsT
hrpIhoi0qKjxapFymNN8OuAWKPe3ueqlFyWVrWUktrtG6+TwMpyD3AHLPa+Tz7iSVOmNjLcwC2TB
YtoXNtK2ewrKrwgsCQyxWj3EFV62XgGCFonGBg/GKanXuarNS7thLXf6CHpmz9AwWKXIDCM6TjDm
EADgibcK2MLfYgpU37qIkFz1qSOgbXxuxY9OTTkow2SEklmrGqb0tjZquPtiYTnWGFJ4mWmso8gj
N/O+vpRn/Iryve+ZcNlZd56WnKdpU7PTk9mmwtdEyI/x12ynANrw3IwbE0V0ytn0fTgUAypgudec
Qs4D04jC1YLvv3EwU/Obn1HrljWRwgraEwyiizTE+8WArPk7OYRROJx0On40nKJltUQOe6J4Kgc8
DZOtn4WbVjgdY3lzjQKIuR0sqA/yP6zFXvcqLqIb+C4O6pZOuUFJ0Dr91ykgO5dZOJW7IRmDmynE
RGSYph+hqiCzLtbwEYr+xkrPM8San6MYrNQ3MIkTTAs2+SFfkFWsUkT+lAc4sUjlcENN8TR8Tg7I
6Cqb1aWLzNhpezCFSr3veW3K237YMeDKwoogQvxGfhTXXGCdEmMrjyiwm1fKxrQRlkNXVWyxnfE7
uCc2u5h7ahYc5aCyn1CcCdZj2sS7ARHCdSx0dyQkK03d4AjmdjVUJQoMsqko9UpGpID9XTcT2rGR
eSUPQ9X/yklfXJy7VLBRV8EUxjuolS+yP880OAR2LQx9g6NbZeFRniHuNa/NDOGoc58cMHUrWpZl
OW3SPMj2etS/nL/TTYZsHUJwL5H4IUTolENSlZxsCDP8epXe3aNsmVBPLygC+Wjvjuzmf9qIixej
/zOyoOSpg5s8DkZurfXCaA6qBlS0Mb0Zm3U0ATRjQtDCteMTZsxDNuo4x/WTBJRJGJmPe1qWo+YB
UXZcpF1pb/J7BPBDsL5Fd50N0TfTjMRSPUx3KGX0K9lsQeqs8qB0L2TT8ZUfjjtF17KV38+ehReh
TIvMPcJQrY0wT2bomJ8J3aS5KAz05W4MY0jqZSW0kzKtjy6lshJlxHzZhfpGFdAxyVaQjAZ5djpU
Fi7aSvQg+89hiu7XayOvagheRXOFp/36VMj41EyD+mIwvWzZZ01wzwMlXlIymL4gnXecmrCB9DqE
CwfY1M/ZGH+l/DSeMU4vILoqEQWe1tkibtpeGoln4p+GU5peKtnGHuqfaZd76c7OSJ0mVv2116dx
+DoDjEchCnakQFewjHw7nJtFNJEolu3cn3AVYYfxtzjZp3drFBSCo3xO2eJhBeVc5wFYugv5YDo/
wOSobAZeoK8xg3gLOQ80FuohmnkdVFOx9qHKrlCizU+cZ3kWR9dK5JTX524eQx9DlZn436GdlVYf
Qts0ugEDeoUp6nSb9Iq6GVwrPyjzMF2Gauvz3sYSoWsLfUWJt3/s+6FbzKzIvrU84k/kIt/SFoad
lyjcjt9d/OWe66Eyl13t4hZAUhBPh8pehuALvikIc6QDScga8OHGj3p/pxe6ecemmD21iIDP9B2V
/OE+8cpu5/kzAtB6Z7x0JrURETDFME7x6Civ0MHTj47Nsww4uXJweWgeFQE0Oh+69rVrpuxw7pFn
H0Jhda3wHRuX5z6yVCuHmuBNVDflpvMAq1h2Pt/3eDveeGh0Amee7wfVme7LxurZeWrjpWzapRLu
dNY2oALDtloa/ZOmD/WdHDTFXmRMyXbLJqs2HnCz9e0U6rfodCrwj+Rg7bAma7NgD6AX80oSXldI
eCHsHMUt+sD4V8NNJektWrMWcRAh8Tx0F3OS/JD9p4OchWFOsZznxGRVpeaXBZiphV2wBXR1r7vu
+EWuYNj0z4hZg0IKrF9psrQUNf+FCjniMf785HmmTiKoNq+A6eHrHqv9+pT+mklH5v4qEU5W3lC5
CLODto09b3qhII9oPM6c+7iLphc3XmcianKwXD9FiW6TTMmfUUpUKR+v9R4190h5y2v9vmMdhSs/
g+eoTCs3Qzp3HmPzrivieIteMpQD0ZwBC931MNVxhJ2PUd/TciaM1TS7XOBZA1tcwcMcD1xd3wVi
OAyG/krr20s5/zSjaDDxgWO3SVGyZMa0Gno8cE486rEA9VL2mOYk40gOPybfI6TfCyzd5RIY6D76
NChxy+FUDId++DZMxgcWpZjtThjdxHp122PlqiF010KrHChJfqoFgPfd23Zr7T692s+1AGxG9mWu
Wzu5XpBhVawMlyOKOn8rWySacTP3tnpR4wY2LGQIsBdcFOSG/X1YDuhxUWDzISoichShytPkiYTw
7xn4rqLEzs4crdpkPwfodJ9OZbsUnfKse8V1UrmU56YSpqdeW8mJP0fJ4U8xshkoPeS2NHnNMq8+
/dOGPv9pxKiCUx98Sz/87Z8sshRq2uenSfIfcs5XyAlDlqMD7UwoQZaBcGdSXVAJQbHrIj3cA4h6
O2DPwSiyD0G4OffWbqXhWytCTwFySCjGZA6Gn0ZpbRsBhFp2c/6kmoUNSrt1bqck4uCjNs5i8dSI
+N7GrnV5CvfHIN8hU42mvYiPxUFtDFJXbaSv5Aw5EARKvnTEbfpK6S/8UhHGOeAWhOOB3uydvMUi
xu19pKFdowXjI3ozOwlwalG89ecRS8ZDsqAGNKz8pCmv28SowITE2fea0n8el/qXAcjVeo4zFzoC
pVMPaPGuMPRFpXrxLZamBiAj7KU2b+t7ZfiKfEHy7Cd9ueuFhYmUuFHxmXeCMVtUlDk2+eD4YGrq
zLnQp/RyLntqoZprracowX1uxNasrLG3K2ybL6wjF35txzdxcJF94IVuLISJiEgksHBNMImElk3u
IPZ1VmfVWuYO5AiN88jvsN9z4ACSAklyg/JVL7ih7biQ2F1Jp64m+KJDhBC5bwp4xvgeI4clE9vW
83/MQ4IE63CjufdJ6T3YgfOiT3X23ZsK9N6r5iHrqV+AofK2RVMEC6sAsUfdK7oEo4cdXDu5z1Nu
8d4hR5Cjj7FwbWu4/e8RnZU9NnXcYnHZNdcnDZ8R/lLfgwpxtRAQs5T+EX2I6iqHT3Gq6Msxat+G
asPmHvT+JtfK4BAqY3FgUe2s+6RWHgwDHgn25/5PCydvzfhpjC4qnVqlPqRizhTOwQEtnuLgD6YD
VNr3H2BLvM3pDp/myPt4A56TsRs9aTzgj2BUtTX6HRh8iiJAN3oUAdDNNch10p6H/Gc4JuzNRMtH
YGRayHls5vPDVGAe8x4r+08hpj9coQK689z+QtM6+0eiW68FQkBobmrhpqnUat8ZQ4g3ACgNarXm
qwit8nle+Gn2i8qc1+C87PTtFmXXac3bGrsJDSUdnor1fVxbX3PNDb+VuMsvhlErb7HaHfYB6owr
mY6LtBtKA9aXuDFeo7g3wS1p04XqIywTiZcirmclaQycFJBoih9yj/yhEje7QHVMKKmU33hjIQXf
aE61ssOKpag9mU9tBxYa5DfKhEWArmI6ZYgrgjtMVolO1nyOFPR/GWg7KzkIx7bl7JbWPtTM+8bw
o7sBut81aXzcW1Dxfx1CDHsqf+p2smmXr75OniyocjTRU6QmeaKEr+FAUtO1jOYYxa7xgE/OVvaj
UcdzMPHYRIuLiZu4oKAWiKbbF3XR+3t5sN3URxTafGtWUwzDp9Mx13oPqUFtRCt3HBcDn3w9lX53
3/DouGxHnORkU5/1noUcXjFBolyBWenvtaLMsKDDTEcOYhdEUs6yl3JQTkp6PcBSTCl2vtmxgzGr
ka/SjEGe0zt3SjUkO+gV4TaskubJrtmCVHnz2Lv6cNkI9zqhX1iKg2v70SUPjJRXhWvfyoFcVcCI
e+hZaL7exMtQiBQi+hJuT+3M1X4kRedc+lLOUMxDvHlptrF6La+C4pl+NcTFZlC6YtNDk73ETepH
GyXZdxwHnkK/yB/NvtK2rc2TI45n/742ir8FVGPWXeQ9mUnNSTapiS0sNL+fke+Dn/TAQpq9D5M/
Nb5FA9j3Loj0x6HBhjXI+ELEvLe2ZZvrSH+M8QF5dbgixtDczpDNAavp+jM6KT8QKxiuSlHxkc/j
sO/WRux1Jz1RaxpQTxi623h8RFM/wupHL0BWp+5zb9s7+Y+CicJOOEUOuc9xFmF1lh9UgUJwYScV
amjcyFZeWd7OjWzE8cUgYI72DoGGcTmWobo992EW+HmWZejNQk6QYdZo4wfE+uU/zupzSjoQghsB
J6WAfJ5xaot71FO352nhHwBHhvdD4c0by4Mxow4pC0Y8r/gxOXz12A+ACInVTUguhQWsgISMjJLJ
C24bbT2QkHy2evYdoTrglNR5h9BF1KoXSlJzqlIUM9IER0seEAZhRhqOH8JkvwzrMiQfqN5OLxUA
WRkWaMnb1cb3qzniarIpwkrw5osZePHRN9nDp7ICyQvj2aZgtBkdRLTA47EVUEJhw+sG1xr2BY++
ni5lv5X0zX5CUGiZhKzy23bSVvpUFjs5OvKPqVCrvLOn0by1/RFYDBfTY+qukL6CtWyWM/Vwxa39
vWwG/S88ayvwK3wgP7BWiKDZizpGjXkOsvgFNTWkHcz6aUJY7QpR7hapwCp6qUfEa/O+mLbISUQv
upu8aorZ3zi5S72oTHayu9WqaZeNOLnISVUwwiUs/XEvR/+8thoXLNnFPZvM+nhtZPZfO6ftb5K2
GP52bV18gn4WPMX3a3f5izqQYzOMw+wYIQotHFS1fTszSp4jjqFIEbPwKhtzPBtlICIY/io1EoT9
RDQCq4zI2aObNruo625h3kZXptZ22kpOgRO0UIbQPAxmZV0g5PoUofqJzKeSUj5ELqlXawtvobbM
L5SiZPfvt9pKxlie5R71Q4cRe7Y3NPcVzyzkHsR0eUjez8zZTldkXvLMHDe5kF4KXdYuvRPeOuag
3Zqpcs/uGV2ksEEmocQlSUI6qa19ipKTZZSKuj06qI65THlmXbpV/SMfrPirOCl/n5ikCmSPPJnD
7oc80X6fiOD/Kea/3UJeEHTpkb8pS0QFLSxlKKcLFgDjS5GPF2neRg9dJipQWlQuZL8M8w2EBmwW
Ty+8XC5CP40fwKn9I8wTV5Nhat99CKt6hU1TiKz0+WrvN50m1OrHP6/memq7lje1KHOtSgX74jDC
iCyZ4DfIQpZsWmarHGSZK+XxchqVcgvnUSnkMCn2/9e58mPIG8krUxdXDuf7nj/k+b5ydHj/GFPU
9lt4hc4ysVwwE553tOLBvFYV27yWZ3GDF4qfmCNGLWKg7yJnUXm6usjndtzKQF12NnW1Su26OZ4n
/18vKu4WFKl5fb5wmycY2cp7vl/41Pe/XFTOTwHWnT7th4tqIIlVJ/z4aUMDxYHAUE5/glPs53/+
+99FXtS11XErP/j53/xvF/5w/9y3s7XRraQAfh8mz10Zq9gWIr+nuHjoku0Mt7IJGQ7AR1bjXDkI
Ob6y9W/LiPqIUOKTEYUefpiO3ec/prtV/nF6YxdLebH36TiQzIsybtRj0JHEtAXIOTG+ZvMUfadK
yjYWRWo0I13ohBg4bku/T+4Dys5/CU3s5i10tOHjyNBJq34mw7A0nSh9NArTXKcz1A+8WN09wD/g
p7jVPcwi91bX08COZNHysP9ZoAdFT5ZtW5ZHC02UNWZxMMreX+qDibmYqINYdY9GEWqAJk6v9zJM
9juBhc2OolMy7bFr6VBl3cuz88HAA4Gao/sWch74FCybvmuUy8wBC0gVeDgmfg3jIfC+oTDcIIzy
uxkD5y7Arzr4/fXKvC6oKKAhkoIYivJJ2EEOlywerXsfJTGgcjhwm0LMDQHJ9I6kPGTkX2gkxg9Q
gNuHWnmS227ZKJUnuSEvUKn9cySZPoR9niPRAHz//jlHLjRN02ge1OZZXtrOA3fjKQ6699PT/zLx
r58JfzB9GY44eapqVyzl2wnDAmWJrL95Kd9hiHmyIOufgaFlB8+d+HYKtkJYmh+jNO0Ip7Z/Zvvy
FqXO9be0nXNQcGqEgOWo7TzVt+7jwX+hoBR+61QgW7MxuCidQmafZsT7pPhtXPwcVbf4MoqJ8DG1
XYP4wb0bui9yHCTLx4lxUKGHI67Y57/kxAEU7CYynprZ6i+bxMfMHG0lcDMaxCqLV+boP8lvsBJ5
P9oySJ4oEVRr3R2SI7slLDr/Mqcan6Q1xfucXsxpwzw5jlWR7Z3WmDd6cdGYir5h0VHhJuRa+z7r
TSGfgJx7zW8spKr2mqpIuUBBCRZevSjLwhffp5cSPYEXbObNZa922a0xx8l2TvBBNjIhvgqWN7zH
5NNbz6bwhRzH5LpxRo0i+BB/L82dRHIpURovo3icblj2e7sOXdlNhr3To116LzJCs/TrwgCpWXZf
lXwybhLBdJtLDNmwAqB4S0v2F2GBMcHMa7VUW5bpCj6TGzPV/KUclgdbNajeZ8ptLUPi+Hm0MfYG
FBEfjaawd1UfqBeUOqYryzPTtevEzUMzYYsTgtr7ivDQsajF/ixhH2+a6q+ymJ6cPolfp0mrlynI
/rvA4H+zzVzMSrq+3sjftjzkdjkiNMtP3Sm+WVHeHkoU2HYqC4hFQFKivZ8mVP+9a6UnlfcNedIC
lXo4mgupaxvH3TbS3HnvSKYvanjlxuliBR/M2byirKyh1BoF+7gGHDl17WMdAJFMHH28iFE0uzdc
7ScCGcVNkCTTstD7JdRWynt/nhXmhAJQkHR4xoqzP0dZLtLHJvJt9M+4Qm14PLn4pYpZn2NDZsVy
/p/X/HzH/xQXlIfMCdTqGwDrFKKLqd7xNkdkrxlG1I1p2lbWXY8FPvcpdqBLv5r7dcSaej00CW28
0rYNm8BrGTxUAZpdKonFukq0O4S6sq2B0Oq6pMaCMOJXknveukiMfhdmYfmoz9YRhk3z1XITBOaR
rTra8BFv8HvqFnIgzXjYTqPd3eb4oh5KG+tzeSXFKXegwBv0yEvroq3MftOkjvHFNFdtBYgPzZhq
O9q8cyDxPZKBRUIhrX5ISHweas62yKx5LRkjdhOEYn+XHiR+XkxqQEwVIVU9ZKNmVmOns6Cs4UfH
9I2yLwDL+mE0cRrqNq4Gzk4f12rtNkB+wK3jSLCbZ9++tyyK2LCRUZxp/OoebzKMcaqfuZ3Y37VA
OVZVwxO+MvmJ9QYohQmIa5x6LCUCFU+peD8aJSgQ3/aW+EHWV9YcgNkngbXubKN6Lc1wm2ex833W
FSgTTjnfOTOqxeyjtG2s1dUDXt4/rTn2b5wwQ+Y4htWh69a3JqjJO3u1++AHeroeqqa80tUg3emu
EuwGe+zYmdrR2sr16NEqDWxk+ZN8V2Yfu86Bira4UpPm85v4e4QBB6pqTbLUjd4mUTWGV0U4oYNp
jvZXi62vyyPziSp5d2HNI3aIQeO8hJSjzAsvO0ro7TCWxoNnH6VasGwAY5MjM4JqYuRDWHaUAN3x
beSPOTpkTBhiPBGTEW2U0urWlFr0V9LqK8nOGOoqXFZYeN7894g5KvI9yPo6bBGOWuAPi1lIjmF0
gFXmwN8EQYyNy6VfJrgQm2SA16TlZguUMRtPEWk17NUqLJ8rzOw3pNg6VmyjdqcYSvoWUdi3bV66
j9iPd9ukJWuq1aZ/7wb599NNuvm1DefhQaOYe9EAUtwijO4sLcEeBOR3kxlOeBc4aXPbGsMDtdvy
RdWQEiM5wdtUNDX4eoshT7yrzA2th5oEr+wv9MrZDYrWwiCxyhdUCyghsUY7yFHvpUDP76XTAINU
Ki7xoesVL50l5eracSfnQCfb6INSPbBNLK8VF01hbK2zx0IbTUiTBbLZt7xF1wUelvifcjbrA2dh
bn/oi5MGO/YSqbhzoQ7f63KVFROPivfSmCx8yaY9FuGh6x40qEmHSp9J4uXZQzeWEFZEF2DmlrqL
OD2HnJvyzFVwsu7gta0+DaRqMaCtjsk2RrfwQvKqHPeIWI/7JgnGveXCNjx1RnW2rDTd3cmBc4ic
cYqTI46cch4/h4McdZF0CIbVh2vLUy9NvAWKi9MqqjRrz0PF2suz8+Hcl4TxI4lb6ohWndeLv4Wc
+5rG/x3TWsFp3jSOP1r4my81llwVvoZfijRTr0vzNlZG8DWlYe5ypDBPMK25yzCgTzL8wYB4nUu5
8kz2iQgb1NVB1nNlvzy8eQf8Hj0PfC4bezdvrE3LN9IdOSHjpHSPyyWWPK2rrs59HfwhSO/KV/1d
EF8ONtrGG5XkpKwve+ALJTyQm3Y390JAmMztpnFRsYYm1adbSlrV4tSOprC40py6uBrfR2QfbPRA
w6VQL67knNjEfvLUGcLyXccdGuu4y1z7TRe+uM4Qr9UWqYux6wbc2BLIw2CYni3fupGodfi+1wgo
vYW2yYAzR0hC24Ej+pfQWlPsJXtdeLPC0CTWh+baCi1r6cS4xZ+Fnk/6zqS8yBUwcA7+NCAvkBbx
vGz6KUF8H7SixPkMQMOW8wDuFm4gyETZeYYrWnozLu2gAkj5F4Cj7Dtf4XxVCRcanGncs0dcmWXa
bfMR4Knm2vkdPJ/8LoF2i3+bYvMuy4o7N+nzu3r+1tiBdyMb1eBZl1WGpYVj6cjr6xTXgc6H7noo
OyVZUsm/tzNjOMjLRYA7r6DDbWRLXuB81xS4+7rqIZ2fFfyltP+56RUC4+eZ8fIs7S9HG1Qos8zv
LkOv9mDbSsZ63Vvf8d5Id21g2AsvT7WN1PbtsHc5af5aQWNukVUqF2fRX3l2iuuOljokp9Bztwm2
dUF5Sr7sRkCqy2TSMNIWxmay6dVts5MvSXOY30bPzUgEN7lq7RxdLP38GguUcPwJ7ulbarTJS5Q5
2nKaM/PW01qBWyUd4Ndue6n7eAGHWA2iSWWb+KJ15SMuh8Ninsbi21RjsKnBJF6UNWWDNMLPR0LZ
e2ABTtM/pHPZrfUuQ0qkCXpA6xQfoOlToxKjGjy4m06p+ekyeJpAUrzzm+k0XauCgQIlTM4sDLMb
XYFLU+UVSs72CI2vwNmyzv0LcDnzUjaBx2lH3dJeZavD6vu+dclkEBkkmvZQGD16xqp+fYpOgM/m
fj9dRmJQ78JqXTejuY6oCEgJBQuXhGXptPWlbGIJcWuoXnCLUVD2GDsz7zF0F6o+no9dQeVkHObi
OcdReuvNYb/ueX8cjKH+lYdAqOTBKNx2N2ZsG3tUBs796XuE7JOjCJdiq6n6/rqeK55L7zPkwKfm
eRogOpLzMPpXn+JkyPlGjg3yZpGN2qsPFWB7/iznm58vKi91ajagS/IGmW7xkf/9Fpb413Yw2ZA0
7fCzAw3SKLX9kE25veyMSbvoG8UisaLWGx37m7UKe/UhiBR9l/MsWMomXH33qOj2i2zhzmjfJb26
kDNbMV0NQNEHbnUrAxTfB7Fk2tMhmi30A0v+GpUy1Ucg62sM+zBanLLwphOHBMDVajZDbSWbckCG
6HO/MV2weucJoQb1mlIr5DZxkdNhRAatbvMWE5Q4v5B98krF7xvqTrjuTy4GY9IeEJmKlqdyqedi
xkZVaVyf2qXHW4h1tXdxrp82qnYAEY6gmaimklnIbpEROMXnCnpzVazfy+KsDAga9PNI0yNTaunK
FRSjJXvj+iCBregmC0lvsh+XbeWexLvlqN72aCfK01OMPH0PlNDYWk4+DQgwbZDgr+HMgbnqRzMu
N6AOUG5og0vDCDDNbcpg2nfmHJUbeQp0d9qHigaJHvExEmoIkm6gem4L14XeNSk8E1BcsWws5guE
TKp4UUCrjRAqAcLet+hjnvtGhBvPo+ez/0tc/5e54npDAAJDWiQHiY7aKtu2oCy0109nRZPor6Nq
Zou50v8xOoq+WYz+e5wcJWHxFvfpHuf7fo6L0GArEOIXuUqpAzJa7Qpbg4g6O/lKvNeTFaxutCtF
s8kb2D+dg7l92GX1UgQ7uR7eSlWRc7C8HBTlt2A5qrdfWHB1N6Vm7nR8vZ/iehivYG58L92peYrw
vtur9oQmkRiMcMHbqZqbQvZkNLUTh5K85qzlaO5Z2PZlNmIAIrgbZ4EJCMtLlpT1Ux4rIDzVMeCx
LUbj9s5Ek/dGtoYmh+Jtjfeh57SP4HVkb5G39q2Pak43uR48WqRsFKOONkoedQcKtNkeYzMckihU
3qlRwZ7GaI0v6OzsHWMwfxldv87Rpv0GiR5rJ/JO96bVResmuBNieViYB/kh19AgES1dQUQFfAH8
Y9mOJ72lojvF61NTKKjIs2FUnMsmMran7FKgDNOqnQYE4wYN5h7a0XjqdVdmNCPTOaPrGC3d0Lj3
nMQGoaZV4Yb0ActQudbylflXpmreJWuddsE+M9lLBxJLLYpNPcz1WjaDVumxCh1+zThtQGmy9lrm
l/fSu2Serm0I2l9tj6VDVJX2Y5wZ46rxDOs6LFsTvqdmXSpFFxysEKx+q5sFtKzKXbaFMz5Xqf9z
QD73RxMUS9cT1gyaM2z9srUfhoEltetO8G6mYifzKF6q3yBgO96iXFrez7l+EXbIE8yuO0BzADYr
czFyUo4zcVIDu62XYZXi3F42MLxb3Tl2U+Aez83CrRZ+YreHuVLMGVwjcVUcBOvEMoZlHebDOilU
d4FhWX3wA/WHEQU4940zpvc+++GDLU8nWy8xTk6rderwOerROQLw4W7irKiDfhZ/YN41XtBAp6bT
VlNeOGEDrdzji4t4grP0XfuL3VbjZdjM/m1B5eRqaEzQVpVyK7vC3nMuZqgTCzNQ/Fs54KSdt9KD
hv226JOHsrKrReIDgxup68TCMHGVVXF9HSC9vcxUvuX1RCIzKH82eNQuOru3H7UEq+2qapMrA63I
XdxYbOBC8rOr0J2rF7d0Hi3XzX/1NeD3nRJD2URlcEa/Qh3Jp6IlVlrY5WlWHN42fowlFdkEpKcA
FoMWO4c6aaDwM42ViyzpQ7xIf4dyVUNx04fInKdFUvjDJirwY+rHOlOh2EVLlEjubSzaMDBR67Ve
adOxpcaC1FlnbQHNGrx1E2vp+6R6Ib3ewqMyfykID/uR0v5IBSUlyctq21Rat8KfrGIfjyutU7s1
JFgs72X6JtPsO9XhX3uOCJBZ+RBhme5dy3/WYz7oLN3wBdl+4AlRFYDvwS4R3Ud8G0gLP+eaYyBB
VCmrNkzxhBoz66HrI35XQuMRmVTjyNfjkAn9R9nVGIq2QkJ9GWpesIYSOd4ZRT3dhYpC2sGxjrIL
dGW3d432B1/EIkPTCnUn2/WarYyVIaiway2vddkI4qm6MHQ0/mVTHhRwqyg0YiwvJ3l9HV872DKc
I/IazqpZxeHpc+id+xwLgASw0h40sJ1eWZpSXTWwE5e9FUXfAl/ZqWhDPEGDsLdFb+lbXn3Bc+oC
aRUBcubgAw5u1XHh8Yv/V9VUdIus5Wz71UrGycMH8VXSqsZBL7d+aysbcJs4E+fRB6fREi8bhAKL
7lLKVDcIdF1AgFSXklHU4KdzF8O3yAIKQD0wPpSckFFB2gWAPs7kW100S9xJ1z7PEx5pyKqcR6V2
gBxFxYZ07XuwbCZZU2xJhmLJ6xZHV531H+IkB20rT4IgC+7zxCb3tojYcNjWquhm98kwbWrrmD0c
ZzeqD6B04nUfNfFrAx5iUGDXjzHu6Y5G7bPVfWMLCsW+KOs8ubN7zO5kCLtSPNpn5yHXWdsYhu6u
ImoPz4bnGKspsKYL2ZxayDwdRMyjbHpmu+a5q94Xul7de2bD/5KmPM14Px5jfN8XsumbfXMhL1kb
/HnfdGwjwx0ONoQFsIBqd2unWbvPBhfnxg5VeUUHC6srXyxkRtbxoERkMqv83jS8byWCDC8pfg1o
W3cvMa72lJrU9mYQh86qkWB0y/2538zrnLVzrEOtIFYe+jFyr5Nic+6RZ2MaI5dYwfE8D6SURC71
uXzJO31a8cdul3qgOXO+SGsN+5M6AM6PRztWHqEZbQukvIdpAy7VWkglYIRSpn3gFI+yNWlxc/tn
Vy1sZJRhPkXJ1p8T9Zg0+/J9kiKcCKdyVK+y+M3RGlm9u3zS/Z0UmT1rzrre7K+qDIkgOdAUJc5+
qQ2cLnXCz8FlZutX2fw1Dkm4G+r+JAggX2YA5OpsxZI0Qapmk7jDLzzV7L3ueta+FmdNDWJ18eFU
DkXDYO99qoMXhdkcZVegABm1BlYzYaJi7xt12Q51AIRjYpqBzatGfSKrb9/LjrntAjQpsaUbxoyF
B95tY7gy67JYmNis7hM276hC/HGGtfVbHwCbf4yeZwR+imSjOoHO/UvcUN70tRlReiTg30PlDc9x
nz6OvGFgWC8IG4yXhd8oR3moPOSLNKWdsF8FVnIeODXDkRVjUgCwfJ/xKY7XKR6X+vHcjdG4s6xx
OuMJUdWxArygrCjUTtVensXBXOJ5KNqn0/M4Zgjt0ogt4zRHDrgpCeKFPJWHSY/ci6jQLtp59q7L
3qyvYDIsQjia2TrF9XAzRQPezMIOT4bIs3BE7BMJVuPiPNAk3WluL6507pcXKZ06X34ayPoabJS4
iByQV6/6lKwFitbOrL5WDlaJcdaUF0kdlmtppDgnSrFs4kjdS2E6z8pWoZLaD4YJg/4vk2SU7wB/
4df7HycFVm3elrb7kzoKNgWuh3oJ1ZwRC/IvMeyKlWc71VFXR+NQo2vDLy/UXo3R26hzF/8Iax4c
fYQPgIY4+EWiOgiKw+e4K40EJKnmNOiEZPOuG7BsGcQjsm4y8zpHx30x6rOQMeqPXWCnT6pe+sDA
PX1rtf30ZHn2Xga0QRYu0yzqrqtwsg+qXmQsspPqG3JFi5ybfqHMrqwnKC47bRiDex6XP+XM/0fZ
eS25rSzp+okQAW9u6V17dcvcILQkLXjv8fTzIdlb7K1RxJlzg0BVZYFsCQSqMn9jLVRCq5rV57Yv
cG4dWwv96qT/ZiLbIxEku2q0LhmE6Y1OUBF+ikfr6oCRa9F40HSsX6oFRDfruG3pLhwse1DDT11i
HqRfwiYDHytrgeqprgbqrsN9xredQK72R5hIGmvL1f47TE+zLyxOMYVm9/KQTAjLqdXYb3ASg34h
SeVbpySVJRd9GzAAtCPmR876lqT2YkykswoyvKmiestPZdoXVm3sqzS0P0edsSXdP39XfNSbOghb
F1VRyicrzIpV2Ezqd6pACBIUKOR2uomGMYi4jcyYOtzd+U1+oThZoW5zihzLR8HE1l8hVXjXpsh4
3ZpXZSiDXZdnef5VC3ts4ubUDy8N7l6rLnazRzud8sc5Qc8aTPdrktbT6dZv4JJ4kFj+W9GPG/8r
7trX6cZ7zJBVExQyI9r6owXuXoWKU/DuudyaMaZ70vQihzftckjGrHni5l6baZ09QKR2nliwW8dy
giJlpR0srZTM8c7y8moTtGkXr+cCyCDOD+X+2lYq/bsy4IeJeITzxILLecqw4B2rMHyUC8I2r+6R
TdrLmMaTaFsElb8vtHavFuX873Iyptb1pP/Pyf8ekh61N7bzOEQf3NezcCyO7Ou+yw0xixvC7z65
ezAUxb2bz/gQJ8FD63ALecX/oR9oCpAPz6mvxQupPUS6v7yKtUepSVy331LaSCFWHH19frR7Styr
etFpmJVx2AV9oa37IZtWqoOhUWqF6WsYlyizAWMXQ+QauZirIbKtq9sx9E/2SfYrFVaVm9521Du/
09o7DEnYmkZd+KM+In/Xrt5fHgUshEMMgKdYeVGWnYH+LJXJqEWHZOkMkj47ywFL5/czaX4Y/jD9
Fm5r4bwzGyBx4aTcoVDNSww7SOVu9ki7BHmp7GTEtbE02DiLCGyQwVmQmGu4jBe+od1ROZfGtcdw
VwGCKI8+ClVI6jj3QkAIAaKebav7ceMk1Kg3b/i36nYSMQdjeXK77F4v0UhCLx/diqWMgQraf5oL
+S2L5vemoO1uTUHIfQj+PTdfDKfU3MxRO41SMp1Qh9IKRmNZzFO60SK/wCKA3+AOLzx9lVSUflow
afbRnPLyQiE4ARI/B94OCYt/rk19GUHfKbWP6L6hOeDne8etnF0URNarM/tUgMBgZHr32teu8xp7
ob0DTWQc4X6nTxH/e6t4wXPk8Bs9UATfg7ZBB6fVsjsN+iKKTOO4CdA1/taOzZoe+0c5tbjW+1r+
VA2ZfnSN0dnNpTUehxZKSNXl32wSBz/ttjgMtm9/rRXEKRzITmiNquW56UiFIZzpvf4OBeh0De1M
8++hhl9erxpa76HNEtoN6vtVS3v8cNWUVBV7EJAOxTxeHMR8DqwAnhFV9fJNtPTJgBxGtRwvqLaO
l8w2tlozwpRZuvQggV755+mULK6XUTZuZPLfrnWd6LJrPWCHs0bdDtv5fjW5QboYDRqvKf4mbBm7
5NIvrsW3UTE4ltGyM5ILm4j34NEv403voHa3/NAUkI8Ax1IzO/vLr1E6c3MYV07JJvDWl8iPU4bl
ICN/zPsQA16+X+FnH3ZHt9SNfbnAphIINHs3q1k8dqb6fD2YgPXsdr5ICy8I5dwYybcrKGvqgQB2
ujbtZRTl/OIZkUm5mPSkeYaQaZUpa8Q71AwEYvpa//fVKq52hXTdriYXKLsJYnq8jgX/VbCx3rXu
k5sM9b4uqvYxrdGuiCJ3fJsMuLleWBk/4qrdtlIEtEN7Y1tV8FPzMWKtS916U8MiRZxdVR/z3Mn2
VqL259LwyjNlgnrfOjbMj7HAwJCtxoMcqnRycJ7t8+2tLyid8KHwFHdvx4gn/zHA3aTzfGUb/fsi
MkGampe+hLbtH6Ul/e0UHgogNacssZ9CaCnNuquCgx4B7hkrxEDmNjXZBXnVATZy9MnTlfg4O3a5
ltHOd6onfW7ZsNfxp0iZok/+pHzJIrsAGEp8PPHlMTqrdzLYWe541ku+d9KZDUZoIQDNrn+5DoJe
huPjq/BNmdqZerDXbSrO0nR6FIRR6HuSVh1GX5NFuD2iYrXz03R+msg7bBDHRVuclPHKRiThG2vl
T2jwzL8czVsDU4JTlIXRSksH/9+0qx/KMtO/z5VZrQoEcd5wTNPBn/vTM2vPceuptXGPBYeNnDkq
e7U7z6eBdfZh8HznLlg+OTbgOPVJyP5Qochp9KVzj2S6ua8Ms8PQjpSv2QOaNFvLvMsKM95h+94/
9WGcbtym017bJEFv3+2qb04xvwbN3P3yyxwZ3oDv2o4/E0+JgpWimveTVtrf0UdlYaMn4ecY3MO6
jDX9WT65yEC8KlqmbzpyY8amZGWOhAcvSLXpznXrhY9WT/FYGRKfgrkRfDWjwiYzA0c9L9se+P58
sHBK/pophYoOTIHWyhKWIw2mqlb13Nd59wA9mEXm0g9Gy9lkeqwenWXWaHFXa/bndiG1GVoIXint
jLXw1qYCwatJG/RzEdr5FxuX4YXm5nh9cdb60lgLCU6ieoiI0JHy4ouFge/vKGpmxlrYbLcouZab
XRl0YAsL8PNEoUep7sNuTLkngYPklWqti9ji/2ZZbsuhX1ZN9kS27jYgwcEy4zYwyVJMOsu/XCaG
HXyGz/8ouwnbSpzV4OCNAZQweSuQE5F+v7OdY2P7A6rhWIYg6thi2Bv0n0yP/apnZM8wivtPQxZC
dlVV7SyDjg54NHAtbSdQAJTa+iNal0hULFNrM2sfTDu/k8GgUJQDCjnamuWdc8175abf7f3ambeS
BhtTHuqpr01HadaK/qvqE+teWkZarJQmzFjIqc7TDGFXEmxD1YWXMjSRXCtsqvuVY7H8ytuwetXi
V5/qW7AawumhRbHum4Z39Lptau1Zgziwa8xyuGhIAZ5Q5lX3/IHto9HO8aZmefDZ6IOfTpblXxzS
WzjkkElCw31NMmdu+pWrq+2mj2FE2cEUrZTC61DBi7Id5aXi4iAAdCZh6+xqvCieZ9x3qKCVCqK8
5cnTTfNfR4+RNHTbf7iotfK6Utk6s63CjS7dXVaS1pYdC0UJbCbGIjtUTWxeZHciAxLnoLhzjStk
8zLN+SHULTh9yy5G9j31iPF3HrrHtseQRFTGHBEhq3kp7P7a2dWxu7oGSfwtcqi5QTwlb085hMCH
Ds3C/7a90AvEGxBPJbu7WGEYSMqd4nj4GmGfenB7tnZdZSAXWMfRyzxPlz7yynvpqjXjPSI0F2GM
qFIvjTm9jxqhFxx63TbPThhZuDcl2lvWFf2htgxS+6WhvuVTpW4j3Gr2MtqF5NMdw+xPMppF5b+o
Q7T3MljieRPERvBiJMjqRsqv6xWKJmOPUbxcWxovcbQk+DSVepxTY9GOHEh/UrwsXUsa+9aUNLaj
8WkyKmnsD01Jcv9lbhbz+5Mk94fgUGVpvVwqWUblg3JsvPchX8XJQvucK5QnpDqX4SKwBb+bHKSk
p8XZ96RxvAdVraJXp2bVsWjsu17J1i+Mgx2gIvNzHztnALEDRZexfFbHxbtpND77UYnLVuDmG4va
z2fHdRKE+U3/2NbRCVtTqIaqcXRsq3mGFd4+p3kY7/w50eCu0icH2wy+qpHqnaWlWjYCy0xKc36E
edE9Kq4/ffvU6un4LVQGhA4No95PWXqe7QL/dBxDULdqrU82XkCryhq9X7yNUDub0iFfWWXgfIrg
2G2TfE4vqFsnl0XN0J3mhyl1um1WAlEZxBJP2mWIRNB1U1rGfrpP0rBc23b+hBN5dy8ih0OBEfLU
8iyWphV77TH3lHQtIns5tp5Pvq1vy5g3PEqL5VPiLdRjE9NN97fD5c3rcl6AFpqAM4LZ0Lau5aBo
deuUU/JYpIrlNGdleA26XcNR8REwMdBGvLPYjnFpfNZ5MK79Qp3P0ozSYoOkkPVpKFEgV/vyqxUl
5mdXNcqDF3iHaXJfqEqe4oUnItZGchbN0z6Mu/ru1p+pAE88o64/uCKVpurv/FqBs7bMlwOMCvPS
x8XJzbBiC+MlhbPoV1LRMTdOaBs7EZUzO6Q6m8n7kbkuXC2057ACgZYopaFbrExVZwp2S6wMSleI
olzg2saDZ1TT4xXbkUytd5Ekgpl59n6em2Z1/S8Obe29LcOdAYQPVaafohoPzSzdUp2prprfqQOB
d1Xb8UvN6//U6A7NMEuji4atmsyoIst7qIsawl1j1of+S+3lCgyfwX+iwKKdefN8GQrXfwI15j/1
yGvu4L5aa+mTWMBBqHEWdr6XPjmgt/caeG2IYAEXmkLVePK/hQHiu1fJdTRlknXYVfyn1NrAgoCz
YnKHfbycoU7zfiZ9t1GwPDFilIlz9ls2Xs1ct1sy/s5jjY3Bo4NLBHXtXmdBTx81dQYqNboLquIo
XYiAtAovLjy6O129v0YssUYJ08615uZ46yvNesQsnKcxxn44q0KGjuu7zLAqTB7UGrmEpU3xTD/1
bGQ/9ElMJTFVEH9ydRQvpa+uimZcXSODwjU3t+taBq7bFVJIasfW2FRS5cEb2TG2Q5X98DHkSzrV
+lrmGc5Tf4lQBuxEhsi+RjQqd0DIovOp6+KvXqQrb5WNZ5sX58hww2o6TXoAHF7vipfKgObqFRhG
eMiLZJPzq6p09mnDcaWVpnu1JBCleKNm6anULjwcua+k01NjbWVZ1gwhDPl5uadk4Dr7esvdZsq4
RN5mN7rbIzzk1296kG0qZJU+p5obHRsfw+HOixd5KJEtZRtTQtcLEbVpAaxuptjML+CryRijEblq
8go5U+n8MC7x2E2RUqmCvWnrw1FCrtGNBSQ+sULQlE57loM5wmdZzXZslivpyFRElW1jMbGWTlsC
rmHX86CY2rM5JN3545hMjtiGlIUeHD/GR0WHyhkokfY81Gx8F5WjjUC2E2A5KKQj7eWA5xZQt/QL
iLvp1X0GpOX8R79EaCaaQctMGbxNb0esMRTL+xl4nXY2Ekyk5OxvTelTSodSrpyWiedt4pAbROYp
6YDD0OQ/8ubtzyNvk3MLJO96Jn3NMnAb/VufpjtYbRTj7o9YFZ0TnRzWWNlkiNX2kMygqllb5g+d
ORgHnVXjxXJ794I6YeHvyhbEUobL19pqrRDlS3uYjjhuWmQC8in6lblqjPie/kXolLzr1ljZZT+s
ecGC8WN6BtANi9Gch1Ndz+4dXDR3g61Fzu/IzDelZ8XPc4v9kD9X6m5uWJGvyyJ4Vhpj5iukmB9i
cPJQlXBNl1g5aMFgH8ArWytp4sDsbsIecD8KlzyDx/oBJIbxWlnDC5vz+kFfFj3LmLRkDIblh9bv
MYlc5pmVc9f3YwoA0xjubpyFG78BUZhfwayO8GqIkMNNr06aS0Rbw8MnqejvEt0NjqnT3PP40V9r
VcU4J6jv6yXpFM1l/vh7rEyc+II9ALQLkrSWjiNxpzoF1b0W9VXpzJ1cudPrpNyP5C1hydC8DViS
11VxYbOaHA17Bq9dctpEATvqo+g3DfqmjKz2ezeP0za0nfrkYd3xrAzqLxn3skXgOcjtpwDm5hlP
wmhbDpB9cLEw1w4qhOfRddEUj5sHOWAd2TxIP9uT81WZSwZ+90nEbUKlwMlC4gSDFARbc4xPv1Qa
ujxeZbfcoDQdxz4mkQqMLci0xxLdjSHE2LBVA33vxKOHMjRRqH0v26aOW0yPIUar38ikIUySt/pZ
Lm0jz33oxm7eWEuBtOiNMyAQ81yZHs4SS5eHftfJ1X2EbOiSQ7fUR+tA7fE8Uijl/44lg6yuTbbZ
K1CsxTYOFCCYUbRYkrXW1zkzPmWpNf1bV29s6CjfVbN1YJ1q/TOEGTXddmrfxiFYUmGu+2iYvCaG
os8uRRPWp9IB+kMRVruXa5d9FK0nO8zHp9EJ2wdkNv1DgMHMduCJ+I2M+ZqqqvaZe8Q/lIrDVk+3
xm8K/XFRJ3dIs33pWoyumuUgZ3JwemXVpa5yEgMs6RrNTkVxlMrYVKvpTv76ECFyj1Xcnfzx8m9X
+tVwjKLhh3ThJ6SiOmGl2rpMImUrnXIwrWlc2VH2agAFfKibYOM6aXoXLVrK0oVVAkC0yT+gUGk6
m94aHiF+siFg6+kADY6GvaKB+iNlW+OuuIvGwcKkWCVLk7XDV49aFf6SX9AFiU6N6aM5nSn918YI
f2rjoDyqao1qRd2xul/CUcpMN84URGcU2c03257WaGcPX8nfmPsZ/aadTC/C5qTXavfJrBTjAomq
Wst0ZGx5pmH/dVd0SvSi+xjPLpeVL6Xk7ox2uq1zi2ENtmgtr3FFw5trUXCSA8zSGfvIZzFVGuNc
OSRRgovC74C/TZqd6ySJ8mMFRw83f58kF3KcmXJzz4pe9+LPCo6O5ybuq2cWcb/SImu+d52Do3mn
qQ84drh3Hjf9umFn9D1O+udUbapPcMSTU1lF/VYmWPMPxQe4DAQs2Ee9lh0Azzef8y7dyTwrjMaN
is7EOWzhms9oOB7ElRINa5sSQWxR+vovu8pq5aDL8jjFTXW5lozx48TXcXn5qsshdvyzBxD2JK1A
dZ1LgyJWmMesdbzc2U5DgA/U0qxldZ2l9vfOU7Wj9PEI8x5cXU/vzLTdSte0LJPYzrLJng0cvRQE
oORLykHSB3Y3PTuJopzk217/giAoDgmigQZCAWlovgplpgj84OF3q56L8CGq7Fch20gLb4Fra8jm
UCJn0B/4xVU5Gq96o1D5LfQJPZHC/CLpqq6uQLBTYLpILsuPPW3jmch+yqhFDffQYmF+zXSV2Drc
2yVw5IUkIwdyj23mJC9ZNwdnuwj7VQsqiNSbwi6qL1DoK0kryYA0AUJUL4nT3ZnGxEt8VusXe6xD
aqGwQmRQwpJ9iVA2InZcwQ6KdjN7+GNJuFPE073XjJfb9eQji5jynYLe7BCF2aORkOUecnNGLDvx
PmmJlR/jGHc6aS5y3Bd0rMnML6PmWLmPjV4epCUHz9w7Fp550qBWeo8s9fwgLct2WgyzalZXy2RL
n6KN33aAJJemfPA07i3zS+/myHTPaqLu+wLfjAX3DoiyjtW9A7V8a45xvcb612S5VdgI4jTKiZ82
1QuISQUCaBmON12DfEMLS0ypGpipfZVhDOIV52HB1/ECf/RVx310tDZ/q+F8p4XyVkwW/MjR+iKt
PpuLk2H1+lqaXRcujqlk366xywWjsb4gq9ff9+Fc3ucKtpiIezXb1o6BOMY5loKhMSKwz8Erw25n
YWWF3Fo0PVptNN3pFPmoH7HSgQBAbgPwCg8BmtD/3puSKupq5X81zUh7D/5jrgTLaJ/HFoZuZr1l
a5vdoaeb3jW+ld65dW1eJnUj3dJzG+uWAOnjvk92GqbtKxn94xq3OABuGXrDvb77I25QG9D4yrDP
QsXpWSvb8QyFb2r2rUaRRMr+1/zLrfMD+EQP7WZPhX9eHqBdyJYY2QJhdJSd4+Mdsh0sP7wb5qzF
qO69lY9qLa1K9RKENcZtiXTrHYQud+M41vxlyOeLtZRb01x76aom+py73rB1ay2+FEo2bRrX/NUv
1muubg5b7M3hGC1NMTaK4/q5yR3rIl0GVLe7IDTuZcxzQ+yAxG2nKbrPjQLWtcMHbXY89a2Ayn9H
wTlddfqgvpVVRuZM0cy1jHaNYS33Vbizg1p7q1QDQ9PGUQ4yWoYzb+HZnS/jcqlZSx4CL/MeZTBL
Dl7au6+/P66HVcgj/ZS5XoAu4lB+7n55+qC8pZPfP5BR+m4uov2zhSljrLbdRprKZGqwpksQ761W
fHa64ZdjKc6RcrayLcfU3jjFQOlxNnMEoTvNZrk3lf0qRN6WTSd+hDgrko0NAnujd0eDvB5Q/wwi
0YAJxtmKOuhCQTyyN1lOHa/FdKUlk+Z5GgWyUv8s5qxX81YwrfUWtrtNEmP5PBkakXJngaiU+K/a
izp2Z132kltwJ9we7SIN1h+yB3Iqh4nswZmV90pahorexV5OE6X6ZwJdeL2KdH3ITlDcAsZz1S22
efhsWjx0n9TRNZ+6DDPkTFf1XZk24MbtJifP7yXO8drOnPTUtbN2J9F9VzYwCtZBDcp57ZQTYmaF
c3cNzVvgMGVLHVli5YDkVbHzrLzAlJNPszP3H9RLvo9eS6ImxBcd5Z672Es7ln8hr0U1yPSD1iXu
o4QErhFsI74iXr6W8xgsh4XQchhqE1/U5Soy0Lmzv1hQbm9d0q+FLEy3PpWpz+0UVzs4AyF/TjU/
4dA5rLQArd8wT08SkcVVteP3GJwAOMxPiYqBC7n1/P8nIsxgJ0QZG27L1bh3VWeTOhrAlutxMqPo
aCnaywe0y/WUX8K+yI3gfEW7CIwltXskpEz4ZEqx47GffrIN0GgW0k+/2ogUd+H/agsLhfQm715Z
mwLv8cndI1amnevaKnZBEWefeGa/T7IRh21N/5dXw14rMxXTcXZX26Ay58tQau+TdMXKzhZMkitT
HzmtcpeRoL5x9P/k8WsL/V/4/vhrZvUqQZ6fX6By4alWb/ywtN66Hkq0aSjBLx2pZP6RyZMDoLhU
Ze1+cz1FWU1eUL7kPW8LQDio06U+EvvuEBywQXUe5ErwgfAeCVr1FANQPpWh9r0cpvpJ2M3p0oWg
yrVLrLwlaumSloRKl95hTdVwK0vXlOX/5CPukzBEdpKoyiXZ1VuKvs25v6k7sYC7ds5J9C1OW+d4
y30NJX9pm6e7wKtPhe3rAwBAOwLyedXmwFstOWBmvNfSfv7OezfCeb2fL1Fm6o/OAM1VBqIkCiH6
+8mz20TklmrVQPqCGamP0znE0i/ZgLpZDpH5UE929Lllp6ChQbVqmyLG/NzoH+u5PwrrtF+opwXO
PKSxX6THrqqXlFLevfBQpwSdEOjU9UkGqwEhgCoznZ1MjDonOuC3Dlh0IcTy9HXPZobimsxFjiPf
Ol6MrVrs/mgiJTpe09a/Kf9pa33ov74HG0O/9l3xdAKz5Inxo53mT7kCkclpw/BODlGkfKmqwtrf
ulhGhXdToiF4khcgZ9ADAFOhFh465Te7uMJQdlbXZqdkMZST/t4pftk+j7NhdtXtXGjeBoWV+FkO
WcvDLkni+OQs2R3pS42D1QTtkzSmQEvP4WD9uM2ZzOHVgd4R/pugkrAaxKRLKbXPGkTDl0hPqRBA
r0EQrWQBZ1olgMeOx5Sphi/wUA3MbJOOzN8ymk4VZBLDRk2Csmcrdres5TIgl4WLysqIOq3TWz9T
41IthkBj1Qer1urMV9WJhi0oAeeiunB59CLodlnYAraM/Hs04/RNGtfTTh87+EddnTzYM1CypSWH
Ik2MVddR4ZCmY8TeCYZjuZKmzNJs/VFpEudOunor7PZu5YK3Xy6itFGN7dpx8rv5edbs+sVVK9I3
pb7tAn3ai+tk7lqPfqYMT+mcVFQa54O4TvptMp60loKVNKsUrl69SNf+Pye5KVy9aSkT3SblVJ15
VenaukJnH5dc8A/iPo0CWnQc9DQHBF/jTe01zQukbXtGCefP2KHpo+OMSuI6wCnhpQstiY1jkzSQ
Z/MkRLxV2aig9qr8EYiiu43RX9zBpuh5+OKVkrgYhuydxTslNfAST2v7+CffSNrUH7OdAs1zZYct
lcY/g/jWp6IhH+pn1n8ue/sstcas03BHVcm2tQJMwGGffrji3Y3stZ9D+7EckCf1jWQn3ZZbxOfM
D8e1wODTKfY3dgPZ4fcktdYxE80xqNPm+M9JEuWmqGbJpMistHWq9uM5dADQayOCr9iekMovk5d6
4edleWYcDEqtTz2MY9ZUhCC7sNIobP7jqYOxbjATfij0iOe3XuQ7A4bVW997r4MSND95N5O766bP
3ojBb1I3+rmMDExqwT9tYvyKvi8fTFWuOzglL3QnS+AweWW2tTR1fJv6BOOBCqC2PuZI5NlYvGSN
2p9kdO5RADKjwL+T0UoNTo2nu08yaO/LaWyR+a6TZ9biRwkxqya5D2O0tpzl8nPWaKfcZ8smU+TD
w07V15WZH0w3Nb6VPnLqiymla3W/EgrLr4Wbo+LiO8apU/CfiiHcbn6HDlPr/PQJdcia/DXUydUP
V/0dGg/d+1WVflh08uwPV83R/tX1pHzGyKLY6W2u7MlK4mENalUPo/INLJVxxlbdwGhwqL5mSUdW
NwzTezRxshdu4geJv00PB8JQo//r9Noe36cbppXKdLms7zlwrRIo4U2xydvxXWNEhEM8o3Mx8kxf
pNXovmmAZCEkqgxYG91wloHWniEpjUWLB/XEL7CX9nsgjnyoJrx8mCxzfl/hj4/UcSXdBKDhrt/F
zKD+zVT8V/E4U02PzBZ1vT9Pk7EYVljRmhsZzzQlOMvZrOvvZ7e+D7Nl2HPRFHh/X4Gb3VRuPt0n
fuBhw6xtpXU7WEDk72HjltvUNiaeUMSCFeY3JKdOBXvSmsIj99N0/2Fa7CPs4Q5kmoFKyXvYH9Go
8VCa2ElTBgS1jiH9x4Hrezlv2Jt4KQyjD/tV6XQj09/dLiuXcJdr/x8GJDjiKTd6mXLOdL+6U1JW
SGWon6Qlh1wtKK8ug3JopqDHJk01N38M5KZa3UlfwoUPSCq/IBNFPbYtYNqsZHJfYLUyuTFqi0vV
63a41b8Gu6DMdWvfYmCeIi0dxvV1slJXzQ6mNtIxixWtrCaQT1pMfJaFRZbzv1QbIQkPWYBIZ644
GXydusH2Wkv968zeL5KTOfQ7yLYNZTp8YcQc5moB40PNCtUsPDlVn+kXGb6ayVzH6zK676BY4x6W
6iFQ/zxm4xlhmmGQ2TwD1PLstd/RK0MVEiVljNtD11U+cJAlXAJ1cpXHYqxX1ji09k6y66bSoPaJ
1MFOMu6go6du5TSRCux5SbzfgtLeJijMnQLH3vp7WikJMjUGZmWxx254bvXXW1OkraWZeZAY9YXT
chsVaetb8+rvGoWg1nPyKEhqFrn7DLU1fXOfbXto3rTM6Z7jttqXZty8kYePsc72vlzHVHv5IqbK
n8HgjH7CMaUmQuKKmU1ggE4YR1ZJy2g5knFR9KHfy2iZuDz7nImlwzKaG5gAhaHfXWQUNskb8ok9
AmMMLhL08sVio/COc60M76JcUoONuga5zchPttfmIsz1rtG1jDil+T5SRhooUP7S984/hbxuI1L4
lav99UIyMpPlXF89s5QY5j2u1qb+3VPdp8m2gcLUbrkxJnQlpQknyXzMGss9xCjRrIylKQNqqnZw
+39I4xaKFeob8FXnJF3jbGGeaOMxY5HhOwDt9c/24Ppn3SoRUDTiAXgESTCI6SNGyEsfqp9H1Sp/
ov6yFiCPquTKmc0d4i8LgCedEe90ejZ3SPQYn3N7/Ke0NOOhVdvydZk0VG2ztse2fLFKdeO7Y/G9
Aqu81hB2WxYPwPKoEO909qSf1NgNV9j2uIsCByGT3ZEzxc0F/9/mGaYOu0pEKSOY5duiGvpDP2E4
3yCQ1IVl+rnulfgcx3a4kX6ZnsCgyZ1YR7y5WRSXwzFAhtpCbg3bW8TMnHR+8z3bvu8r/RSrhcYJ
YD9/0JKDFiXQ2yV9+3vUB1X2glZvcpiXUQkOrLFh6THS4oUcxjEUpzelHuD/c3LtYShslp6PMQNA
6W2fKjiRZMr4SLImpQTia8CjIY+wr4f1lczxly5Ux0e38jN/VYNOjw09vpM+q6J0Afzl3JOX2zq+
obKA+U+V8VosM1H5ZHF7vPXHPDHuIEpiBEwZ8tbv+N1mAks0Y8kedMh1ZYmZ7NqA3XuajxXqL+q8
ahZIy18iFhvFJx8fi1uEZqIErqehhrBvVt31NdoHv4mhQvhM/MLfom2kX9mlN3aoFQc/1KidjkIi
lX4q9xOwmDy8j83iZ9Tr83c2rhCoyqp4NIJeuQSx4qypY83f/WE4jkk5or+MwYthpN6utpz6q6uP
KwlQQuysy6gOz6Ra1GctiB862bOBtAGhXVXdi+ZX30WqADJ7wxJfyZ7KmDKYb6JF1y4aBoPynDih
/k03A29b9qN3RMp8f/WxTw3q55SdhjWSE+nXrAPCL8rMZAvN0vT+tersS5+ZzZemRUAiI7vzhMRG
AqbNguWud/Y5VrGL6TzPvio8l2OCxmsxo71IyfklH/V6o1iJvQuX/aiJtNhjpYpqc3WXxkO77Szr
AIe5C9fe6M93DjIiUBTh/kG3+WvTbfXdwGvmNQEsiiCxP+8BwCTfcqSkEky4SY+mLK3R/JRubsaQ
us+3P6KXe5QK64sCAXU9ZPWDaoX4n49+5wHt4KF+bZsmezHMsPrDDYARB8VWxwnuQbqa0Qrulgtk
aqysEkVX996kZ4/B4vYJZO2T2/GTTbUmv3Ylet8f3AGFOH/MqUjy60yATqCqs7zoY1KAONEoW2ne
BqQZoQCHRpan7YayCR9iFjcrbIugHusUCowMKJM03QqXbCXRpwteFMbnzPw5k21483Jta9uB1SAG
FGnIvUOfHKcEyAn2OntpWmr/3pcvff4SEjXqVifXtxkW59t2UHy4V+gLuIllvkgfsqK10rjP0lMP
Lg/Sgl2iVYSPWt+HF7hg9ckGboZkRDl9s+z41MZDuG9MqnxvzYCChK7i+wqIYdojZBuhAaur69mI
+69hnTymWWD+O8bRWg89/4c/duhzNaH5qVLKcevbME0Mx4zWedPi0WmW97Fq4zJGaSJZBb7RnD0n
7F+C1rQOQ6UWa78EGb0egI8O/8PYeS25jUPr+olYxRxuldUKHdzTDjcsj2fMnDOf/nwA22aPz96n
TrmKRQALVMuSSGCtP4C2f04zu/8E9dPYeZYD4y+EjTKE6ISIS/l4iW8GHy7kSh6I7MDd40YzbCUx
QA4sTIPJdvaBM/Jr4hl+y7xxi5I6j60mg3QJ8d2/fGjXqk9ZwU6Osk8erNLDKyvhC6KX/qM3W9xO
O6t8CK35W2Al05PTl9xw3UE7hKSdbjJiCavZscRp7mI1S9xgR/oxNlU8i/Wgvzg9KtXi+yi/hvLr
GZusYxI9cUjg//pqgjnrLlmTP8qItd+NNXUTg+xdvtlyYDCt5DLpJy/SHsirB7dKF/aTmVCnHUHg
UY7Vu+FMnv9B9slDIkb/p5CBWuEVRDpLxZhyvVrcFw6LhnzUFZzepu/CvyHoaIcy0kuhiBP8hey8
h78RCdoYsebXfhLsoNx+C0WLamT64kJLkmMyXh9/mGhhf2rCQXl1pvQxR9f/UQ45DVIHuY46swxX
Tert9pB7AP65lqpBY7WFKJ8cnewsPLmZU+6UkUzku6DIPNUhykk5hg0KXiy7WO2DXQXV+Ibiv7Ec
EEzB305xszs+FNNZDviNatzWODcENGtU6sMSu84N2uLY5tZFFlDVUiUN5PjceERF1hnjY521oDJU
x+GWawK7pnuMWv02932xkc0ZbeZT1GEzIJvpCFhTGfMckEam3S0bbI1ftcVGru9Z5iJPk5IHnGyI
z0tzXeB/aH/YHyyncINwDdatC5ZRyVUezDSamo07VhSC2hbBM9mWQzNPJCqdvWvuq9gxj56WQpbD
9e8i7bbCCMYSaJ94I5uDAw8Q0XLn3D+48zhj7J2Y9zgvA2NT4KgCUInnjewMYkZqdvN3oBXFbTHN
HkntsAcqfQcTN+c5FFLCk6glyLNY1hJkezmVvbXUBwa3Px7FHJ1S3e6dqRyHIQgL7nc5Jp9vNcoh
R8cvvX0qmrgwpzt/yqrzxI/4DYP4XNSp5pts9g1edKClXkoXUQivwRNUTJrsunoMovCbDIJmjxa6
eIEQUbhzAdL54AEHwnakym96g3LsNmpqCyZA91ki65TBKnd95HenHtYZqi/+e3MdLWq9OwEODbZ5
UvEwmLzaPsmFXaRf0VTRH5dl3TBowZYfYH2Ua7j3hZzTn6y66zZyQi+Wg3KAqbGVGPycxOoPHECw
LeekhkVWFcjUsPo++SRyN45cMbrclR6n6ZLbNTeyvqEai3s5ToHdzsqm5CjNzE19cMmPgEcwpJ05
9Q/8F4pg76hpwNQ+Ogn+Mgah4iXkX5H/rKHQPi0vYhRkyx0LS3P5Z8o/eJ21/KEYg3Kz/MHvslze
h4wKetuiABuayzuX0ymNRSfPap5TszvHEJF4YAsZPKmIJyXv8GPYJFDergU8+1/6eCKQzb2yixR3
2BpgWU6R0xlkU0sFUbAoDaCgGUp5bgQucm3KjyvvHHMZlTjJtSlH12CbR+hn13e/dV7loNHRHHzL
xF7DsJJDOcz+3+AYWc8BI4JIDn+ots3mjjJtdNYrNz4X3VDd9dDFqyA2vdegdYBK41531v0ULLQN
c9xM3PgmoaO+rSbc4dLkJtGiclQ2Z4G9CBxG12ArUJ8hTmL73ViPCLbXz2wTv8ldT0umAtBGkJ3t
oay+DvYDdTyebSiADjvZVeK9uTHs2D7rSurutc7piyP8LkxwM8rebNon5vhwB6ca3xr5xZLfgnTY
IVkbv38NcLZxKTzl84evsQIKmE0Z07Q62IdqAfcc9H0W7qzKSU7JBBaex7iOrBbrF6TD5oGbZqWD
pkEtCUG87lqb+g20Q3uIQOgvuxk1SoECkkuHYupX/mlpx3kX3cGKk9AFZbn0yYlwky7R9D0TAhZS
ymIyus9TB6hUtoBUN89ZUH3Ox7i6LHIYTg0STTR9RUvPiMOpAHYQmgHc3bq7TCnVjUQM/AkeAHmE
Ho/bGfPeHVAhjerq1IYFqHC/xpYk0xV136Ng95I0vvriQNjV3B7vENEaSu5giqGj5FcAF9m2Yd1t
uFMr54AiyEuUm85dXC/Hin7nDAOOHju8EwC4JY76xOYAzpjWv8oDFNhDH6vek2w5pqVvlNhVH2Qz
mFRrb7aVv5fNvK66h9mY+Q174fCqN01ziIfGfNAxhXtk/Rtsx5BMN9CwBIwzffIAYFHfF5E6bDVN
ix+b2MZthWXmcO6j7rPsW4MDRenuWc3T3LJ5pg/JI7Dq8WGZRH5AuybY3klUUT+O5kNhKcHCGpPw
INlcQEaN/XG0+W+zE80SzeRtbjjlNfG1ZH6jnqntUbjjWa/45FbQ3RFqRr5zKIXm0nrohEBTAsbm
AKCs59nFqKLWlPjlqTmo9s26f+iR3XKWvKY6wdfRBoobkJnBA2WJf4tC27thUaXjYFJRF5cjsjNV
FILqBCkMSGEXo5xblZ8T4W0UDjsgRAqwm967rdeRo6bK0pUnMjpkxH64lDyt/LbahA4ZYtmUc6ey
OdmK0RzNyYNR5zTIQlJHsM02OzeW7e9qYbTkD+B3BhQWHnSzZc82jdFyr19u4Gnbbfmgurv85cuD
mngDP4tyPCzPscgLOm6vVG+jMP/8LqPPNsi6laaWbcHk5qdOgJTkAVIlyZ/5Oc279iWpnAKxfR1+
tghIqNhdq653KYnO4bmaLOXFattE5IKyH4GiP83g+96sIo+PBcLZae65RyVqm1vMPng/pbYJDsOy
hXJK/91uuoflPq3HeCJnYfNPgxML7F2uEbaq8Kk3mscu5cc1JCq1B1vB9t5BFatKYqyKVayDU68D
H2q5UMjq1H3IKEgcu8FXn+HitXi3etm3wYhucgfVomFRmORFLB1cGJjBr+rQNnslCXhvTjbdXN0b
ToE519cZeM7c1YepzQzWxKDFRcFkOZNNOfBHX+nbCtpXfEDrQKXUPp+8uIKcR1GZ9nrZ9dpDycv6
ZnpaB+VlNHVQH5zmZxlgbJwJx+NOuBvPvdces2lAB/c//X0wsp6UIYWfCbnB7NWJg+hm9ml/nslQ
sySkxCL75KFgP3iTZ2nsGVgODl9l60PcGqIMVFMTtUIb5Y/LrNeyAs/Z2XpfkLfjhdeBP5ra1Brb
zlHK3TqgBkO0NZPM3FGV8EECROio4yOE5oWOaoHumQ9yQB5UWAoI4cuj7LBEoDzjDlNcKuSy3cne
wtPut5bKBrrAfhyggFDRWTU65Nn/LtQhh5H9e5f+WOetU0h9R9syBJNqV+XWLPiuBw2aoYLOF5D8
fTadc6wkaL7OUPUiy8wvWux/ly3ZH+qqetCR99vJPnmYs7TdAhOZALJyHdmXwRuUl8aSL9g4LiCF
6WBZvvsAi6C++CWlYH1mM8C2zrxLnysPMA+WIslwsOQIafvoOusqgNVLZ2F3UsV3syQFsOCLc/Xn
OHasZgXLPtX1AQa03y7IZM135lOmY8IiRynlFnfdU5aZseDwR/1Niyxj15eFu8Ovq7/bttXfUbsc
7mZs/uu4Vn6SXaboXwZFWFruS1sLlsh1Ys8C56SO5Rd5Bc3n30ZO8in97exsTnbrNZTuDesUVvRi
D7WdlBKBEAPL4txCLyRv/JM2aWBACrUh/Wq4W8N4lgvJvjC3bICTT3LL4POllC2/V9yNqQUm/8Wj
3lbbAM1hyC7D6C2n1PHR2JK9y2kT6/pe9WoUjdcoyozNhaXndDJ6o9iuMPQu1/tDjq3C1sgAOawD
eo65UlhWtzbsPvUafDtZVhxaB5rNBGdVDfVFOm3t1yrDuyqRtvTLYqAsJP7ul11tPaLwWgJpW0u1
PeteB6oObmCZf1/7p55qClCdcb/2yRAdjRrAPcrXtd9zSRDhXKLxuxL4WHTmdWTT8uSr7eGTnNXu
eCs1x7yYs2Ls/XScUSlN30yyiP+IUAH2+RA6+Il1AaL5HooG2VtZGLYMDUBWH/hllP0bhntxpRVX
iTWTiDT4NMfRqezbf7tMhSWCRJ7Jfkv1lqi16/fEFaQmuuTEOcVOJaz7cj+NwFE3kzJW51FV76sF
CkDj8SYVxGSfl9jVubMmvs3UiZdZ8lQeqiqqz6M/3GuhKbb2J9hjXOAB7pRaT9WNX/ThfWbXtWuN
svvY6YoRVzHDU9Sn/yzRCO0IF2UhzOW38LmJ8IAQ3cMoRVBUThCH1ku/aCyDT2t/7Gf9oRRZgbEL
itvclqCblGI7NaTXd7LPS2Jh+glUYdtYVYQqAIFLZ1bzwNkUE6KmKpMCPU+ToxyXhyEA6Q7xBj11
eLm3deB9tll5p3zwod4E2yQKkhv55uRW9uFI5fd3O3YxGYMgUWxar0xucmC0QhgK8rTvciGnBUNr
mViLoClP8nani18R0gVnP4UTtFzSladKI97nf14W3Yc6K+qHnkL0ZVLn7NJNYXaRTXkm+1iioAf1
P8XgnUH+3GjBPXOBaDSIk6frFXRXc5F3N3OKXTaC5fOgXdS+6e5FCsdxyNLk7wZ4qdv40T9W7tlo
+KjlM3WS5kwiNz/aeqG/Rk76j4ywc/9S6lnyBSlylGhYA8mcxyj0qpDFwaeLPbX+36YqmqAw3kc9
w30PNuy6P6MUqvMbjlw93mugzh9cxLCOZV4OwPNSqmyREXxTB+dmWaSko1bZ2uiN/WgTbcQ/PC9f
KwzL91OXeld9qgAKLNdrjLrc9ipAVTcVu6kYDV0ptSv72FBV6DiIneYoYpSK9qLLKwKbGpSA7Mtl
jJxD+gir9EVs1aI8uU29JlR21CT1DYhA5aCL3U/kV+yNxNmE/uE+8SP3PdBAbvSk6tMPFvnvITJO
LRr9FvUZMECrNzeyTx5idqtZ2+cX2YpmHfppk9r7toVWN4KpunZRxHqjaM/YwWDq8rtLRshBjEky
yuIvGWueQ+ZZ5m4eyTNszQ7lT1Mbn0vBuhmbThgmgKmEOv4N+pG+jZygeqpavDQHFeEDv2uwLYki
ZxukkfuVFCoie4H/L2i9XZBM13xWapy6IaaGRT3eur5CwVCyWGO0uqIyb8SP7lefDJQHZdDf5NyV
8brMXS6TIYQirqzOJd822GVbicOQiI0hqd7xn7KPHYPD6h3+HGiOFdKxNuWZ+jHqA7JjDUP7br2O
fI0oQSY1GvR578mi2Qie/8yOxWa3wRvu1HCbkAS8yNb6PkDZzg9wmn9E5jXS9eKtqfroycybz1ns
Fp8T8uXnAMDMDoRt8dluRgUkbg5BWjQ7q4k3OvuSu2w64Y3FUUx5zVE2aLIihWdF1lFqNWmThWVE
bb9wD1ce/TL7Kbt72IyH8XcUskQforQh/hBlt2SBI8+bvvAAvIFJfr9WZwQ/pf7Tci19VA+l4WNW
VBnZa4Ex687MwvjYelWGApkfPkRZ4QIoZ7TvKufZw4RRDgaiK3XbN9chh1NW/7bALI5Fkg/HDib4
a2POwaYXyuXTGKI5E2tfIKuX+3muwmuhBRGQsZb/KHucvkNbWEKRCkAxNMnN56k3gYF2jc9CTSzG
3LhPN5Woe8HWBEwdIp47pfi0ujlKwcXPAJ1FnFX75yIJw/04eO9n8++zdXQ9Q6JoeB5Bte//P+KK
CRQEj+Gjn5ml/tkd4y1VoQksI9hvFQmIbYye0ddey14WnLxXHWdn7H/mQ/OtVjBj00PfBVcRuE8l
eu/4ZkMjxRogQreQ6xSKWm3MTNj0tphzbOoeGO9jZ39aisw9O2TL7FpUQ5Pm2nld8xfyQgdW9hh3
DmZ37M1aP7jA474K0FJbecFrhDb1za59il2iX01nnupTVQGnLYazgW3K8zzlV72orDfDjdQriuxC
YNgg7z4VwwldU9DBoonNJ6wXpTCOMniqBqq0No4tcjQox5e8D7snOWjqh44P/q3pC+yq3PAVWWn1
avaTW7AS6M9j7/Agyj31ahvm3FEiB+0717VStbsC8tL0T5CM9T5Q1VNR5/qhNWDzpR6WWhDAtE2U
ONmrrVnjS5VnGzkopXGgwXy3AjKsskvzwB3Wc8AO3AwOfdlUXzK2bm7dT9/A4bKU8HXrQm6keWzG
ie2W6wcHA6LJfiHgjClJZpKpn1YtEUnPKa2ekvtvfRESY4ccIcSHj4IhMtDqs2Gb9KmBfY4FUk4c
5Dw/9VnDUFi12KVjY7orhsZ6NWxNuQxWWmJKYVmved3MT8gFnmRLiejCfLqIuvmT7FGz+FXFCRTQ
OEO6hliKY4fFg7yW1pOOrPENPMimfKU2jKA7YWVHRTHObXU/US5eTZoSPD0zNlxg54osnQ/Q3eor
MCoX4TShDoR3rqgXi/HRrVEJF50yKFbgyBxU0Zadehe/xyxz1sg8tUn0zMkRb73kkvZ631Lx5nQO
+D4CCtTOel/GJ1PJacoRefByy/ROmqk7J5XifFh18wWOBwbj8hRKMsw+rcdHO87q85/DHyKX0yFy
FB6P07RZ2v5gzBe0GiZlK0/9CvsLTLzOufXb9tIY8iLcFWkN2K3RUdQTJS+qrGW4GGnKtjwskfK0
7iGumc0cbyTRRvaheeo2B6QLfhEiAljcCwatU+L55E7JN4kU+0M4RG/USQ4u2LJ19PfACj9bB8PM
nU5pnH9brCTlhWWcp+iYumQt3wPUrMAHsexXO/Q/yZ8pyd5tUn47TXczRs18VNvAeoSplpN8Ku9L
hO4kwQHL92m7hrhaZT6ul0LtYAvMYmfNGVv6UY8eTHIMG29S+ldncNKnuJjPclB2dWOxdz27ea7i
uX/1AhuZGA9ilRychmzcF+gXHLpRHe69DvHMtIV8mJeEe1nqxj+1uAN9JZkgzqz0GowRtJ9tMObO
o3RZ6T1gMUM5eQiFoQ8m7VcCr0RnUff00xIiBzZe1g0P7zYQkxNq5x4zY6k6Fick1IsgcbeyadjJ
uIuLoF5G1T598u1Bey4iRX82S8G9cX7pO/shIg9CitHsQ2SOhL6zbPZzO2HEBzF0gOyPzjZS0GG+
l1LQS+gE/QUg/vTFDZHqNDTLJxdJ2B9XFGF4IE1fVmHpUkMEyIhtfm+orGeDUt1My7A+YeuVQLKm
eiRpFn2HMCYqMctgINgUtju8lV1Z32SAjAcDCIBW0DKQMDDv3jzckGS2PskubSJx4mnhpim4dChw
Fvy2pyeohCaaeqjo+AKJIQ+mqjnnLon+XbvkGXpHu8bs/JtsyWuUvNLWcgT7QlxNDuC+55ytRvlH
dsmw39ONicT88sKIIhdaWS8wZoSfbPQL4YRKQPKCQ17RzGqZVNdJ//wBmbwCnBMBdUbQBgV9v86O
y9wV65xkFGBLvhhApMj6Jvk10mbtUpQeiiSpSAtr3iURXXJceoF6xQwOXrYZVN3qYNV/88jQLkux
zHfr1z+anQGJdBmthvy1M5zknI6G/tx0sHBKAYaXtcWy4tvVONF/mjW8HVlqlMFyVJYaaxEs56JG
6L+oGhbIgNsAWFBQQ7Uhir6JFArMi9i8qc2oTbvJbnNWx0HFDp4RBbH7abPMyRp/iwquJtMuy5yM
ldU2zGpEgM9lVHySGaSk7yDopEl8WHjVa1vmomSMPMvtqd6y64reA2VbTpTDa+YKGjWAN5k6slOy
s6VLMWiRH5JyRL5quVdfc/MHxKIOiRQsGjz1RVB6T4aUJTIt3NWWeWixnQHuPcjUjkzmpE1rwI8s
u9Oa7qni8b0vtGK2nZotvl1d2J0UU7Sb3+OdZtNer/Fne+E5ZoiI2aFnHEqLBVLZum9+h8+sPIRk
w++K4jr3SQ8fG1OrH7CmQwc1A/52nzBa2bsa+WkZLPvkWVOQXI3G4zpdni3XbRBvYatYH5KKpCKI
FV5MvjTqZG+91z1mg2oO4a4pSwOjOisoSfilxYVPq7jIs/VQ+V74PvxHTG3XjAS9ljz0QmRRXGEN
MSJM0vQmvcpn0/qA6lrnk6oGxfmDM7IcFQMGSZzzO8haALd/D+AM92vGeikFUIScIZ+L6A4Up1oH
ODgUmo8reRLhu9ylf80VGlHk0e5Ohxb/nKr6C1Z0W60PNYzh8rPI0L7KyKohP5jM2bNsgcT5nI1l
vczDUASdcGRkLnIQA6gBZR00G+VVOyt0dm6PqIAcVSoE7D2Bi5JN3UQdOjFR3C3kHxRVCF7pNbtD
0ZR/bj2juhy6M5pPUX6F7wTSCDm2+NL5BlSDzJ9/dbjN+LcPrfDwIUjz1fiytJdIz+eJu8UKLSbH
pVZbR8/Na9WO5tVMMeaLKOIUoqUpGm8L/PSvUxmjg79HN7qN9rK5Tp6aMuo3a6cXV1vABsFFdi2j
a7SiAvVTPI2v/9GZSFJ62K9dQ0ftEY/z++Vs7TObGj6Tk2IUHed4vf2vgXKy2V8o8OFgJK40IDRy
npRmQq2/Q1jKss4hSf4JWYgEXwbLHpbD71Ff4zFGjYqBWAaCBL3ASL9ygzCaA2KhDayWIvzk2n/r
Raw9S3huqXX5QYW5uZNj8uCVP1QRIBtow74HyPhA6/+yQ7K97U5wxDfru27xYtmZXYYvnPjvAGWL
6PH6XyEDXfHO5NmsuxsdfYOHtX+Zsba1IdjVQZa8DLarTSdv6qtzm8/PvSK4b0ZzT6c6+5JmOANG
WuBdHSdor25b1PtixsuyRIisRxtna+A7fitdy3rpJ/sTAs7OV0qtAZiY2T0P8P0/Y1C1aebZ+ZoV
3XjMqJSAOyDMBlfn5ZjddJmmPcCRxqRehEWF9q2wUJ9E75ZEpo7SkYyHyhmjtJgMN+xzdpMFBrz3
o8tCrflw2o1euC0VxHJk5wKtA98cfwxdelkAjftkUJWTYWIkOMBDOBiiaK6o7U9X1f1HLaydF3JE
N9fr6ufGQe30FriRD5Mms69zBroBuBcM+WmMPzVR7m4MTy32GCPO+YOKt/BhQSf0/kT1azQ+q/pm
glj5OXaSGKUi3GxJuBqfjbZyDx1IVVLXNIPBGDa2hjvQEFuU1Hi476fYELx7Urph52I9FSMEhr2c
i5F7sElK/r8mj/QCgl6bpqprXs4M9n1nxI+ekwanmNLNgxa61gX8XnL0wYoLlkm9Q3zT+QuBjhbF
ZVuBG5ZbO4jRFmuRnuxppZH9QsIFRzB5Kg9xo1fskfxot/bJOZHjGZuqcrutj1H005Bo+r3nTrSi
ZeXZoPrhbsBDkr39Lxhtr1X6fUCkWnatkFlliqMPsWgDm+cK/MFJ6s8FBY7JXjhdV8G6KRLKdmaH
y86E1Dyu9b2t7uR4VPlAIkPn5x8ad7KZznG2z6YaB9YVDiLBHx6Kelsw3t1eNuVhiZm6sBDQwO+t
3Zg9iRzAJKGtb30B30grwNIxe2gpUCoP+ec099WntcMCujJVvUJGAzlUqXiKwMO8DX11WuaZQhMV
oKN90MO+g1NDU/ZlZlpdEkf5JLvkVPiG3zIzRpYoC0CNh67yNiBDf5inrjnIZqeDs656FBhk0220
v4zMj55ky3tBcNl8S/yqe8q07lNtdcpb3Izeg7weYimolYWI6ifD89z06g9xUhTBcjL+Xz3/j5hg
aNovETm02Q3Q4I+rNxsA4N6ALn9NrSG/ukkEPgww1l+NG/4YPGT8DbjLKIFXf3c5ZfHZ8ANsjXro
hMGsn/ymQwG4UJqtiTbz95Jvdlgl3b9R7X+r3by7Gx2o68llEx67evbdh/GNuZNhPSo2uyg1cgCN
YAT4XQ3sv3zw8yhc9ehRuMJ8p07z71Nk7kagZJ9tqosnC4zssULt4atpPckL1orq7M05H86odY9/
xSHkNvFCpWoEqJ/UHR6I1fhse0CyPSSiXpNgPLe2YZ/C0G42UzqylW060D6dYu7lxym/E/LTZdN9
yOPOvC2ftfiuWNHQIZQ36qe1rw6TYG9OVOFVebn69+WteabQ40fnxX9orTXGAywvd9aOsnK49i9l
RjE6TCRa5WjQmY/AropdE6jlbUrDcR+nhfnqFNj5qXoc/JORYeSGZP6cm/QpKL3uq6Gb6jZn8fRM
rQLkMz+Rh842k21iaPqjafnZJuxN9zUA3bOPvTm7ZlUWXRG7Ufau6uivhVtRBa4q599gh4xR9hdq
J3dPJA19kU2cW3SrIpKLe7dNySH6bqYtIyiq03ZkZCfEUETQOpE8UQ+XsjKPQtZnLc1Nnp2c21GF
tUTZba21lXNJKWuNkyNrjGxiAPurmLdW+ORITkFuA+Dh6zC2wVaCLyQMI+MntJvcPOQ3asGuy4sS
v3CU5x5kjERzVIkKRtNOnmTXGDXNbSIph2Oeg5kKz5sTj58AP4gyOSqmVt3zQs37f5RY0b8Zmd7v
sVQMYWNNxpM8lPA2b3qWH2sk5JYu2Z8600PFCu8aCTVt2WWbGCnjPYF0mZguByovaY/yktzKMA+B
hxaMvuNuSnfYkxFvbwhcZU+T0PUfJr859ORat100Zk/rwH9j5aBqAA70MWfZyjCtz6ErKsl8RWRR
cEbsfwqhnjMoZomonNIf87Dvz0YzVk+JS9I9RXnwRXW0T/1Qew+11+j5xqk8SA3N6Ph7tVV/ncqA
pVcGLLEtyVAKpHG/k50yqPL92tpiBV6cU2Rf2jABvqdVln8t3U/wqrwb7mjebQzwyt0ZQlx10njo
506JW0Q9VsNpNqovMtCjOA0EQ1xgrN1LULcRxnsiLp2GaG8Z/CfJmBkiJc+vfHxQrFw91FBaxSJl
+Jr3EdqgcfZjRA4LTfA8e3LQg8CPNJDLmCVCgudsR/sYUYIJ3hjA4EOnj75EjtkJRW3vhnXv8OZ6
aDLQzYMe7XANfTu39aIvfm9Nu8obu7MctXTjzHer+tSlnfrUmfGXooiiL7h0acfScaFuWxgxvgsy
atFlcJrgsa705OrWo7sz2Ql/78HaSUEmBaobu+IQnif3j730xqu7CLhu7Nx50/gqxcHnbgALqwkG
smolf4y1Suvc/1/z8OYYDhprcRwAneIemsFjG0Qu+buxuNt6Vtxlvzz772CQeSGwIBEiBpDNcc+t
mLVOHZpMO41j+tXJUaIZtBI5d9ARnsBEhEaMrZU4QzQVZl4Ters/BmRwNBTdESukZLPOWK8i3t81
yf5de/hC9BpJ5vRlrtvyjIJasStrvzjj3IhIZpLMj2GT68e5KeNLOfXtJVHL7jjiC47mISK4Ku/k
LzXGYtud+uF7Gec3bEiEnOxbhblGsKmt5LHM1eA7xnT6xgYB/9qb8FvAJrMnrje97muPy6FR9Ud8
5aadonfm7o+BBAQ4lAryKZHiGTbkMhHtxntjAL+39AW9b1xdVFhRONUfHXXGpiBR6ugkX0l2Tkb2
AzxOuQU8DQRNiZLu7vN3tbl5X7pS30WQo0nLXRwFM3YsNBGEnxCLRgeO5XE6AQ8TYBpN938ABde5
14vWULCbWx94WEn8MBKwTLJLTlgfhLGZfnaDpDrKtH1o6D8jDbNh2SIByLpYnq6HP8W14rx5r9w5
7UstZIAsrCeLNLK/Z7ZK1kOxhmfTda3jhLrq2Z475w4AtmEP6NZfhlZ5xh3KxyrbN88BYKi8Gfof
CtrZYgNUveoeBog9JlRX1ev1B+ylYJikfvtMkh01BkQTvwZZjiygafyMcQFAfPslrUf9Nkj7iT7S
Nn80myrMj56qZ2QUEFSPSc+fWnFLl/flWJhSNpr5l7zBr7f1NVYOrLGoPf0lW2u/jE0ifCTdCO+l
m+Yjn4Q6AL40WThvnQoalWw62hxdGyf4V7YmWGCfYK+/tLE63Xo/7z8ZVhYfHejhKMsz2Nv5+BIH
y5gLF2o7A/k8KqlhP2IMtlv1cf3GgjE52d6WGr+awgsRjn51oj5UY92+zP3bZIXtPZkDxIZNPzqR
tsWnONQBzYm+dcBmwbOpq/q9rxVnVW5EpxDH780azMPC9ZPxKqFLXWHZuPgE3xbE0x9wJglsauaA
Ty70F/zTJPFTJCD2rCfzjay6K3aiwMack81U5A5KvK8lwIRPFnW912DAxtSbY/UiQ0cz8SArKJqg
++h7rGKtvfxQbLV/c+y5f5AteQAAo518m3e1fsSTcvCaKUBBwOLpcf4ASASHCotWA8y1oBbDBOWs
jSFgihLLqDmjE5/JUDoYcQzzQ2Vm6tZFDPKILgTeQQ6KwplWj08wutsXtTSjh9YJ+FUlKk1vMh9L
HzWMqAVwtQLj5C91lr9jq22qA9WNAfuS37/rZfkqh+RMS0OyOrGgCoqisTp3P0erHa6yQoxsbb2P
XbNYCsx1UiQX6LWQskS9uS4Qv9L8S5HayTMloF2HGxqoICf1d1keAln6jY1dUbLp9DIWunWTkFkS
S+GxlzpjLGUNDTJXKixJJNk3u+p+O3+SHUqqJtvObZC5FeN+FLG+EeE66k5Q3kUhWjyWHHGoWjdH
43KfJqN1M6eCZ5bskocUD2fRLxsBPs4LdKD2+DWVwXRZD3NfQhyLjfFS1F1RQR2kbQ81ot1l8SDj
ZNc6Q555o0olqbwPjRFdOieswIEiPt6BmMISJg+/hHn2DXDYwP/zO33KdOqX0cyGr6ErGHh+kLyM
9TQdei1EXL7tokvr9ae2Ms0NJueIDYlDCmnmrvSOf6ijUlsGZJ8cLSx3unc4D0V4Mu9kV+tZZMao
xB8L08tPUIOw2LKa+rnwTZyOB+rWS+lEtpO6/NWO6yF/kG2nAkG1zUS8bDeCpVSZPU4jTVAdJpUS
imn1/tfGLRHzRI8xTvsHjwrCt7ERuiTIZT+NxazhY4ehsmLO0dN/J41C+VFMysjpfZvFJO9/mDSi
zo1VQtyiTEoGvNYV/U6mbluV+J+oek7aPmYTiQhDcIO4xJ5QHDovBbBtB8lp7QuAJyJYVA872Scv
YEHROvcWrO5K7Cdln5YLi1GHIkKDhQJEWg7yTB6CzMCy0a54Ymjq+4A2Bipwhl9NcopCeXgQTi/M
lQMyZL1KaWXppjUBdq59f1ylbAaERcoWnv+vC68XcYLBhUZ7XXvkdda/taqV5BwZ89Mf/cnA5n8u
4/hciU/UtAUoBa7L8nm7/vixabCZGYa6u8vYTv93Mob0GVBi/1BCgN0sfpm+jWZdZPYO3En8Nm19
rJ8MZdwu/pcDnMLDYP4f0r5rSVJc7faJiAAECG6T9L78dN8QVW1AOAHCP/2/+LKnqaldvWPO2TeE
HEoSK+lbRvHlbKAJKtceQonFGZNp/R5zmR2Tqb27QSQIPHFDYJRLCSmiG7Ki6iosFXjGdjQENKYy
z1jERm3CSrYezvNm7NhwlnxVelKcqSnVUfEIrNAmLkEWmdsLWB+aAJyjO+FlwMdM+8/V1EMfram7
uZhS0qjed/fhx+Yugcq/4pmI97fIUux6fKcJdv8hOkWxKIBB71NqMEW35vBUk1jaKoy8zJ/DWXPt
LVo15yk0JqbWrAm0Ff0Q1fLKh+h3cNWc4M1JO2N/i7VN8qMIgX+jIgrp0WYqqhUMmG4ROgho3LIz
oBu0YY0b1yzMw8uo8ejJ6jA7RaSfH4QhxVNSwdiZgSGzo1oej+UqjCtrTVk4syP20xv2khobIwLZ
Gq+kT7UdCGSAYOF2Daeu2qrTgLuwEU5GroxS46Gwv1LVrTM4qngjvjmUKy11T0eVGkCzY4Hypcfd
BRJPGX23WKcDrTFl4WErjrck7JmQhHLhkVLQohRHiIHUWMcGYFLab0bEnD3oxL82bMraY1PmAOCi
UPc0B1KvbvEr31Vh9Z9Janrbizr4ND//ErUxAE3xIfvcYhHi70Pg9MOU53zQYQVZLWotCI+JQsza
s/roOGfFVFaMQwIyoNlfW6NzNx+aIOiYqsWtDXVB+/CexXBjgTXI1DXtQpUfuqayuYLaYaXoLWEu
W8/lBRZr1e0oi6wd166RQUMUSJp9DCPEPaU+y/4vZR96/u9dRX86jFRFQbKYD/C/d5NkHb4nn7X5
49F4ZgHW6TBcaa/bz926AQ3gHz/9vu6z7j4e6vv27+po19svvCulX7/9IlzEwOylgv84pn//u+9/
nbqhXVXSwM9g7nuumcs+HtX7nv6H389SgB4+XqB3+Xc/+y5Jh/V5vjJHvK94UGJKKvJ9MW0o1dl2
9jH7WRNqN+HJ9pT6475zk7ndh1/7Y1f/Yt8PXc1HOv/aH7v/sO+/+LX/967+eF4aTbuDQDdEz6dT
/8ejnSv+56PV4KaSgKnwjyv9L/70H88p3P2wAvZvz8nczXxOPtv3//N8/LGrP/7ap+djPsr5zP+x
6z82mSs+nO65KweaZCIJIerSwPbOXQwYQJwHzJ59u1PwHgWu3ADsEIXRhI5pG9DtE5l5K2pIZXNt
18bgOky1c8WtByBZUcNsIG6nbiDW/KtDyoZQ6vEhtQc3ibGAY4WqliXr9ZMW5v0xkaEG+Qk+fHER
4K5zYT55MBgGfE5nl3baeMJxj3HKoXyPHG0EaOyY9GfDJg/jSVVJac5tj3AAmC2xGuPWmhrSLliD
QFRSFvu5A0frwguknD/067ERCmopfECD3guflTKcRd6NzaHsWPSMEHCJeHLuHOO+jJ4dd/gGtWZ4
Ck25PIaYA2iHF8oBBw/lQBCKKFewEStQ0AyiXsP0Qe88sZDQJ1gXVTkZTUEMa/8uaQVhZfo94EO/
Sts5SW2x/KEgJhdDMEYAVwhwuA2dZqhMLF0n0DbBX6HbsOcMZs6ICxUPrZ6EL33tuvsoiuEDXzEI
GQWYXrM+q9dUq4q+9UWiGXuqNXvx1COgdnUCB/gLBDWNKRwqIfG6yIBufwWx7RvEl4z7SI+hoh6J
yQsh71553vsITYhNVsEDK2B9d+FQsL3AhGEv2tw6eHphihXTIC0AqZnz3KKAMMxZGa9U4qCBAznn
1jvUNQxRp36KdtIRxlL3FpYe3gkLk88BYBBwldK7xwDCQJoUjxwrDzC5O2Kxga8tmJ5fHM8Cdq+G
jt6IBRkeSecJRmcmxBq7DAaByDoOlqMhEwVQ0ZQtIzfYAHZuLiEtbz85NmwyYdAS/KqFruRmDJMc
pCA0Zj10dDOgcFfUOB/AlYGEkv2rdhjLddz2Yk2N8xH0AQMKLWtqbFkWW0HFwLzVAobarAyvDSEJ
q6Nn3UhXKSRANtRYytJbWoNubOgvMCxqwU9JC7fUc2p6aolps9rSvhYDNlu2Nts6Gly77DLCij8O
F75NbX4ssJ7w4jlwbXExzRzzRHvwNBsWiVNxZBWn2OoRsx3H+IV1SmztpExXVBvpsJrXoD6/o1pI
6H0H2yY4W7LoTl4dnPW2j5fcNQIYgGvVYwOy5tZlHYR3pqxktXHOM/eq9UP1yJpKPbZD5oexTO7j
Snu2ADU7gKY2biyZSL+trR5OdB1sydu82yeek8NyLPsGLcDkvgZMfJNN4PnULMDaE0MXr4Hxh86K
ZxsvbQJtpNHMqiNlG2bBtgGfRGvy0AkG+SjBJS04AN6F0uSjrSdQDIUIwj5NwMzC8xKsS9k7gP6x
85BWFrSITOuOAeO7ax2IK1FZBIrxHdfDdl2G0OimMtrIDHpUdeJhQWjal9qZJVblERxPIWSLrqjC
rLyLalv9KLw4mhzO7kfWQdrCAOsi4XuzEbidA6fH4rInseVQ+z/QhqoEHt1bttaz10HBliwCMEmM
ME+04zJ6AEQbsz+umue0lwh9wPTyq2zkF8gsQahnsOHAo2S9qkNrWCOyUII1s583ZqIU/KunwjpQ
v2oCrFMvkgb6cT2T1TlsvzdRm5zg6v6lr7xs41RQThtFYAEBai4jyPAYrnmE4eN4je1+KRon3aaD
qjZc1uEdpv62b2qFdZWpfs7BO11GwGVv2tTZV5YCzRY4CZ8latw2rtynVs3vnMrmd1oCOLM5Yt2X
ygxpQQoTr5yFiob4zjD4JobO4CnDCe67NNhBQ1KDHB42lRWWG42H2QIqCtqJ20677uNGLYC6qmvo
bYOjcktKiShz0bbJqoYyyLGZ2C6UojYu1ohXtZ4nfhthPckA6CHvrEuWC/1KJVhimAxNIg40HBpQ
ReXpPUQIoS5NZRY3EoTncphXTBHx3vqWwxbyPNveOzV8xQQwL0sqo02ee/mV8Sf4qicXF2Gsa878
HCbhj25iPcaQQziXaV09dRMM1AYh7aSpsHqClh6Y3uAAQTIIk/NAhvLOMyp5h2nHZog15+RC0gBY
AMgp4qG7nwQg7ws+mkte6NoymqKBY9HnuyQEBsOKRDPJ/S4AJaxWQeU6vhuG3cGt431a9u5d43o9
2BKRuQqUSL+0WvJXXWrdXTRUOJUQLkUUtMoWhqYhYpSzAYqUw6vVBc3GBljmHjHgyNKXbTg6P1zN
ucK+B/Ib2RQxrBhk7E2r36UuliCsOs4fqAzYrlNrllBDLPANTBOZb5kox6M+aNYGYZHYi4DlyGx2
bSopl9BGFM9cdWoBpzoF5I46tbxji8o1OwRCBn6kja7gEThnKWVJnm2xKv2Qlw1k0KmstafAn8P6
Zcpsvh7gSuaDUD0cBxde36FnwhGSG+lf8GTyvUTLfQja8m1SOsYTvMfiZccgqBFamn0XpJoPk6hx
3zrTGargBrcqtTRbaE38NETTKjXCu2bV9z/toX5lTmO+yNAD3q5OxRayLfnaAWDY6S+wQu0vEcZf
O6uuexiqR8ZSFgnzHajXn1hWBftBQbB+NI8Q8oUYils8CN1atZoCbmFwvlotS4/2iJXKIITtEJdF
fupBUlx1bTe+aDXsHIwNviSmtshz5l35MrF750ppsGK9a2kbV6n1DnC0yIVBhTax5S2AKLY2c9lQ
8WIVGspY0l5UYcSjvu0NqFvOZVDIK5agPX4pdMyUCwCznoI0/ZGKxvhhe9VilI1C+LPzFqCi5PeN
gMhp7+nwejexEidbDRS+xIOTap5/yWHeWXixdW0RDbm6Kf8xuEb+pW6McGVabbezqhbRg6LG6yyQ
IPS2+X3Nbeuxalxgq4B+461bn2sMKyC6DTSd3QnwzZNaLqk2D+BmHo2ludG6Oj2ZZW8vWkA3lQWJ
TafdG0atrikEhB5HCdamI+we2CTubqOuDFcuECHLXq+dSw8dyY0+xhIuxZ4DlzaQjOpebY1OyQ0v
ZXYXgVoIMbc8/JaFzr7M2+YlSSus5WVWt9PzbLh3O7weqYUuhjs77LwnPaph+gJS0VYYRfgIaeC3
1IOsHs/a4QzL+XiVqiY+GLZy7mqXY7QJEbu3THU/PKvj9y08YTCahAh5pTvla16sORzSFgacDB9Z
N5xCrzP+MuzcWA4js0+46+UB0kn52s0FgPMRJPNCCaurQvZ+pnjyloPSMykrqKsbQ42D99WhSGuJ
xfy4WRetoe6diBUQm6r5lyFyrqOKQBTInJPhZPHP0VZvYH6ZLyN3w2WH0M81NuE/z5Wmb6DYBgEN
AZ3GCMEXrUlAZmcG4GesOkO1vPjZskmeXoeE2mBDparIHgy9cn7Yib3inBmv0utKH45R2Z3uxPFW
t3m5K6SZrpqiSfw6wI1qNra1nRhIV1E1zK+NXMFKqgc4AuA0DPmgUJtWX3AtxVKEXg0P7KraNS16
A9YQJIHKLvHQ3yWQGHsE+5FD/kBAEK6s5cqAFsTFlEMANX/pHsMcPMcMV26fgxiPF24JlGkXXqFd
Dbi6gdlSDHfrS5nYw9oTkI8PA6falEEVnrhZZFsYvHsHTybxzokid18W4qfjQDZG77XjhHWFmoIJ
4fei3FGOymnTTS3mZk3kvCYJazdz0dwsCttm5SU9PrKK24+ZmfvlmHX3+ZSD9+Qri8zh1NkNjKwi
s/IZYGA7yrqDfkA47200rewMb7fiCg+U0G+kyjaUTbWmuKYm8K2OhSX2qQUVUSUi+sAMak0AUEJa
AmMMQaJchO2yHLp6kSjmHjvRdk+t9dA3sfoJAp6PDxLAJOKLIV1S4YJ8BCJ41zGu3/LOADbKY98b
qGfzrIbWdWxfMjVcZRd5+7A72yDm+3rs3Es3hLkg4oKu38JcfoK9Aa+cTaW3JD4Vg5+FY7GG12mz
sxngBbJ3y2eTe9C9YEDmUtbr83bVK8yZI5P3C45RxZ0JksWdC2LdojXsYTeXyTF5a3rO9+MQdHdU
nljRne1UEuwMfKT9rufbFAqDJ6qE9+53yPVmgNbmEJ7vVPucQhhk30Pp0IfDscIMPn7q2hQu7cHw
FHCZL91IfSVoJBTODIg1abCRoDxtAFBDYRGFmyJiMKVHEyonrCVsG92d4TWnUm+iA9OA1tYCvHsx
qukXttl2Z17k2n0wOBc809kX2UD5F3Y3gLtMWa/xVgFGpdI6ak4mMJqK+2E3ivAeVhb5MfJ+yCyO
D21s5cferq5GXKhTHhocHqcGuOqG/qRXXnppZPVYOJAM6dziOnbFXy0fjJO0pXEC+dVexZpW+U0Y
xXdBwu6LUjcO3ZSjTTyk+H9uuye4lQs7M1hxTziuIm32tmHCkNaW4C2kHNcTlsTcxhNfJ921gm39
m1G4YhHC+OOSB81fjWDOesibHvdAar0MqYKf4uAdAlvkq7IM9paV9NsEM4eDtG2+UTUM5PoEawEc
8aMic/kybLOtV3t3sZTeT0B8Wt0G5TDswLkAufJb7zLMrAEDenHABPRbxJg2Dn4HyBBo4hqB1bxZ
ufOiVZDogtT+Ii8kpHJD+IWYRjO+8kC/KLwg710vgLSUjS/sAuq+gHgOZei3cgR3V2JRcVKaWGmu
owDRGOBEx/TqEMoAYVFRen+NDI645jqXov2ptd0qx/wzXGjy1Uov4GnbB9p0vXAO8KnGiygu7/oO
EuZj3UW+CXbJtyRjyyQYzC+hU5wc6Mxj7gWhe3D+g82Yus4LYDAgYLfVq1NwzNQNWOaWzcDuh7J6
A3E02GIsZ2wjqRZp0IrvcLjoFq0owrUwBc5nU7YPfV99TUUFECmQlg/BaGrQn4L1L941O3Bigi28
puQZRqzFCrgYSIip+Mr0EvoAZjS8sAwQRY8p70tTVt9r4H7esri9EyMHj6nMzLMuYF/jlUI7t06d
QYot/S6T2v7ChKgw2Q68fQIfgSuPokcXmsRw6DOeq8gxLoD3PVOu7EqFwUdaLwpTThHF6jJjiYQO
MVSh8ng9ZBg16wPcqbJIfyys3l3owqsPDcw7lnUe2HCpkcE6V6BwSBjZLaH41a+nMO1OTiFO73sP
6+Q7qF4GNuNnGTreIsFa1trLOQYteFWry1xoT9kgapwlwqLFwoGkH+zHoKIH4hTcpxtI97aAr+ll
9xXIUecVmItbYir5XSX5aP+zjZ70zitHY+jR9D48G/Jzb/bRAs+bBHbE4destL51TVB+0fU4WoWm
6ndkZQWSvlNByWxhtZG1xF/ACg8DOgpG122wi2BNcKl6EIQg3he9RZgVyqH0nhzPKUF7t7JNKVzv
JfPAuFeVeMMCmuXDV6s9VWBuVNWSFIdJhphSpEKssc455vL5Q/HcFIMnHxppkLhvxcKLJj8PM8QS
TTuoVT+ZlrsZF7g103Q3JHp2NbMyvybChttuUr5SC8xwJ+p75AKtCHpivg5ZCH4GjIOuQWkaWLwc
y02Ue8NDUFawrp9ky3q4CprZIN8w0ARJFKvn3ShfBg8LXB4XWHfjYfGSmFm8DMLC2lGtpTfPmqox
/RRp/Jx2d1QamGV5TlxoDAeNBO4Dkhv1zquBWgOLNl+2GQM5ZdLQBA3D+gZUJwaCuKSDhg+XFmjp
Bgcq72lTMWsztLFxplxuCrWGhfQ2jWAH5tkObkWY7301w62mRfXraJuAnzHD2NlR4D0WSXuB2Hn9
CvRa74Pc0p3cIeTHccjEMnTr5AuX4ZqAzaYBjpUBoBBc/BjH0wV52n+2GG3cop2Q9h7kwydTE+YB
3Em2lExFb6n2AkJA95VZQluBgOrsIO+YryrR2IsK9ElM1nLbb2Fj/SAhg3g3QBbW0mr7oeE1hvRM
vTJpAxBoVuUq03KQnPEvFwMD0adI9QJjARd6XUTyVYlalyraG1BIOI+ep54LJzoAktLfYapeP2fW
JQ/z8oljkfMBTxhIFSh1zCS4jMHwUOQ4C6GTtksz7EuYzutZsagNTW5at7QP8GbOwf+EBRTYKPe0
MTxIVagYMlkYG7aJ74KquQzLPl07I8wxqU3ZucA16tD5mnbrBqO5Tp1ELezb4WEJC4bffCxbByBy
dJsQpwgcLdoAVRfvg8T7crPkaJyLJmMJOnKEU67Z4kUkAawyINj6QmW5CU/rDymqzaXzvp0mwfOR
br4wB+0vQa6NrLIOmtfFF8AxbaxdJvEqApNizSbRgrGLo9PUFgiN2C/MLlnbxPaYxyxEDuEpBmBC
Wa5PFZpuYqkAQzmtXwKd195TimNl95byfqc+q4Vi8onTI9KGOoaOfOFAm/B7lmPRTg8S5wG63dlm
KDCBKxwLjrcjRDH4KOTb1BaMcwvzwsmhQwMFhjUWMOaMAXHdOOMF8sMd3qtQNepsyFhZU0X1zwra
wxT6JW7j54jXABWJmD0JaIdtKKsy03zCfMfclBLRdPAFlyPcq/caMLRXrY4KXxZG/D39YRfM+maD
PQE3eUw76lGYewFk3trlTH8OkvFeCyHXxILuKR/xulC11ULXpVGrIHOfRKnzAgzJCJbmms6SU57H
0Zmlhbrg2jQ7rQq/tnqAHBVNmxBThZ1wxVcqyqKy2EYW3AVwX+LBDItvsCsQp8QQ1sHMZYO1ymvn
NP1JENUWlLT+BM8b5IEe2UPI18nwsG0iGGdByA1r6RUYtb5RY4K4xstj3A9AS7YTYUSYEIG2Cq98
4IZoN2YIh6AM5P1rPIHq3AH0ok4bcogW4OUNmqD5VJgtX3a5ZWzICW2AZPFS5/DlJq8zqu2nxvrU
uJoaKwWIvJn04uLJQF1VaG57riB0MimeZn0AL9g0vRMV5Exxx06eVSXfUyVQz4DjKkQOqLbuvHw/
qgIqW9OuXosoDhRqfRW07ClrtXRdpyqFYweuOoQXs/UYVsVK2ukCLpl4X3mNfQDXEg6ZU5beYboW
rqHF3V2pKAtbtUwiFzcpn7RnJKhBuhGrO721lvjYmedZSW8qCsOUnQvuddckTHzdAbMUSzX5Y4+x
2l3MYH1LqGOWBs9a7eona8IdW7gBl4Vi0YayvSOSPe2q9VCey8GuXURgEGG1eEyOOrOgLjznM1aP
S+BxIH8wVc8VgmUFCCOQ0dY5vDpUHA8HGwtoT7aBlzA0kbF2wTIYoCLgWfAi+j6GPw0utR8pyIMs
12ARV9fAxLKwOrFBhIeUA4llq6h4yGSCIOnohN9V97NWBXTv/t7HysZsBU/v6qRXku1EctcGXnWH
aV3hwxdGbW5vesobHhBx9VTtWbzHsGTsl0wN2VK3HLEmBCptELSDvJLSf5URtpTadUBdrcfpclC7
QGJqaTJl4wFD7NTXNGBB86CWj6EF/CmlxO/UXKt1iEpYsY6lVXDp6q5xL4UtPYyewvYttTgWE5T5
HNfgT42NkBhCO9VTUwVYckeDnsNIDxqB4V2fdBIrQ/DFG2zB8NlbUwMrMAcow+Xa3uKPw2SrDRY4
AhxsBy/D7JahYsQm4i2TFoJMU6u5aW1Z7iIWRbqhCujkw7UvhS9mwTjMQ7R7Gq/SicbldA+sBS11
Oq9UTkVC8fvbqaesjRZUaU2W4F5Q80MAVkPC+JHGQsKzon3gGZ5PWZMruVIQMtjSIIj18JC2BnBA
qdZtfmZWaDwZpTdeh8Z+yFKt3eWeAPM77aA6BlaBxGo7PIOD36ms1hF4qdiBymkzN6NsFicQQFJ5
6c8VkIRMN0yM6YKEcMMmaE8IcC5uhqhURpq4+FYKxL8hdUxlc4UbYbHNAWLen8uwaKvvujh+ldD1
NLyFXrsXq8bqCkHRCaFOgHUBot4efpFnKqJKKqdUB2oF5HtAA3kn//x7D2qSmTJii7l1ObWmvlib
r6uJvka6i32QlnsGuehZ0pHKE/LngvYa8N9gswH3CaAsFne/Q19g3PTwaN00Vti/WM24uS1LAnLu
hyKxT3lTWWfOGqDaCwM+Rjw8jkCRPevRGG+9EcRAq/XWGCDpB9FId5sPnX7Q2vA/UphCu9vP2oV2
eKzpWz1Aaqq/w+Abmj3yqEnoIdGAhE9xicAegh0NSBxRWNswMJRPtZ3GoT7n9ReYb7nQMsO3AsNJ
kOKnLH06QCFsMMdElj4sfR63vlKwWWBpJCYKCuD/GmyXoeUWH+knbKFr69TDu4VqmVemV6FnG6sI
rYuNYNhNAXWwTlGtjOMvAVRkNWAcjlRpppAAH6CxtsFKgbpvvBrkqtSLoKaGLBSc6nuZ3CGwV91R
SVLX0/cc6vZUp2UZhGo9B1JzKVyBU+uLQgxfrlpzmoS4Wbgj0n/ujNraEHkDRioCJDwJoCReW+xF
iggqaKJ9LHUGgrndvtRByV54NwkMpixehQ1aVVXdYEWxY+Xb7ZOOpXUdEgeiCe5uxTljl6w0h68l
pqnLIPPKw9jA/joq46su7UP5S8c1nfQL7NHLz0bQaJuSD846RhD4qwsfyA4e005fsHU2HG/uhnEL
d5gGwmZxldlHDwzVpYxj70laUD1qcABwCH8kYSU4RSEWYsW33FRHOdOu2dPvliSyNOf+rjMN24JF
DESEyIGJDU7v9xmMNEvLgQFlI/m5qSBqNSmN06bDaPVXCzA4YVEJ/Z9GWbcWtNPcB+3ANcj3/O5j
SCx27U1EDw3QBUAYSvZabBiPlVDjKtD6fI0FEANqEUO5AzRE+VTrFH1ybtvgKUrQVoc/4qPBV1RF
zeuquOgtTy+31ga0aRi0mvd64IfRpEsEv8VFzft0y2l9obRBjTUaXa3tiYDHpk05qVl3kdsfMKDy
KVdOEta31FRJzbCO1x9Aov/VYipPStEsRA4r3EEUrl9GJdTodVjttRyAgcGtXiErN57sMNe3Q+c9
NkOqn6iIg63QL+0o9iC1F9t43wygrpTttGBQ3MEdZgBVsdD17EQPwDhI7YgR1h3d/1QExTdol5qI
+8wPzSc7ISxye4aolQfLy1Wg9/XKzLE06/+3HaJgVPfzr8y//Hsnnsh2q0q8gNosL/YWmKB75bTF
nrJMN2E5nQvlI5xgway5xwBRDfnKwZ23tOGetioiKIlgodaXoFdmqw5P4IIr1m7Nvjc5FiPFeNa8
H7ccs4bs6HbtTsci3Do0Mxz+9EWnrzd9/G1hZIsyq3Cyf1f0XdecW7wwqIWVQkBJOF68bhDbuvZ9
H65xsxn+qCOqUQ1ZdKWKgdlXuLSKgzF44iwzxN3bQVxdFWs7T4cgomAYHvdTmUI03/Ayz2+hwOOX
ppLuHtoKiL1lsl6HOvRklzEL9FM2UUiEjA8cgwhIObB8YYeYqy9TvWRHpUP2F2y1oIUZX/dF4tV0
tEA+XjphivhxAQEfxBA4VnCT8kwbDQaUt1RdmxsegmNoDm7vg4ldnYfcxopKFIAiIwoIRXJM55Yg
b1XnOoRnDshIELFutXEZ9VX5YKoSNs+BXjxpJov90LKqF2ljJoiBbn1KUhH5UQ1jhhiwN0A/GtzI
1gDLdxfynlg4QjAp+DrAMGjZWUbxrBVwUyjVt8AOxiurLX3jQihjDUibu3BHqzklHn9IHBCIVV8U
mxxLRMtcJX4UygGcSWySzOjXuoDpOZXBeKq/z4L+MZWxjpgUbFZLEHGFFgNrqNeVumBsX4Qxz1ew
f2hWwtWSZakxzDYDEd82UeWte94GxyGA97ntwZ9Lh4r6njYpAMTQ68zkKQTvb6k3WQ8lHtt7LrEU
sjCSKjuZYR48x0a2gdBqCGYjXsGBFy2pVWhhZaUF23HBJMwfQ6OXu1YO8lZrgbADF6a4x/ABfVSJ
4S5415eLzExNnxtZvg8hVr+H3tSv1FxGFbGcyNlUzU1A6YBhQnPaUMt5x7lsbkIpSOvngCTyYdWY
7deB9Q6W2gR6kaXzzySiUDgUVwBdO07oacpTU0pRmTbUIPo+gXJcb0xPFHuv7NudUxePLPDM9Xz4
Iol6vxqgS1VLgBB77WCZk8UX4Av7bgL6swkK7oz2d2k4BcAbkb3w7FDz8bKopzdGvS+Vi0W+OR8r
B5IUeZ7tOkAdsMwLB8FKRwyb6AHUaTeasfrLmLpGJA5R4xoYlH1hDGeFiD7gpeWqsqIGomtNvOUx
xnWxBPbDt8ccnAEnLMD8hbVAfrsidOroFNPm1iioTVySW5qKqf3cFPNCZ9trcA1L2jzbqgmnPBh2
lm3pBEq8WmvQKnEBugZBX5iaTqcdGhE5XK1yVl4HdupEgxjBVD6ffrqYVHa7RHP1XDOXUWre0HWZ
sx/aNULHNa8jJ9hakGWAhwXC+bjAczON7grKN0AVDbeDToH8HHxEdkqo0qQtMKw44nkzHzuVhU3j
/tqR8nRm5taU+rDLh+y7Pz7vZ7QVDh52hJi5Jv1jbDF3XNEdUHMzHf0WvP4lZDWwClXbfbqiy4XF
7nw/X+g5S2XzFZ2zmlYAkDZfcKr5uJ/nesu8AGVKhKYErkYvdIRYawn5D2wqxOhwP2eaGn0qwJuo
/pW0MkCb4czyOLRYFuzl3sa7e18hfI+bc0rSBs6z5ft8JiAJ3dSQI6XrM5+ud4/5LXk7u3nlrFov
WHHz2+BisN+G+GpPm3g6H2z6nc+yn5XRHlRBu81ZKsOK2K+u9A7BYV3rfraJd7w9qfRM0qaZXgSU
4kTaoTw9yJ+1+awMUhK4LHPNx1+gGur29gtDBmxgVcY+kHZYBZr+9nxN6SGmC/uhbM5S6sNun5X9
sau5+w+7RR4vsWQTtgsxvSOFDs/JX8kp3053EL0z39UUmFSn0LZA1ZBlSNKulL91Qj393n0A3AJu
br8LKWW25bhRTbqlzksohi5HttIgd3l7nukxpVfX/FH4UDY/yXO7z8qkMTE36FakhnM3VDZn527o
lp6zlLo98XPhh5+au/nsl1rDhGJg+JSyGmrM09f09vb7mKR93xXevsQfS6nBu1aUnBtFomzH24u8
o3fsu9+iVh97xcgr37XBt/mlYU+gsDmbTC8WertQGWUp9W/b0b60W2KlyzE21fb2Wp0P/fZap+P7
jyRdD0FvckqGgDoBwPM6nwj61NC93Rhw/mEtyO96GOJmpldYioBafaCXBOUzwBYnAOXvV1wJp5Gm
fppfrdTXp6/b6UM9P2jU5EO7+Rmjijj0NMS3B/32kf/wHH/YN8g0rGLp+9vBO/m3odDlbhq8jz7E
Q6Bo1yFwYY7p2sJCC9Jwsf97sPZueBDRAIMOZN7QUfMwhqs4WzkIbqzpZMxvfsp+KDPpLAK9RoMz
FUX6ip7ZnJIu4NFbC6tfG623vg4Ato8+jbbgIqSB7jc99dQ88JrHLoKqqlDuuzHo7ejpOqrW0H4N
NVMagN6uKQ1AKXm7mecrrWDLqwWNs6WbBmJ96VIb8wHiob/PCP3j26Wkwnf535cReD5Wjf1uvplu
99jvMS91Tz87362UojKq/SxLZZ91lZrKgmzK0prm9nRw1LRO5F8h0LCYM5TL2+uWlZjhQVjAA4oX
U7ikHRaQT/nRTKM7ehNRCq4R77MyyrKVkxk/Q2aW+6TBKiSQeeU+gKLmNhBYaTi1pQv1nQgxGEMb
oZnQltt3nzSMivF1m7+S9GnsZZyMficlSK6IIyyAPvg2nxhK0UbZQP+zvF4r89LEYO/P32gNQOY1
kIpnaqj1trGEby/mQaBTo+vpq5wCVbhVoDpBkQtYYxglCOHcl8oDlbwvN/TOGasUQxkJBvmqxSmj
u5eebM9u8DEaHQfz/Cb8okG1DhacRbZolLKX1MRQ0PaHDCI+wLeNVeH3695Y0pmkDcZC0M7gOzpK
ujK3V9UAg1yo5rkPVFbGwltgieXq2MP3CKyaHfb7cGHSTssQE/9Oj3gq/4+9M1tuG9vS9Ktk+LqR
hXEDqKisiAY4aqAmynb6BmHZMuZ5xtP3h808KaVP1jnd930hhACCJAjsYe21/iHaasnQcSGur076
lewmjdsf0p4U0bJM1wRKOVk5HffN8oUZI92SbkRNfn3cb9engHveInLxFT+kZ8AdyrbFMmLxO2wo
jolKug5PsMxDyvb3yXWNrdXO9RWBnrmlAXyWF/9uVXcJrN8dvXQ1GW6/te+xdeoVKkFm4c+Y7e0u
anZKZaTrDrJ7XW7ZuraUbVt+yE9j0KV/y4M/vaVSKNtGFfKIrMVnzJ6wvJGBaVDsShN1aNyxqB1i
LsUgD/vLy0en381T9WAOJnkgUKLQ9g/WmD9QOPM0tGzyMLgRSernS/cg8vsydu2t/NYUSc+14ugh
l74LK9bdtCAay9q5kJXyLKvCuE8/KGXL8iQzj2bUGJdF6mUVe4ksZEeU/fwtOPjpmCFXC/Kcy78/
vS53/+cA4/Ie2Qwo3+7UtAz2bTzuYJHZl+XS/xh9CKNBd7to95eB1uA2Zp+bLrL2b221EKYPZmg8
yENU1JlP5Jhy+VcelfvyP7kRocJJIQ4WxI/jztQXxDfw8zFba/s2cFzCYNl6/wy59VI0x7SZSvxp
yX78mYeQzWRKROj1WHvDmsnedcC3UVR2yks84y5qcmBMIb1o+W4eTQfZIgHAzFANdB+hiWCvadlO
dj/5xKm0efoQOwfZ9LpluJwgvzsj6bYpyma5hIryyn763r87FvXuWpqNb7qBmdmvJqHuQHHdXYaz
Zhx2aFfey8uWnybasNzn3R/pFPmJ9tSqpJCiL3pUaMvWVhaq+dl+QSdZvv5uhpfXfZkoL71HzmqX
7iR/oaW18dXyJBpz0zVKeXjLfOSDoW/6RSu8dwGxquOAWZlmcWnW75rgu3/lxZtpUW7CzuiF16IC
dyhzm0kCzMEuS2iFco6X699WJ6emUM0Oq3gH77I7JsNTvcRin7XmzihsYlPZmuw2iyDedEindy9B
s3qQ1LWO2vy6spY9Qn4xNpULhR/AeG/NTzasn5toO/aPeRlssKc9LE20Mu/+kbV6dwcvd3Sd/OV/
8i6qAL29durwz/1z2DL7ct6Udcyw92ekABrpajDzT4z05IJQWFtDIqsQ8WECUIB/JKOwXINe/pWB
3mRGgnLD+hnv/l2CiiRBHcQY+cUHE0XLjTxbtuAorLm1cr9DRH5lvV1CHPl97wadt17fEO5t8inU
LzdJ3po2irtNVejIW8tVvUUiYa7T4wBbbvHNRJ92OgVs2V2NvHuyzAQgzGXuH0kh4E3x5V3INQNf
26Y96l/knGfhuxSCSfXqLTdD4Ai2/sI/blX/tVsaFHJlDCqbpbzNXNVVhPb+6ijg9vu3++9qFJKS
db57O3aJZbv1dyGOqF9yIIVWf7fQ895m5NmORX4nm4RsDYo7L3Tr0R8XSEIH/FtAAzEiyW8Wkx1v
Ixulx3e9Rv572ZSWl+m1fcjXFkNGzt3WuN8cK+SL1wBWadS9oUEGmmbS7tjOm5e1v2XnsCkjlahs
HeTk45D/6Q2qjAjW/zmSXi5KvnZpNFqqLlv5rzwoN/Kpyf8Matl+8Op0uf1Q9eWGCvjvuCTpl0Wd
E5sFcDWlGgGFmgHuW+M/cnZ23yn71q563R+RopR35hLZyfHIrAGuH+S/l0SlfPiXfyenDa8s86UL
svH4ttbD8YBAzBS199MicO4CRFmXDBVNbXmC/5lvw2z2MpEDuyOlFKk/zOg8UfA8zHtrfY5I+wAi
kO1EDluXR2yDw/XS695c0w8yBlzzqNm6KdbNggjeNg6zj/KQ3Jj19YAbwFGeXkT3rsslZ2sUPK09
UnQNZhP5s7p8HaKbqbnToYBukmI3VObd0BkgWxTKqrYNNqLVJl8T0FwIFsKsPpjgwZHdjDyzofEI
Cn1bFlu9pzQa3pmgCe8MR6R3/WIYR3RW78PViStOimUfKPF3wGxiUyiDsnFr1IBDgEkk8+2WUntY
ntFOtfzObP7YrSqKWWgRGX4cWht4+dlV0jvRwTAMZS+COIdeS6GiXBzjoa+aivkypoC67uK08ynW
rWanL7GHSWhwv8znxcArrwD3d59nwJ1UN7dx46H8NigzHwgwz93FUBaf0vlHC276vhoqcW91tBUl
a3qo2zFKzU7sfmyhsG5A3aqMcIp38QOtw4AmNcNDVUKomN18g0/1dcHioVURV9FRAYgV1QSnYJ2c
ZHG50E3sTtF26Y2DEjbJl8r8tBiRusf2V2zSUXnU0hCNOAXejNFuiqIyPono9wHmULvGwzgoYRWw
FjWxtaXw/6Md8z3yl3C9h+aHga2c4icaoS1Iyw2Az2WDpFno11lSb5Z5p6X6cqU6yce4nyA15Vgi
oeeuek1SjjthmsnNoOFcvXr6FIqgr5biVIShV80Mjr1wEPO3km6vYY24yZLKwLg4LI7Fop25HuNq
AlZw5QaUHul/ZTDAwMzlFiicAi/IcjFYa/g+SUaUmzEDmFwv+uCL9RPkx9jybKf7vhQwFbBsz57d
8utUQcyZ3dF+jtv6o6V38Ee7JL/rxgmEZLQ4JzHOhW/GVrt9m+AvyyhE8NPNAvvB7xFXtfuqOKHl
5o8hNwHn32t9faTGKlgR2lG2kfN2bwaunwtj9kXvTqcs0gI/QC5y46y7qqHew06ogPjoRyXHCx7X
Q8pdsT5vMfnR/TaFlgV1oQdNXGk7vUBDcsG2od4XbuZlTq/hl5n2h7wakKCPp3QT9qnY2EsDzVSN
PRx8w9Pbpod7deUWOSA1nm5tUjNjfbpyzm7nwNKw4UHLbVCaB4wg4PE1k4FNmY96d+zrrhV5nSMe
3L5IrqmuBB6wXJDUygAfwW5TctsPQaclsDumBDnEUzeCtr1sZlPgFlveJ5lu4bQVf+yGDOPsrrK8
2smPqZ1iAhDa+KLiUAKsXolOThV2D4vZdA9t0myHAVE6uWcUk3aTj8Yxr5r0Jl03mY0sfjPfLyV0
HtOdwOKGr2BDiodlSQ9NaU9XU6ptXy00RQGUOcdEH4xrBPHrA2L73jTVpQ8lOMKA2WIOonKzmx0a
lIM4xsYMqslT6sU6Wc2wF3beHpuxBFTGxHct/3vbVEEMU8hIt6LHO3WcJs9BrPI+YK8LVHPT2FaJ
Hq9zLjELAsmQnVyrbPzGQV3XWlL3oNVqu0GCEGqjlYdXkTH4YeUo39LSvXJwHp2R7OjULviGwH0K
BKGBM1POnblPkmRvlCUsXat3Pidp/KSVeGgqSzjgWtdS1LPRGhixsEBguVK9ro6QEl9F8JWisg54
8FGqQsnP78oipFg3I0AYV7hVCiW8yvrQL4rlS9NpgZdlkAuiEenS2nwyraY6w4eFlO5CQq14jHkv
wq0dBIZX9f2XIShxM8rSL0qTbFUx1UhwxKQF0j7mZ7s3VdJ/NeMyRjEjwFkmoC0JQc09LsRxqhEW
pomWxzTXW2yK3Mco7+7mfu4OPSQ/f8Ti4AaW22M9UIRWFNdLqPOfhKYqXt6DioXVu8oCME6TNVF9
CyPYLlVsPxUcjg0Knw2M3O6103JfY8EHOw24WBI4+26NA1qkhCktrBQJQBAHp4YC54J3QRUPM0+z
wxIyVY1NFUaemyD5qfU2pKG1MYID7T0d0V4f6L3rLXX4WOv9vHfzrvFECZZFxws3LWyLoji3Tyvy
ZzD1OdLyON9Zmy5PO1yhpgdSrZNpi9vWDFAqbCH0oKkde7puTb5lAj5r81vbSKqPkdJ906CzXQfs
m8+Ev1wrHnw1P7cOGMyaTkF7tlVGUOJwpUI9DLZp4VEW8ArFtLbSC3ox/uERPcBU7PUJBYWm9YfU
ZBWYVpt+HEiY5iVDdlrafq9A+1YgBAxZrXumqln3Wig+ua5pXSltbd3jNv5jUJN2ZwsTX8PUN+rY
PDQ52YQk/j6iyIw9Rv5J1GNzsOb73HS0nYkDiU/5i24K4tmDcWRcVfqi+516n1VV5zMcOjdZr73E
w4waRJ8AXgvabFs2ZfIsloD1BuV/8hgaBTHNqG40gX91pjlHYKzkLIw5vLJhY92omlJjIY/SsTZA
V1qgteSkhXTtcV7lbPq+OU1lrT0WU9hcAc39kSIQUVr+BP1q3wvlpOVf60aozwjrzscoL+uN0JRx
n2okH61uELf2uinM/qHp6+syiPRj20SwOlJ9BtOnvlRVaEPj0YxtX1BsR7TTU5uUQjkguWurRQbC
UhKgm03s13je+5mBUKtRFq5PX4aRa4mvkSVeyiDMdqlbaFtXc8adkXSHRVSlbw1mBBdvnAB7dPXG
ySf3mDfVvm2IyhpIfKzEDgqy7jcEq4Gf6PN9JqYOR+y0xy9cc7dqgkIKNOvuxqYnHmpFPHdDXT+I
SCEtNOmbDJrNVhlx91o6/VOKeSsz2wx20gTpZjRpu6UdNFdjJ9JDWBhbncyoElr61s30p3Ialmsd
Uygvsyb1IQupswalflM0GDxYizLSwjC9y6oxurL178gRK6fOygLWjSraG6k6MQsMn6DNwumNnSug
5Xgg/LlJnGppCD05OLtoJvE5kMqXcxF/DMZ58Iw2UXd5EBo31owrazuPue+kt2rUuvfL8FCZYHJb
aA6Aa8naYDqxGWqe0DIZ/Y6QIivmDkF7A480vIV3UK+o2Vm4Tg2R8+QQu5YKCdG4RV5GN56zAcP2
fhid42p7uQFPoNCIs2NpqCelsZtNViuVZ+GUw9MJD7HqTw3dbsEAbaNVxrWlRtYWWI8Pvx/bz8aO
9yVVr74tJ6gJ2o/RHc1d1vfKFeZQ80aLHaRE23WYTfTcy90vACT81iyolOB3v8kH/IPVmhFxKpsj
XiGwm/DoIjo6pDiJ+ZlVPmltMm9yMrO2W78kmomMECQVz62GWwW/sMYI4AqL+lNmqhShi+ymqVrn
Fss7B2ertNtFLdo4+HYBp1THCtzTtg6Buc1hfutMDQTrxhyrq3k0nq0mGrgSc4LqL6rTAsb4GM02
EHorb580TTRPKXGvmuvJnTw0EK8hz439sXxxqNLxMbAQ+YkGlBrcRPHD1plIUfFOK5+XW0VrHs2p
b57APhlbdw6JqFxIGqFWpLuyUvA0wYainvrgyIjGF4OUX/H4ynU/TuqpTQJA/U6NPBWPbyNPlscM
bSMmwwUMCgsNoeQHo1Oao2NVVH27jFtutR0CHHUSbbqweZlEgb725OYnUQ+26k1qiBVGmTy+Oyb/
tbNsuTKi8kruybfRyfFoEvMNtlqULoZx2EN0UB+F2k2P9kb+LzdW2KKjO5K6eztWa+JzHwbJjQuG
67GO1Qn50fH57YRx6MJN1iDA9XZM9LvvWKUDHh/AwDuqGlzpbvqKEEP4CBAqfOxxxd6l8LE3b8eM
poa81gLcK/QsBgnWOPsxcNqTfMdSGsuJWGsv9+Sma0eyyrNu0l6d8FE4zka3i/h+aJDj0IWRHnU4
Lo9lkBm3vZjv5J7ctBbatjWsg4PcVYtkPk0LF7mer+t1+NT1kBZwYLb38hhsgv4OCsOeKH49g9Pm
GiclOLjl5Yxay5v71sTB7PIZnAEAu9+YI17f8lhWKPWmyJVgW/c/KqW3HyGE2o9uP0xbJ49bzN7x
mwGRP+Gvo0QP8pQ4R5m3YML21U4HYw7+9qYtCHMFSLdHvR0p5uB/5smTL5txXEXEi+BQhXCuy954
GnX8lgkCBt9edyc7j5+qZK+OwnhKiWee1KUJfaww+qM8YWQRdUwWBfPu9Xx5CuopaeCy4A0n85gL
PX5UKre40mbkD7K0iR+TdVOt0NLGzEsyVezKjROxQq2BVV6REatSbGWQ0oBwP6hm6QMoNM8V5i1+
buhEjE1hnAnmxq2l4QAqX+UGuYeVWu+X7mKcw1SUt+VUfZPnYnE0PQZ1dHktHb+r3JZ5iWosvUV6
U3TJjxTFBgjSTXTVBHZ7R4lLf5qSKN9GEFkzjE/8ZK76p9Ya0zvFZsG/7smNW66umUE1Xo4FoWlA
YGXtEej4kTnrptPLHdzv5P7yLsyRtgzQ81a+qGLLe1/j8/72kb1bCA88qXaUx3D1mq+iVd1fvkEe
CwYI/hEMrssZDuWBApvKrdydzLh6mALYbutVFlhn3uVKfNB7N/EF8nnHXjPVp6oDEq8aLMwaJ9We
SHlpT5NL2xqM7kEeErHAaH0R+V6+IZjEcDMY0wtBkfYkD2WJe2tWdAy55+i2AMCkDFu5GwtulloP
27pMDrXeaLeu2Y6P5jih9FHpvzM5jo9yszgJzjBWp60T5h/HKtfxl1KL7y9nzKVDXQGcvUEtYJ/Y
CNBFPRbVmhZEr8ZwKxVTyll9gZhtfOQGOBvFLNKTWVtI/EWatoeG3T0oHS5zZae7X+Y6OprLUv3A
ufpqKpT4dnSTb8GqxewSZt/Y60bUduDVsIrvDIO6SV2X7VNfJb/PlcJtC42FVl4gxVGLjeLG0aaA
mnxKPZkiiBpUPCYtr3eqYjaeaeXKwWn8YtJP9aAhJtfE7sF+6vt86ypfwCmad9gtNhRoIZpPQis/
tqZ7pG+GOztQas9G2GEotEfbQaCi+9ZmWDqNqHQhDm2T/oich2JA/MV0jQpp6NA9qJ+KFuBwqG5m
TJOf+Om7RhPxfcn4uKT6IwDPeQP51mXp6E631lJr23S2UApZEt+JjPTLkI5iNzYJ6YayoPxq2Vtc
lTVMHMm5dlNkXhtwRY0mfh17Xb0KK/ub06bXS+nGW31ZYNDodfYpFHvV0YntMMsqyQL7blKrH9XM
VnZREtvUfPP0rouV7zAeUZOpY5T+bDCW0Tf6hv6xDKZ7s6+fTS2fz2WbKXgp1i/VlKvHdDWBYD2J
yyYukkfN7pAsQxqNYLTXvSRNk/sCyhiYbTX46o5XgRBIPQxZftloGAfXyoSuWFwtngynM6MpsMeg
XBhPy3k00TW0MX9NpyI54bmTECGKYqt1Wrs7IDIaf7cR9/DVKhZ3BSIZawFYELZV3405mj62s/2Y
Wlb4XcuTj4XlYC+Vo/8FtYTKg1lH11o9BVf20GSHxpyqE1LtJRUUZDiJQ8MnLbcKPwYA/LtrK8/2
UC0/NIRn7NX5qAgyys5oE+DuPntjUmXPTj2bmyWO2gNKAppnsTTAkLVumyukBwnNQhVTkrTCUzAK
hvt+6LtzF4juPK8UMZEPj3Iv0wuWpJG6XMvdSdeqbaVX/U7ujpiHHTMYAl7fFf05FeuEBn/07dPq
Qtmlum3dy/O12BZY1FoVWn18lWWm+S4ak2krd134o9f4a7B2XF+NGqZ+y5rRLmJPbvAZOznmSApt
PcT5HRwBBOrlruhGKHlg2jdyFyuc5SYkg//Hp9m5uc5g8jV5fVZlf1pEod/Kaw9GkWwGiu+XM+a8
YRXuzmQp1q8qmS9OmVU8y71umMNNZKaZF85BdDfgrHYHaCH18qQryDpwTG6SIdA22hwC+WiEsplh
0+NrqIZ3mAOjuY+C6p2iKsWVXZv3Px2XuxFMVGtY5puhI0ngyWPh0BGpAGzfyfeP1H7A2LvJth9q
9zRPtbpvJvKOrWHToOVBucFbzhtUOvbbIRKE7qkEUO93U2JfPkC+Kl8wIMYfs2z4jCv9SW2qgYWV
XhpU0CNx6qL5PDvqcnx3bIajtGNFi+DAekqhN+KktRFvsQE32MTdN5ddVic4FeVjdFinH4pAreUD
66hZfa3vMdpyOJHPlztyg/gPLyJJgsHc3FFwkfvyJX2e8+sYRpKe6+JkrpvLRwEuzr1R1+y9PNij
zwc/vR12SZ0tJ5Ru9SvYalicsicP6Y1+CAdruZ+i+QjFskZnZzSfoewTB/XqZQ87vz1RX/DQRa75
nFrJrl5E+SjPbLR8u2TTctmL53rTxot72atA4uJWVT7JM3EC95qlmZ/ioLKee52Fo9m7l9ey5rse
sDhdXMu5Rg6oeq5ybWdHk/aQjU75rMDF7tOkvZOvIUGKRhne2bdNVuU7M6XcYDrNY4nX72B5sQ5O
0RAO2E4lbSkDUKDOQnsTD9VTsuBq10aL8QimnRVDoq6pz7k5IFVR+Oj90/5pehmLu4M+kFeZBy30
DAejI6Mq66Pbz0yBhiruYSBpN9bU3horfzqdnfBqnNDulLtaWerIygiCNQuYR4K54IRQjY+yorOJ
gI7uU2TM9sr8pUma+FtI/OejU9beuygLevD5U0QI7WpPB/rotGgKlkpSbCtt6f0iX8ktRXFdwRdH
bQltkOSp1nrrG+3jyKLKeh5Mcgoh/NgoS5VPAPzh+eFVukx9EZNTnr3k5OiOGXoDDpGNo6uvqaLc
uoHRfMvd5HMtZchmfLPaHLs+EqvGAWOsb5iXPFqhHqM6XKdgBLT0LjQC49ataNjroWTdyP8cNTH2
EEESL4DphapS8ASDy1Om1t3jZr2cp7K7H9y6/JpQS4QRk2uegbiSb2dKh5qe1t3oemNvFsNGtNiu
Z1CDSkx2vvlkC/cuD/YiTxsQMWxiTKXgJm3KQlEw3TIKPxryp2yG7FJW2I9nZr/rNafa5ox9fjiM
40EtQtuvRKIjHFI2u2bCtHYsgui5GFLtIHTo+2IeUswy6n2W9/FWGMeqGpszwlLMMT2ilUisPsi9
zg0+9srUnYQtsuc5RhYKNhKE7XU3VaLeN7VpPk4zGcguZPQcM/VTkA7Gvljy/llHzGPbGsICGzmK
pxRJXZId64q5AaM+POSxnp31KYz3oT1kW5G1uw+//Md//9e36T/D1xJt1jksi1+KfsUGFV372wfD
/PBLdTl8/P7bB4so3oSJahuYS9qaauvr69++PsZFyNna/6LODNciieJDb8+fMlVcSSnTelEd7qA+
BR6TS4lp7ro/hVFxs56jx+XvobUwr1W19hAy8G/KfFEv/8ljpZkHwCh4NcJvjyeJ66g8D7FCNIHh
Ol/UduZVY6dC/5almZUfpL6O3BA8EHTk7aM8o3WEJ3/4f/zll7fyTnwrq5k5DwbtX3f/e/9anr7m
r+1/re/686yfTto8/e/zLz/K5pfbp9355zP/8kY+/o+v33ztvv5lB32quJsf+tdmfnylg3f/eETr
mf+3L/7yKj/lPFevv334Rm69Wz8tjMviwx8vyUeqvmsB68f/8dr6S3/74Jd52Xxtf37D69e2++2D
af5qmaqlk8E2bOvDL+OrPGr8quvofrqWbbi2KVT3wy+Aibrotw+w/X6lcSJoYdoEsBYosw+/tBBh
5Wv6r6auCqGqmuPqquM6H/7xq/9omJfn8fcNVTftv7RURzOE4VimaamO5SDtJ35qqUOuLqVQcJZH
fij2h0ZhMZx8wjnxqh3LbbWQJNILZGJ7MQB9S2qWAOm1pga/u9FwP69EdZTWGQdF+mJF0S5TMwRH
Mve8ODVTjxWCo6uoDs3fejdC2KlyYz9acibolJFOTQ/RMl4Pdk+2rTUQjo3YZPPH2DAjPw4Wpuli
fqgX89pUnRdhohpdM6R7jDXkE1IuTC/Tl1TtycGanF1NKssC/SZK+R4EjBOvxFEOTezbzkw30cyI
LY/C7Tyu7xxiMtCI9gqT75Uvd8p16UbXeYGQHb1v8Ce9dX0WD+gOpCtABrqXrQjFXxzb61NywxVs
NZL+nqajKY835EtXNKfWrlHwb7msuthNExqjgTiKzD6tJyxZ3XlYhp4creu28rdMosUZdkFZmpWd
L3+Qbpih386/Lw6fOzk4WFLeDb3Jsb+vHyI/ncL+q27qmyIBxC0CjRoENcdNOnPhCdLmZd7eT2H2
ImzCnqIWGUpnyCLnytnOBT7uvcrddmDGJNGLu1TfXcG8F8UvLUM1JPzO2UxW37Hsjl4SUAMU0e1j
i7691U1bcwpfhOAWC71xNoADbGq5LDj0huK9Uj0aDvo0bqUO/mpzKIKo85kxnU2/lithFPnWelHQ
nD9X2P95bUNpMBkGP2JGWQZALsyDPK4QeUgkb7yUMtl1rTnzrZLwPtLi3bbKxysbKriPe3VnADts
N8pkGFtzbcttm73Ir6hxPxgb9ZyszcTsesxWYf2ayEzxlQpSI7oGH8mhKVNO5zmmaDC79j4XHQFx
lrzM3Jy63SQVkpyucQUm6KyE4bKz54jyWR15xdpOWnWNTxVxqivrUz63FAW4segtniIlfgnWtri+
6iIirYedRgGON13eiTJPOCoUdZj05Q3r3eo2RPEKKbXB2bAcg9vbpufBPKVkV7xuwAYMXVCcq9Lh
RXSYe439eItx6pVEpFrD2hwTvMKT7nMmQNQVbr2pphmWnzpvi75Dgp8Plrcbh58f2XgbIR3tVtzY
NKeTyOtKAYh70KXvVIwn16sludxuSNug86eRFuJIUHY++YaWZVd7tgZ09N8No38zkYp/Gp0s0zJ1
UyXDg8W5rf91HsXttQ6WsIbebTHIBLk46pa6Gl87Z/n9//rbGHLfzdrrWMi3CYORVWia6jo/jYWa
rjIGaRkQnZmeO9JvUMdhzel31bhTS+dWGezz2mj+9dcymv/Lr11ffxcsTCmC3GDd+JGOfeSev8QB
aqUdvf3f3E3N+Ltvsg1DFxZ/6s8/cMwL9AI6ZN51hA9ZU55TK6ZjB+e5tKHAR1W3zRZ6v0s3GE3z
hEySb5jpuQjd47/+zZrzN5ciNIx3yS06wlLXS333o8eqbULNJJ0ZBy4eA93RTOord2DYXq9Hi3jc
SV3caFr4IwOimLbHJDQ/rVeX40DbJBtR0cjddvqYq9S6/83VMbv/0yN5f3U/tYQpTZRwUml3eVqD
McByrgropOtUVifWsWeCC9dZLKnmvamjevZvvt/4uwuwTSToNc1l3WD9dHvcxa4MNZotz2kF5dcW
SkbaJd7UAsQK1m5KvZ/yatx9R9HTI2l907rOdwrlDFkJQ83soEO3FMYPo3DOlrM2Yfd3FhsMUcmT
JfSz1jlnFo2YSSMHyvgfU6Zlxk41JpJJ+Z0KYr3tyXuoLck4ZspinSbWWT4RqOz21d0YoYyQ9waL
IobpduTq8ro/FKK8TmMW7TZIsNgGAqGSto00HnQ43sspBfFSZ6OuXWydarQEcF2L3gDIUQ+YBYD6
omLcCZFi7c07s0B+0XUDfx1Fx/UerP/0kB3M5ku8/lR8wAgTLFIE0bxzMu0rYAQ5dTTVa6aJxzzr
90McBp69TlbpNJwXK7sDwXiup1c9MCqPAmTi9RBSAQns0rE7IlS1TXLllNA91DDburqGViDJOzn1
LHa67OaF3VTeMgReVfENv5FTYNIm5NesjVhGVMjHI2dQYvdeA+RZYw57bbjReutHyzkLRPpNpmG3
xfCVoeUS3ljg9Qr909iQRY/5vXIukWN77PKUinZ9NxqzhI7UxNd3MYeImjQAT+lft0VdWwfZt8WM
HBbppAyNDqLmQhM/jU8OZN9lssi3yUiwH1Dkb43wAU1l4DLpQI9FAK0KuaRKdY7CSV4QGHmIgvJz
vc5c662Il+U1aJW9PdNg1ptQtP09IuVPsyGWA7qpg98IHr3s+3dhq35urcAf3HSLRcLgBWveR9jK
dkZjuFPWsaHjTmMDcsK61FfW276+dQ08x3y+Bgp7KOMYNpt2ClMikDLmCRfmAfF0sKU81SHPXrqF
fKeex9fBQIfqatqWZU1fXHUCqgboilOy9W6vn9zbVe0hqnWvEgGRkjjLiLGpmSvjYG36LY0wHJyH
vMg+5wNNuRmJg7D5eMzK9pohMPZl454ngehI9JlKsBGB9Vhbs7MOe0pYfyHRQCod5aSmOcu2blWv
oykWz0qj/ag6jzImmdwUMKJ4XJ1g6DFEaqXrnjGoPKvrI1mjjMagdWb5BkQo+o14xPP1LpOXbSX8
0qHa1HZ/Y4brLId41F52Rt0IX9bRYgTn7oruYeRKPCMn5ph5tMr4rTIQ+5FdvoK67PWj86WtId6v
O1XC0II/zbmg1CWPODMNv2sQwtKuh0ppvNTWX9ZRR0uJtNaIMnXD71Ohe7GqfDWWzzCXnoqCDsc5
yjwWe0vpSBm0wLrRWDUpq5YuWMlCrA2fYMzL4R1j/I7m1+JGd8UIMj5TFl9GMa6ekOqfPncWI6Ls
pqUOLNsm+qo05T4EOuYHdfJirjEmiaYYL61100UQiBpwZGtHmuIBH53ujgIDWiO9SSfl7HBdReAj
4/pOM2xDVXtF+oknw3RdteIse3ZsTDdNubx20XiT6+iTsgZ96XoelYuKZNMYT42NBGtJq4STBqIt
JyRmJx8/4nHwddRYEMn7MAV+MacY3ayLs4QhNWg0XxFINjaajYAxbDA5Isg+//+X8ZrJRPpnJuef
1vFbKArD17qPv75fyss3Xdbyuv6rJSzQuUInWLR1neX0ZT2viV/hANrAxYivDGJHQoY/1vOm+6tQ
DZAmJuVPob8t5k37V1undmyblm64umX/P63lDVP762LeVnWT6FVoINUsx9F0fR3J3wVVVOfsZSDB
7uspBrSo+BbHMIAliRbIifrMOSkTd9+n+ogPQuNDVtBPuRgRWbeBxnXuydBGEu8OQ/pSpvlBZOY5
ThNxM/bD52au420plv/D0XntuI5cUfSLCDCHVyZlqXN6ITrMZSiymOPXe8mGYcD2zJ1uiaw6Ye+1
l4ANlrsfFbn5bdoP195w783scKLpQylAsF0Isby+6fz5ZKijx9oqSz26m3HfqeS8/xvkn9bTo5Lx
Pi07ojmjBX+TARE8xE67uQfsPeey5Cfo1vlkKXSF42DPQHdII5XrnbG2KPz9Nu/koK/qvhLzs6Ne
t4qlRW4mAMcn4EbGiqwrOVar999QoZUTbYuETHsq+5kUvQ4FV+4KQIvNnlXKm0jko8nbmfY5f0hp
JmCxraBrEQ+JamDSq9Hl6trKeAPaiyUGNjqmFbL01dl0J+Ulb9pzmlptOKcroekrYz5wXs8Wq95V
DJ9pMf6V6ooLt/6FfBm1orkA8NnLuohnwD866VxjVZ3KbDkRNM1ejgC+0nXfCAx7bXrn4DnjrzFY
0l8zLYZfZ0Vrt6RBI+JJXR/09Q5eSDqQSctHkudPzPEZm6Ze5aftL0Oap2oOG1O7di0eynzJDVQd
eQIkf4qAq9Jlr7GdISyW4sk1x5turq+jJLS7eRsUFGmYCm7gll462w2W1PksVlwSVtuxOEvQzlqT
jMay1n1bKl8C28N+qprnJs+PueFAockzGWyN+R8pBPalVZSjNmWIO0ov7tcF9/CyVSwLFS12K4X8
RHs1A2ywu8rSzZB4MSAZ6A6SStq7rqXN9Phe59YmiURSWqW5SWTTCDunG5OKHUcKfGl8sbZ1eDO7
4XND8Mra6DFPtecybRhXAT1XuzJwpmFiV0SdjatA85O+ikx6r83ZqpOQi+KnqSfDYcIPvJpL53d3
e3LuWXlIK/BatmgaC2vI4ymdf5Pc648ppAW/zLg2UlpuevSPGtn8OruR7tIqzxrxCFqFFivPKj4q
fpE2U++ZHAGhCKfVvSclJixrq34agla75Eo5M5Eo23hcKjIuStWf1cQAGD9vSBbcL7dw3DBR1iwc
VczUcvBiG4UiCxv7ibsi0rrEjdMFA0UtxGu1pg0ZighuFpbGchj5+VO2KUbKuseqGrhH6sFGC3Rk
D/xf5tjAbXNll/XZn1vX6X4uuhsJOyr5mqW/bkA1i85odoYwP/oGoBRCXW1qczg8XMwyysxyuhjQ
9wsTzb/NXxKRjIH9zJt80re8qFDR+ZhD89ni9oIbBqKefB7AGGMM+NfDh6KybMvJ6ckWEr7E38R8
JLA8cPOE3vAmuPQU6cR3IpJv16kRjibegiPA/g9I2MDa7ltmbovgc9A5acqbqnedbyhGRl0Ek53g
yR1HOYqW6r2rB6Bw4Fj06mMhMcEfRx0UesngTVcIIBIrUYwObiC7/xkddWR8wvjJ051vbe6XyMlm
EeR5hkrLMcLB4fcZi+xpLe2MkGNiCae+RdvXGFmIu5CzDATlzi1BV8eDSaDigAIbcOCDtk0qeunp
ZrBWC1ZjcNHvI6HOM6yB3mCfemHuiQ4UF+euisEiGXjdpbXHjS/kjm9dWSRkVlit8rlIowG8FKeA
zsef43EakOzyXHVYmciomHsepdyssHC6mQiTXITYscqokx4hDEt79QSO6mb1whwaL6ITVIGtB/IM
7CWmeelepcaxP6/nLJFXMX+pM8b61jD9ZvBQajrisdJy/YATpvaTjCioxnCfxJpnt7Z3xb5xvem4
GspIdObI8lhVj+hB7jpramA27gGFEFLYJDTV/LNoEVaDW94gFfI/7uce70FjiV9jM8+kdBI1pBOI
IEX/wnaEZ7ruRjLU5PSQPHrpk14UyX5TOc2NDNuNMx0Vt3vvSTwoTI3I91IJe3Z5IdmpFrLSOSBF
/mrV8gHPWRKnI4WzszGgk7VIYmNvaBv1IAIH7lf0OhCOXbyGnJ+lpbZB14lrkcx0iJl+o9M9s/M5
LxthY505VaFdb921aRreHpa76FdFOOGFbPnXmdXsoXbqNhZVcctUF9HK/KfkYcVwFcNB1gUafzqz
CFZHWZrdXHRX2zZSfKawuZ0EYKYqnZ21aH9keFuROmPj0UqeJUn7HqpOxsGftXpM3tWuVfNbXmDU
aVzUGS74BBxiRlCN6hhoqRi55tiude7yk/H7I2HbwiWdDQ6NKc4rgvxmK/9FMRrpfbeGnY1SaS3N
gElatAx96cuxWX2yLcq92eQvvQ4Sy2M0KvPsbsVHaDvYDck/ufmfzJyJrs60A966oHG6720rt7vt
ZidS+5uJqR2DnOfBAv6cDEoZNM20mwyFcXapCqa12JE7KK4TuWeB1ZF3mTgJR8makmTitrhe3k04
G7Strxy1nt8ADA3KySN1FDx3YNoWOAY1HRhyyC7UeHxtlgg+tnpB7ATHgekh8SwTpHsN46e8Wkmt
SuYtVCrBBpjSDBxHLlmHbP/0tYQ1G3HR6pErHM+3Bg6hQstoKVqBlXC0I4HxG0s25hT09OtpatlI
9zmRbY1nYvqYUXsh+CA2DFNWNbhHV9VblLfaS1f00NxJgE2xpPoJ7c9UJt3VoflKbCQ3/O5GcM9n
CmwbfbYVa4X3Ny5uHcpqSnh66ERK9asmi9TvRNM/5Bs23IQAmn6kROub3zG3rICsZIe2Zf6Rs1IE
BOIUSKNdv1OXPwZj3n7UtPVWWRaP7jAhQ0udNdiyJEzKRt2ZZeUGJeBUq96uadennOQ66DlyiX3T
ZfwzjkSoFjD5wIrhGJTpVWnMwGiwew9hV3fylKUWuO5lxfi30XWu86UpnPfSW7vDploZvxkQnay3
XoCLhIpGeoMsvgXZjyFBHfigWPNhe2Own+vFvtFIZfG6v2nqZZCwMvCnlCMiz+vQ2nptV+XFD0E5
i48QKGMlrgxk7PBSb57qAArtx2jQoRQrxsgBmG4p7bfCxmz+VUt6cO6AE1Dqf9tYRIIAnM02X5e0
rwKlwmUDXVZF4ddzpa2B54l2J/BBIu771mtHhrpn1Mw2HgmxLIKM+8az/EIKEfWp7XdGrkKhcB5N
m0rP7X96Xr8vTqCJd/gt8Z5WkoU142tx30vS7EwXhalfqKavZ1/t+DJAQF5/m+piEWZcPvwU5k9R
frtMH7qHjaWMwbGRo2TSAsmNNKCPtSDBmi3ir9q/kw8K/bdJ3xonwxMbzeVfqx9m7aa6IbZno4o1
HSypMP30vidiD7Kdl3E+ocDDlkXkZZeDXLKxBDgP5LrsFKON67TFnfPUJQy4Ef3UjXEpS9ZlaIQB
hB4yMe1m70NBiN5p18KOVP4M8Ov8tgNvdhX0reCbx8iMuys99UwPplWP1MmNLb1F4zeGTvE9rFBB
NC+c9CLKgQqraevb2hfhbcQpOelPMXJwaV8KLHGvf/Qscg9Z79X1D+T+1pv2rXZrn2ajobZfHkam
O1N7U1dMCXaNs26NWQf42InllLLawgZCe+KRQaC+TyYVKJ5eW8me+KbiYS5CmYrLiDVVYI4iB4v9
GP5LBljjoRDczPfrgdVi9eqMbqBpZuQ6H3Im1TNbeF/jtvlH9jDluv4ExSU27C7yZIayBhfMgJlj
DPnDThVichSQxxJDphy2Qw6FcKDIgzQQuow0pKoFBRoVW3lgZEpf9Nw+6QBiHsx/NV3cFCZjWPw2
RYMeLBrmXb4xez1PWHeyiGjfLcWNyygGhXvcOBFZc74VbuOhSfDQzZxMr4kXaXf6om9oZ9UOO2Dr
dsjVRXBqkHzB90SOXfMSBMxiMV0Sdt0QDNRHsFuD4ozC9APvKKD1WYm85JZqF4w3a04hJ3f1Fgl1
PynfdxarelVdWOHHwgzaPi4Os30S1uTXxWHizO6RspPd5RymezTT21RSRF4mqk+qFWzwtB9+Qv2m
Lk91htbmYsCXzZ2XujhW87nlczIlztKw08JU8uEHlnKhIOhtf1hO9/Cu5b365mHpYnd6tZoXjtau
jDN4IoQqib3R7ZssnLgZQhuN17HMknupmA50srEBdVqcx55OL5Rb7G43tTxu6a7ow1TfdVzTROS0
f2keOOZ/RRUYyEyHiK+sIVVYuSUOvUSQikP+RP044KrbAr0NUhRsWdTZTxsifNxw7szNce7O7bd+
dLGnP5cP0w19d/fJwZpbfs+Fy0wN2GPmc0ika0ACtZ0GlrXH9Zc6sUJDAjJZZdXnizri5PW2mOM6
s6NkVzCqw7GB9zwgqdEfV5wa0eJdnHbfk3vv7Oxif8+s3vaSGteK1+JQr9GK5Cc5FpPHPR3O2i7R
jqSm+Cb9S3un9P7O9V/x2dzqfA/AU8XJ+7CavvlqEYQsX3hH4Gjspz6yzEgml5IdtH525lPlPasl
iSDbPlXTUKDBE8e2/xHabsYvVf813NicHe5jXj4bCWGI8t/M97Xef6qt/yAs0K/0I0+dGM6mugTJ
thfls67tSt3nQRwebJPXyx+/euaDLb1RzPPHK5oNHzxnHdL84rDECbl+KaijUyLvicf+asYKP408
zdvBcXdjFeaQDtugWJ4r2K8+RqxVPG+j3ycP/Ry61gkgQKrtxBpV/JuQgS70btZvzijS9vGGYa+n
wGl9K6anJcyYEl52ULpCewo748m9/ycH/Ce+SJVlEfwz7v7vJL3A0nKxE6oHd3jCikv2e/UpiDci
rJMnuA2Nh3K5pm8kIHe/nnckVqPgAXNCB3xDEtUZWStRKiMu6NKFI3tcCQ4qsYN/854bBMYsUUZ0
j7zhDcC27RARnh/IAoFERTyz2C45w1b3Ngm8qL5D2snvUD251hFDLT5S/JogU4gA69KwgZqFoZq6
54PRSf6Ps6N+q6jwu1ilcNVoZKCAHNo55Ac0QBOw4zdC8thcvv38kPZnG9c2ceTfq74D1Fv2oYeL
TONwX/pHy9vh6RLk4Hmqv1UxRYYHkYhl55Vfje/WBg1sRXjLWhTpC3XJ2R7Pc72rm5O95EHDY6+8
Gt6OoRqF69QdhzxSPZJAHnMnzkTclrvBwDKKjCO8E67Qc2HP++aLE82p0X0nrv05Ek8pYjqsA2ss
SRsht57yaIttJeLtT5Xnhp+YYPmVZNyJkO6MBD7a0BBQRMZhIXe2fhTGcfN2a/fmuQdedxs1n3Zx
p73Y1SLy6jDLyIs83SkKnNVZ/sTz0xY2cPOHsqAqXZ49403XX8hUXAgzzFL30L8NfJZ6aIizqZO5
GwzZrpdRmYfkVSfjmRuCl5Q5hFADxjyFd0RD032q9lV8tUaMTEfgX6X+E8G8ww+ssi5QQ0V9xpqQ
1LuRa2WNNiOlfzi06HZz33mv6wCzJaktaJxnmrUktPZGf+K/lc8OAmhULBJFOAE3zKiKEMFqVQd4
wpP5SOyVMMOsDlUZMDgpCaBlDqGfWiucmASYDI0C1I6ca/OX/g9cF2N3fQjr6YL/Ort5WgD4A84e
OA+F2b9PJdGoIX2CRWfrxJX3h3KmLJ67IgC6N3XkVvtCIUzHH94FznfT8IHkKcZe28LB9VfSt0OH
4B6ghkTuoFRRblDtqYp6jZVFDHNas/8s4janXd/HfLzVEgLejrl1s8cieyCyWIX8ZOxmBv9mvePg
Xck6fhD6AYY6XAf7ulqhd7cfR1VU8Et7OLz9WnlvCYNObrq6d5bTphyz9FSY/6b+MCJOKferRRx2
2GuPMotq7ZEKnWIXuclvbu54zZRFBIokloAIq7BPnrl7eu7lIWIQTA/O7IYkQXDtw1FV9yrLXBWL
4Cl3Tl5ymRme93z0B4yBSnHu3wtxrjf+/3jqDp57E+8IEkPMNCRwjttBHqDN1fX13lbahBDYe2/Y
UQdMmCuMHfJYVTso47FbOT53BmnfHN4rLXOw/PIqNhP5O15AupNdXJUsNppoebfdk9kG2gufxQIX
ZAuc4lVb47qPibPkF9KGiOyeuvIN3i6bMRoarT2nteH5qfFSi0PCfKuLOXL1JOLG5vaep1dNifP0
YlaUm/GkxPxKYxcvMAA4i/hHdGFn8gZEWRFbCQcpDrCAAUoDbWU3WAerCQfNX5zLKMKeQY75ygrv
h5GfsdH3B+Uvd66Khiyhrg84elDIacy/qmA5ly9MYTideG+4aHlDqBA07dewPdDW13S9NPoTVaxf
EamWnu98d2YRKJ2ltdeKeBnf7fTw0yFMwe5+y+YlAoPOJhP/IqJhEPDWzXbP5LG0X2r6TD4nCz8b
x0sTa/1zxj9c3DbjlQVhyriBw4vJabRCIrFPjGMo1361FhPL3vaulFfUJmUD79y35z0vTj7dsLW7
/6WcxO1/+j1B4TBemtj8ojxReMnQfY1nvt7k2KWnzjoX28kY9qlxkTSP+sFUrhVdOUPN5lSbx8w0
I7rKhpFWei4JNuRTLqNCe1aIQDfiltAINoLr+0RtNBxXJarsmAE7TpSWOZaHIj3iE3U8/C+BkXDU
30uobiV73cHDC6wgNJnA7astyqovwFWSv4z7ZEIQEHJz5t9FDlWCjTrOrzfLuxhtOBkBz/GEUcnH
HpINRzalFXDT1c/fTPVCQUIdq1fkln1Q2fJX8cNU5FUw+gw0NWRZRxPPoMNTGGbdv+9G83X+jtaf
r/ob4r7lPMG9Aeiz734pOhdt/UecR0MFaf5I3hmSiikdPcZmJTPxrVdvqtGNYaXHmokoK0wYOBH3
Ub7I/1ckbv+Uf68rnw/f3VNyGJ9MGeYynN+yD/4wiN1DxONB7CjSNzzOIsQ9sb6qbwyeAdiemNFx
JxbJrb06v3CEqqeEHSjTTwvwYliG62vFuoWjFv9nQJNR75qmuF8gS7NH9aF0LAZgQy3Wk8YZsiFG
lILwoak8OCQ31OMcAhsg6h00xj01LO8PqE4d1IV3S0rZ6fe9esQnlmHiGL1Hg3mXxIiJLbe8yLLh
uH8Aq39Iq4SsxwnBxn0u3G+HxrIjRTFfqb+AbGmHnhaYlK+LR3jOhzETdXuAVMqX55nR04ID+6/8
kB4E9Ei/3OmYb6uGPjumeJLuDsaBiRlb3E+Mipz0MqYNx1cxfRTYTD8TN6QRdKiEKWbl/clUKpoa
mP1BFlo2AN2sPBjj4o+8i0Adav0Ay8gVoeFx1gTSCPs2hkA1tRfveXPvP5KbRKUers3DzE4aEDL9
/F1z8OxM7zXzRmvT947+bxTeTjfz02IBjhhftamI3wzj11sGnjUOvWsut/2saPu1s/1MO61NNJs3
d33acuIBk8et/+xYT6iXgicqC5fkhuN7mxj6ZYEp/7kVcyimV/iSj7XL0pmeDdqSP1rsMtKyOoTq
AgoTAQ02zHPrdtck450lsCt10kDF0OxG4/JZ4Am0/DogcPpn9K7z7Ly023RC2+wnKmXkrSvPoOMH
O1opVHNDe1Sn7NHAODSreficXxN4EThGj2OLnwHPk6MlJ2s7efl4R3QeyDY6p21x00CgTNaIV6R7
MuDPjcXB4rBegHaRdugz2qgYXdL4x/U1RaTJ97M8qcNdu+GFnuOQTLoe5h61xCK3IiKpI7QkY51O
EGljLKvmq/r4Dw91F5fL0+CpQ1y2yVNeVW+rziTMspQPL/scykRS5HjKWU0ptim7OyJ0fbYdAwIt
lZdJSjxo5WQdlwHtos0eNlWqS7PN4tyaVDSzrioBpolmN+fFP53gt9hrlG/7z+OsbQp9wMWe0zZp
qEfz5a9xq9PUjVBO+r1SZK/DakuypYhGlutXanKpC6K+CsOhL2x45VJOnParHFjNcBZSxerNoWV+
yZj/Xv7Y1YkUFk0xXkmh0/dbtoGC8qYtZu2E6FezTpvNqNJYRYE9rmHHk/83WYJD0ypehV1akVFk
3CV6Hpp69Wzr6UOq/OuK9tUhizQzTrIZL8P4YRnVwzguASgtI9CZTKpTq+9Gz3nQAJ5cEbzvqBMx
PmSY/Ea4TIG5FQYtD9vWQXrHpiI0Z0vgc6k2ZEAzof3MHY75tqaIAkTpW5NdRm32kGBqiwhiHjnH
+iKo8B0D+eHpXOReF79zZbuhzSfBkmz8l9V/WZdbj32m5aEhbRa6LuORXoBlp2Ia8hrh90yOuCX2
GzHnIgP7ta5pMIxlyr50Dsr5rk0FNYVyZCvx3GT4LEv3tWiYoJLelPoZJZLpUMGSimjuVAvPCfEu
nffkzN6BJcJKb10dJnA5VF3Zu5f1FaUEF/0q1pVOq6uoxqfjqBfvmgNreVXUyi8qoCBItUSoV6Tl
5Kb6YvWoaoyRXCNhdITsfjaG9UsY34Ioho4s6gQUBYO5t8JiDpUxI1BZzAH6ly9NWP+VEh9ux9id
pU3zteUmV4iH+rNO6jvecdy3zfSIKD8LxsRkmMvSVbGMKLvXa4b+Y6UDrEQTUdBKfSc0vKrIJ9Ag
M8+WWbGxCCgSUJmEifdVXGbiTTPq19x2o9k1dZ9Z+p06RWJFmo20cuiM2tpj2lf3b66ouqCuuTEY
ljZDlR1bu+c+V3icifCdXboFr+M1Qzn3ObvwsAz1R82pJlaFtrJWDoIopFGxICux4IklGiHYmoWK
UE97TR9spdR8uQhqjYmdgc7ENit0rsdCPbkW6LYp35o4GZYXSyTMhqv1r+xKEBmDABnt6DHZ4Svs
tOpPlJqMnYUATr3PYhxwTdzVJTXByIxAuopFyOzwmsyo5WFS0cloHw6uDPikCbA9J1qH5VyNuE77
oZTxPC9n6/67O+S2bxVpGV3BXVz3NB9cc2Kq3pzRel4qUMUel31tQ1iaizwcgebomaNfE3f9B556
j16s5GZmq2zP0uT4W1gr8GFBFefCQJzAgWJnQ4Y1uvrqlVf0eXsOuX923h00SNa+WrdV0Hqc7BpZ
qBlsGrYNxa5f05elo0zuihvWyIlluY1XmqBQs4c04y1oP5lKx+U8PbjlelsmhkzCYdDLxZ2Xjrs3
HrW8fFOkfSvJ3tslZOXEycqPNEELNbziYKd1dRq0FQ1+vpstQs7JkrtaU8ooZRVXEmP/4aHJw8FM
o37sn6ytOHWO04erlrexVKoPO2dQwEo/We23QY9MwJGUfJT6jeAkyVjo+2Jm1MRb6NsTkrlMZ1rs
OG5sjA9JabZRlt3nQE5+Mu9bzGpd3wGsPCht9ZEUSx92W4Z/oqay9i51oibUY30XTguPkN3pOVPz
/CxdwXyHaDDSzkdMNn0dVA2FRdb5SYgxjZ1nbEs2Q5mVfVjO/dTW+tZXm+6V3LXdoLq+uohnxVhr
WnsGu8YoeNstl1MVbGzRcgfq9kxats04dpZv24AzOl3lW1/XjAUZ04xmHRcZl5sJ6WwmdoWrVb26
NgsNQ8uN0KyZvFvgztqNtrlbhzDP9GcFgsBA8arTdSeUBGNuHEXrYv8X5htupttsaJ/ZMH5DPj0W
ar+3FuqhyowmwwoMF6hio7KpNd47iwlwl5Ho0ZLS6xKevavkp+F03EKL/AL/B/2WZmEu+odOMqES
7YDjoiF1z/r7dlX5pXXAKhLtU2Z5Smvucc024n25GxxlA6h5MkvfpFArU8ZTqqDZtusWZeNk7Umt
XA0vJMeUbGT1JVeh/sz58MEVskWKUf9Uk/ea6q1yHLtLBu+U71NncF1ZvDLkecFYSF2W79kBIaXr
w9Hky57kuTagDHjrFwzcOiKMmxGc1e3HuRpCy4VFuynwDTRxWGzvRw6ltWd5W+dLHdVz97sm88DJ
PdFDF8/sIR/nNf11RKpg7Ga+1+oMdmf8pNvg2L40tt8Ky8Z9qR1WWTkeNDN96zShHbQpYRpkSiUs
xHKF+94F1XSDy1sQcMxNmm7cAatLjKPV/C5zcuhqhE96yxwLef8VNOB4Z7xEJvLiA5J0pqZd+6DJ
4WHT9VDX+YdiJlB2aU23M46Jw/Prp/06wHPR9jl9UtW5E7FqFooIZ9lPSQajpEJ+PieoXXi/VvOh
1WFAlZX9lUjlcTKM3dA173ho/kNSobNgYWGBrsotUYC3og1aowOmzJrH1u4E2YGtR1s+o55hRCIQ
NEHO+64W0wyVdGast8adVau+O9BusHTHTOn8zVaCCoHfpA0mh3WgSmYloDNr9gdnbhh1GcW+shI9
tN3lxUtZSw2N/jNnGlbhUX63iIuivmZQDWArcreelgkTdtBjwFQdTrclyRHySoBc7STfSgc/L/zV
FxPcc7wo9ZWwc+7J9leVoMa45ucAzeC7CVwyK6CfLBqK+0EbxlNVeeeWK21vSaIjgYZALEYy+P/e
Vaq5FxabMwcJVqNWSV5H91Sn7j+oSk9bu4DscxGdOBlAEGDVCpQ2zYEJIrbxvugl1Qks7s5k0lyy
eDGs9KuUfxi/qnKpDmn7mhFse1Dadon0skEZqLw5gpmlqsuNq5Zru7MsYlJ1cM6i4v4qIDSNjP7S
ZV97JUCgLMdhd2f+DJLl3Iohalf+mKNdhXMOvyDPlUDV+lBXjW+XvleHyRktG+8uuFZ0Uinct66c
43SWTeBlH57WKoS0pX+NgVPaTg2VBaI5RpJhn6LQ1JwtkK7hJqiWjMF7SNzxwfFSjV3Ih7mWYEYA
sMK/St7dBiPWoDKvKAA7ea+uZNzaDcOPBQp0pJPJ+7ctsxTWhzfXgSBX6HW0LTo7c7WIi21vwItg
UDV8CuhjhNo7e6Ng/de32rR3rDZaG+ZNRvc6LT1KX/kpcmLubRgv/fjXKgO6dYb98jRIprGtyaQk
taa3YaxzRLtMptP2w3CpJuGlDEFpfzTWhJ6HpWnL+Bb9WcMYLnEia+LqVoqUdE+d7vYOZHEykhId
Pq6eV6/ooL8BDb3UEj6ToTIqsKaC913RD032OW8fWjE1UQ8fgkPyLZOnWq8e01VlwedY7P8Htafo
NQ6tdb/ia7WMFUEyAnpK3IG2GkxUrkL2OOlTjxEnHDpA3mexeAN8N5rnIje/FtuOrFwfWdI2J1k3
LNcNTUVvtu7U0XhG9byrNjiVfcWsf8zb53XpYRE4x0ynZRtMlkWVDuE+Kg0YBK6s1chUmnd3qQId
aRUPBLG7Wro+JqlqHxp3DC2V5UrXuqe2LRMWLWuk1AyDmoUOep5pJjyoRBDOdoYmwwnM6HXqPe6q
rIuIPSMJ11iPE0ZQwjxLjc2VgpfatPcV4Odw4GYI+275HWD07JABS/ZOHluaqulPVjrRlg0ERijO
9p9d9SDOHeugSV3ZK135vU2NFxpzGwklOaj2ZMUqlEyOw65Dm8dn3XaJsjMzqzuti9LHW5ecxylr
bwBkaCtIumUMkY0nP0FoSH+2FCd1IY0Wa9xJDPLJBGNqKX0TmWt7jzOTe3su7334pde2e8zr9I3w
sIEjly/7bGyoFGZU9L1dNzFtLWBw4ZxTUPgKCoMHcyzkZWZK54J2E7kKcVXmCLJsSOdWbe0GVLhK
m6XHFsNT4Nq/qNjBZM3dvC9W96RpdCGZ5RVw0BJKgm179qqZkMuUgjvjSA8aYwGkvfT7yWi9AHjX
cETyTp0K8eQp8+i18MirRyRpIADSZgxTcylo7ayt3NvudM+szKCgNFyYjflkm+u8R3YMHWUyQulI
5WKkqxe7HmOJEmAsk3wOFFcFDWug66zBG3B6ihI5sR7VnnNL8KReWITvHDGvt+b+fLccS11NRCzn
dUtwCqWimhQ0Wzowgfs/Qi4eJLOcdSTNIxnJ4qyQM8L4FS90ITQRExy1EGWgfc2NLq5N3/4bkuUJ
gabFuca1VFjVFGsN0MK8rG1YjuyxtLbMeSs5rHRbG5k4gZOwGSK7d3SG2q+HtVqOYlU9Qq1IxwAd
coLEDCZ5tQLpoj1snIZSp3TE3p7cb1ipI4dVkcR5gxZwvrOoitwKNshF3MzzdHb0aZ+C8YsdhWiB
eW4vKLN1hjJDfTAm8e1WjG+FVqWROqIwVbJAUef1UNfJ9f9IAld0ACFrfAdQU0FOc+o5VUa6+gwM
8t6PTXcJ7joYCFnxsSwIH9YZvMZirNQjeqLtobSE9UxYlOjVOsx7b4mtRspIWd07aT1pQrmwRrNz
03mxGB9UjncELDl8g4PctTN0ilGxv22DcYTUzW8DOULVoRnr7Xy+uU1RnUDODXxEcjdhMTlNJaa5
DrB1XDNeKit4JBNuKcNhxDvxJ+xL4nHDeXP533LjZV3U6TmXyx6dPlUrkC5enfYfhiW/651/Oor0
vTnADZ/JbSuGH1vx3r2KOWEJ3w5dtfGCieh3RkYrsK40puqcrCU9ckb+j73zWK5babPsE6ECPoHp
8ZaHTnQThESJCY+ER+Lpa4H3/6vurY7oip73RCFaUYcAMnN/e6/tYqtOwF4AIXHrCnRvMD43pd/t
MWDdekwCpkzxk3TjW1PTTWyLpFsVrujWtPEGGXsVvEZgQ0BGD1GmV9bEOM915i8/KMNt3E0ZeiMb
p6qvvuKII6LmobeT7dFNjFe3dVP20gWF4lOwnQnBr2rhFrSv4/+nc4HI2SiPiTo57P3hu1Sn0GdP
3GQIYsmE0gDUXCmGefko60PC1j32xQAhAOMZHK5b6uJPEqL5bGM+NoTwm6x0YoMfl/E6S/vlIGOW
m7Z0dyJjpm0igcjWPoUGSjOZ53BvROLMAblZzc5ZuInehUUxHbqQCQk0OM5HVsxsp63dtZiZ8trw
KVdwufIuw77B1NoPq+EWSNJUJoPVxuXSCiO0jTLicvTy1zbKD32JJ6pPN5CCqk1OLxlZqPx+NnCe
JY336qNVYJHxD4HOAMezcvvMxaKujQ6UDXvm8qJVql9V9AaZRf/HT8z82G7Husj48TWHlai9hWOk
b/m+KNpdtFTRC3RTnSfE1hAPMa6QIq7Ypy30fswvC6o2r+td3TuPlBWwUxyjBVSrjjLovJ0L/9gZ
sZ5BONiVrR8fO6Q9wXhwpnL54NUmSq2Zz1u/CCDjRwEUHI4nW6xmO082eFBGFwVjLIE91/BWOgww
kT/Np1LSFSaLFxazvVVP1ACX/uI9NMuDxznVzqlKymPmkQLAaJn6CzhnfBgscl3JLB/CYHjgW+MS
tmzJAK99Zd2XEL3xwIDPZGUuQxntyQvQJpYzrMwnZqNBPM3MMszyDC4t36uWhwSY92Ojh/JpqnbE
EMp7sVQNZBg8DdG/hU2eMVyX8XZwmeLVkTGsLLd9HWElYZwE9WYtLclz2jXbdEQviBoXh7/CAkdw
gL2hjcnHCAgGyiXP33Mcjd8hhuHoaoyfcc9lag6gk3Kg0zwOtJph4lqms61tNpMBObM9ThAortSq
p6wS1LJAuiEW5idJvxnE+JjGklywMB9VzUG9S6azodo9tnHMrfnU7hJ+lJy40GHppOsqPfPwLB4b
EbnIj5hXPT29isLSe0YH5g9jMH0yXrxgCXHeve8U+jIzBZgTSG0rAzNwDorzCDkf20VI6AX/d/QX
s+b/Z7486/8W+UKTrYpf/wx8LV/x5+dCaTF8Yl3EvWwK0MxlV2mRH/sr8GUE1n8Ij7sXdov918f+
K/FlOf/hBI4L3sUESeT6Lun3fwNc3IX7AruFkJZtmyBenP8ngMs/c/Se5/kiEA6cGMfjh/BMfvS/
R75AHuZjYbBvTDAe7yrRMsNu3VdaASMaGFW1T7RK3ksQXgFJlZ+G1RKWaG3/2DRmf9Op0d8S03L3
Q6vvs672aWIv/miNwa5XDrpp28mjY+bBNT73xGyuchTi2kwTt7TTNzVjd+LjaR+H27/9Fu7/T4SS
taSK/zt1vPzHQv43Pi+857ItCxY0xN+ybH7gu1Ew5ekupPwyF635MMTOH51k/j4LmHQLClgeWCoW
ybOKsgvElfqzGtxH+hTKc2lOFBYNzM7+lx/rn2FofixhsRw4pkc7imth6v/njxXqUaVmWUg8gNpa
F/UUPxEK/ax9Pzw39JuvhAQIicrVbvqkYrOQTJ757jBArfGk/y8UhcD5Hy+T7/DimD4/CBA+Mn8I
GP/8eWoUb906BDd01WCSa5Yji3gGplNDBafiL12QxlVWwv6qo43TslyNGuiaP2qAyn6F8Un0hBWS
ZL403rRqYuy253KJC6BPXr4/OKSA+0Zo8bM9jicqZqKrrkzq8WLHRXppo6upmV9ruEVwydzw+v0p
oNHkwZvFJ6deZyYu3N3Hcu6O31/w/WmO1/31Ld3lW/71ad8faG289oGELfn9neyR5z/tYtOOjkf7
OpedYOwQFhd83uIo+6ClmctNcRbMjC8Xuf6vTxlk2pwg1B3r5YN/fS1Fgds+oikikqpu9t/vRBTu
VlpP1u5v78TxzpbcU8zp+OKxq7wjeuHFSx0Ozx6tQDupPVD332+zn5hZf8g/RlUfXoPlD51PK5EN
7eX7re/3W2n2rw92LXsNV0Q/pZQ/yWN5V44SY7uvUaZLqqfO3+8rtStn5A5T7+0eLVD0tXf9/sj3
H73smJ0NmkI/3l/FbPZ7jiS77w/+j89tDGFehvgXe4UYA5bKllIcinKaahHD+E33EZ6FLhpAeea+
ZvcQecHSr8KdH8r5yiJb113d77/fXyRgFdu6ZY+1fEbWO0Q6Gzvb+YLEclFlWEanL5hAPaMbjeEu
Sn+m4wyswCJtZtlB+WI39Yz5vserMYx0epF9WeuZ4XAB/PdOtrsKxitUKCAOwvdAhRr4f0aPZnMu
uPXoMUFpFC4xWbbEqszQ34y8eOsgD55h4I17QF82fmIiKfTvXOxwqpA5Bfl8TTSbVtFdG854HZWU
2yIxYEZ3Hae6jIn7wKmNKhMQWLyYd5DroBcplV0Im+HwNEoOvb0Zrd1OEiiMIcsG+s0yGkIP4wV9
GKdYaM6HWspT+eSk4i31sNtCA+w2pRGhAKMQzuxqURaZD6at9SeZgOiz7X9vDCxE9aDeRIr4Zhnv
+YYz2S40+1PQI8hGxDFraXD6V2x5DHnUXrXjXn8qGICs6xRdso6ak+oIW/Z41OiNw4xO7duZ/Tix
1OCpalFAtYw+s3h88h1Iv7XJM6rV87r0uJoiva7pMNj7tc3evcCPR4LqbNkMiHEGmowFJVzbRenP
eghZ8TzkOAIYpiQLZo6uzbI8OkzrVx2/oVUVXDJZ/ZDxH8TKJ9vhuy93DiJMtQOgd4Vo/2V6zBca
hpXADJstnu+4k8u0KRz3kkpmC69A2e/DYZjWo8jfKgtNQvjRpqD+oyzfeWp8SO1+zoSdVzDuwEtk
yfX79WXheKF+kf9H1dCBBtVRDNhP4kdH4IfAeGulMCZEfe87A5Vdxa206ytYSqoLiC8DH2OKXjHf
7SVaOjhj2rImdROgnDazGT3EpYr3YiQnaLYtAqr3p+l6vBaOv3JUT+MXb3LaUMfQEn8Gdvlgbrjg
LF62bLIlBmzOx5h7rkb37ag2zL01lR2isTx0jBaOQhU3hrnPXm0/dENJP2YnSSUFwV1FuSZ8FTJW
EK+Swj/osUd1o7tn7xCRSuNg22IxOGZa7jNUwY0xqncaf6JDIzqG6zAdus6kKiFBmeckxiZnWinF
1BG0PKemE5oU0fHA3kkiOvvWN7c2g/eTcvk1JW6+myr7I87puXSM/GLB6Y0TgbM/FGSlYkHSKVxT
hDN/xEk7rOy5eh1DRP/chAhNgCrJwXJLLw53cWeN2KwBSfpKn4QEdW3PjXWfsQ9ehf6JtBzYXWEW
z1lo3njsV+8MgJvarU4tqcmdi/24JulzEIHx0AQdcOpx3CO5tafvP0QTjvlKjX6+8eEp4sc3+vPA
Nfivv8aVzdsFhjg/836NZcAHvt9H3UTFKVo6OOM9c4dLpAXm/e8/ZCj+/ub3B2yP51Ct1TFTyDcq
f/ETeWvK6MOw81tmO4AyfG5zvWTJ0zZg2KqbTenjJIoGPGVsw1Dx5hp7eVrzmFkOaKxytqlOvm1i
lhbWQ0TTL5pOyayag3LdUePgXjsfMmuems0K41U0Tth1xFIO4zGcLzjFVyH+l8Jn16dI8UyMHAeJ
FcsN4fklS5VMidjC+dCwurPex0qnG6qc0RMOyMMeFocs+SFQHzC0ICl6UbbtvfTmDNZ7YmOdwfV1
HXR146T6HLEC4HKW0Y4W7gtpuO0El3LbO+VhSagHXY3ZxH1Vqf/VuM2daYEiyqMvfOVIyNjEc7ED
F003g+IqHibkbUW2y275P6ElvKZ+/1Cm7WuZjUtCg0HjNArGXgMZw2Ua0xnhjinFsC2W/ruMM+0w
NGccI7BY+nMSYPgSRnDURngP0YiQJuNInfb31NlQF9NlZAeFtdaTU6xL+u8IYNhPZvSEDOKuCksw
FGzeADAshbQeEZTG/k2IxRfjfTrwqtbMkhlAeie1+f6FhYaTbJ3aoCiDUUZa9XiYMV0UzNDjAwR5
1HT2VTsig3e+ry4OK6iBCzHszlOHT7RLa/yLVj+jLjSfmKjA78A+artdM5gPKVeAXwKUpyC9M/jX
wUtsndAibhR5isQGkTmpmIs4/XufdcO9kXZ8++C+oRlq4RNgjzC9a9SRXMAeM+XlezhccRnJPZrw
0Q2sB2FSvVu37bkmEeEZtgJQXFyGLHhLnOEJkhjexOnmjYyGeKqZC+AIOToL/SNKFHtPuFlBEvQr
cp1bK08fQ6H/VMOkEPjnG5PNB0t3953UCZuD+prjsB0o0uCUUj0NrXM2cVejexIzK7u3VIli1Yab
8VsIYPlhooRrOfjihG4dDHK9fp3vch/PlEBPXKtOE8EmHOXJMd+kLZe0EXnHcCbGMnbxWRrzp93h
1i6NkF4P9KrazjdJah27UH7O5DHXyqAEMKjIRzCUuIkp6U54u/aR4qRDSg0N2tQCMY3Xfk7nH4XZ
N+sWJ0Ae179mmpAOGhYu0AjSxyl5OCYOahVzrM/8Lt3gMATtHqFSKX4RUm9M2XwBG3BS9rX9/Ked
lcOYkTQDF5Da43K7GdpjFowQsW7BDuB7T0/Ix9h55+Et1+MP25Cvg2pOQcw+MWkSCACe/WjHHfxO
lAT+oZc4HwIMTcUm6vAIAosl0xWEdOXklySdL45R2SjRTPTsAfkvb5c76nn05CMtJ3Kdju2X06iD
u8h7dGxWuv9DAVUOZ7J8jCf8vX1OPVwQ3QJSR5IUsaEjlmXRr1VNmE0aCnM/g3pIAAmP1/UsycNK
QqaBxTxt0KE6i3ofayqIXB5XdqnJkhFvtGfXQw2h/Xsib2Y3zKFsn+sBTku21u5rFVn5FuwJcexZ
HKy4IS0zEgprYskuoY4vM2xwpqsdwVsmweth+DFqR5B0JXDXi+ZkDhninuW9e7F97hhtc7tCG2pC
t1uH217Vb7O0twXlHkyYkrdq7AiID8jZVBAyCl2HfiVOnHBMrqRtvzCik6KLD1NaHJOeVyxMuh95
EX4Cz3yuyouqhLGi/u4WZAnB21mvDOY7+54Wwo0Z/s51eC/T4I8VLCkpz9gxOgnPQnoPjp19FdE8
bqe0Pauwbim6pgjXc4EI8MoFUXhHiJQ7juj1akgl/iuz47SU6i3QP/b26kfUt2sdzgz35olHe4+q
CltiHciC1Azz09bj9+FK8pyxO1wbiFF1XVRMa0tBVpq0SXKkjkJtRW+VW4dBfxFTyIU+nW0wObwa
kXpIqeTVS6eraaek1GbhlCAzM4FY2UtYR+mIGff7r3W+NEbD06HTdfnjry/4/lpnKAKybct72+/P
Cv2XPB3u8BWcLIYTYUjMvWSgE1UL10uvK0Bj2G1WtTe52y4M72JrwiznfgQOB9U4WU4dRvuntyAo
5UjVWVl8WK2H2MdAjBJcLBYd3ZED6AYirJziTZ+I7oxP0DPXvWBa2zuCqh/rs8TtycAXZIQ1tTxg
83VhnAFFTSsIHxdnCPGdEM2XBk9/RdIEbCF1wCamO4tcH+wxvE+EvVf2F31sTmn9QEVaxvP1Csp2
Wi0m/V7cxSJOSCYwyltCbIbFILuiPQMW/ECrB9Z3jIaCisyDGp2NH9srGc7z2mTNQ3kgw6lQiPtv
O19NCr+un4p53kIy0PuBxtKBg5vba4KL+AxD4w7LDPcME54sMOCXipeR7L4bK6IQjS0wnWDdzJ1L
Z4OTp/z209TI4f5IoRicFM3mYE1B0w4gkYsmIHhUTJAPNCZYoQY8zYW4fTdOV5AST32Anh6PRGwK
fkP1kKqNTgmVjInXcJrLTQur8cilbw9MleYhZcxuPjFGrXaJY9endsK+psx65PKYdjKojB3iy6bx
mB2HdotQm8A+M01bbixBHavv1wcEbGfvlmOzjqN5nUfOgxL5E1evpVOS3fjlLYZVm67ndsrL7jiW
KeUUQp77Egto1r70S+mfmRfPXKPxHv3npmo2g+j0LXvUxj1a5BjayCWbEd5qCIy46wlF4P1aWUvL
9ZT0//oDQ8AjBD2ChPn4TF53rxqAEFYefw5Zcw4d4ie9/9wInOKhjXptzsMpg122d6lEWZdRAWZu
KaVu2+Ft2YSpwGVTSRjCNJEKVG+9Y77bigr7m2+Nb6HTvkaLnbGjBpa1Ja9PcnkVbYq81lZchKux
qvqjyVWiKiyAROsxjXDfbZLesVb5qKdVaeHyVGP6YE/zuBeMCL6/j6K9fRodn0BX9YUHJN6wiVva
KOFIDAZZER5AlLqdlMccqeBosM5lb58KDtSnwXwxDFMtJ4FfFZcBIuVMDoatW2l+DL63WOL7d2RK
/AwyiAlnHQdQL6FTX4TfHdL8oamROoccgh8VsFfHmgSWi3k/BT6zxZQlop0/W4bc+6kOrFXGa6Lv
GmKYPUGyBSBUxg2j1tz+ATFoZ9OXeoxcF9KTH734eUR8YHm0xkmmD4lB5Dkpouf8vieqpELijA4M
ATh65H77cTFs6Z+GZ+17+JvroPdbYoPNHkzXV51jaq6TGOQMEAWR5uzfB/EwkMIwBJyBz35U/bWu
xMscpB9WeGhzxzxjJQvXykx+DErSJVnf4mFyNpGPFy+0GemY3Zf0yejVwRysVEADQ8Ht0Jus/JPx
i1n5i+M1t8lHv41c/wM0HyDisIVXbYWfbF5OXk2RnG+9qDwcSXqVRCtNTGRmuvTCzdxUOIJYQCae
KiSuqbHTU7nyRJWuUT+tFQ7MseRp0yfhuurd45QHxEpTw1gj6kwYgtxLOgbotY3cykKQVZUaClf8
I8swgXNSloc8f6Fk9wg2K79UmDjTvjg4CYZ/6k6JoQiLg2BQ46VQ4bAyQrxbXj2hJU3sqTywKwz2
ZdM/wfte9UjxmJCHY22N2bXhP8JlBlZnpN6o1etYTBXVdvZZiDlYy47YdOn4Bdl4V0NdSZ5rqjjQ
2DBwRmLccncIUqofhFJ2Zu/DMukJ7bqgAvHaeDuv83k+tXh8pUO8Y6bTYm97MI0iozpyCLHOqqDO
zS0W9D5RxCkisOVK8+Ikj615QDg3diN9SvvMeGooNySw9TPo0eqLnoJEmcoWW0DQrlsbOWJmISrB
yKyCoiNsy81QmcW2qGLnxZxSiLkMsEsBxiXs5Lqxp53tgFhQEZdaFtf0QyJycVzfVA7ADSZMscX1
13vm24CXKOt/YfPSeCmsdG8gJ6Dnc8gJp+kUBZ7eYyoNVngTYjIXTAyoQTIpfN8b3mPoUCRFWSCE
Ob/jmEjeO7FIWfmEciidpEqLHdK2wcfL7HLau4ZcC18Xa9eDW5aKQ8rcHq+QbWzGQRMJjAm/iJhU
jPzNnox1svSewyhk+JCSy0Wnqc2OCb6Tx/zS661ZTe5pmnPcHP5bXNFqj7XaWrUiYlNrwknCgBwq
Ua4i2l43OAhz5OD21Ho4I/MoDTZhD8Ux9LS5E2LCEVqpy9x4VK4YNr62UdEA5sKRyAKGkd18GX9N
HK68XFHzwmJY9AraOAYEGQ6bTu06LeXRd5ndyaGzIM/qn61NzJmhKHTNwvjVzPZ0Mt0jRx14RDnY
oNRxz1MqjxnqEE105a+ygZwxD8ZD4MNxLVKOF/zj9Hx9UmWKeT7jCWKKycTyQ6hER5irgz5H1PS5
6EKYlz3sABuI7GAx2EmqFzt3OVli5QgXp5ZZxCjDvfnq9elP3RrXWcZ44wv3h9J6XA22sHYyEUAp
qELd+bXYD00OdZed5V70xRP1dTlghOR3ZZDhtJGJA2xhE5y9laflD7sZLp1QE6HDhaVqfFrNjwR/
JY56tFI7mC7zoH91tn4RAqv19+ZnDMwTPUd3KlGfZuiM7GGCxyCggihQzDdtGyD0FNg3bxipJ3pW
5tDep3awqVX0nE6KCHwxHrAmAcWvcHX4EfIkVyy3kKnTE0Y5nhwty0mMUyFNyHljcmdwa5FJRhZc
jR0BU5x0hLRZ4LKMmUBb/y6tnCybu8G0Pl3rjH11KWMqixPtoBarmWe7d4tcC/nDP7AychU5jsXG
wsIcyNbIGYZ3hTeJGVDzUhLROvVhPN1UJInxt8RIDXt4NExilR5sFRBgA728HSWSMELbrZDlXYGA
sIv9ARUOEaXhhIb55Oa38yWgPZ0Oxt+tKnByxjUBJhTBLJcPrqrqc57fuGj1pQpomIeMtbb17O+N
2LvjmoUzZRckEtgzctu1GNO8R/CJetbZ2RQxJiSOlQZ325bia8RY1oFtL7zpqB1CVciznSDolQcs
7vQ8+QUYhCCo3sGgwLPIKjxMaJrEc7L9ck6wXCPDqKb3JI5GRIJ8axXibSotYj+B7LZhbcMVmLDa
ZDxGueluTLNbQpr4y/3xV4wexj1O/atcbKc1Vhu9EBfweQcuR26LuSBnK1aURayuvOSPGariwTRC
PEhRecM6WRYkSbOJR4DptS+jDQUoaTjC4nD7RLZmOXfM1yLLEhiMZYE4yilJGsudwx4/ggG7J+VI
BYF6ItJmK24jajgi8AYVC5/nHLXJQ6cUH0Hq5Oj8BLyHvDtL7fxOMXHfWpETZJcm0NqCgZCPYXlu
xpfUNio4MZjDA4exbKRqCLbYjR0l8fA2xV6xRwML15/Ar3N8HUmmo27VvrcvBuhufuJgfSHEtknH
4mrLAvAB0owJUmhVsRdzjYaMVB3uTYceyeo0JOF7nvT3bNqp17NJ8ALKRhagoXaJjdYWDco0x1ar
RrRyEU/gNiQHFsj3LGJqkvb2H9l/8HShD7yV3saS9WfolbdULaGYGopJS4VgGNdAMiUTDsyh9BDN
dxhTNIfngfY4azbhVwCNywyIAzUgFbcNdzTpcUoMwR5meJX9AKM26cZjF1fU+EYcHfLx/vul80r3
JYy8Ty/jURqbj10zAbhYwHXEBHFdxDZoG4D5m5o1W8zuO20NEzUd8HmtgBPM1KdyzciUonPCZWMw
wwU1ybPEFkOeFghAgHxGLKvb2GkwwRCUz9W4mIU0tXvVVO+HkgikylukBbs8lWUe02CXnKscXWSh
njNRZ6jjY1T3Ytgngt9AWrIpynidQdAFHCZ0vivou2LYYz1OhmOiyhprmtKPJBvBKDUVW03mWQJ/
GstpxX6lZ3NmmcxZ0zurdIddS7egO9Pcms3RD8GdsUbDf+qAQBGa5acuwDO0hcV5j3nmaMAfmX2s
Y1C33pVqfkpVlOsisu21bZ5FE6Mt4zZfQ967F5X73g9bVRPvCxwaqpskvYyfDkXxVdSyEOeM6EaF
wAvAkChYjP2ZfwwQ9SrxnUMVBcOxXC7TrKsIwJUb3xhg+9Q3167Ono2JemAAmJRutMLgzUo7vfjs
7ye3/DCj4FZqAmhzfatqNENhUeVaci5H+LfAlMKRmM9JbautVxavcVZuXYcsfnOIivZ3meePaTMQ
9ck3NeZ+z01qwHyuxcA1/jDN5tU09mmFZjqnKIVWZfyO/CY5jFb4JwN9u+Hk3Zq/kvRlbqiEqoP4
07GdL1a1M21VazJ1XwYmTHc8WUX/nJYLBzag1zxe+lNw7GlfEmfAEtplySNdw+VmRvTiQbNVyt2n
JGWJsGF8YonYjsUodwwmHTM4Ya43OHSWPBIZ0OMEqt8xqZ+U9UpjFcnOwbmv+0BRHEjtloFD2mx5
rQ0ggGbUPaKKAQ9Cd95OXPUcxIOzM7HJirr4XuL6wH5p4XGciRkp8t1T2GPXY6+D0gUEcQq6YiOl
esnpHyZE4N0nVv0ls8D/Rd58nQXmOrEA3mWlIqia3EBsHywvPhYmfnO0zhcR6tUEqm8fDWI4jk73
aZq+9eqnBG9GYCe1Vf32GsK6Q868SPMDMzNCWJvw26FeHmQ8+7vMsK9Jh/zhWuqVlm73YuEC2BmT
th/mTHkYo4o/FPy1q7E2hg3TiMd0lL+9duv2bBjdii9NYx7P2Nq+wuaoEeJz+uDHALCTA3x1DcCR
24Al8LfjCZJDg/9WvkmZ3w1LVtp3Z1gFDlDxrD+X7xyzUYlGTtZsKJ9MzhdbMHHjug3UpR9xFApn
3eOz3DghFv7RUM9RjD4YAijAa4CyqSFsDd22jW1zZ0Vse4WNEFIm2U04JAmDLthVtPyuwpGHPGIR
ARYgc/SeHYCYftCFbqxK31WHiMnqSBBu7fXZZ8UzbR2kLMU6+Wwn4hVp5j47RDzW8PwQSaKv1iHe
48savD0MlXrM7pnG3yejN4IVc06RhmHstyhK7vJ4JcJwP4/MsTyk3WtTWncVDvG7orTXO91nlBgr
HO6zw1pNP/2uVJjumqg7GT5g0gKMs/DFpQsjOFZk0HcOYnJVsix2HG8gzRrN4r07Rc7kszK7Lywf
Z1yuP2aTPhvfwJWMp2YFO5H1IfiIquSHuRyqMiQCPg6vzHFoXWL4wLPbHckzT79U23HApqUG3EfC
c4wFL6ecQWVBvydJse6dyt41Zphscm6A0AjukMhNAcMM46njOl+pD0fEAmi8j4vZ3WlOj8acDBs/
e0F3BHvbA72y7OlCaIDoaPes/Qj9JS2jm2bAwvSJPMC2Ht3m1MT1Fb8uSw3e0zHyrwyO/DXazpYo
UX3WHazjJN6m/pLV1VTMqhoYtvCe8uAj14nHvhA/5ICo0TB+u+uaej3rnEG/CNJt21jnkR2vO0E2
05U7U+RhsNrlcHob+Ui2YzVN6Pb0u/92m/EBtCmuecoyIN2yJwnk8ASY17qQpf2MooEBGImJtKQ9
2JP33GjJxpHmEmhETGtcJnLUaLLGxOleNth1NIPbc2SOX1FNhGik2AlfShTxPRZEWNsfjSkxNyou
H/1ifhI6PCuLMbLq0aHGa1s5iwOEG1XkEPIp/1wpgfOU/NFbOr5wqnsYOd7YuT5k2P7HqCHo6gR3
TlpTRqLTXRSh9HtuzyQle8lxw26ybHSORhDeq0m92yXRgNl2FHOF5OqSmCcp1t5T/wP+c0bXCaX9
K7BP5ggKNuFG3cTziLfJaj7wHzCxCaYTe7AKTrWG8REsFUYRbyUcJQN/4cJlK3OZn3t9zpzPgWVm
A8xIW48bMRGndFS03cdOucOloDe9nolW9MnTWNjyoHLbvgR5xcRY9m/CKD+YRGD6NJqrquBfOIO8
GHnIbs/S24ivaufqz+ASnEXjtNeYrcB5OZxVmv7sx9LmPyN66DImO6yEFjS7uRepYHxqdhdty1cq
R6Md+5BXt6j5d7LyERtTx979FFkWNa1uva9NODNi5o0MCbqdbWB2bCmKhNNy10J0UlydVmTAf8jh
WpbjeClTMDsW8w7quPTRa5SDoSr6o/DNdyG+Kjp1Q9KC7cOYEqop6ftlM8e9Z7reI+via14FapNx
I7CrKl9bR/3B9RPuubZfIyfjKBS6KPNRe7Kt0F9FlFWe/YaEZZlBxrIVQB9pnrog7zbAgJ+L6sxj
X2w6M81PClzIpnW0faxAvGkZkOMkDFbE/BuV12xBpCzoUJKmtY0je7bL55LZ3cqAN3qfFv21d6Md
Pa7gV3MvOTiQMCqGoShfiVgLFyZJacjzkPzALSJgoo0ZalV6MwYLGiyHB69ljkIBIlJ3Q+axM+wT
dPd8bwjraHc5fsh13SY8RTyO10lxzwiXALxSj0PLWVxwOMp6jCGEBA8E+TCnkJxvwiTZ+El0hA3A
RrTKPuyiZ4/Jc7sO1JcSoCmvlR22eOxTmIGz8ZDreBv6yCp2Bo5rSiZBQH3Yd3HOCQuZmEQvB4zR
WSPIy1uYWO/ECMuQPO0seCWjeUe9SLoNUmCZeTDakIagb2I+sU/W+OrVZCUrddRN+ZTmAaKE2b1E
U9WAYMifSW5g+Yxasvc501TF/DJNIaajsZAx2qU5kiv0WQ/XRv7onlD+0jtSWiGOae9+JibLFL4+
gdYwSBvs27j3SLDD8Kv64sNhPtum9UUJ4yEqoOsNXfbU2AWTlaqWe2Kt62I89kaDKNcQpU2C5n4x
iPskCndxgcOmWnASY5v8apzwPRu61zLgi8C2EVl9NdLAubp9fG0ZcoR19uH5hrfzAY6iTao7J2T7
DG9mSutu7UXxayOKvaEAF3mtPJTqVBvjAHFllAdO/Y9U9/lgF+ibwbe6zg1s3IpTXb7z8LfhEwFn
58EQ5+EKXEAvbScu2kS4dW2eycFi2Ua1PNSj4NBUdft4gPEnibPDXyDCI8NDxF5g3WkXbbnTB43f
m5QOQIQqwS3f+nW6GSzAMx1ohCox+hWECzNpb35yiV2YYbQ1QQwNgD0w+HFFHe99s/gM+7E/JGP8
WRr2V6YmJLWAoyVz+8IrQgjPSNkWewVGScZP2CAoO9nBc9x8O/TpDE+LG6zHMGmE/rj1Gdivs4WW
0DWfdj6do96PPvBMbc1BryUb5I2jS9r0WqQdw0uugf0Ca/8WpKkNFK88cO5jR/8x+woNiwgsfRar
QPHbmWpMFdRPk8aUKXF2hi56RH+FQB3hiCd0FIgWfjt7a6Yc145G9WNgjkwslhc6NghoW6gUesFz
dBODCMYyoGeb7qOR6e8hdB9KMn2Jmd0KiyQVfoyRXdwlU/RI93680zkpG11yV9TzfWDI7OSCwH/w
Ga3lAxSd6WRxntCpByFNIbWGDpJJRrRrFu3y8GnBycapic+/f6cxFteUjO7+k63z2m0d2LLtFxFg
MfPVytmSLacXwmGbxZyK8et70Kcb3bi4LxuSbWxLFlm1aq05x3R8Ue/ZMF8ZbvVHw0XDX9KmNGlm
YNBmjtriNlWRqS3Mwn1WnYoOqTtcyGtw13XQP9Zxv8npt9x9sQd3zaqR+w2oyfrk22ZHv65/djSP
tz5f3xYHRhJszD2oh1+rt26xM2lbjC3fbiQ+0iagDxdo317a/+Bwg/KPHGnEJoMR9DFsJArZ4NcQ
+GuAB/S7THOXujM9EkzOIXAoOY8G5jqZeTWF1+OEr/lJV1ekF32WYjwAJ4YrRzbT0oOQvCAyYVN4
8xYmKAD72HnRezQWQTo7a8rhWZsemgxY/sS3NmgMH1x6IpMcHisRYt6a4qdJJ18d6YyezsfjDvqA
pbXnGFDGOguGn9a0JaoTMoTDwX0i6yhjoCjWTmudHNHdsK/4qjwNPuhCvW2faidE+xA9i8CwV1HP
fWZTJNqiMZip1EhtGDAuHDZvTL3mouzbfj6k78sqt1dKAN/LI9SeyBI3VjD7+UqXP0HuZWsVD49+
DsGqJ1EYAg95v3WnfeRsZtIcqHciJfaVwzBBLy5iKjZNr1mo03R00W27aFRN96eeqCOtDxuMDb14
CIMytp+aplm0fTpsdZaGSFn090ogeMNLMkgQbUm2cmpO1UHj/BIOgKdYn6t8hd85Qeyn8cYDgN7+
dDXG6MrKc7NK+8FFP2Ap1o7SdPGXO29IlCD5JjFpIp26D0G/isP0FA51Briv2ReVl+5CJ7tPkiwN
BEsFFoIHq5f01UhXSgGRElp1zjDkMOQC9zWaxHNFcBos4Rgv2ggnuqipqfTY21hF5u4AL5AKgAxp
CI36KBKwlUybcwioUM0wGC3T0qxXnqC3nSYo6OOyz85FQLuiIejbNurwpbHjpVECB0LB9WFDSALc
E4m7bLQjwgD+5pZobhYrMwU3k209D/5hjXLWkYxgIyHhgLTzJ0oCZNIAwqyxu0UfSWHZF9+zv80O
0WObrFKNcp3oyQ0bPDY6W1tFk8yO4SzkjyqslejPXmpsDxtPK551lwsndTt+6aQDb/Wo/nr7aBNZ
voS88TwMQjFeoXVUM6bf8emitGzoehuZsvcBlUDdm+2DGPXs2icdnBvNPLV978NuCde4K6i3FMKc
yYkIkg3PvmqDT90bvu0+kVSj01k1Hb3Y/t1DhLUquIdOsKqsRelfXQJEugFYSuHTkOpo5T+0Mrxi
g/OOzJyWhc/n2dbEl8nJStbKmA4pg/YzAugLPKovUWyZcMcrE+e8ovRvRMjOaY0N5r+g5lWe4iij
LKZK33CMzxE2DqRYgmjLIv2A1wvJ6kj9TPcgModTJmcCu/B/7RtDZwt7BOq9nJTsRE+wj/VM3Aqo
+SrzXmc9uVlHZ2ZseFJxNiJVow1pEt8uO3wHfb1uiVEziH1/6LL8qR6nnqmE61HzD9toqI8S0Xer
ig9CVJiATY9EcHSryPVhe/Q6Q3L7SwsEcwtJfpzWZkSRo09zHfJZRoVqw1Ieb0OUL34tMe2p3/E9
b9IXOq4ApBlTdoPDiZT+aGAUv50HxLRGtRaU5SWN/INow10a99Aqi/hgehUd55ptzlDusgrKj2As
t/UUQiZW8W/iwEksgVV5WgayA+056vrBWVh05wLg4T4OGer54dllhJ2OvEqjMJi+QJDAGGHsMfqA
8yjaldtDmohjJvkSRiS+NLWZDNTggT58t1I79EmL2iwLUaHby3gwoImEgv7raLXUzUg98hG2gdRf
6F+569BEgs7fRSYq22pn2HYYMifjHKHkuNqBucp7qL59z6BFlR/RzAEBXURlnpM3F9ZJtCYWbecZ
kHbS2HuPc7gWeQ35pgV7uFqPitAJ2iMcNuMnByUbLlePhA3KXM3Bz++hn1k1bh5RExGZ6GNsHErf
3Ns+5rrC2ioH8q0V3kWqn3oXgshUQ8hiKHkMjA+FhAdPOl12QfdIs5uUz0q8ZW7wGLWk0nEsEY77
whYnlphC1iVZ3dTo7CNN4YNFAWUyECsAjpBdRPNDEBzudSiBraTmPYkZJ1RMDUE6yVfkXpzJITQy
Sl76cVniKEcJS7bBQPQcIG35raneWuHYHRaIwMUydq9p/w89PYJ+RcKGb9qYNqsxWdStj4wqf3Iy
hdZ/KnaILoDc1+wOTjI8R03EQVCXKxc2BkZNd9vG8Y1IVIY1VESawhRq5g2nMVg3Ru0ayzqgP6cq
8JOTbzhHdwx5TwhmAQ3aNpGUWZvxUoNgq8weLaaOACyLPywGbw9Y3Ck04qWsSxCz9p54RZjkanqr
OvQi0/jdCUh5QQmewfGnHTGKdOYjiSpPAYOxya1AomaPnNdzKNFFCVPJBlnEvfrgufARQUVsWt37
7o3wXXfvdtZb5yFnzSyRQeFRYe8dnOLRzAg4DktgiQQnLNoy+5cILlc5y2ktbP+LUKBXBlZAU5fK
zCrbtTTwOTHv75kvjRC4TJTXpmzonyW4p7OIldC3PyTVyEpP0OJ7JXf6VLUoPqt1EwkOkXJ6bgu0
ijYTVyx44GV0cTQ94pglq35xR0xFvFbAaaxkhIf4+mBJbyf1FOJOi+WW3ArAZjayUNo8F2QF4Sp3
u+cqKp+jiOzR8FOT47vRc8btlU6VZ+CA0mA0dUjRkmPOUYr3mrwazciF88+W7j2QGubQDPxSqXPq
PNHQOg+mexoJeTAEgBBTG/c0YbqHAbEbclNxlZ725mblo9FFG4P4GSPrb1prvxVa+tQM7sVDY8bM
v/sQuRTIPajL65g3G9vdW5UiKCybr3EKT20Y4mqb7hVq8hhdzSENHEzHMSyzVBo3UBl8lO7GiDsF
+JRxdTSegwEBp6p2ViV/vB6ykHLbHwPAyvrVi6YduriFxAnNtIQduS/EQQudblUXOmjWsepPSs/3
mu+91I4onibIVq6f4e21h2EXCxwohq2ZK0/+c0z0WKae/cIQ9PeqVeghE1qZjpmqHQ0akPL11F7i
8Oij3npWxBwEfBwPbTC1XAuxuW3LNVZOotQmjAIi8riGagYPbYWWW0bnMJdqyXkUM1O68wTWec9z
c8he5TE2cKanDh9yqalN1AZnmiINQmWIsW4YvMZghkMP+nSqHcmsf7Q4mS9iKWmy6NsJoLcVWjc2
U5gKbjar0AfUZTm9ufwQRiiZhyh9DrT6ysx/0ybA4kZhPrp4AWRp7fzeGGiYRa+jbF49QjHGEI+O
gWPYAezJwkDkGtaGenCPhg6eUAbhUWUYO7QwJjs4e5J18pO206rXsI+EtnjWJcpxIF8PKgyutTLu
DGVfx46QLgPzzMz+i1blNKPCcPMrrq0gM6g3W+RU0HILjvQoMUf9kOyHIOy3Wap3q1G3/oGDGWxu
Ceg2KzQhYNTqijLc+GY1weQ1FXiFKHTM+Jk13d8E+XiRhfxy0+wd7TF9goYGU06rrTdox1ijJVel
gLneJOFCmNLfZX5w70LCELRxHu45wSo2s2aLDswM8wO9j0viwaGZpl8aiNFGJhxIyrbwV3XHoCbs
vxLbTbeCHGI6HRc36hICLaIdnb3fqv/SpYWGthrvJNbshTP8yyuALnKY11FC37KAP75RAnYcAHUt
spLzRMB0F8QG/ANrlpmnL1m6gTm5phu4jfWoX0ameuXvcbbKbpvm9qsZs+ZVjnge3PgyukRezCJB
S6xBA8h9MISkdjsNUWI+h5zqrWdGj45/juIdXE4v/sbxxN1gGcLwsYio1ssQQKlDwzXvXtjpdyKg
eWJ0/neicDiYTI2jPH4SivmQZBtpmddmUcdADl6xCWf4IXPTs6WhkJm42ZegjappBLxANznQvReS
XA5uidKutSaxxt+18CMN98OQb4QGRq9lJ/f9/Ab2ajf6EJe1BE6uoAWMMt1q11NkjkDvrJ8B3Gvj
FbcCEUJmR3tqHbmyJtBFXtuj4j50SfyalXr/iC7toc0UHOnCXSudo2HW97T1YfQH3q3O4jca43TU
kWzYoXY09Z55rfaSx4yPcaSw4XG+DHVOSYPBt6TSUcG0H6MFtCYEnbFhpSLDLhlOOqaoKetxRugu
Rx43wePikh7id4hGaVmiU0Wz38tVCl+fZQKBAbyJsKbTGzZhvijmYV+SmGDFy6e+rIhOQnnsq2mj
NWRl2MnwNdHAQ9TLOpR5yUX4xVcox22YM62VOsk3I9foIq1L6K/eUF2bOnzDdXVF0p1tI9EVe5Q/
KTyoIOmvvfRon0rrRZu4L3s8mXMhyaCpB+3uEyiIP8Q8AcdY0JUeznbUs/AUCEmk6W5zpdeHsBgL
Rn3uXhgKiLw2S41yjl50vRzb/+AvcLNQRY7kVw7tPbKq5Xc16JdKjcNCZKBj3fCIKRJYWOy7G+Lh
ZuA0JRdKiWKhDdoxr3yTKbmWL5MYVFnXqol05CC5xKZpHsq43bZWLY9kLq5bM3TPpOY65xYdEkOT
0F1QeL06lJ+7moX2nGrSPfHJxbBWL0bhsn1YNPcxLH8kh6AOIpKjthwQ1Zk4H9ARue1tddFhjZO+
QU1qHRym0ic14Pa0CndBmuEO+9YAcsR7Y+aKx7TfAkEkbKK+xHkFyCf+Gio+wiFLBNdg8M7cmK3P
UFvUfKcI/WOox0fHh/yE7af4biJvXHTMyZJQkVIwxnez4Wp2jfbFjHv0dPU+Sd81BFsUwO1H6Shq
lll+4cuHUIGn8tXP0KY0NrLuZ8hA4oQM2q0A7byyPXIDu2NZHlLHk8Q3mEAf6SPVIDeIycRpzrFw
FXvGc0tTyquqEuoioDqDG8MBsx9nITwZWpyjZX4yxXxPJ14afp3E7+WTEyFnNw4doD9rIg+TCOvH
oiOUb4gJ57C8G3XwVsUd19JkdQvnHw4V42AymulD6CsD7kVHJxlpTlBFBA6p15HODi/szsxQg+BP
BRs3H3uAAj3ojvMbNv4p1Cly8+nmDc1jVYnHLuBmCRe0AyH01NgoPJje0fDUB/objfEdVQvJVaOL
VYjeGR4ADS4ipu8QzNNwaPAZlFbx5Yryn9fBIwupY7O5hewydhSFw8SjRZDfiDTk7srmXQ7Ffq1j
B68uWm//c9J8Q9FbLyoTNmraQ7c3vZUvwC/nvTzFGcCdtm5eM6tqDrKBZ4Jnic8qvkypVe+koycL
KtatgbgqMvznPHO0NfyaCTUvso/GvyW1+wn+zCozXkJHEagy8oSGgU5or6hLupKtPQjtnUKhlI1Z
fmxzgKeIREfyyNbGIN5ts3F3sW2eGAmeqtQ+WrE+7k23uEsjuxlsWY0ZfBYpkWiT6Y/Ij+vzUDfV
1iwIFgLOw+LRkXtm9taD+eNZk04vOWLrzyBbDaFAjEOJVrRwA3o33NvlcEiCBIEgLYOlZhfDnXt3
Ofg7tD7RtWkMyL8uIGDf/yKLrd0U4fTcG6yYSQmAn9Q35yQGsgri6LPVguymkvzUGhOkON5vMDjd
jmIKc5HTvrZm9gaSWCxCOCelrE+Wmf6io4kf6phmHFnFBlPVRYyddQ1MlHpiIlNVs92TmggxdQui
YyZKXvzk5h4q4atuomho5TLTcEYRbQeTsGwIj/fNxRCw2ff2W8u5jjRViTvJNE8SgaJMrX5t6O6i
yrv5vJFPhwFhcjCGr2FFLJBbWRvkfMuE2fXO6ojRtP2p5MDNWSO0seK2qPN88Wu0aJoAJmyQhNYr
9GR7PY2jY6cQxqddc3HdnOTGvlr3ngFXS5iHNrbzhTD0l95qzjiDigNs7Z1eT/uxaWA3REhGy00A
iHghRUvD+SErWOiGDvVb2xXP6Kn0ZeaVIDBDDvum3poLxDLEWaSPxsQWU5ByTnFpbnUpWzLo0DCM
dHkoC0q5Bpuet4O1gZFkWWKjJR+urXnoLqpmM+T2XUvbWfpMzmvhE/waQq+tcuuVDEy0HEzVYrx0
OOEMA8b3fIl0CWRtw+kPZvJOlGq8LO2pojxmhOKgz91ZZPwaWBO2Qf0vb7OWM6tDjFd71VR9N337
CXdes2sjj0ZyTm8NQBvN7ug4leiOdBGQJGVhE3fz/l6a/rlOUW2EjMjJRoN8lc40pYHtZ9lJGGrc
g3hf5aYzJBF1g/OPucrG8/uSwDGOxv46MNMOf8Qh8x2Cwaz+6KgvObXbbFYhppG3RlLEh0PwQF/g
j0XU9WHWqSCmi2yPGrn5QyQGCr+Y+rRuntGRWaAsvRcLcs8qUfanW0bmPhvgiPugwvIpo5RugZIN
aiDVAQmOH3zi3joYrZ8tjcRMVnWLjbSayGFQ6bMT8DJd3Li0UdC4+RFo0bQ90QOQa7669NFybOqp
eUVt9IsWL0da6dMOShCTgv1Dajj9mApXF7U+ch+JIQmzDINwfAIbW9BM01h6AUjVwD5JJpgmRfjI
uNJLvO76aCL+bKBp1ARzjLSll4UAHOHrDgffsH8S47CXdf6Je7RZean9yCz7lrlVNAtM45VgOQgn
9KkaTeM8IFhxCphhKqZVMw8B9PBEj2hIMvHQu4A/K71/b/vPJjjXsO8uzcgelsYNXeRwiOZ4CHZj
GwiflZP2Nqt+ffMjRM+GCXW8iym6Oxq4b7/i51wHAX023MwwvQw6A0x43vkZudViJJRk0hB+6Xb4
JljKV9OIXEKfeuAz1hFg1iHPu2sKjBD+WP+sBDZhF66i1MKLmYU6ZRtOLSUaa2UBylAq2JTCJzUs
ZymFIIyknsZglXT1sRfPkhczGuRB9uEMrJP8Wa1O534dK0RALPddqXRKf2jpULIh4Zk6iav4HpdG
jrti4KfiaWI2ZUyPoA9fE6N/ZPIWr7NMrLwB4nUB8WDVDhkWNJ1XIPAAzlXh0axy5ypTI1jjYyK+
JsQ3FGQeGRc+K73reMT1dON74YT53vNCf9HlPSoububOhGyn0zZ26p7BH6uTnJ40wR7QST27iYxA
JNpsrYWUT+XOrfXHds/7IFWuc9xF6GXRXom0WasJ4YGYKOtar39xDXqeAwO8DiHaTsHyeJ3ClPik
DMpwGj+iiLQIy+MDHpvvEPn4PXK95jo6zdmwc+cU1/k5TzkrRcUvILCvNAdj6FnRE9LG5lFQn0bx
ORPPPqyAaiAryWucpWELcXSSML8AOjGOqnHZDCoSYfVCrDtX9oS+OmQleJG1GLBM4HbEZj6Qjrtw
gN8WMEWJd24veUswr22j19W66ErW6IPM4TiGrdNvJYSHyzQU/LKufWQXQ/NCVRVHxZFo1P5QGNFE
fg7QzyGbR/f+9ERww4ABQYcAd2SEU6270tNQU/fGI5yL7GFEV0c8Q04XR5jJD4ZWfTkVfD6mMWCU
s/V5WHUuRBOulB2iXCgfuzoK18osjq6yaJZn4Fm1KLuHTjPugQCgDrCJL+7C+bPVtYQpbZHeu0La
q64htzAeO+8A7JrOTVMftSixwBrb1vnvEfjEZuFESOedSWgbgInxxstrebJbsM+VZnlrV0l56iqy
iZqeTJfGa04jvvY9x14iVxGGPPro/pjgT8EbgR7Kr44yTca3jE9qg2vaW/09rScOa5jYxEWQgfk0
/5iDOeBBBbpxS73IYVpZWd22h1fuzhlyeexfpqT1L3+P1KjdQnTvZLzwJW8KNEikZotzl7NXAcbp
4z+PstI7D57rz7gJbdvF3XMZ4JX4+0cffFdfWsJY8+7iw9/X4gQ0hRNH+krLc3vHxBtRdSfKK2TX
19BDoTlxwFhPttOf6HANJwY4EWG6cxo5qahgNuAC+OZjItq3JuVl2LU2+2qy+hhMjvncTeO2YRL6
7sY5Ga01e1YADeaQNKa+MXK1En5o3okT6cj5UStPD7ttZlo5bKb0KRaRdQ8yFy9L8y3SLLuZmk9W
UlRre85s5GxbhVgUCQKKFumpXJYhMUSx1i0q6SB3s9PBplh387WNWiJZSZNWW6L7DXW0bjPO8Iku
jNnrQpsNQzgBTVYkUGeRVOR9+dwhut1duO65GHubGPqedKKqKtStG9OTpUNWB+Kh71LQ449aMc78
ynL8wB7r4EiFQx9QOQASbMlSUqCZaAhk3fOoWQSfor44OPPTIC6BpEvPWisGKM+ZA98XKc8dBBdJ
hPNPxF0NycXWTn/P/n4q6qiCDKO+jTqjENerSZwCE3gIm+pUQYZJVpOtUKal7KuswRK1TcrUKPC4
Vw2VJA/KdNW/PvjEkCS+J52IKRud4c3Ra2dTNYPaxYZrXpArEWMdCejzjHNWYep+u0wzP+cH/v88
8AxTu1dWfdPILQVmasJtGz1y/lIS9+anju/biGCbs9C8YaM8UZz8AEpqObTmM6NEjlF5FnxHxKzm
Rjku7SIpjw4q3SUcRv+ARad8ct3y2fNrczfKitiDkehEzWGdduoyfbdhzkTVu9VZOjChnD/2LLRg
8HlKLD/k4udRGhjaXBCCc8zN/tRq1ddI5tKmCUeF8Qce5GkKKDMSRCVAaUWlb5m078QU2Og9CJGx
zcDct62vqR34ueY42LJfJrlyjnamirMQROYqcJrfZnNolOufqNgINTRUbi+TKWwulQcLE6ARpfb8
tNO1aT8PlJSp9RvpRqSOleX4Nlbht9+BkHIjWrOWpz5UlGTfiae/t7PmaZB+Xlw4sEd72WlABUpU
Umn9UoOhuDUdUuoyJ0U3q1V3sXplPUwFIAbCmzMwMzaZUonucGURjIz8MMu1beDK7okqMIP1SuxQ
4MnhZplPDKT1Y8GHDHVel1+dzxoXWPH7ZBDyloVqXLTFTLoWNnh5rTW3Vtrxlxv6VgJaDeJxNp6S
0xhUJVxxqjmvkvqa+lE/Q2vW1wmHif88wkttbryEtcbW+fgjq2jeq9LYIZxxfpRV3iiHQ9jDT21g
yqNCZ7voafV82L26tzZIihxs71mGRCrobqC/IFwBjTk/0jT531/7+66nxLDzGp/Ixkp+eFHo/Gi5
2jZla79TajOIMVsCfQR8W5WqdFXWhrEF4Re/6R6ci8oYP7ycyS8a4oNTjeGTrKo57peXGVovo2n4
xE4Ji7fmvXWdHX3NDzDEdBeD3mk+G7Ja0YG/TeqVrOko90MFW7vIH42UfiXq12Ni8d/acWFfaHaA
V6KcXFh8d2PrXX3lMBI88Jlpm5oO1RpNB921IWuusQUM7u8bo95ZR2VzSp0XK1dqtzrSjOPfM+Q+
3cnU5Hn+cmYNu8LGSJpqFTTC2KAyiCJrO1lOeR4tLb6NcKeOiWqEs4nzdv23NFbM1s7/d5F8q2OZ
npyO0rc0jPJiVciQ8qEZTgYedkotegFZn6pNKHBHkK+W0/GhBJPO8DM4Et9FkBhPXeljkSPTCJNX
+4vAAmlr3pKxjG72FVjbXguAIjaJY2z9EZm4S/Zx00umMr58CkHsrl2nh/NlaApJlFdT44bA7Poe
ZbvZZOH272tMzqdlpXvGXTbJf/9IwaDo2GVwUsp+rK9JGNRHANx02rFpGwl7GKagGJExm+F7Mebq
NgMdF1ZK0AlIt+ZmBhQOTQfKXLaKwZluZcu26JAVJtV7Gc35DlHrczHPnWwQ1Qa3g6Vzfq8QkE6q
8TcCjRwpdSmSY4b4X5H/PUhn3vvTvdWAcFxalVAblDR7z02/46EjkRODSR3P7o+SSGU7aR0kwKB+
dTtgma6a9Pq/jwqMvv/v1/73u//7aGZ+ULIZYMwDnTCTduk1QfTDxkNjo1PdzRmGcSv1nLLGZWDg
pMStgT64/e3vVj1HwNE52E7zWpyZYFEAlN+ixL4DZeMvFtbjm+lAMJ6UO+x9wimIvOZoxqm7vppA
ew9S754A49XXScTNlTPpyFE0ZqXXAYJGBGI8tEybLgp79QohqkkmAXmdhoXhDaYuadGMIK3IML4I
/fjPA/E/D+ZvdbV6F2Vz5GgZ30pGn6dOhAzJaTQy5w85QGcEXnVeUBzrybYPgTAQbotu02TzfxMw
l0v7/Ifz3gbquXlPS+Vc52dd5ZTMICa7waqcN5ug98ITGrMQGBFGPbzd48PfU4slEc+LiT45L8AX
rijHSVaYK4qwZ/1RhnD2f7dqH5M15EP3dZyQ/7YGCLw3+6R/VfYpbqPxjfPJHyD/wfKWmLjjUz9X
Z22cJQcxeXPGEHqPFrufzFCPWPqxkiLeTqlzG1h9jwQX5qvIA9Ils5zuiIF4xI21pzYiS9lNgZ5x
WFpZbuscGnEqwAAxVttCVjTvJdEU85O+rnsAi4MNcj2Sp9y1wtPkJf2h19kdOUlXTCXvzcDJOxve
i+peRP7cGEZ79/99ZDHPFshMzkhyACzrWC5cpg7vrt7tBtvu6Bn4YldNtGHKqjyG5age1PzJVHb4
f5+mSIjnKRACQb1RK4p95zO6IsOQX1bo5SsF+GyfMuKqooEQXH90TzTEIZ03wBhbZk55zpxONHcM
quFSL8icLI1NB25960TlB20uRDO92KIPQ0TfNEt2OLnpfUTbk6Sl2lVd/4J0mFWw8+A4cAC3aqYX
eCO4cTBdDl14txEfWmb/Q/bdCV33RSXZJnAUCwIc9gHaac6RLxNb28WnTeTJmDi4XZtNTTy4pnnZ
Io6QKuV58Y+GpOdrn1gM262l4RaLuYBX8YSPk5KENkywN6QO5C+eCnpzRMEb0a3QMcTZ0W/BMF/P
e3c/4dZOoIZsLC+irSuWlLTlWqvQeNXhDh6NWuk1hpGppP7257TgBMuxiB2ISctuloJNjA8cvLEY
jDA2O/RA0Ya6TK0hjVK3ID3CFrdpiuEMVOVdmyf9rudF2xT4xIMT4M3ru+xd2fPvBpoJQhvARW1B
T4fc2SHUM4uVQGuoFX50cAexrxMfYqqG1Brv9roMvWejBbGhG7RNDToAoHrqTzsT7UaA5EMvTJpM
1gcnN+ze+vQ9rhBFyjFHG8OZposatahB5z94QfMGWMVZF/NbzIQFN1MDLuKjwzDJHkg6wYuLDEhY
kumdEdFX103rJUpgnQVQMCj902pNGzKcZ9dFRVCAptbVnN+eZhFHFc35Kqce+2nZihUHdzIZciJL
oumLW2BbeF82mmkydpvigJvsSqgov8s0Gd7aCT6cF4pafW1QFIvps9eHfld02RlqzJy5aspt0zvX
oi60bSGw7UywWRHdM9Ag0O5adt1HIn1tWY30kbSo5nIm08G1uw+L84IWthI7McY1E0xSCul8yRwn
Xdc9QxzlRD+51xVLt4ZU0+Bxiip+0iBXT7r+sBlmdT4NiLGjIxq0/VKXDa1I0yatKGfGgU9Lin1W
hqRJh7yl2PO/i0m9mdM1rHEbsjPKTTnem8b0V0x0AQGr+q2x8mcV2LRgJuRlo1Nu0H2uCO1otnqV
yUUZVrcis5pNS3ByrisPEcO/ibtxYTRNsnPyjGN3Pp5dc3bwmf1jTBbWwk5dGDANOSVZz+Vrxgeu
mpPukJNLCNCqjjgj2oGuAO/U5zR3Dhy48XqZwtiP97r33ZsZdVzcTlPvFHWIG/butfSABZVJvI0C
L7rUjjdtsxDPc96StGdk2FsyWbXbzrsSXy2RabmnqEPkNiJhybLgt52rFbeuN7VuIgIM8+SDBLGB
hNwekU4WnsgVxPzACk0MW71+cpPiX0Y3+NFDuuHP2YiufY58E9q+rMQqR6746HguC3UD53doaX7n
7SeWiXjjpvZnjmh+1ykwTWTz7CCCkjxsdk/+wBKoCX/cuYy96sIBgTfF9U4vORg7HNbGMoDxxYxR
m0J7D5lQvw7kwRC9sjZ67ClNS6R7XpvX2DHMK+o77FNcI1mdn3Kk9dfWytwTJoc1DYLXJo1HltV0
1yKZuCaZe8hpHSFTR1cKF9BjZoJcJQurYpdTC2H783Xq8lE96XpDsC/HoA8gdVc0c4BjkIq08zgZ
n9nVK2ry1sAdoof/AYSibn//ZOi/HUMbLn/P+jaFYgOSYPdXX0edTkB9034FLUy7MNHh+tbUolTW
9tlwbBYd3WY5V6SWmhPhgsB9fqSlrwpiBj7sLHpXhXaAPmfeWZ4BM2uzOW7eNHW331s28VJ148sj
Y9ri1ELCXtbMkO/sGosojLNvvWvJUR1rXrd3tO0sfk3r5rvF9POcWQgg09g8w8hqLlkUpBf69rHU
P8DWZd+pbN5jTirP/30K08eXPrc7JHZxTkqI1swnNYl/zA3IyLQNt93FKY7RIA27zd8RQo/HcUXr
yCKFmmZP2sbwETv0iZpD1ed08X2iypydHJ+61pnbGGnGUjf7ZgEn3j78dVRwBeZEj+r8T1ieNMau
4gEdfo5CXCnkFYH+XYT4i9Q0ZK+98qBseWq8WuzY66gpyyMauFVpgvOAVlEfR71qjn+P/v5xcl6/
xDkF2sbZmVY73LlHq31pVuHKyYjWIjyOiRYhFjQOFQNGe2Thd6ea52hXH/yIJIoSGeyimVzryRI0
kv+LqPNajhvZlugXIQIehdf2luxmk80mXxASScGbgimYrz8LvDdiXhSSRqMZsmF25c5cSeaIQH8w
PfX4kjdFTkCdw7koPKSjqfFbsFuzsgQbm+X4+wAb4bk1avsSFXiYMjIXNEP42u73l6zK7Atz5bDW
JhuO0O9EGNcHPDRuvzJ689Vu9HZXO64kbkD9ZVSVZ14QnIJ+f0qpT3k2XeNPYNs12SgqdxKOR4so
jIxTMv+gB2HCN2gO3YBW2KMwjMffH2J/wCT6369/fxaYKNqE2GAfhPLspDJ4+v1BmPr//8yp1FnT
qY7+/f1G+Lwjf/+vB8t88WyrBQjot+hvhLx4lQ+sJucfcFDkANnnCRYZBGpDmD6GwfVvM8tz77pe
ugH6mXzOuEK0RZJUtdNc8ty5G2GVvCVQnaD1DPWuz6P41TPaL3NAMmJtYK4KfEZMALa+IzZuvv3+
cshBqXN73UbeaUQd9Jr52XVu2OzkPhkiqlRK6m1lQ0Q1Mpz84kVTuWtb0r2xmRYXaH39Mq9H/6Ck
tTVlOTzKlmLs0HLUwRdCu9iJZsJPqxpkakL+wYghzrHtv5VWgLQM6+rFQZjbEhP39mRjgP26R61n
9fj7s6IcrR2duu4Rr4q10xCjl8qrIUTN+lM6FtH592f8yzPCcSl7C6OSZZZEHSa2dNhn5TG1Wig/
WDsl/gcPy9OsQoo4SPf1ZL26XI+N6SRHdp4VzqQ8cg9kPra5mWWrhnHkvdbsb1YUxk/tPSgwq/E4
FtqT1mjeXaMJracEdyNNVPLf7+t/v/w9EFPSyhsnnPjIum4HH8L4ENbJbfLpMSJ/7R3goWtPm3Qi
avWdokt6QPBrL0q3lrvRFz+ZOVjY9zJrK7PUWrtArN9DxuJYT1YdlqzNf+KpUVItUyn/yXGZkmRi
yGM4BP+Em3eXKB2MC2ycn9+Dsg0fYtW4Pcs0yzYwqlK0jQOYvYlfDCcRexwcY19b+wp4HuYQK5Ri
ltbz1yTHIFlpzoB4Z+WvHqi4lU01uN6H2rPVs8kzwzH/kpxy2Tc7H7n0G5iENgSAkkh8yvGBrBAf
XlL5PvD1iuL7WUacn4+qhwlD+pTX/W6kg2iHCJHvyPPEN2OeC3+PzfTDbvypDD5EPNor4XMT19M1
GOxp6ae5fIxp/GfIDevHk+SNo463lmf7M/eofhtEeKgpntxoREjX5HXUa2wPxjHlPbgw519qmsYH
ENAt12gjW8X2o0TlPTHjshsuveBzmoPts25oGF27rLo4ef7vT4CUCj4H/gSlqZQF/d7whhmpJSSQ
dx/M5XOGhHYHLuKpTt2n3jYvYgyuHFiILXgKj0OGwFX0+zGjSzeez6O5cPiAHGil//d4mnggfYCb
NFYmGCDW77OH3E2aZ0a95hk13GG2mo+2zch5Gycvz/axw56Zj5NYJ5QpLzlWeaupp4Jv4WlDtOWR
Hq7aqghOxqD40Jn4bok2hMsGGMjnWDinwLG57MMRtye8LZ4eqQ+Jd776iSybb56m8OCO3fL3n/Fe
wOabtMEhDWdmgCzNo+umBY6i/BUFtwA/VOdfwHGXYGUIW8LAXsxUg5fWJ+VeWObzRBJzZdY0Kg+A
NAiRAuZq6sjBCN2rbWAOBOrLzmG9iPN1ICS0Hrzu04SPtaOkk1p0PfzndA2qH3+FP472DmCJU4ds
JAoKFt2uZGxv5CHQ5rxdpr4GZd3GsfJ2GSl6lT2lXqpdHTXCPdVzAgP5S9Tilkt7hDJ7UnuC4vbe
GMHBuFwHC2XfIj1Vm6nkGeai9K7lnGoYmoasWwMaSkqsrSONFb0GXSVADnbSakWoGVSwGT8POaeG
KPPeWUo3pP1xsuPnLxbe6+BrZKqb/JTUfbIGc5nZtgnIiZoltyDpyn2xtrUy3Oq6ToYG8CQlxME+
5B237CePsyhRFJo440Wdo3WFfbzFfi9JeRl3U5g1WaZoY0+mfg4ZdrNJF2uE9c/GnvG4fBcWupjB
ZKyDnDASSyb0aWd613oin4uTczekUJemVD35AISfeiO61lxxe7uz6Xm1PS42z3joPSF9XE75yqLO
bOlXHFh7zZxWItfPukafORrutOG4VmGTnOZqrnVgeC8h77NvzEWZWBNdKkNcNs5L6ZrulkxVt5ZF
16wEMJwoweFKhQioHs+C9xySp56rFwCssZGSyRpKONh1qVHhXdTPqSox34vC2ltw5kkHQXwYbc6c
NTm1FQ4zRJ4KA1EbGUfDCl4BpJ2x6bf7vLvnEqNTDfArzk6IheWJ5qrzUDojlEx5qAOrW0d5+O3i
q0Lv0NMdefi/miOPQYwxDtgwmNjhR1kcGnRP3wQDO9CMRVVWGV+hFVLNVjz306hvC0j+KdfAqm4F
1PbI3uUp7hJDXX3OieSniD/ZcxbW0Y1tCbNg4yeXUHJ1J/xxbPBnn73NjA24D1aEBKpR3+kYVbDW
5lkM9bXBx3Aeh27ngIiJIyIqlaCjIig+7a70ECr0HTSotW4PkmD5aKF1llvTnLy1OQD0zs6Wj+tA
04jIhK2YTa78bqAF7VYOwQ6q0msvR9RrpytWTJzVogTwxFEyOACxWPDgKbZ5B3AJ8hj9nkTP1oPx
UxTx+xDKFkMZ4IHI2cUxmCyAEmrpRYd81KC8ma7cYPIFvCXDv76R09+nZ6eGAtZgarOnXrlyAVqD
IbyTV4xss718dLYk4RS30pRsOt+zdlGZbJ28MjciY6nfT4J5BFj8pps5YcNbI+mFqC3wo4PejpvI
Xnh8H+mnBTZUTDqcdIzOGSluHfBlxn51UeHn8dK3IaKdbjJ7HdS+jmSvR/TUzFzt0OmfZFySAKep
wzO1vaFPn3PtgltRdR9KziE05dAgPOo46ObSL6arm2PE/c6rm+TsGRJjP5hJ01bIKYrzBtVhkHhF
BFGhLcDL6l+tvXL4NAta0ESNFtKy1w2sved5F2ICwTnDKn3GNPvA/VRudRwJvcurBhQ52YQ+2ROl
/Mnq4CyGEUqULc596T2g2X22IjoKWuw0la1E5Xx1Hl4U/Egnd4IAQMpl2DIUhqDgfM18MEWNWwsX
D/fJLbSClx6w566qwd9RonYNSu8FvOFnG5H29qvyvS7E1nOgbYsUx4pb0erh/EunHAxX7m0lrlZE
pPLaF6OLYQyMWNVsCrI8uyJqrJPZU3Sc39mjW1SwqB/cAyneeoGxeWrWURC/lrb/FyQB0Nx43SHd
LFo9FWuWCIhNNmzPmNtV55Vmetm7lcY/Ia7ZyPb5ymOe0CUuKCmojjOUAb9QPHIGz1iesvnadNr8
L69RqE7QE5TZlZu08DHHMJ0t8mNVDq+1FaQbXboPlhKbSJF1NLi54zJpVg6zDnvF0F5kU3jpY7ni
CPuMSHmQnXcODEHctABcEhd8EOKY2htGkbcMa/+mdjq6SH6JZF3Kbr860ksJ96xW7sYOlqXp/ghB
brzTJUq5bt06+dUnkLb7hjMHdsl9UYv6hS4RsgJWkjBLmclT+Dcn47wrG/cFTvxi0st0yajDS4mP
27TR6ky8IMtG6KcGJ0/GGhFSOIQs/iXQOeWSe9nzAEx1kw1ThZYBBfB42eN2L6eMenCcfIsR/t0x
qWv2dGG0mehc5qisLphj2Wyb7HA6X9+bRERXEJyf6mGG7Yp6gElYYSdQQFpauFloJTH/jZJKYmWd
woQJkm+0Wmm+8Q30xkL/weJofHVUbZEgqmHORw2gUQ8T6hyD1FtwIjplKWxgIwIeS6yiDUIHsPCm
p1U7zPV3Kxrwfs94tNrYq9Q4JHNmJrOKLZc6919FXJ5mlGhbxNYtr+iENHzSCwZ2YvRb4FbwX1pW
tj31Dluaw3CbVzlHN+s79qNXp5U1S812NXA2yD1iHxgoiTsWoGFrhqKptg+5mf4dGj94Crpgb/pp
Q9OEfGspEXoes+7qZPo+NtBRJw01oDN44EaNR821FW0nG3yYimsYYN24LlzvZtcQ3YKQAoJubBGz
gUSaph9eePfP75gCiDnoR44rCiW+wcrpFKvARJU2pLN2e9vbsWwnuaHQZqUl3zWjml6MUQIXBXi6
GCabP5uMlyRKk22SmtFT5Ii5+pPvYN20Pwn5XEyJU/kms0fWa+4JgcLO9zKBkDpMxJnruiYoZo8H
vaO8kuehvkLsaeBMcuE63UhAvKWvIYlOpckZnBCGxntumTeMTCRNMtOK0WCxjKVpszc6+yiYA9fK
HM8tVexYUvHIE/nfYymTK61xiEu4yWZ+6aG5YyAml7AypuG7t5CjAiegsssUy3IcyT6nj6QBD1cI
4yNU+l8RfXBpEgJ3YQiZcq4YEFO+LcjEmL5zsUL3bQJujLWxi3a1bmDQjNyjJdNXYnlMIpOFRl63
QLPx5vSpy1zuf0UT8M+xxm6VFk882z5xSWL28r9DuIlBXqD5IowvbMej0ZpDITFIDTaTB0+uVOup
Ne52xbA1NbR3pjxWDBYzloDAHydIQQT8l+DgzRwdXB9a94LT4K0h4BapBGZUDGdbJelL3BPnZaFY
sJYRgjxQMjbFysEXnmEl0rTXpDRyXD/4bUSrvY1445Yi6rM1LVax2S5C4bUL02UOHZwl+3/CmUNb
LoKu2PSAnVCScYcNNOTxOdJVTtPVyvC0nrxmUy4tozafomi4eyHLEacGo4ItnsxKiBvM8EgRu+m1
b7T0oPtjviYiOXfFDx/QVHW2nMmqlMjOmMT0TSfjV8tu/gaZPh+ym2e9Cf9k45NTY3Ga1J/WA/Bm
sNJZBjyoGKYg7RQYp2lcMtD4sCU7C/hsINQ97bUi99y3Loa48BzU2B+7ySJkzbRHtKT9Eoo8j6wF
BW1Gv/Tq1zTPrllQPjhAcPYgPuLm7tkZab7NSUBpJhlACe+o5m2Whg43Ix/cyk/VTcMkko4lzaa9
H28VOCsecg6ox8S91YP2mjYen2tPgLkZzHzVG+SGsQSlNV4rT9d47NjCXXQmUF+6VgwNYzIBR4iU
+fKeiAmkVhnm+2Z+6lvpJi48DVQE4ZUeNxJLywV1LkQblLH39kMtb1GQV6+Joz8PXG7Cz86UzS2B
3XGAZiZJWPtm+a4dG6JkkplTO5FH2A6ecS5S60tGObGVGDG4MIM3037OAkVXrVWGq1rXbpY/HIRu
8lC2rfPgJG/kmnZYHva95r8mbMMXdZF9Uk9CeluRaDMQFSJro+GEX3h7D9oy3T/t7GJUT2XqYpMu
7aNniGWCbE+umXZsWuCwr+3h0Png+eQeluoTibwGIER26zBZLn3hHqVtcoXhyGM8aTdhKfeD/eHy
XfXzmXISZZ8BjsOFEQOH8sXA97jFYxg3wETNGsL4hLO/czXSsiCOoBD56qcZuy8Knn6vsdatWH++
OcYzzSD8IRPaUttaVGUwhOYaHxzvxgWqN8hSfVwLQ3u10IdXQ4l5ISbl5fbj0QUyKIKYHQ27D6uf
r9h4Z7SA/bPO5KY+mRHgSaXkuA+nYGeL6sthblK2P0foie+3nrzJnAYMx7/yThy2PXE80XtfwjBu
VkBQO9WbWyeSCFPBeCXAc3Is608UlttAcm51teYT4/JaF/U3besgdpym2pb2P5MkkRl3zr7Ixrul
iw+ewvgL/RXlQ8uG1Wko5cWUSfeX43FESAS6Cu7KKKXIIUCH5QS4qyFXhiknWtFdlMbOHrJgwZdp
X8yYdLDRjs+1zp4mbsdLGfkrJkYud7v4GQFYrQNJYU6g44lJdN6gE0oih70hzT7Htr83HH4WrOqc
JSo7lwV2NL3DIdOxlhzf7ZRVp177787o/QFS8c/zAHvw99VDttfq+BtWiLtQuJVpkXsn5EovnP7s
6s5AZfXGyMioFnQ1eqDwyQy+ysT/E/iOv87q9xRf/YpegD9JDJqSboq9HZpfuGcBSfgnf2zzJc1/
EzYQln6cQoa+erToTCgU4lWou+0pep5Uc2pZE2gB4pivsQBPLCYJqyrJCLiYNWoflJbijErsgZUk
5Igu3vFSNjiYs7zxdWrQSrJbqrk5LvlGvLnlbEnaTCEJPh4MKyiSTJ4+dmHP2GKQKZ68xnun+bu3
jWs56BYZhebIRH0BD0ekPhSAfFy6EX14j4JBV4RMhhTQsZy2yfE0zCzlH19oe3dgz2VAOds6MblB
B47cpnPDTRSO3w0CxmRzM5U8gnDPnQqyrFVFyjz0b5muXfNmuHRea6ytkBqMrsHZ4jTWT9gmpzpU
lxQeouakxyQPfmx5oO5QomEX313ElA6cqkSo4IT33YQ0SJY9HJomOFBKX6+ImK5AlhNE150UMj/y
NhPw1vcGnBdads6J1c3vVLcrdi4p9mliTlBQGwIzPs7B3bTnrThqrHiJY34WYXMf7eI5cp1zWmd/
U6IF0ezuYkcZ8hDTh4aQ5Rys7dkAgVwgIMKUUPsB/Vk97wE7ovKFsAam4HEpTCNbWvb3GA82Z+bG
XzR0vjdsYV1aWUqN1zuDwdnN5Ed91UabzS1vVnymcgsZ9qUykXdGs5BoM08smOkAapt+DXj51nsg
dfLoH92jOTFCGDemsRADE11ISmCaWIDibiHImkscjcBDkjsgTCLhbDIWXZh86KDNuxxLLfVaECqT
5wrdbaGs4m/71ptrL2LimDoaBvQg3dn9wHsk4B6vasTZOrpRXjksMN/cM78+ibR703O/xJvi/XGs
9AEJhONbbHxlFUArs3QvxcADXlFX6MYPzOCYKxNCKaOhbtz416xo3moqTQjYciqZm/PGjjCCq+ge
cLM5ZK5hLKs+Bk2DKJuUYI/ozzEZqjENwQ5L6DwhufSn61jOBt3FbUryQMCtmZI3BYwqdFVc9C5t
tyXURAFma6sP8p548dyCR3idsPq+LnLgKEW7GYVxtRWj4NAXe4RUwDV2IRaT2MO3+gRtr005Kyet
oa0iS/9Wgrr31gtWTsr63zFPE+MmhyXQIV4ByqkgjxVJrP0i4UE2xPk6C9+7Vp3Iotxca3YZBM7n
rBQKpO0F3mMcqH6rFvYGf29SfOmG9hIoDUZN2PswXFYp9T1A+HuC+lgHGlUd/Cz7zKGCEJAl7Dyy
RSyAZB+08tTXrYF/f7yMsnjokF7XjT6tZ48t9TQr9LZj6DpfeSZXnRVcRcNrqukGhfYFD2OCNalG
Kp1w2+Llq/5JDDi9gvcR+0a0cbUUTkX1cHILl4bFETynmrT1yl2jJfvUFO82OyAHxTbp0ue07e7J
GL6khn6eCLjML0tV148OdyclYZdB8mT1knwboWLJwL0YZG6OvqdJKFdnPeVcw3trE9quWg40a9TT
P9QHNOBgYJkKE0C2tNrmndOtSVu+5bNdUBo1O/uifCtq+9rq3FwjL12ezvkmJg3LNnUfTLiUS/u5
ad0E7Zw0voC9MnJmgfH5PvpMDbKmlC3UIrVGRz9gijdJhox/OuMvmpDkbgaqFJvBdoqzB80FOQqp
OJf0YTQYkU5Vl3xWjH5u5p49euvWZp8wHGsWOPC656meqEPogjAvg5UrWutgpMUOrkKzTAil02cI
NwkWU+FqYJ/iB76tR1+5WzHq+9r0vhI32CdKXvl+nPDNPeeVNy1jkGsEXN/NuJh98UxQCfmnYPRX
o9aekIXoUujGY2w7PoQUi5I+8dOPVF9ULjyO9jgoXuuMfG9dbn5VNl6LKsDFH9q4bNkshtqrbnGj
1NygpcE/parsFeVZjL6N78YRTEAh/HodYkCIA5fsAc97UDxjrW4BzBrY72eLQcmPO/1Jc7nsMb0R
OmAbDg6qWBU1//0onm5ppLC9OweuhW/87sQPyJXCgkAW5P1XGGPPk/ylT/E4xwNL9THw4e/WAM/6
WZ+e3Dv+JjZTZsfzEW+KMrQL3hckv8B7mr+OYaBcFnhjl0OJqCbesoR8LOA1RLFo+UuBpZE7xQg/
3xchMlzkfYZB/E8bE3tt8QYqsgqclspbLj26qyomgr6MSXfxcLI5rWgukFyH9gHalcK4YGwlhU0q
47T0KHeCPhLCl07la5ZSs84M9RVP7bkrWXhzrlpARocaS1ZgCkdY80wXge2jmnBlsBbHw5vuovqf
HfWKZ9AMVfKnel2KgW/cimAu2GaLINHoM4lAzQGBQUS6FfnzZLQUBdhE1AzyGQTHpUV5QI03b8if
GXLnPDCVS9a152mIoOQfGhtUsK8zdlVF98WcMlE4Z1Ecjpek3laJ89Cq8SjyZlOG1P/obEuRxhNK
0zM7hEWcx6yq/PoyVSdZqS/qOTZytnuIQqqtT79kMqW7ipgwhDgML7xXnEh/IEucnErefNvZw9BD
yaRKCof1HPFdu5UByKKXcAND+0PGI1VX+sVPLD4zg+MocJmuLd6CNOBWQ7RduOXBd6NnaWp/WklG
HGqXKb237DuTsMZzC18NUPIdQaRyJbKCxKXs30VxV6J7jKbhbcVgXrvIyTeEYFJii29aAu5AWNcm
obIWayNdesTLe+M9nAtZM7s76mUFSx8PspUNIUsk+ZK3giq2+MUuH4Vf/olbJ94kWnaiERisFQbY
pdUVnPyRuRFoxBd5waWZaHJRa/oPxQl8Y0f9PuC9C6BHLguteUPz/+yT6IVyHPrkyks4UptKVy9N
Zbyv9JjS1tz4/P2ac/21VOrMMZ3E0YC8pD15E+qzOzN/LDf7nriWDz493DiqnGtGfHwMEFRyP3fQ
9dtPv4yKNZyMfKnLCw7nO8kf8p1Y8xuljhJoP9HgYkfOHpCEL19cv1uS4KGWi9ej2YCnYTSKaDAA
/RQ/ipoUcc81x2uw4+9MHZdjuCRhWqtT7UfvMBMeRQudK5bevxEmEwtT3zHODQ1kSkuplhfmScHZ
RfbC+ljsci39q08sv618Z2rIf6mTYo4ji7wgjPsmu+iZ9STVbTwQjJ8qLz/rvP4OdZBuHkfHHOkT
8sMZe3u96Br3py+wsJQ1k8/UAp53x2ecexRgZziucZrpOUCuoVcvqDTEamAdjmm3AWLxkkKjS0m+
M+BfyWb2GwcckkkixMBlYV/0hDwMzMJih7RMhkhnEThm9zG7uq72MM0BCcc2zqBdBnRrtvHsKFBN
nuhMWVIn263CLHrxpThxKAdLGRhnqpJvttA3FAysIDBou9lCmhIbWSUtGlso0gvBacFsOM0rkk0f
DEtPDAuJF2Clm+rR8PsiaP+iRR17cgj7wNPecqHv5xs3d95KA582TVkc55hzXAqCfe71BbXw+NCV
dlf0GC+Ex+rKa8orNe/fMAHWpQ0Pyy7BinPgmTuhq6x8xvPy5RTdodDh2NQV4nOahBs3TFdCaZCH
e6yBKrxDxXn1svC7MgAMhtM8eJcM+766jXLiaJK8FANmS3xIi1Af9rzmvEXJN9fnOWQo80H46VTk
J6+gkUPPoqWb+9w2QmxxuZnbkaRq4zBMleN55uctHIvzpW/F16CCPsFoGcjiFqBuMqYGG+Ap5yx0
tiakr0a0F4hVdyOLv3VihpM5fRXUJC0tp3ljP3bXbOPOjuqoHPruW44GPhlfpo+Vx5THUCxupl18
DxYZacHyZpjLPJK4u2kMhKPt3euMR5LZ1+B2lZ1uJ5bG6GI7he1sS0OJvgkpk0DpW2r9pD6h0C7I
Sq+KxrDXPp5cahPHS+NUf1txh3f14eAqA6aEQKdlzSHiYUgf91WNW19PZ8ciLyUL4wKWb0pMpmYf
q4CgaXwwkD1WkQuunzqFddXy26PzyMrymc5VftO95lX0Fo2csHu32c8FxD7OU5eGe5/OdrJ/qbLW
GjIBL39eFsOEHpbntBlAm3dXPKefU09b6wYlBiJEtqT3+jiADKrKL1qq6sS54zHbWG1Ugx6Pjk7b
3QIyjCIdnpoEXGLnT6ei0p7trSUo6cuzUUMroqe1UbgUM/lHaO2d6iD9GZ7BMa0858kLFJJPbt2z
b9aGfM3yiUcR5eSGeW9C+ZxMoEi9C6EuLLpeuZcqAgVOMRQ5GSBVWr+ihBUXH8WAbpXvrbLduxhF
g/Fi+dSrhA6fdKEgIDmsa0XH+ga2ezXXT0/jkK6AUCDQg3TvmXW5YuIJNw6RMpWUb7Hfu8Sry53W
wS+ueIrrxHyI7WKSU032bgDQSwdAR0PK+zRzRpqxyDorOWzAXczuC3VrOWlsW2PMdikPVF4R0LMT
/2oy8G7SnHKi7l0ya9YTm+C8czdWqmnLMW/PuDYpi2a7w2v7lntwajwHG9bU7edWZ1Agu2Jgqkpj
98Uz0O1K99VNeaZJnmlEROY2vuwRxnNZoyDLyxS8wn2LXdo8cag5WV5V7+f9gAYhcVVaqHxkLBgA
Mo4aVRYsp4QOKxXSM1GZqFU5ex7SmGrk1odkDLlwOA9a8mD37e1Umd6aqjRWStSc4teBO0VYuT9J
9iDQDRiJOopbgOnTiZk1Ww1WjG5XhzDfYonD2q7/q9VZTsWn7PNqk/Ql4BzLoDIs5QBlCkAavRxI
4vRnuCgwP8nysyil84GVTG3wp3OSE6pPz5Y3NU8235a6xuLvKxpxKsTHzqo2eTV3q+g/XQhDg6zE
Y1dbkhvP5c72oqdEhd89Np9zpzcH9RW2wF5TY01ClyYWZ/oKh7DdIs0/QiS7KMw/VEZiyyvxYzbS
PFIZKDego296npvAHIqfrPfl7BeNVzVHorGmQBeTf1fO/cvVl2dGnEr5P0LT25U9O0FgRPCBWJxy
OI8T+a3XTraPm3ejY3iNACWtmPwPygRWxojjByGMBu0AouptlEmzTZ0PV2NIQsrEDGG2wJO1n9En
/MG0nSwRgh0nWhXT9OxDQeXYDZNRtbc2LsjfUxK/5gWy6oCrsc/59ul3WTAQ4p8lpTiWzkEUsyPX
vDt4pLigULua8qtrOhAtLtP43LItKusEdRJyvzPdsP7fqZX/MS1r22feHbf8nffe/Jk5FNditWBF
4xOF7BkwVAj3t9jDdouegoonJowNIzGY2SH91KX4o79BLvrsqZbCrsfOIEhxx2aUkZJQWvg4jRbp
1ekmFrde/g9nWbcgFsiTPvguA2msgpRSoij8TmL0YqgNVPll4Lfmpqq+rXlFZ/nBiv6ZqcLwqMHS
tNmfhZVpLHOYzSUOx9qq5FIvShJyOPWFhzkHB33SCn8XWsijXYGNEThiD60y+9uFFpHpiJsrt5Ob
VTffqWbsPDzPsKw7Fqju1Upxw4H8MAanZO2+Z7nN7cjts8ia5A3P09ihtPoUffGCTp4w7bKdyjmI
GGlg4e3oVkHjv+dDcxvampehjejrJ+1LYRFLRt9pVmnVYsLy5St615OZS74WOi3C/meWBIoZwJlw
3hQkf52YySSnuWiZNRAeJa1rfUF3DPL/snemV84E9uIfeufLROBi0Q4DYpaLpd2t12kD4GcEJlFO
JgYY+suTtr/giwaCzjDSBuAGZfhPpv6R1eGx4auEbZBd0lBekSfnOWUKOaTX2fQaHYHyw8ybnKsS
Mt9NJT10/qZuS1wiI8peQliMmwkIh3MuAhOGGFmRttvQsaYRlqh/4uQ9HMndQBxa4XC4U69Ovh7T
gphuE6FIzFyvruQhSqMheK4ZJP4Ym+QO8xAqUDKiopT13lLMgqwQY8S5+JsClU2toe8IsA0gF3Gy
tCsb0Dlm9CJGjTIYOJcVESWGMVx1RSNp/8yvBY2ZsWCFZ1Qw96d80Nc+5HqzaB7cRLs0NkZmUHra
LP3ezTi3pvjn9ujj0p2e7Olsqgk5QlKCESWzqk4862AUf/WCwEbMtr8d1M9sR1+SS1/TtxrwsC6p
Gp0wE3YesqymDQ/kyWzRQPlbaW3F5hHCNwOmC8C+oXIxRPTpFTMxmjfH/wp8p0bNie1Wzloz6foZ
0YfRiClQysFLRNN3bfi/q/5FBNbcQkIzJbs+afAX+RpHdmMb+p2/LKzqEDUvVaPnLCbca0XTSkTl
FC2b7Ox5M1Mp3jaEi/CL8H8Fwyl/HwQSduc9KOHGVZVWa0Ya/GSZvAy4xfiSPHZxVrNRg/U8VKTX
gKVcRYtCDSj4Q49TbZcp51XE+Se8JsBm06VyFGS+GMeKOXz1MJIjDJPLzmd1XdGuxJZE7ePKAUFH
WQv8b2hOujmy5GMlKNw/v78RVAUwZZDnipOcF8IjgubMu1KPrumsfEzGyY/IgoP0Yc3f0B1cuM4u
J5MAgY7BjS8q9T+C0alh0Sz9gs+2n+yDBSE3mKarCwd2Dc/hzXI3ZqaoUg0cydLCZ91eoG6JfdwO
n2gdI9vS7NMcxuOAtq5i68EF5iNaOWAXwrlOg+w8+Lw3kbvUXvvJCxXgYIWkOGNMHTj9YsYK2SY0
brJjo/FwO21pp2jDTgaFNuufeW6uOmO6UgC0MO0cPzJ4LMaDRNLvavkrb7wO5NFzE+NXhYzbyOAq
dXQ60AAfA7OPjACTmNbwNA3SAqtZpGTx8fsaLl5/m7Vc0SfVHfSNu0QC1o6GD9cHKPhRmp7/4fru
IU+QDVimQPbSpv4hMs63VvwZtW07N8AkW52ans8OTHLcFhd3MEgxSavizaENa4sJ5M6jbxN0016L
RPkmKBw8RAG722qIyk/DzF5Hi85hzXaq40ie4hSmcKp0k5mdXe3DzytOx7kyt6A4zfNUcfo1C5gH
nLsdoq1Z/VREVbNHt2LgGoI/DgPOZ08z3QoDrnXUVC5f2SsRpnWzz8yvDrrnyaXi7bHPXEVRxSu8
VP3gGn27qmOcvb4KSE/8U3PuOu/AzRKLPTX4dJYNdXxNRWo8JsubdtXBih1n9T/azms5bmzbsr9S
oefGufCm49aJaDK9J5NWLwiKpOC9x9f3wE5JlFQVdW9Hdz8oA9sASZGZwN5rrTmmPtT+UR15TEcx
eV5btW7L1Er2eVnABgwSiRwhhT7s0LMjT4q5PbBMo+qK4pLpF0lkjCuXabMb0kw+T79EHPy8U6YZ
GAvXcglvBGW/2gT3pVFMujdUBkOG92lAtS3ZFExUCZubHWWWQYc6nuSBo7j3yVgS6XDuOs/0N3Gt
fXE09m+UrdyiGGO3NVLsCiXGQoLZgLqWYc509efW5aGaUt+ArzFgWtP/agTwl6hkwN0PsVuiIEZ2
7rzCWkY5mf8wXUtpUuymPGVnd8C17eizgqZqDmnXvYIWiKzSBC1fhZM4IFrCH38DflHPa+KSarEY
XdlfWAW/oKwKZpTNsTZugzk012lvSWhGc/ahnegzK6Hu3SYo5/vug2TJzxA0gBOlcTsHdWjY65zM
3CwwcK0IxuyLNlKzTiEFYZtJ0KMZb4FZg1HV1FMiac+FrPGJ6PYmjtgrLWiyq3CASUpKpB/MO8w/
lVPHArNLd7nuBTetZJrYZC587MuvMovSRYpHVDxNCX6TSR5WKUxtM6NSV+px/0k3cZ7dlwpI5XjD
xtW+ziVtXAyhgrgxqv1FRyGwbYBOdiCWyoOKP71eXsPPI+fdRQXqjgSYARZJyREtkrakSKLEb3Dc
+pqhLNyAFKSDMAFronxBTXhKoJe4fGCM0Nh9iehCXMw1TV6xTWsDLIyDtgeKY1AsLVlYFz0rPfLY
zqkoQG6/1k3a8mVhg4vPCMWBBKV9sLor0y5Z80tkW6QwfpLwRt94ANDrsfUQsHjXaTLEM6OirtjC
7HKuhG8ZDKq14ob3heUE15/++I9//+d/vPb/03vPTrgdeVla/fs/ab9m+QCRiTrzX5v/Xr5nh5fk
vRJn/Zj126TZ+X/d/fE1K//Ynxd3v8+c3u7HiVz+29vPXuqXXxrzFDnfcNO8l8Pte9XEtXgTftBp
5n938I93cZW7IX//89Nr1qT1dDUvyNJP34bWb39+0lTxi7j8HqbLfxub/qd/froqX6og/n3++0tV
//lJ0vR/WRRjKjaCVT6phm59+qN7F0OW9i98OgxMr0zLMQkpffojzcra//OT8S/V1FlDWjIxKMVS
bYaqrJmGJE37l2XIhiaruoqnDsVqn77/x3/5C338xf5Im+SEmU9d/flJkZVPf+SXv+T0PzN5Fmqm
ZWo60QnbljVVZ/z15TYgTcz0/6E3dkZatoV4DZ1yqnci5MYPtujKDKGjAn+gsfwvCpE+dmQeDLKh
cI8twAfoYQy4rYklY2zf5azor5ISFmjTUmmslql2P4ZZugmcMsfGRtbu9U5KNmJUaU31MpomkETk
H5PdBl1xHhhfqcPtl2jJ2htNrdsbCrp4lChevcqmPjEARhgH8l4v1k2jutP6nThvZo7wxojqSGQ+
r8rBtDY/HSoJ94ursqzsTeKnjroCsxxM6QP4fUrlu+T28Yxywvc2QNg2hvVNCCSdRdOV1VRsWKgT
vw37WHrW5KloLaBI1xgDfd4U0rDXVYhKSVRJqxz7iYOJhGnO/dY9Q2uxJ2uF6HOmznqceKTANl/l
AEMjp7oc+CE9LUPcsi0xlHXZAEBqou3UOkXcJMWro+bG1THX0htMVPCvnbq6rkM0ZhOfFX1ihpgr
Rn/MFf2IoLrlTx/1bx+onz9A5t98fvgMyoqqQu3WdP23zw+lQnZv6Bl4J0nWor3vRhunH4qteKGG
vdgaRAzYZk2dtmz9PPJb38d5Tdmls6r4YqMhuVd9wkh1gqNbZmTNfQwsEpmEUm5HoodUuKPaGhtM
j8VoW8HkxwgKk71p1Pe1rec1+y6HZEol00lqPPl+sBvstPL+FBQQQ/AkOAxDG13GqEI5BYDuYLAy
08vzM/HvAlJMOx/wTKMwQb2Xaj75zeBjPlBH9UklO7tDr1MREKr8L1VtXHWKpzz7eV8uRisp1vWU
RP3nX7yh/frF1U1VtnXH4gbBF1g3ZPnXLy5AwLbyIyiqmlWHa8GzsyaKnXghC4lgIGWVa1tkybv8
ve/5tuSWl98lXZsuPLvXtmVs9juKI6gm5NslxxBvUfNTLj3JP0WbUAIGymW9c/juryyLFP68iZ3D
6HTKUp2+xUmmWDOnV7L56KnQ9U0jn4+55J0RYfpn1nFlPNgzr4CVOk6S41CBm4ciBmHIMOrqHOVt
QZEDLK8Mu+y9Pf0X/G5ItwW1FmFZkH1PiaiHYzd8rtPx3A1acxb90J2f/vl3qqqGwa395/shnkoW
5E0TgxHAFHyip/Gf7oeeUVGtQ4XUnBI19wXccfPFNhKLxImpHwDzl/ilko4k89891r1x6LSCEGyZ
PReU09zrOULZsUUmpNSIYVPHiK/FDA3Oa5iPr0Hqtte53oxHhM4y0A4Vq9ghgXsvU1DpkbtCAnH2
4qx/CNUsXeRmq24cF94qssxu4lz3r2o3E9esHS++5l7SnNIhk9aZWr82GGVS3144R9XzIEEq6nAG
ckiBa1Yrj2Ofwi7N5OgLYN1DZ6dgAaHZXmVgnZF8KUA27DL/2kvo92uleaESn3hvWfqPfgCVuQEs
d/ZNPZ2rZlUde5U6Q5b3yU4uY309Fl619p1Exo4Y3b+fSvbRLiENk9yiqs4Bj5k0Cig8sgtrmH05
yWaaAUy0owJs2XL87k50WZTISLZeQl1CBVlKEmEhkNNbMYgayJ9n5BMWEWJircjA3OD1eeJ/YLDu
TQHHDL3Hrom7IkHk5qAkRXoSU7Dz4lY9TbEVHPg+pgyxlJzA+IF8Ubp+q1BejknzfSkjLuwoHfnR
sKW5heX2fdHl2jQiGhXUuXOEq3nk73WQd+SV/X1papMEXttFajZQyq3tatHzfzono27s1pFIbkYl
O38nqPUV1pvKHW7m6iKmeHluVpZyR+WLvrECQ+U7zqiOzdrRS6qtaImXIn1vCY6e9Wl6mvUvaezW
ezEkLg0Vp505FvYaxThaz12I5WEWyY+R1Ul4gDbuTFN9+9lUhjuf8OBtodsj1l2mfx0Sqnx2DdQC
0PKKwwDm/oY7ynM1XYeECcJFQkibxPPAmmCgJ/rHMJRYZMNik9tmeMSUEIY69Zs2lRUkmTVjKiSk
ALpiWSUO/mHIEJP/+fS/zsEKnvCsZVG1/NPb/HXeX3+U3+b8X57O/9ZWlr1B1Cx30eO4nocLXu/Y
Symr/DV/SedUtnl87eKz+tpHu3Zi0Q0diRklkuXLVD2Xv01Nivhjqkds6KerSqGKv900NXdz9ySm
etFPV/27H0BMFT+AhKPWrz8AjzhjkY8kp6UyVqi9Cnc9sZgHVYmUXVZUBA2npg1VYBXI5ZSf7oyH
LuoLqmSJGIhRNYcWOybmuBWj1JORd26rkxiM8Y+lXoikVpjtO0c7BEa9NAsZwbNSBYgcfekYGXp5
Z5kSAkRQIOs+jSsClVMZlg7tWox2YejtqSh/dYqKTfF0Qok5nKFLZzE9agG/+zJJLjGmmHiEWh0O
6WK0cQuLAKfrkYjnTMdtZUpwKhDjvBMmQulMBwS3cqKdEg/tI5FxC39mD33Q1BwSqVqGlO7NRbPr
YMI15H22oomYEZGSp5wDWbdvRkffu8jGHvOQdFktEZAXsxrP8OZgPNuVGPV891VBKDYhIrsH3tet
q2hfGEjegZ1XS9vMSGQatXeDtwSGYCyV31xrFsAWeQ0ixLWVHQYnFbnghji2Tv7MTu4znD1GqH5v
XWFspF5XnlhHAVSdCv0cl4J6M4afXXi9/WxI0qIdhvJNMzxKWU0pvIum98Ukp57cQ3c6QcSDVINp
dppovB0tnfqAWjYeKQvxKaBWlFcZGpbUlQO/9+i+TXT3a52MN0Uc6p8TRaKKyrEAAKekKiVWkKfa
zlARcSveGQ7bCrAK48qc3oXCcWpGHVYV7HDifak0wabIy3gll1NpdAgUwCt5nrp9Pt1IBu0N8QLZ
mAyZXWQMW0OO4pcc4iV1YEZ3LkvJxMXYLJeqEgDoS9NT0pTVETGBCaL8JHrECxFN/JPA3QBC+D4g
plJ7pAIxLmzvHgtg/94di7kTlfaN6MqkgZq8IT2MUubfqwZlenjrelvR1EzzBGZ9baphivuWoe/U
NnzzC/AG+tSll/y1LelW9DgDxbP4+NgbMR1XPaL6WpfMKTDGwteg5JVqmuzW3QR4Jd/mE4KO/Ye8
ApwlXYmmGOgiFDoEK82V6GtiykGwMYKWChv2DoO5dFv36PfRah2rSdkvXrwiBhSYmSz6e5AiGI9Q
AeVRH79pqrecAqdDqaXxEsY59VZTE0DVt5fWY8FJda/frFVVwS3SYIkg53VxrMpyOJdjv7FaqBSs
XNNVBtqdjVk5PDlO9+bURrbxJzyOHmPZK16obKArja9DV4nGh0xRFUpCvepmqIPigAHUQrSsUilv
uu9dcV0Yq8aj5vfyw2F+pcWH3GSjN2treR5JVb8TbxRO7wZGj+VR6NYLlP3atZx76fhgtpKzzouO
2tYgurxUwKAWGAFHM18aYA5SeKlfyVVsr0bssy9zFMPkSZ7pR3GakzcDlhnNrU22yXaResrwPEPD
PLpjTJIM9euThifInOpOeymaeGnuDZsEpVV34wzusbu1hgrjER7KxL0Gs7wa7FjaipHf26LTU1nt
ZKZ/6LAB2FAKEMH/k+U5aqv+LsM05YpEgv7KLwGBiK5/HbTkqBCteK75Q2CLMmY3E6h4+XE65WPy
vPWq4S60cMqVokF7lbT62tQRZaCy++l0LJazm76WQCz28L2NsnJWyZjsmsBT0TKWzXZCVG4GskMT
diQ7aMTpSD4k9a1DYAS/DC987Enc4o8QlFge+DukEbF/BYAH6ofFQR3gHWIOr9QQfa0h4D6hsMdg
yEdTElKVMvdDLTq2Op4RZhmZSycNHhK5V+d5A9s5k5O5Xhv+Y9t0JZ4hqEGAf4x/1y/mx3iFiflm
xuNHXMfTtd+vc7m+TeUZ0fBgXSg2XkYyQkmo4ETnpqxcoJycxlI+pyQormIpGu+yZERe0mrF0QM1
vFSgZW30XJG3MJezZW5SeIwTbouOu5HvAwCqUymj/YKYYhvi/HmlxZq5rRsn21rUgF1XfZo/pkRz
FlKi+vz6aYYNQmisJ4ZdMTV1s5nLPaIHF7HVLfXoSBrM7BFEHMXbWrIp9FyiOs42Hizi5MvSHvI5
G2rjAfWZRvC97FaiaUYsULKS4kfRdJN650k5uZsujh5gvItekhLNSTbrW6AaxoPeyqQ1puuzr92R
ylFvYnx2+GOl5bYlY3ssIivAdnhMXs2snmlAxp4/ZshkxI8x3PiPGTxR+rtOHe5yw5iS38D04gqN
dTeSTQ6I1EKCkSewBgMpDD9VG2ogR5BssTO2l/wK2kd0rAsxgTrglFqNsdiBBfNvxCWVqmnxBgN0
LR4JuhIU5Ek9Hk0/HgkNFWebrlLvFaVwqMGfnihSTW1iFFIE1BA6x7eH54eYVyv6vZhx6ZoGP675
MUCN7LApv8/96A/G9qyOnyFWp18G5OmW5EnvWKaeKVXxnuyMh2mBqOsAc91duzgKL7GjsW68GN1y
6FXmMulTW/4aKJRWdLoX9ze67e6BOGH0nHK/aaw8X4um1lC3KAUwkKRM0s+ijxJVQ1HPMWnbWZpJ
7SJ1A9wAgK8+iyOJ8NG3o7CIbxsWIVdE5CJwCdTXY1C5yaZWPCTRrm4MVlM2Ys/LFDEiXuyxJINn
V/WWALVCJbgm70B5KztXz9YRxn5r0XUZnPqp5PeWF/q3N90cWj6YRVqpmAqTZJqJ239PX04pL6pU
56bFnupW9UDR5l1pr5Kmr2+zEDJ9+ySGxAt5M/7KPTkYJ7Ak9C0QhYzeMneeDo+68LXhifoaGP99
w5dmamK2yZa0kx/YEy3jRkmvWWV0uPholKEVhtXNlazE0cVs8xEP4HJBwu2hDvV3n8jTQbbK7DBM
L+LIJj0EOLQ8+YVlmLhkGXc66dI1BkbnFl9seWk1IK5HUikHp9XtY8RCzTdClKRFjeuARK5bwJDJ
Q1LWiY/JTJt2yhBQ/QUWBhocTZofu+dKIg2PGmAvunIfuo34gJQEhE9tpWqX/fJla4xYd048FoI2
4OW8iMvbmjLrW+pndrCwtEfDyJw1AoWYeGiuPToYLAFFhJylRo19Jts4j9OWH1WBsTAvdaw6sTWh
LTe6OXe7op41BLOv5RrDOvHpj5sh39e+NP/pS+YAj71W8LJcWDJE4cuP22qqiboMR+AyQjEHNVW9
F008kn5uilHhW6D6/qxoMfWM3NHdNtVEySSxBWKEpuirlZEn7kdbdIoXgwc0Uc+lL1GuRvGBqu7j
EPsLvDqreWYEr0MUB6hOMf++ksCkLcZ0cjNjn75Ftw+HVDdIM7tSlB2sHu9qEhEg9YciIZs6EJtR
IcgYJBmuEz/pXyzArznf9Dc0kOgTvK6+Q2doLaBXpxuPNCbOYVW1SZBGbWo0YvNsop1HFQI9QyER
BpMDFEvPEmbGYlm6Bp0S7ITbQalK9p1hEeSQAnOitUATxxQ+lKH4YDjen+re08lUI+zsBPxcNyQq
18WhFtjKddEA/Gqt29pTYcx0w1MRF8bSbEEiCbIU1rxfQ5rY4SWogzRNmVNjSrFc6pOKnY5yyM4L
jHR5wk1NIsBdxnJzQMMxdfoYh1PYm6ASwD0ynXNXiHY6rn8UtE+HiTRYK4foNJj8aCe6xMuAs98u
yctoF8jZjYGBA6FIq8ADE6jaTU9U6cEqJ9RdrVJ/ABD1iHykYwmiyq82+mmlDt/iDG8YixT9ydcN
nGBtvL6dHMME080exIzpWny5HxSkE9elUdp3Pmp98pSx9RYH6TypXOkzsTuJWuzMPeQoLTboJsaF
IZHmlNgNgamESIug9Cxe5DFAg8VmQbRMeISz2MG3S7ZS41ybRLGI1iSIWm591bbf0EvMvBARLqRr
MNX8tu+oITPnepBYO0MqTRAH/DqlThpuJOzNr0PKEj4DtdzD5TB3lR8WMGPQi+uNFO2KyfCBICoV
DsQ8i1Lvj44Wvzk4Vz2GQ2IvQdCPczGrH5XXxLaeG6VE462jOJ67ZaEgp/m17Ru9MqccYoJZSngZ
i7ZRp7dE84wjNcfNmnVBM5Om98icxEUY01LEMjV90qYOyoQzmhkTEVFxBMqjP/52Etgp97rKpsqX
7yclieOdk8g0Pk4K69JCu1CuahytMVBLQYSrOHllWSOvUb6ZW9EVpMQLLqOiDVYEwXqo782MCiDk
SDF7CGik4qUIYbzYEEy2xE+q2ygccwx37LkYTNKGTZlHkSO+83BV1bR7lv29WD+OmmIt0O24yxpz
nue2/Knbwnb8b2YbUzecO/UqZN0PTSmljA0zlGuzR7qqk0iwiL+hs4qAhYjRwTJ8UCC7Aibs0mT7
tsBjoXw2Cgn6ZlTdjXYe72u8Iq+5YPFsBshSqOBWdhbAlHvyQstoguAXGp+f2Evvsz50V74E8las
GzVP7Ra95ckLsdjsjVi6UniMbEWzjoyl1frx2Ypz99ZJ+tVlDdqyfh0s+1SxNiQMOXlkjJl+l9bq
Wg865blySK2UlIJjc0WzAUGJ7aT5iKtRvIlhrOF9Dd2wGs3PJnNvHEd3D4FHeYE43TR0pK2WGe5Y
ik3fKeRQLGQkv177EU1VpfaEP2cIFIJmPxbaGbDwj2+fmC4bBLK7yjN/n46tp3qezIIYEucYsXxs
o+4+Vhp91Ux5EYWc8L6JwiM6U8qZBx2fMQAK+ipEYnLue+JHPeZfGDkz2k2jqtvWK3SMYuOvRR1J
JYO7jtj4e2lsnfQkXYgQgZjRF0iSNYinojV0I9aMZqXxIHLZCgDzZ7+ey7MmgnQlAbQmFibl1RYu
1E2TSKQoL32YQNWenO5Enwkv49SYuso+e9kZunLrt2VBBifv5pAL8SmLwZdQU9YeZVZmU2Cyo/JJ
llG513ICRW5S3LaSvhbDY6VHx5rg6WUU6D/FdACyO1RMVgoZlyfITy/m2CMk+azpYXMZy8y8v0xI
fhzFzk8T9PDd8DQMSoELbqdUyBZh+rB1HHAquA69iNZH/29NAxyDdC06g9g8ymNqbRRvq+e1dOTu
pZ+q6QXid3xVsmKDDl14EngmmARta/azb+1qRCDC3jEW2NjpRZzMlcYc96ko9uMb0pohKJPEZ6XW
GmuiltFq8Irs5Lj4asWUcj91SnQvdtL98FjjnPAeVbyxPNTNMSG2SdkiGRwYRHwRWYLPCj30N91Y
WE/eCFyF7kEpKNtLAXxKbVc8y2gTailzT9hFxSdxthFCoHZjxYWeTemTrmfpvWZm+jxEqbNzlMLa
OipPwhEv2bvUg2sWqVbzniYkciTjbKv6jWLEY39DcT1JE4OKbAsfG3BqlPgvG8m/pVI5MwgQl9tB
lcJV7vKgegmGGXCOdIdBrrwrDJcAdWjfaW3L0h5FCigrwo67xMGM8nI4lpq9RP95Jwb+MjpdZqzb
CnANmkXNcO4vny9QCciT2yL59nkzkbPaUXUrPouD5PVLaHCQgcRHtZDr54L4HwGgSrn1ErfbyZ11
T9wlJuKnFwtzDL0bWWvNbZinN3IKgP3ahdtwtPW7BFe6b10DmbCs1bS95OCwKU5KgwKRGp/0tehz
pgG8+tprFqD25bpioGum1JPBWuxy9alKalX1lnwlLiNeCoSTUkt1MFnL0ALXYYO6IdK9qobQOLqy
FFgsidBZ6o13uMxxBlfd6Ip9c2myqtGPZQjdGjEhRX1mrR+Nnr8JdNpwBquJojA+TN1mALqExBHQ
rTZ4e3FkRiPupGJ0TPW5IXwvPuZc2n83LOZQq+zvtQzvL6uuVrXeFAtbBgotvvKNijXG5VC0C+Rc
C/fHsPjCf3z/xZSQSyXY1CwjVYI162RIGLKuLraUsk28v+nw93aEvyyC+mkoyJdhL5kwtUD1GoGX
zDE5pNJdM23QbSVs22akzlFsfiyjYyNfavq8NLpy34g5xjQHHcK3OZec4pSZnOYNmlnuKelQN309
HhPqRIcFBYUaxhUUeAQFEfxLp85deM6vFWH89JzI4nZdtoZ7EK1EYymgI1e5DOqU82pksLcfX4Ss
6a3rEvzttfgCiYHLt6hiJbPQCwxV2VPZO8u3hmuQfsNniGRfGEtPRImwvZJq06OYjWe4NTl6ibVS
E7byNZlheyMWVpIlLSQw42dD6ZCZae1ZLPUKJ56plRWTs3alhdhaUCSgh5L+XFLiRLCK7lCOxs95
syyTeuLxKsbSCTFiUof2IMKsmg0BALlluRKRXcPgF31ByCLAnszfFGyfdMgB2JZO4WSol94WX4fV
Zc8bfW+KQQiU2MAj+FxXZfuWDX331TvHiad/bRTpxeyM9NFk2z5rpCQ/hpJnsm6R/HWbswRXbHxD
iKdaD3ZSzltcHtZZ4s8Tlxs6BZmEFQSwm+Jqog+Zx81JVxIft7tLytXWW2Xh+AT7RIY1qyxt08kl
MbQpPRtirXxMFDA6UzJWZGSz6gtlQ9lZjA919MLCpr2kZ9OgVNmLyTALp5PhTqKcYF8j4mDU4175
MKVfqtbCeSxLEsSUjXuQ2G5d4mA+FZCePf4XM4JpRulQzCGu0QCTwzUn+3aN6V3+6xk+ZpmF2sd3
QepS7EO8+BrlDR4CJiSGUSucHbc4UuoaeUDkXE8KaZ4V+ThYYWXvPNXZ+DVOnfiEg4J1o5cofqdZ
I4XMC9+MBix3aEZ8iQrCAGcbK57DMK3p0AU6T37T9jCKan8jphXNjgpl+1Gr4n6dl+y5HQPbFOLY
k2DagdRm+TcQqnqcpeBKe33XLbx27M8sZIMDRiEn0RIzzMR4S6Qx3uHBMJwBSFtLrHgtJDjMh+BY
nNn8TJcSs93AkLGuteKVaBZod6i0Ic11ebfpHF03905cdQfRFUh2ugDrCxZsukgT68MpVeJLS7yH
LaOXwLmFUMH0E0itra7F/+fjkj5bIr8G+Mse/Cl3CC8OY5Y/jg1hqdGoO37sEDjDaAQnsiT6IoQy
uW+xkVlFBOc3RlZ221pS0LA3YX2wFdeaG10t39Rek8ziQknv/dCzwfXo8TPYg1fDltrXRvc2wAzw
uUilfTAoiD9QSc4k03feUZfc2Mjz8RGkFl7WUbFp7MHXQ6u0G5a1zkzE1OVU3VD/XwC7iAh9VYS7
RUy9NbRNM/UbetVu+B84M7En+jEfINt9DhP2SoYoe7aoh924tkbaUFaAI/NvRmWacxKjSPp1ioxS
yhqhmp+LqpP3fO7OOvohdAOt8eREubMTc9m8RdwAVcQfTk29UQV2I/JwtBdzVd2Y2EkAK9GAj2eX
BAn2MeFzouvDU6s/eGzTH3OyObsgUiHnTGmrkmf1TK7Js3yfVbtl8hjZTr0bXXzGRDdxd0QBFEdt
PCWUppSMBqug+4JdcP2ErUtz7cM7vi0NWKF6FSt78vjhWsnkbm055D3zRIkRASbBbZDJCmJsQ380
LeXrKMv5GzZzc0ojSTaoNoUWgF3e7Wz84nl6s3QSvjNGtcrc2n+O/TpaT5+5eRUp1rOduXuDyvpz
hD/5rg7C7lr0gzutrxopqI9pbisn0MjwHqcT1JJ9sWrJlLkXSnnvxvHKmLQAeejAIu3RtovzFYeA
rJOBKfDSlYIlylXFc+dpnI5QqHlPdohXtpdL0qM4Cqe+/4fzxLt1DiKeDNEUuT6vWv1/fkvgIBss
Gfq1SLli3kUJug2KKawLEEu8UEmPMm0JARrTxs6LrochLE8iI6sZebopFFY0l9mstwlS+UW1FMPi
5ccZSR6by0YLemyeSekqaDEu6wWxtwxyLMd6Rd+LFYU9xNZK+zFD9AEwvswQ83+7hpiRfp/xcY1i
7D4nQY17NIlQkek0pRZApoUG5aOvjpptnNXaXnQFrt8d7NxZfmRGKy2TloM8mTYXSrPVZe/xI+ss
he0yB/q30zKjOhrTi0hET/1eiUQeoA+AeTFaWZgRTn1imtVZCvQ0456yRRxW7SCejzErtUQjni36
Pl6M2mx5hiOonOZ+vHzMRavyGPi5svro+pgWoxb2xlBB1e5D71q1eZsdRABXHNmGHm3qPtn/1t9P
08RgyaCYX1Eu4xSSvf2Y+mOCmP7R/+ulxdlaUOKX5mjXQLv4pZBOenVRA667IicGNzU12fjerLv2
0hSLrmyUw72c6rMaW4md04DLk+3wVrz4em4uugLXgI8+SCX2VVJjbv3RN50eYD58zDHtuTVCV991
+3GU9x9Z+05muFcqdsLf+z/S7T/6P1L9Yn0o+rtK3XeNrcNPI7kx+ZxY04sZ4X2iT4Bvd9KX/egS
/VGbNtdqa5HKnQbkPAZbhwzbXsVG+0X0aRF2NJrnANJp2zsy3wWb6juf6PIdFfFf2NpGezFUtUE+
gzekL0UzQvW+ii0860STQlFjX7X1o2hhuOPs1a49TFIMxYuCL26ihjOsVibebGAcY6zCrmAT+18m
p8FE6vx7pFH2KpTxeFJVD8AzZ+oaqG8r7vulP1V9K4aK8bNtvOGiRxFQbVVHcYTRo7SKYmzhplms
aaiCFH0/5orTERy3FI/19pJ1srWoEhC6woG6Ui0FTeNIVYQxUZSFEbUYUTwSSV7zLBqxFTNNKi3U
SKOx0oeMLIWlJhmRa6dacqOCUznKEekBJaqXpExSVKF9dpCoLpa43exbtwLP1+j2UjFH/RBbrnZ5
MawA3oIhESL7pb9OZGkdUF6oh5WtLIZOL3dBnjewGurAX/dtsmmlptyZkt7OiBS7NW6cQJG74D2T
Le/F8523vx5Q6Ou/9Lr005CJ4Kqj5Li/yaR34cLo2hByZXCtB8UDfdgijRqmFEbpQAvW5d6dxfxQ
My+v0i077a2Xm8m75w2Xgx89fz34mzluMVNdD/5EiiOa1iR3dmLNs6RxT6KFNBYcQm5X6wgwwh2a
YGVZyDqOxlMT6VF3gPZIaErpNwi6rWtf6uMFtDN3h5zVXVd22q0Kq9APpS4F88jqhzueueqV1kn1
ixGQd1UUXErs7iaEyvw10tTHjkDsk9QYNQsQD2fUCof6GNKLKksS5RlUv8Ry8d7aNbn1ciIvamN1
yk3H2qU6EFIx4AXOqtXAVTQo/ldGxQ7SSc3kmapqmHqcGeFcNrNGM9rmUN+4dSKNywK7mYeqJKNu
4cjr5L8cwSJSTn6o/v08fzo3nEb/eZ7XY2nbms4aXWyw0RJiAUPRubdS08hXlZJYb5XJAylq3jUb
hl2dt/YZ0Za+KMpE25BFhW04VsRMkJo/hSrsxWkuS5ZtU8vD89j4ePngMXOQMzWexwXeSlbV3iVk
Xfnme5OfhtHeNR1U5rjDolSMutDX1rIKz0SMQuM0DoU9Aibnsw18CI9rf7Rvc/zsdpBHsMl08sVQ
9eUjtIl05TayhKN7T8WO/CWq1fKl1Ix2zn8m2LSZU965SnYrgfB+gR1aXXela+07V1aOclGpV840
4DnDe0S8+Bb5srwd5B4rbHEh3sj0mu5EJeCXsA+UmU90/jajyHrmedm3o6yTslsvcuSZOPpt9L87
L5yuTK6MK3eRMc8kEqXCyxop5kur1d1OtCi5cJaSAahGNAnDtGczva7gOpwvE1okt6qasRqZnLDD
Koz3UhE/iFYamYT7Y0cn/Q/AARCV45Tj0sBnl3sXfvffu+VkHJe6rsXLGHL+j24x+5dueNPZHC0Q
slr+BqcRschOzcq9pEfDyQYKiecrPCJZjglKUyIOAFIFYSoZoY5vBGekdvRewwVncTxZ41SKutA0
i8gdpSb7S584hDw75VnVhTKNitbQ25yRh+mTYYfOIre9jDR1nuF+2Hmoq6Z2rbOAuRz+NBT4vT4j
Ag3Owpa/j3+cL44U2G8LJa9fhcN6ILKuJCKwEENauOimdK0YSYU7uGh/DP90jjgULx/DqUUB5sxs
2/smDlrTmPURase2kcOT4RnQaqa/hUm5BUlmVTn8NsDdGJPLpPo2oBZgIcQZTsATtox89aD6IwEH
FxxqduWkVTPz2wa/iYaPShPKQ/i/2TqzpsaZbIv+IkVoSE2vljxjwIwFLwooKM3zlNKvv0uib9d3
+/YLUZYMBbalzHPO3ns95kRJgd5pzjkiuuq2V0pBzlF7SIja2cSppj01Uy9vwzh/JE8FHX3TyCeS
jaZSe1oPyNS61hH31/UQTYsUCLtqsRbxbEeJ7O1QwMxbz0Z6qh0nIwP5Z5rhRVjOR9gL9aGTv4fS
KK9NnWoPxIEUtOK6CiMe59YvDHrxoqUjRIflKQl44ksVDnfryfWQTgioX7e53K0/xBB1RAsxvklo
URZ99ZrZmn47aAugcpzL175WZ9L0ITGtZxv6k34luv64nlXD4i0VrXUnjXh+EdpOkOR6/NfL2HRk
c80uS3CbQMueFnUTbYX8vo9lfu864bvMIUjEMrBRo/z7ebDAeLw+EZLWG36U5LR+7/ptcdGGh97c
doJ8ZsCWeBIJW30xgvYUDmPz4fYKxIVgHm8k/Ygr0jZaXMsJS0GIwQqo34OkdW9i+BN0aThBy/Ym
SjXJ6s1orzPKeKeOXfvh/EqtnlEQDaudw+3iMOCC+Gk4qs7kd0liffQoSp3oM61m7MCp45xokyUP
psqfm7RN/GlrxLZVugsHuwym09QVKOgK0vyN3BL1JyEdzT5OYFlVsfa0ftFGgZFaNa6AY+gG4p/Z
MHYobtaTnQt5I8waa7+eNVF87tU0Hf31bOv2Dmx1SsH14RSq1dXOw52RLWHrtlSPQzmLO7L9BkZ8
TgpeuWY0sB4sMVgZhAic10dtGhCBjvD7Yi1dvwy9IaOevts7ATaSv09xuqJleKjF/pjjsFyBY4So
QiYddOTLRrunJWocOrUaHv8+AyfpI5vX//eMrEHoSJ4qHZv8gO+HsdCYVwPZ6sW4RdpFX7NvQEsV
M9yOSStJgGkrZh6rUipCJ38Y1FHdNMFCifv7mJtCc01l3l6NGpe6St8iVeCHrT0jG6ZxFPfaa0ZF
cygqnfdi0XMWxFfHpMO/Oq3Ktnl5/no8cP51/O/zi6H9iPNScONorOopdQos64suMuIWsdencdg2
i3qyI96ChDhUNgoRvq+aw2Ws9hHXMjSeUBBytBw2mnC6sPq3SDE0yhK2tIRaR9qWtE/yNhjlluDI
SEMT4mGtsdeTqQzRQv6fk2uJnqJJ3AYx5oiIYBLCKbNMMx/AvL6uDX4jnW2PQgBEzHKc1uY/jg9D
1eztTvvIiU+/nTS98vnkJe/tTK29SImmUHz0Tq89i37KCaMP07NatKSoDyWhvEZgPwk32v3sk2ea
56obx9tx2R5ra6bKYOa3nQm5ibf2Yagbv8Ew+KAtjt8cddz66MdIyKOwiJyHBAf8HgsmOfnI6cj7
UKvfI9kJfVsF3zi33wyGpq9zpLv+0LSEvQaIZTTSv/fCivKHNCfUVwkunSjbR25UtytksIiUZgen
hNBZQpXeKo2FrlHCF3bBZOygfCZfDHUDynNwJ4WSn5Gw7MjoM6+zKL9WDVQS0INj8pRdsjo1r0Sx
/RxPRx2W4HLcVYfuf4v/3JwyxhX2aZLkWq8vpRHvAJ2QtYeQ1NN6Nb+iUST/qAaQLYupeUBLC0o1
b98GK3Of8pp3G57RWz4Tw1/2IjqTbVndi1oQ7FICkVKztiEKIoDpYmeiou5VAz7QixBqXVmNxctp
5tY9PrwlZ8sUvirdrPRMAoksocnr5NjJVlaIx64ZpPv7wghfdKB+7CiV9qGucvcSNuK8Plq/qAyO
totIz18fzlMVn35MADhUKuAf9Z2hlcErN90UvY9l3MxVMt1MOmozt9P0VxEP95rWW1/LU+tw/1Nq
TSHqhJ3Smd8rgJEXIr7pyyecjAwcF0Ljevjvl8ZWFsDMMhECJzicgEwG8ER1Y7eWSUVYj6cqIQkn
XuoiIxv6B7Ni575UVGttVZrVuwZD8rIWTi60b7qx7Vmlf0ltSTqPdDJM8WxsCQc3zQXGufyTQLnk
QBVPdQpjfdmO5GXnbgvdiI5za8nXKYh+jkcQZH6Oi6CVryrHlQ4FrToV2cky+uhRmOMb6jNK1uXR
gNb/RIoAleb6Fv37rFjOBomrHNez65NzxTnURLEczVXghqAPUdaia1NkQ99LmZ+LRdH29/j6MOCD
cyKTablPRGMJzGFIZ59Uang+TsMCrjnWwUJryhB76H19zIrXako+80IYf+qbua3kHzYuX2nWOi/r
91IvAgAKHjQ0B5s4U41PlOpbe1H8k991LqZRfR+pAyhX2vAhagVln6YTjujqw80kygiFsFHRo0uY
nwwmn+pZ/ZCmRcIwgESE1DP6zTr/ckIVfpXIsIGNluoTn8TvKIvuYMeFeWwg9NJX6tVt4HbuowRQ
smkqTFao3upbJtgvAwLYqx0T79LVpPOstwC246XvNr04mZOuv7bu53q4tzrz4KoNeqwMk6dutGZ6
QXup158CVxEBccvsUSuUkOxUTSNdib9737pptNWo4P51HkxE7hEiibPAIPeViNH8uNpXY3t2dwSv
uATXaAOZbGF4I/EbbFb7K5tu9SFhNVxPrl9gH98xg4nw/pfDU0J8o2caAbUO+b42kw/9SOo+mulO
q8gdzabGiyxOpUF4zFrXulkXxg4Wxl0qGSj8e5mMe0veJXiPflZWyNhyfcbPw3A5m3F2XVL/y8/I
akAv1VCQO7i4Y6CQQIET4bhf+3UdLhLmSpZWJ7uO6A6stk53HMb6QVsEzPPyJV5EzevDnKSeo9OV
D3Wm//P4zzOG9FNg+tj/vfit1mRH4orY8VKk4v56g1hvFX+f0zkjyoVpKhyP0IbUX8+QqxFB11k1
RkztyFMtivSYasHT+huxPUMOHmYEv8cc+/sLrmd/flXF+ZWERMQNGtk5P92ytSPWEEnK6MkGzVCg
rq5j073jEo7uLIaJy5Gf5xYZ5f36vWMlzj/3vgxa1rFq80Je+h41Tas36G8jjZ3QWCr9WYPLWcZC
uVULzHW2God367/c5V+22nasa/977L89Lwvb8FjG6sd/PHf9Se7y/f/xM9ef/h8/aZG3b1t0hHXT
ZqeiKEnSFe5hnfJbU51uK8rmE1XOP46bVppuWyWKdr0Z9WxEsSmt5iPdSgnZWh8XQxpOx/UofaX7
UojHMDRprK7pAWylGTBVBwWeN6Z/pHHzjEZnUOV/PmM9uX7T32do+Xtu9zmCslhp+7O7XCchAXLt
5ufVXS8cFfquZ6Km/NdL3thDSS/APKyiEl0k8hzOtBWkpDT9EZrgw5dT+4e72cg2OTrqnRbdgle7
nRYtOxsjedQYjfkIL4zXGi8j4egIsNeHupudnEpxHiDFEHQpW7lLtZjUhomkNieeU/AtIrysX9YT
678ideQ2Rb75WjCtdVKAJ3wXNZAF1mPdUnKt/xLEGBmanlzahN84VoGootbsNsIoGahXjtzifypB
fGf9CQbxtC+jPrnG6B49p3TGt1yG98iOAOkQKaWiLvrtRlixFwwbPULjnMlxeJxpLR9GBr5e3Ka0
U5ZjVvHJ/0iC2vKAi0QinyCfrdYdnt/YAclgEyLw5eTyZbK6aJOUhnGuGx09WRJfGssxj4Og6WZW
WfRoglzGC2C+JjhobvJaRo9/nzEYFtJIMiNfyyqff84myLeGUt8WLsCREMnYW00uqyLzZbkqajSA
9OjX41Inha+RCcn9slcfYpE+NAiH3zLK2Z9vr5aHXR/957evx/9+e6DF//h2lUStbbb872ZSmB6p
tPOux0N5aVqTfn3UPRqdbl/yqkX9uRxf/7UeMwnIhrpbjvv1ROdGbN60zHlvQL3s9TxSzgrb7TNG
XBBcBMFtI/CyP8fWE+uX/3ascgE+/FSipvDycXRXJJt+wHm8j9NuOGOZrQKP+95wDkZcAM9W50I6
ry9Nb+xqPH3vo9WhAtCaYYGGBic7retdGYT9cxk1v9tCMb+Wp1ahHDZ2EN3IgDwSRs2ueU7AXHrF
TLj/Pw4KOcBLWM+3Tc1TXehpB7WPaQhr5WtcENaOwbe7FSKuXsPs1o714qUwteReVZLX9eiMc/Qo
uiD11+/J7TrcTgRWHYzIiA6wETK/XnJko3KeTwn/wS8zeWJHW74OKcQttUjhIyyHuTiJLTGyYxhA
pdEUJOgjZamHt+lMHopxh/+ESf4EJjqqiYqEQvmuow7fSp2swqIZ43OO3pCN7ihh4yz/1Lr0WydU
dLc+qiqFREjbztqbcjm7HlwfZlN3z3Lvj46+Z50kfhMAj9pGyl70Vk52OhU24uODYV7juXkxA363
sCqeWcK6i6NoryZb1bOwydwE77J3MQJqPZ7LOhpfIpNIdaHBgiXD0TnoUBU2jUmeW0IEQ4cDZZvN
XuGUlJ9kBJR5Gu9jJ76mGhHMqrnE7TdsNVpzYSjfxTpGyJkNse3MpNiR1rk1u3w/EZ907ooRK2ka
3maZG+xUyYQ3dQ89wXL8f0SVD0P/hOccDU9GYyQM3XedpBlVQ4yCLqIhyB4ryczmL4vjxzwgxsCK
mm2QmMT6IoIFwu3mxyDSC/DKZN+K/smNB4qWEieBrLbgZ8U8zxisEeq52sENx0dyPW+yIcW3Vyrs
viQsDexLoU98jUGIr3Wubf5Ksmr0k94wac8MsghsNLvqGBFMmXqpYskNyKB0z4DoEJLN9hpCbyny
5pdNLi7tqOZXHcXqhq74qdJT9T6t9eLZGoxfSCpAo4z90QySb0cpkHzpT4GJ3h/cSQXH2qQjFWDg
QSWzUZWPrFNbj1ojg3VVq36Y73K2eleJqIS5wUaaiJiy2lDOYQvpRxHtRomINWk7+9rSzRA65IK8
a59KrnNfduBTiOq9DoV5rwp9H4ggYflRMKjGm6p1QaiU+cSeMSU9VnbpTZGixCkD6Vek76ImZC6o
50c2vMAS0/jNUK+4hI+1y2um6uyfIT15uSpwls5a/qK3oWdhISQzJGzhbsYldWVwhAR200wNKBuV
BM3J+HadQFIOkideL8KpeQBhP5nFQ9CIG2N8Yu/+J5bKnRYKIHf20yRtUvUoymzGyLWse4+NEPEM
5VGpFZKKqkciZdFxhcRT5oBcNOHZ8H4Aih+lsKnSaZS0DjgyWbBodm30nmhqfIwd8m80t4DLLutd
V1k6gAkc1oZ5SKxpR9wLsRSRTdbKwrC3LaQssxGYTCyDndursO0y/qNC7aENwl+J8BsCGj/gdL6N
uLh5Ue87MaEZADOIwHwzzCBrEo1IM1sfLowNHhnFP080mjeR434ZwsFZ1hQEDXR/Oj4Cr1kEg8WQ
zklLpnSPNKLc6fTbEIcZMWwTV3plKL+Im+u26DuJyAosJjonvRpyQMy0qO1WB+6lYqPO51caYfku
oJkTdlpNSM9lsohuH6zcoFvIAatXr2poXuw2+CIN1q/VMfE0le5BEqbfqkE87VSY/kAPPDGApnVW
em+XDk32Fj+esbC2lI5Iy47g8Kr4cqb0q5T1i6WJp3oM0YpRnm/MgBewNWiwUFOFFJX8TpMAZ16/
ZtOhD6Ax9G53qlRmEuYNybTk6JTqwU3HC3s1JpGEWD2NeGPonJ0doxv2QQmsKMYt4ISEJ2uRu2Fc
DxbBbpmXu/KSlsafcYr2gfrRW8aDpYOQcYre3XQDQ7l8egiF8zXo5m6ODLmpKsK+60T/1OeMsECU
gaMMGjTz/AHuQPwVNkv0BjY0ivaMQQ3H6oT2ieH2Ve/xJVozbbBqrnxLBy6j5ninmmliyICD2wzr
U4F0vHErLoWiIyR42k11cx7NZHGEkMo1T0/4J9/K2Og2TVjdJ3GC8TkogWSLD9YNb4CPa9sN4B1s
eVutNvGfDYcubn6FE6HiBD89ol596NC5llelS4HPEF46W8Byw2LA9hYQn1096uUIVaJoPq2mmKGM
xx95tyV9Gkby0AEr0tVv0f8yvGyqicp3aK87af5bZIS1WDT08RCGGg7Rms+y6YAtqbr20XVVcCUJ
0lDiGfkDcVoSq2Efm8r8tjLoX6wysRcSK7k1nIhSoJ58+gMPuSTPrsn0ZKtZ4w4JLDgLCXA4qiJE
TdZXjHZ7H7xZkOf9KifZzU6tk4sn0NNEuI2dAShLYyZeJ5Dy2exL24aPhxqr1QYZLoAzjbRW4jxS
Y343QgzUKjyK0XLgvccgY7U0IdIJunKA1k5HcOTLqiEzVJbzPSajF8Fm0DVIXLXanHCbTm6jKf2E
p0kWMakKGzO9NiwUexM6pBdO6p09N+nhd6zaHzQMf/eU/VtK29Ewe7/ICUwL0gi8kt4MXmG197Y2
RszykPNV8xkREvVr7EhA8vR8pXyJmsk92TTOPYd+a0Aq076J0paOtgCyxC1IddnCUicoAVno+pzi
Yu7vx3ph4AJlG/hZV+wndwqxEv7Q8wYYxXBW1Nb0udN3ZEZr0C+IjQp7Hfx42HBjsefYE1gIT1FT
P8ShEuyr0JQHEStXLHs0BTFcUwAtPh7pU9trd4mWs7MjANWAWgKL3ry4ln4eiWIH+HrolTl9SJEt
BN/KyCUwBzO51GIkbElcO3DiYeZ6uF8hQU39Lb0JZdNa5tMccV8BckW8KV4WgvPAbRA7FQPQxEo2
YlmF893FmOmzXWnPu6JBPi6NPtjRBruxSj5+lhiezaT9FdWnpuqMrU4tNhhmt8kaykD+RtOT87sl
DB+cH8sNAzA7xAmHNAEc3dB5JB13GMtKYIF69rUE+e8kTkN/4qWbRvYCRMC9YVd+waIbHlh3iY5C
1zcmv/jkxyhcMRGL2C8CNK+ZOreA9viPUUTcptHHHCTs32YVAFAHdDUOQ+79zLMrBoL9GO1ZM0Br
tPEfq6FYcRjymZAW6SUBZAzs0O+ketu4uBEZhoodlQhIexZZeCfjpRzsetMHyVUv2U+p43Nq1AiK
2+xBReM5F6l2Kd3pOhaGvQ9c5SbsavO+bQ7JJIiBRBQquuKFhvJSFKZsKAZ0gQ0GVwOE8mCTri1S
ScysNNxDqqcXVXmJrfim5iUkNLgrTgJv7MYa1KdhUNxdq0YvCP+NgwGKVg2bfW1FnzWi302Zd+ke
chDemzsMQME+q9sdEVt7h8QAP1d6fkqZHeUhQ8iwfMrYkLM/E82GSuUWLtsSPFq/MzL7YxXZQavh
YTW81rMa+3av/y5K8BBW8Z44SHLsAX2QMLhTac3OjoN7Kym/s+xasSXepQmx5ro53SqtDZVeG661
jm0IbFy2qSIi5ZkbYzilrvClC6smJJBTIxIPug8an0GOm7Kc2+1UhNOOUHtfMQOAcCLHn8w8307l
o4Fe35+n4Cwc5VuYQCz0jmFATqfL6h+b1D0pmfGnKJz4lL+3CgSDKFRhKJO97+jyPhDd/dBKIPIy
PRo6giN7vExOZbHnne4nIuJ9EdSz1zUY4zR2oGyRAmClg4HuajQaTyJj5o6KGoQFz+EiZornQqYl
ybGtXvEQEgoCIWpyRmdXqODiG4JELW9UXSpzpycEOeO+XkuAF7WTeuaoPI8lklXoHnAQiIp28xG+
m6l/mmQd74paG1m8H4J52qZlSplq8yfNdX+oFPM3UPZFoS6ZKEA4a9Mo8bLZru7nSAXnXab7ZNLE
7TjW+6Qy060Yp94fTahRCGQGz+nc2Sfh8w1a53ZUhfhVC/dYT729I3B88POg/IpS50Pp+nctzj6j
LHqGhdzdLXmrRpShZEuGG2hZNwAXHbIYTToTLNHDpD/3E3cirGi34CpA36QYGW3a5PvMIsM/G8eC
3AMruSdfkGiHBZXe37mCpPoaqkUkGH9HGTTWzurunBnTPKEEtEIJvhAQh5ho+dDL062SadpOjuIl
N29zYrAS+WamwRX8j+4XOPMLWhVbI3gl/7zc1rl91YIwAMnE57DU2O/lMuBqQsaHcbbWuYyMK0GU
iAuIkiSFCsSq3zOjZaeZfViGmWxUBLhbK+nyrYshggsEhYw9E39R0GnCuhr65DJ0HrHgyXLZAdOY
SAgddd8YUu0UtMUFfNxixO4gslvolmqHO7I7QUCBrfsrHEwXTZSCYMZ91wKmuFicyNOyacdG1XHK
6Ok4UHBSC/0qyhqJOvDstsk5LJyZ1Q6XZ2eEOFTanVnpJtRMbT8FbPlDc6rO3YnIBvMwhtA/w+aT
vUh3WCAWO2IOmZVnbn8yEo24ShkCMCX1pjcYQnTW7Uj2OnKc1Ie7UIEw0VmQSPInMp4kWusRjs8u
inOcqqQq7Qh5mw9dDuoosNNH28aXYpgTUwHIcd7Q0nZpFbgYk6FujRZeU9Wwfs71yRxKFd9w4Ul7
cC+DXj9hckYCqn6ausWlVDL6ccmpJdfrPSAcl4IvD3xVh3QuclQpcdv+HsbgLnbb4ldKCHiw5F8k
Vpv5i25RVzAyt2NzyLOcDMnktSWZCAQQxX8hoNpkceujody5LkYHm7JhoNHqBfHHeDMWsCOJp3X3
ooYrmDmWxxUxsq1TN5pi4AANsS856XNp1to+R3MEFLQlEz3fTjM8p9Ky9dsqTx4LCTcIF4BrzRYd
ymrcjK2ReKWL5WzSz20QiqN04hRCjLvph2EJkteAx8GMSZRII3HO/phJltgronIeK2YgTHpuVchI
pMkM8Oody8IjdqfN9buuwR6zpm/mrtgLyPbcxwXFaOvq0bHsv+sg+K3gmHoKRPjS1fw1jiwPsSF/
WWVQYhinU+I4wCRivV042TlpPYVEENXZnsyV6kC8xxM4bohG8RPtpXxjklz0OAKiBM0U6EF2YP1W
fMXZ0pRnbDJxP9V5C+20vdf7ttwJ1/mDXphEd7t4QVEJPi2Jr7GbQ6FNYmj2xsiESxZenGb7pNPV
XWVzD7eptt2BySIjp6qisrPVTPdS3qHREMW+FvE9QoDhRu9Srwmm2dcQA/qZoh6qMbHp9zK85ZIr
KrTsjqCASXrUELGin/Vk4k5p0uHS06NOkHQU0dYVovCSjhdfjTqxYZSdIaAAAWooFgQ7XXvK3HDY
VkK9FZpGySDEoZLt7HE/kX7uTtxI9P691qBLEty90dSInEDN+MjyJrkJooT30GL8ObaQn6eE3bZT
ipOuj88VQ7nlfaAsIAGcayu4nTNukDNbeD/q7CeWvgeT/PutDWRaVL9g48CCzxr9hAYSMAb+V7+P
X7LO/C1QvXmOmhmn0lSDfdnFN3HEpzEs7kxN3Od5Kv1Gg4VXmeKL+/Xky3kRzBbJWeuFgn+T9P1K
/NL0hnD9YfoQOb8p8BBrl+cW9xkx+VYzz7uktN5x1u+atM3PecgGqB0/mxgL/qQ7bNDD/lZa8kG7
qhJEuKQM0MHdpCVy32pwXGjNoKqdxngcleWWELb5ppei21iGAXmtIzwodti7Z8QPJmYErDCgAYUc
NPedOl9ujJfMaQJQWRNjcyg3inUblKzAZgAkp15CSSKQ9z1UNCvTueIIUE76Tz22i32UkrdLPDWR
chh6CqAKZcYsQgnvSm1w/SLJ8UWCnJmFPTHpZf3HjnDP5MQ9FE31e4jdzRiTUl0QNnJSAt26UXTq
Gg02AasO6LRcn3wzjO5Tu/4cnQxLdmuFp0A2hzR6rs3B8GI3Pc+Oiiqjs096DGbICgrkrjCPpiWq
ji6RDXZhrxbMCMzOGFgWkE+LlI6JewpAxck+wkI0OGRh6mUCZtN2jyh9jsWMgxrpyE1Qmw/ccrIZ
uE4z86LIKT/lxjgd9J7j9ZA8pMqYndtafhB9GJ+KsdVQTOQ3UMcKbpUuCnPZbGqAJJuZ9cBrpMpE
pG2tncvdD19tvJdtzjMnWpWalS7gettXEAUE1aEys+LRoNpSSjvk0xb7iVuUvtYhMtWZXDs4WPeu
aduIJYPXvqUzULn00VoKj01FCImzlJ2wFpExThS/UZLfyW3enzraN35axMm2K+ucWVSDlGCGAEt/
9cVWUxt0nNIeorwHgAUdI9dxvMpR2duU2Vsj5u5vz8C62oDFGgKF5il4FTQJ4A97fbWFSONhVdia
giNuzH2HGylGp4wmBmwSi2odsRu7z3prmVtKX/XsafNoe8mEmS1gfHxQcdu5BteWQVFNHJF9IuJ/
OkxSRflE/HoIoWYHRQ5e/F6h+vVB75AunpiPxuIfqNHSeHzeae5a1X08o09XwU3srCmJ/XSMDsi+
ln5v5p6b/suZIVLjI7gUhkl0ovEC7OnDFumuzNjyiHCu2anQI61r3I0lK0lkky+g6qRhixCw9sAI
OIudFs57n/lK4oK8hbBGMkm9i6PoTdrGeHKc+TDXtKJyJA5tAk504M6HCDtzdnUsJPyCiG1/gp6e
9VDbEq81GMRmZjdNmxgbIyWvXGrs7dVM+s7EvTlxH8MkSM4OGZdO6aY+nnW6YVwsyKKtfdxiF63i
BEcwn5fclbtcNE9VZQANs+sXXFk14UEqjf7mkmKs8xsH5l+OlIqgK68RLGVZXBLe/ml3ct40cS0x
WWIYtKYvdRx47Y3hzwj6ro6CM0tv689Ol5DOSlOATLtNNVWF52buG3RS3hE1Lv0mqJ5DxyW2xkZw
VPZswSIT2Zren9RGAYllV7cYuF8ZZTM0GG0fRZ/lZVj4BsKB/G4yWZ6z/M1Bau0Oj2auftepSGlR
QTsYYnmossal6ZluQ2iMtlW+6daAj8aCt6i2oG66ciSeoERcZmEV72wqBFRmCjGWGYWvxSx1Md3/
TsqMX81dxkKtfhdhCIZa9y6F+q6IGVrENN/rQ/MaS4uNfA3BL2meHT7XhCamm1aSiYqhlgyp+E+R
YAhFT00Qr4E6Uh+7XczoBoWoc0d2vrZLcC3RmjiVgFR2YTeXfg0HKhPcleK0PzcJWK2o5JWkHoNo
n3Mpj1v6xjfk4F10iqucCeI43pZNuwtcmtVW2zxbYVl5/cw9anRi7nHI+f3OoIyYXfBIqIzQVnLj
RFSuVP1HTAPMb4oR2tkYnVSlf2xbEXrzaOZeWYYPmLC/hpNRhq5HJhoZL4ZnlGSmujk5P4GzcSIq
REkvKWAV4Q3FPKFXRziBJyXnhm6JKNmg9f8DXWxXGmOyh2BwFwiGWfhGjqGtH60SjRPCRw+uGp86
W/nWh5MT7dHUvapanh6S8UE1J1prMbAlEd5OXVXsyo4YzSBW95Wp+nGCAjQPCwMdtbnPcM6yTeAF
sAztk2pYO6hArlLFeKiy4j2e255A+OCTxpO+ter04PYRNQEUJzAXHU49pfANtbqEyA5njftz3Wwb
3nZwGoHgwmO9N0oUxkpHI11rfxWiQaijDjB0s5Mhmy+tDmvK2uaMhnmGusecHsmuZ5fd7BmBQ5SR
xQfLMS6ytC/IKqsDlehO5Q32CmS59IiUp27KmRoF083g5lvdrUGyzXCiXA1x0juTBNjntygC0con
yhPJsku/oPZMLM8eqj0a12ZxGzrOIezd7wLvhNcvfU5VMjlpNUonF6Wlm1T3an8Rs5YdZF1/V5CX
GzQwHZKjrH8LHM0+Rt3ogdYouNDBh8EP+oNQfNjM8kZP23JfG8241QeC9CQAIuk8ka/j0Ci1fuU6
giiVFAPKdQJ05Vel0kUu5uqo5wyCR66IwMqjc2tY6JC45RXzd5tSXqP1mOnmOvdBmJ+qztUe9AE2
Na+Fl/Sp4Y+WV5EiudFbVvth6ply6pQl/bwFZoeWXj117EscpA1Kxa6bzKnfQjhgC1TwTKnYCTjk
QJb4IEFm5A/KDgGjGs0EMGePVnnEHF56CpJ1LuYcwQn/txJk41nvamAtsBFoFbAumsqfLL+YTV7u
R53mV8wmdLb69DQ7uGHKli1sY1T0GEcksclMghRmnZpxn28losRP0n0zdny0nd4lgz68RVHKZcvt
lG5g6Q01SF+RsnVwbOVTi6gIyeBVAJFYnlw4WQU4yCbZpqSVOlgq0euSasAU1TcHm4ZLOxwsgz5I
ET+aNBkon6ZNN9rA3RpCujMmzF5eTyWeX6ZMVUXjSUk+8mhyPX2SDTANm0s8Eh6908lHeXy0Z6xH
BOqRFZt/NaVYfgmbbNiZHqaKCnmjlTBpKlJllxJdC4YDsUTwmMf8iQEPjsH4d78rBEl5rAnleFbl
8rFlYxbDuOWuDP2TgVwTtl+ZdBZ+ZrUJR0mfNrEurG+Rb6NnBXWQepZr3OhhUWzTuKKvVN6JYdHE
A2WMsxFSGm0EtWlUAgsATxHocGrT7tSRs59XNQzMcD4JhyjuZU3yqGaec22+qBOhCWViZtvBcG56
x94GTnbEeeZZhLGc2x7+pE4SGbAwRIHguZ9NHeqdpkEWNtPoEfDAmXoNUm7OS9nE0wclFMZ4ayCn
kXSwpB2uxcwSX5jqFSYxHEHZ7YYx9wPytQNmaYldnBibkGYEOHtT9Au+Ae+cVdGppS0nwQ/xxuVD
dB+xM9ykBQZGV2afWTB+azn7rUYXTyVhVwkpwH4yTvcserznSRLvHEtXPQ3cZmApl8EuX7oFgkIm
JEEDBBBw//ozaeGtbnppSyMH45DXBfIuHsunCqWTG23NoRu2WavNZ/BDl8y9hsL9bmK5qD3TdysF
wSZ1z6LgrlXYTGZsQ1pRPggfHb0iZYjXtuwKBZpITVqEszLeEHP4UJejF9f63Uy8SR44wDIe1SiY
AAWaL8vPMO3+eQBvfkZC5jTZOyLZ/+HpvJYT17ot/ESqUg63BGOcs41vVAiMcs56+vNN+t/nosvd
NAZpaa0Zxxxjh3JUAMuqhb10N0BaH2FRgshKTb9oad/RXnHXie6jd2y7J2/pbzK9fZ+GeFf6BPcm
EnGMjuFMSe/Yiv1a8WWYRUOvUB1p6fPUJ3OfNLQX83hGq75xSaAo561yaK5CM2yQB845LSWZaF49
zDTK78QJdB5aNsZBjwsGFUzYrY25ZEI72+dK8cTTVNcdNSaQdLRVxiE6a4a5UxH0cMnSXePQx/VD
kybfi8qR7536ebQmYNTGcIYallaWxoyzPZavXdWVazeqlE3L5lR9mZxVPe8GWNlvv2h3TPxB+Zp9
Q/WL6euJRiuGeFSNqFE1lRXqd5uyz829XURPRj/VD74ykKInow8Azb/1La6csbBi4/lWuZ37pF27
KCUC+8ce0N0jfXoyh3BaT1ZBfTa/hznK6wqNWU7cg40usdbQj09GoEtDFUcbwzAw6QQy22VkulID
Oou+zaX8Koz8M9cpBcXI2Q2h+RiTjag+EaWLKrsSWdFD58GubQQTlKDrWDfhqY450jPSdfQRVoPv
gAHrv3NzSTlOmglmiItfUkoxMsIBPPtIzCxa99BgtV6EnuYy3fQlUgYK3X/gFEDGOcLLHg5CbEY/
g07oHpoxeVoshj6uxzPWfnxHZTKFZkRTRPvIwqYPvvbAwI2IArQbE/n0BIarNbi71TIsb1n+4Q+T
+QZLzIYBB2T3XNLoXIveesuFzZ8MEfKVlZcAf+6sel83TFSW+fCoSVv/esl27BirxinQyqPeUJF9
aeiarPsIBicE30hc2YgIOP7akHZNIprQud3Wgb2lIq7roL4oTUvZpp2xK7xuT7n3hd7/3xDZX1E4
v5tV9umq1Z5S+J+jls9jjXZ87yBYWJeogDapuW2td81x0nvPbp+b8Il8sdnqEwjkxX5ULAaDgTR2
dA0pfXjUJeTwUp8zmxTVM3okkIhs57gKOlBIFmjAAYA5TLpWs63y/Bw11Q74avqLFLd4leI57Rzo
AmzkZGIDxXZR7o0oNHnYQnsYbxrmQzY2rENrT8X1MItBdJuGBvVHQUMyHJw3Jpq2FThgp4/YuaP9
VIdCQ9sNz36HYDUKVPU69KpvakdUI+kRt55xh77alwJDxQydMpGR+diQPqF5MREzu+qjPanD2omj
arNEb1AHU7/yEOKOE1IZWsXWQNrXF88V2JhMkBJtqKG6hEx4gayUZxSXGc4Td6YqFdX4pdgwj7kw
j4IxJfTQzzNswF5ZIl49g/1VrOxmdjp9pS/Ub4zqQ1G6xyJEnADY0qtnUXiHFbRdmbbz1RfxU1vp
G4Db+k2HzN6mXoXJAKyfUgwRAcwzBtlpFu47GHl6l/r2lGbvAGLWsMzC/j2ND0NR2htt7N4HS4Xp
OSxX+RI/J6JynbhUDpW2BZyASs0Q2zrHpdjZCyPVulF96hoVBsjLBq97mnMwDKga58BKmvOohthO
XQeRMN+WoYvspZrFN7n/UC+5HNSeWNJbAsO0PuLhQZ1jFIssr78dq+Q97sObmMLuCsnt82DWLwPj
3ytE0TZCETei/4HqGGj1qGjXi6pzRiYEpCp1IZlxtQfF7F9UF9VASusfDtM7fMxHlxzt2FvWtTkl
GCHtSEf1LqtxokOiA2Ho1BrXT3cxNO7tonruTR8QjVrd1SSc9B7brawrFgPC2dG48fLyMnXAmopm
+e10b22lzQcZ/72S+8fSjLZ19OLpqQ+9NQTYneYwCgQfFsK/q2Qqnj0EnCASXE92lm3CznuR2BTa
d3cVbuEWMybbvJ105bgkcOZM+c8E8nGYaFSNDW3MHvB/U9dciUt1vFbtN61t7spurG6ufNvzArBq
nHqCJAr9lWMRLvsq07H6vC7K/M0N02oXOiY+f1ooNVNtywzj0dOhwtbg4RlMH71jqs5QAvNcoJjW
N6bdA1u1k+OwdCVNC8rJ+dzA06ouAdDvT6wiHEJdVtGcNk8LKl8rp7SCsUU10KVqCzF1YKX9pR6R
Q7f14R06u/nWASK5rnr04jUvGKaKyaU0dz/a6HEQrio3vx+nGiMfUtbtk+zVHbl1+H6DdqS1h773
i5Qlox6t8KLaubP/VcTRr1amZ1JpYwaqx7ASgr9gkUIq6h2sopBkZGtY6xAmz3Gn1URhY5q8bytD
qHmCWfveSaJPJ372fBNIlhnRy5mZYkufOrPaGyWQVc//TJi9WGk2ZJEmPK89XNxoD8K3FKtrw4a3
HCJmewMSA2nvJP5oPFg8MwoeII3e49b/w0xc6EB8xJOxNangz3VxqxvbIgNmpzm3FEumKoZ/BhrJ
winvKyqpTLWaK5OIZd2hg2yCkAA5mkG1mCcf06LTASp+VQVLKZtt5gEmDv3qvs3rnV0Mjz50u1YM
69esPzBC++yY3acHWAEpy5pJ5lXbogtCaXupadCZHW2bhmJafZpc2PojHSQdrQcUGN99NCuARQJ4
jKTzM0M/gRBAxPhwjMtIzzZIIJiD2r+KwQ+/IJ2OU5AxRdd9RmDUoPyiZ41a10p8iju4hyLWG+gP
cSoe7eoxgTzboNAaduadTeXCQ99oZdgg7Wy/f6GcTV+8e7LV79DLaBVTP7GWBS3GDBK3sNwAr0jZ
KhWcL3S6sfJrPcNwF5AyT72FlWDOfT3rcQDBHrONTrlpFYWKQZ8ZpGuE9dWsw45QXqBQ2PtZ/JZW
mIcudmE6IL+ch3EDUBClAMbjNrab37Ulg4/u3djUCfQiJn3TrqLbCmKhmctxGwpGkKLwzhv0bduU
1v6mVzBBmgJxrg9PmapYqPuVDEEXy6tFOw1EVOrcEqftHG1+MEm6s+XBM8x4n3rGPpyREM69yNjQ
WwU5VHf7NhveC3ImGi0UQlzqJUA7IX8LAYZ23q43nS9rIW1CEGYFIhycW6d811Gf3Q1dOKC64Rko
o5fTth97bAoTOh3y1M9GTXPYpZqQD822S0fzAWWkQi9g80zYti5yExBmLGCkm13VMLuQDf59ZQ7t
kw2AzdcThN8i0LmtshnTXIWpRXlI1EZDAQP34SPhzJlM2Ax2ktMLHoBbMUjgwCmhFLAsM5jK5HPM
xDHwipWaUGZeUNVEjmMkaIFUHLxPybCbOxycnF69w72uOf1fXerSIE8jlAzU4q7t+208LmAAOyP7
6POYPUPJDpVij8kb/wsYMWUM7zM2kDXTRmgV/XoG1tIdGJrCEistEQsDM9QY1rO2PDclWCL4/Fb6
iGFJx9faAZuZh8nLWNJwdOlKmTahLzs4CkkWULYScDgVV7fr3l0AA2uNo8DoLnqiXX1Bm5WjXymv
nqlS/etLhXvkk8bkEUShgYxfWoAGjC+ILrcrO42PsK65TmTu6KKQYpcpw5rQm5sd1CWqsUscD/0Y
mrigR6OtCTC0QNc5XdpNZviP1UD6iMtrlrNrq+5PZ9Dedyx4NaWyNjoAKSabMxAad5mnbe05BExa
upvFJkejVdJYBhwzaO0y46ve9sw1rpB0uHizm6+qobrLYgh+x66+MSv46Qks9bWiQSbnm3tGHpjg
HkhVOsvoXuEbe0YI7gMSoACVL/uGCHTt1CC58kGhBtNitdViXtdjJHCH+lVRzPtOOgF0GygTQA7E
YF90Q0H4D/QOTGIVGh3I/5a296HbxgdSD88AochqKNgY5nQGF0QaZd8WjktPTj2XtHTlp2UbLwJ1
61vI8Cc0Sxi6dUfa6PZ8LDM7mBKYYcaI2od6o3Y0zl3nraztoDDjQPGLgGFj0tf5xZhQv66Gi2t5
hyGe71V8szUbwUywkdXzeW6+ldH5thv7vlWwld181v3qkHba2XNT6JlQIp+dQ2sqJ6cZfocKkYSu
veHEBVU0XLJy+K3bbp1O8YuqO/uuBAqSZwGUuYH8hPnuHMMrP9tfsa4dm3I+V04RtHXzoUQXki27
7l+jKj6PTRakEg2qIMTGi4FYcaTx08wfMjwLSGvM3HJujCSApfkyA/b1TbqSImeQBO4Snn0KdqVE
8l0Uruo0pRLaZeulVJ6s2D/JLzsLCsgeUzspFPwjvNJ4gCgajgknhUBuPOt1HiBZB7jM+GAwVtrq
Z8CHK3VUP9tlOs5ddzH69nGZHWC2+Z/8Gw34nxjU7mwG8hGJkn6b5bOf6efJ6Y9JU/2ZKT00BY5j
YzxDGX6ECeAxk9CtyAN5LYZKtE+Kp0jzTtBnBPU8CnlVEKaSXLsvxZJ+a0C0i+lINHXuKa25sU6X
U2f60znJz6VnFnX0btRC2ctHaEV4oxr2nVaZgTP3xw7OlaJ275J8ub43sb2THjlAN0uinfRWb7Vv
Z36Gy/4gbzGM5djSIyQ6eSstriSejkjXBbYNctE6aKV3irvuV+6XQ7tGKPK56EKYb/P7f8vHgk/G
ckZ39dIgeOOmR62iZ1fpZw+a7L5foGUeL7FDUw09XA7EMeaB0mq7zIoNVYKJb13OfRKdYX4NKVox
jBtWzyiyBjRHgOvbAxJqaLfyJUy73ke5t5OHJ3uhz9rvxTj89zzlgS+L81XSNmZMbpUl02ub0Ydm
M8imkCcgv6p2OWCTcb+U/bOFCt7191kipemPadLc1S0+QtgoWABZBLLOwFoOSWS+a/zVy5KACk3w
MGXmSdaw99mBjpzufN/k1WFJzaBIOczhmH/W2gXK3xMwqwMgSzBi4c5r51slKQ/tqAVN231O1g+w
sHfHZ3C6WxnMXunaszzbJWRhuYAW1RwvkG9gDpc2/zxdVIV6J37ebDbEf93AyDhiiCOdi8wkfDUo
1qIbRRJXZ8inya/Kn9FHrFxks7hWzT/Jz9QY34oR/HmSInrKVcrthS08axEadmp0HqP5TFi6YjTn
01dQkQ2N68rIxVGRfLQg2FpS9ILAb3m6dwLeFUCMdDF187Ao07kx3+ey/oyjFauCClynfsf6dIGS
P9B1vl9JA4DXu3kCPrlEd1rsb5AxQdozC6Yhu4csYGMo7GWYmwfNhhVNC0LOh3w92itB+DGaxq8V
g05d6kc/+neoKEDd64731ei0rMIuPJdj9yt31iqadC53SvdvRfS2v+SKtp6h4RsiLitHCz2trMce
SuTraqNNcZGFQkKmnNJfeYjXg8KB8fr8umRN651MHvJYFsz98ER66zDrCfFPAnG5y9QIZxyhyJVp
5q+AcM9pE57lATts5hL9GMbDn6uxZ0QMZvpSfYjG8dIueZC0DKz4fXnTlHSy5hnjUAburJz67NmM
iw9xAZVi4ELiQ30jltswx4tOTWKVZxmaY+CuPb6KwSQCAdyNk/8N9mqe4XzBjrbMK9Fr3IgJM1rU
m/P26C17MXByhUlSPSUhxWEWVUyS3Ho3pcFQ7NH2OKo8XHvk3IYZsXb8bmbQgnQm1inkfLPVq+Ws
9uPZyba5XX+l80zOy/1omhUomb1Fxue+6aYL860BpWOcZJFgwm5nP/9WWXSGncj5546CWnRvNtHZ
xIlScgpMMFQyNCIVKCxiY/ZHWX1NqX+L8qymMWos1kE2SDP7p+FO10Ad86+YrTOp3cknUXJgjaX8
a/XLWSykmAf5mahJIH+ftoXxamvjx9W7iHEbWvdw9Teq9lJn/leF/RGnQH001rpfJpSOsr/ke+i3
3Gixt/NDZuIHOOiG6Xj9VVkZuTSfCSEAo6/Y4qBUswBMyVvrfEL/fAJReEDF8KnsSeH1MIAnFUPc
3MkWSwr1POTTpcj3i6kevclnNoHTncIr1xfWTbyzkvTfS02iEJIVf2018FH0j+R9cpp9sVWz0bwk
oOUiLb76CFujneX+ii1Lviyn/pE9WvH4ZGnnWv0iifIeIUg8R7pDL53ngtrfbWhCEccSiHdzWEix
o3KLDlzPxXGkoFG7oD+Szjhc7xwFMuYycCpsEh9J2vk9RHA1Z6ctPDrmwM+kLZ+DdjVBcsZkrSj1
PjtAFmp/PMrNQ9h4KUMqYXH+VC7TOY25s6yeiCP6la4rL4vtn64vyqGFegl8x9r1gR+ze+Ql2XIk
EE+qlnAJQKOuS3M14Vnxo0U39dhfDFgeZP2G+rtKtHedXEkr/FcE48+04BET9k/VWNPSXM3TfIzl
GuQoyHekFFGGRNvUVXcjF/vf9+r+n+qyb/hVVVV38jG+p2mrJFEfowXbzNNx6wwy2+SeCZoXm++8
Gmj58OtN6c1r15PQswpehHtpneVidJ+GcE/gp2W10oFHQMVD1Y+Kl70xnLJqmvBLbIQaizdzXiJG
/SSIkN1ap+HZdT5VtXn777TKp2QTPJJGz8g0ZEagK+RZyNsRqb4t5mRXetrZMdnj3UHsqg72KDPr
baTZj3x6YBVskD4KoNP7SkvtLIZLokOAUhqJbzY4XIi5jUbtnnLGlxbtxWr5yOq07beYvaxJTor7
/4GWmCo5nEaW3ln0vsUi+/q/J9HF5NUJCL3+4lYFxw+utFFxTjlkQnmfQAQT78V2yNnp9fkpBh8g
26b2idq09M+m3hnykP57iaZnUxtPso7Xu9b0L7967bOE6SD7QbZ/xicVY/rtK69KaAbEuFdHTuWW
2W6YfRT9oGXLWbZ1qhLe5cptW+o3qYqAqXNP5fKUi32OpumtaKev4Q+ZG6h0QJoOYAriD3pHK1mt
ySwOylDdmz7KxIRIC8MtTRI+WEv1RwXwx0j3ErTKoUP8jczBxvrk1vX5ZrTzuplwymnOqhZ/2vVI
pRgQ5sI3g6gJEh2nPllklN79Wr5NixYar9q5VdQzBf0iy98boogQT102Dnzoxm5IMP0LCDlMp93t
TO16F/N58VxwOM2jI51eLbrLde8wiWirCQR9sIrA9pvNYs6PqdP+ivNisjnwezqiGTpYnR2g63rM
cbbacU68m46BCdk1elIfJFUA64c6mnfXkJtcv7PX4q/C/kCb6ij75t99WspdDumRvABbwXkcfial
+xzpxekqOC9JFGS1FBYpIZJk+JnRouRFFsqoJO4csicdtLAYf6UQUdBxL0GsCv+nmPoRG2dY8fOs
2gB1zFPHsEoSDOpyhEnxrC8/vQ6CGTqQazDYxzjXOUECV9mPBOo6G+DqYv7nXmQ3t4Z/6IqdeEqj
graXUJZPbHRJUHAC4gx61G0Ms3tjXuAkcaDEbL72PbbVz9XkiHmY+/ZN0+KrqSDDukyYkkavTvBN
YKzEty5Dep5WeYuHbZAfVBWaV7ws3iBpMCNybmzagzPa2GIcDfxzmM67CESnHzoHh1rfioH7+wZk
Rhwa2wTwbdL08LbVq5Y0T6rZCGaeHZ63npJVAmkHyXgPeVVRK6eSBJIu/xlM+9FNrF+v2hoEfqhh
7BNQiGIIPdNCdNv588PyT8mVk2d8xm2x0Uo4sPz5WHcGIWVMCIbprbpHBY5Nr9CObsss5r8GODVd
0uVm4VK1rA7iCSCRdpQrGjOK8MIZyI7skUpFj4IW0sA0Pf+3QL8AyOKv96pfhboR70Hw4w6cHuAD
TAmaDYHCeozljYQ78qVyvXKNTCZsjNyG3weMSrKDOC64/r6s7Rz6fwO90ND6Dsf0o3S38luZnQYG
t0D17LpWTLLsBr/aZ5793LkOrd74+npENj2OPY00lJY4ly2Zupv9+7/s2VDCI8MJ5+U2H8vjdUlw
9vLYYU6HbgeGwpCdp5QPjL4GPkrfcuUuqyM/jX4ASkQJGd1BuVvGfwLxPNf9FOJXDb9/liAvj3wq
nTirUc+eUUNYOQZzRiyvnRbQ8U8XeVPbUBIenHdxmU2NQ5uaQ0YSxC6SvXmN4vLpAZJ7UNyYC7HC
BilUR4PO75O36273PcQU5AyGRXNAJOmf+2insxqxQ63hHgTgjfx9Bt7aV9GtHPDZnG7iGbKVjo+9
mkeXdCR3boBL7uXfctpHMk3XHc8F7S9D9W/SHv0EElw2aCDBDgIC31W+kxBM/EFeum9dHTgps6Hm
xEg/dyu3UVj+qQcy6c/Ojfc0KdAa1AZX0F/UGbqPRP/JuvvGY814sFF165jDt5wDORPyU9PbX7kC
Nn3OkRiXL3kqsv+uj2BpxmPoKqSEzs6EJ2KuYPGWZyM7SfYN+MIfA+1f/L7hiyFbRhgc6Z4z9yPe
SPyZ7eXBDB5NbgUPLvEAoPK9v7QMApCxYD3kp9EY2wzxM4nTJYtSK/J6Cg+ZQt/OsoM2+Rfmp76/
p/u37UDXhr1x7+HpRnc8Gm1EVjvSfsBNGOlfVW0Rnb9XHWUj8ZDsl+v+Z22WON0zyLaTXSfr5FSU
sPgj74Fg+5E2xRpa15iJBaKLOgloMj8rGSSwtXCrZo/iPSUolLi+zCaERIBwq/1Rcm/xsFI4Gdag
qI9iH+fW34Hp3olplYB7SPZobh7E6pZKfUp9LWBubasOKsJGBM62fZcz/45sB+HGvzqIfGDbIqcG
4giOolWrqgzl/wusEnt5GhnBkiBYQQrCYreXVQbbHuJwnIRrIqQfq7n/rPruTm2HXdSTr+NDxRiI
YXNT80UUa8wh+XKKH6evg5L8jfYLNqX9CcFF45lDpcB6zeTFM2LkMYx8y7HDKaNnENTU0xR0dWek
bdp0fMgLVO59kEyZRZZboe5B1QNdVIHkD7/yKc6EoAlA4QlHqrnewcWUxGb7qemB2EIg0UdFSwGF
dk9ifWzV+U7SZ7ksJpsOPtVFU2cl/PB99Lw3MfZiiKx2eppjABsYM0VlksPy78S4QTTwBwbpDbZ4
6u+YyzG8iHtsPf/LG76GCDvFfu4Bngyq9hOWnz0QwjBJX7IW48FvSCBv5vlq0bx3CYqvZmnB7SkA
YbXCeZNk0/NtFpM6KYy2hFXv1zRdkncFFg2PFrOEaQQcQcdrjAVgnCTdh/j0PCAn5s/o2oOIIyqU
SPGazhTJeAMNHbNOWiCPdk7bQFPpwwBNLYHJjNafURhbBqn3ijt9UaPrG0p8bv2bqvbWWYy92JP/
7ApE+a+KBrsuJ07sTa3ZrKd2rzLCJrtdn0Ngnyw/pxNB8jtPr38lFJeffLR8A1iYm6GxNws4eqlL
dSo6mjkePKcq6uJM+djEM1DYpgRNGcQZ8RPsTd02Ga6BzXHw/q7GAqjPQ9xGMq95zbSvlkUxjnBk
HJYp/q3rlWwvcdSj4wYEfbTry0fxMFDIHgZ9ODMsExSI3lrmQZ5+lboPDCfSdJzPMGoyNLjcU3v+
a/HQyJb82kZ7yjaWa1d3lh3tesXtblz8Z0XqiEWUt8UUf8p5tzTaccnUb3XaiaNdkJC6Gj1NbXY5
c+liKiQLk2xWHFwZO5CblKAvmp2kYuJn5ITBNPo+ZmhX/88EyYFMKuXs91vxSvJAr2sxJAuyPNmj
PtsnCd3k+XgW9rT8lUosGJXTnLFJ2rPWAl7KorMuQW7o13sQlrt8kEptf0lCqubRiyKYBIlfJaAe
c32n6O5Oyt50nE7ZVARgYk9aaDOXkj/Shdvpy7zv8LUeG11xpnOX7HrfpBNmXOSfKU7Vd6rXmSqe
w/YGZvsO58W1d0Ab+FwDXitC9UW+QoryUsBP1Yd+rr8kTmaWOVgs9wT4k3Soe5QrkxiZAeEACr5o
KA4l5XuKny8A0QIPF2TjgiD126S1gj44KajR/lo8HrUG613NzN2mON7+Vr5xKYeLdBvyyJN6vuQL
kGj+qeybnn3C7MmLkZ7G7l4dlJMZH7q/xvXe5Dql2mdo7ZcGOpAPip3p0hMbRQy7Mv+p4SChYv9Z
lNsR2yAVQ8dIvnXzOY64If45RPO1V6L4+cE09uOtp+gnea98sEeAalMPlTJiVzOU699mpnMjdyZN
iZKURq7B8uK9H6NYyOuLg/NlH9NpevVs/N58cWmpyJ3MkY0yBSErGy9DQEKT8xt9T1Z0n1fZjV4O
52hh5VkjW+2eLHcGnU6XVv+xe2oHCAXz2Eseu1Q2Hb/6qdyHnD1faTPsyt29MXvb1ie8LpSTLLg5
Tg+F4m1SjKf8ijqh1wUUQLw/LCDMQilr2TEhrkSuSSUUhXuGCWf/4/rvrjr489tMyQMuxPcSRHDL
3p8WSpZE9Tk7agAMAJPUq7wuv5JIOcED8M6IFbSF0wpoHO6foVnwxEdpPzG0r3nuWR6MmdaBN7qn
pDpO0fQpK6k6zgOkahtZcLmF1HM/6ukvzf+9s1mMc6sCMEnA9xL0gwh80PNqK89p5MnLnconq0X+
NALL7FuyPhXYchrQECZ357kqJlUZ1X4uymlduBRjXMqUuUdpm43wv8XtGEu0mR5xLVaNS1HNdg89
8a3sLHmCYDdxhd29qXoH6WY1E7CNIoA4LFha6g49BZxB3TRD9QDlxVGvsoCSPGHgXjOMg6SRwJCP
eJj3Mc6pIGMGJAS9Jptaqh5nUOjMBzMDdva1CJBE8ic1LqkfMox8LVcAvti0DxWjWDE5uiSR/8Wk
tsz0DbS/G//0X6wKQdueYaOdfLXsTtNVAwMeo4SZlAXTOXPEe3Z06C9fTvs5JOQTywCD7aidy+KG
kcNfKZnL6+7IOHFBpEl3TSo/8TQewRmvynZAxTOTkgW9Do5dUd3FjG8M/bYjGCiH8Shvpy56MG9b
R4XTrD6IGYnj5AmiBdrh9A16Tg6WMbrXzfjCpDBefvhNxmlvKMpWTOFA0Ab0Kj5SttW4m4m7lO7N
YkcvFUic/6J13ye1zuuHFmwbU4FS5KcBfkkQZl/1uCWKIa/Xc7w8AE//kQ2XEWA3NNSbQbsTWyKv
KYOKNXI3jUPGSYQxVvBVaeOtnCexwDDvnlVPXyO59JxyFuecMLZk2j6adxUbWnapbGzHHx7mSNlo
nvY1pUTI81nsXdU5h5hyREVM5/yYtKXkVStmOeE7L8vX4VOshpjNnKuBBF3hC6/myG/fmH1ayXaX
fzu8ZQrn73R4kR26tOVxvJVvVjo2vmxisSuqVvxmKbDo4daYM7Sos6uhlzqKdFqZwWJAy31XRiMw
fe3Y+u1vwyTJWA5vsiLmbLx5sPHLUcMXq+qbVUxf8i3ySQnrJ8bfrfInnyEGxnb/9z9yRfIOzWAI
cr7XfftHDv6YJje6kd/LPVzfGiWPxgwTJLtCXOFs62fIpSxV/ZWFutZrBv1nBBiMbbBs/xOPUPf4
9QZgT5Qmu6vNCB80tf2SulODh5J92rXgHq3z7IZnccGo8p6PcuDkOISGfg7XtbEw5ZvegvI4SacD
Zoc+/E22heb/Sg/72vUAdPnmewnIrMCerS/ZdnburpQseo34u1qCDlUIcCnoy//Ja21E6n+5dkca
ZmSV4VOOaWGZQVy5P3V/919P2a2Wy1xFwZwXr8kEkVB90IrqS94tGenVRnTq1qyVA+KxZ4t6leeq
OzdEJ5rDK8s3+NGp+WxhGi/q+j2yoW/S08CnAEnzGnDnApQJhzVGm9KKHntzehsAUFdVtCpVA/ZJ
9cGPX02PHjrRy2Rp5yhUXjMr6Al0xQkUITupVhLUL5m2Lt442heBGIjxT3EsnvuVEU8huXCk1xbL
J561BrK1ft7L+1LC79GHp4FJEQb+H+iGbXopNxOxyP/Pmn4P6h0MPnmbfKh8gOOlP0N5U0vpiPp3
TbRF+vnm1dTBl+LTgxFhhBuVyvC92ZYBSKpt5Xv3IUG6N0VfS+H+qUhpjDahJYXmtK6+Nft2pqFS
exCV1PWBCYZXxIWwdcsxIktFmu/YTPa275M7+RVgs5QJnUNShNTfumcsE2GGc5hUCpr9TQsngUGO
DBMtWXf64aI4IxfeSoIvL+ZmRdsDNhusfGU3JyaRyMHIosz5Ux6OXIOflrdzixCtvCkl/e2m9s22
UDzlfuVNJGcHZ0Lb20jfNbqKsjyyZhFDAA6GGn7n74jqI1lIsyAD6Ll3Xek+20kNIIXPtMz2A6gH
k3ZUYxoezhInb60mZ21Gkny6yN1PU/zqxAw+cYVypdbCgvUMXScR+HrsLrRZJ3Vo91aOGuxQ/Nld
dSoJi109fAhVwPLct/hiYdqG4bDbqxU8Y5l6lDpyZtH9ovU4MHWkhvARUXARC//vELo/GPSrdZYD
21OgAQTA3Dd0BIgeYfip5z6YDFXJ38UXydl2XAb4VcTTGBaJ/Su4ZEyd5zynq1AR2/FNoTt+SIve
76g9DPEtzuBOekYh6CuioDyQk6o3j3DjwH736xoPlcC/aArI8ZWGg7iN0WIJlRk9IQdaiWtkvjzH
JbOuYfcrbs3w6DF4SOhEzeO1xHQtt9LgqsHVofPxJimVyrpKm7OiZdkcJSuV5KEt5kdFazaSn0lp
V5qhtOofbQal3WxdI0+mUMDoxjKovA6YQgKtWncrxRWZv24z5VV6NTnDWK2vv/8rEcv0Rev8VrCZ
0siTvqEUbmxbf0lCqpfUgqWFIIUR+VmDWgw1Uk1aDPJ/crGSvkjup/nbIRp/pVmnA2+QJq9tfgEA
/7x2L+Xp6j9p3P5JdCJc5q4BU0NyEBSKAf2EWxrra9GIoor0cqQzXWgzhCft3VLxXTJT37jXrtG1
DwzxfVJa1IMpwlBqkf4wRoeeRlh9puGuuF59VRDIEArJO2RzSVdZyDaJhyCJ21whMpBoobNUMW4h
ZRs1ywMp13U6o2P5dDtZA4Bu90U+QRoyshYpHJW2RlmYR1Bn+Z88nkVt903a76Q8fl1bafh4A4Du
ofy45ng8N9NfPrvxV+5TWokaGI1SCKYiZlMyYibD+7sW/Ow6X4+z8SI55DVpXCb3ZUov1yJDX/fv
UmhIoGNyKu9ZPlw+UZL/KQtv7KbbdzGdUAr40j6KEvU9zUv4Qbpbs4pupGwlT0xWzBPOQqRoeLL7
2gZ8aLJPWbN6Vl51oLbyOJN83NFH3et0TaXTOrZ5oLRUq4R/IUZbDELrXnlMc+V7GajsGe3T9ZED
Yn/tEwZJ/4tbBdiFedj5s7IXZ7lwRO0s+XbGNznc8hKD/UGmOgfJciXMkdMbKmi2EAZLwyp12fTR
8oskMhznZ/GKbk4ZafnuVfUzonEPfR/UlOrxevyuhiJS7xbP/pLQgAlxGoJYq0xq3d+6Er/FzD5L
iNlPy8vUMozZK1t4Iu+vXR6JDn0oXdPqN5a7kL5g7UgzhmFy+yBfb2j/PLg59ndgfWD36C6AOW9V
t7kN/Y4R2+4iDf5oApUbH6XTIlajtLsfaKPFb+uWtnFm/0GqhLLz5GRJebFSZighOoh2iGkoQebh
0VeHT4Fx+B7CO827PJ0mBvHFeZHforVLVla+yt/NOt7lxf9xdV7LjQNLtv0iRMCbVxK0ohHlpRdE
t1oN7woouK+/q9jn3JmYhzaSSIoEymRl7lx72quf3bVjaAkSD54z70XJltRvw/8AWTDtZdH3/Y6p
iTu1j3EyvYsi2dmVf6ghuRkKg/CqXlQlKevMuwUzgBEWGfXW1PfVxBHDL3Svz9ZucudvVY1Xk0v9
QGlxVFZj+SuDfIUL9ZOaY7VBjZ73gi3Et/q9rTQ3SRPQyoLAWAnk1OuqB6gzixJVFcrtaij+LZsI
fgc9flfvPJ2DSw9RayH3ri6+ukcG6q+N+t3qRZy6oIcj4kEob9Qmp5LDY1Njbi1oBQwodLfctuq3
SkF5jJB7uQN0TLFgosI5TWUgO8ZuE8lL0xShb2VoS8w/BaW5iHWtyE9JVHxWHL1oIdtTs4D/ayIx
zP7QN/cnQH2MwrukyjdRC8il8yfRljB1PNoMfcZT960yV4lFo9LKLqcD0QBiWmQ06jBe+je7pU2E
/KFKs98/gDC7TSt1XJaJlRlQwIsok3jWrkySvZD4nf5K0RrGTOhJLZ0spf3471/I1zfaU/8V373h
Wd0S9XM1LNS/ORTQxasviatuAUnvuaOK6JEqHJQ7jrJOOyo9jRpWSu2nlm8F2Oxa7ar+Lw3kLURN
9Ad92FfRt3uaKu4aQbXcqLVfLSHBYp16RD1qxxWw8zS/ebIr71tVRdX3VM1EVUddzboaTLClGiAz
t/fCflNZZ4jpW7XnqjXgfhoWev1poAzkuWq8ZKn7I4thu/jTQQmv1DDwnZzmYrlX43YpnBuwMxAb
fGIWdQMB4sAVavr4AEtlmw1cVLXpBcuuKMtDktefkf3NzX5V+0Ct9hk1iWhXSkJIp+FS2eusCnZq
Y1NHcPUL1WRRc6CjMU5y2eh+U1dYVTzUv+ohQRRsBJUQNb2VYE8pAKiSKLHAVmWBVbUlHUnUVe66
skALkohQo1cVzAyVqEyXD2Fb53S80dtNQZ1dgR+pEpDKZdrSvYgYcoUKkglZVeFiMIiRrJ9Buk+p
5n6rN6mWAuwOGCfOetGGs1viQjhpN3Ul1aeMXP/HdfRP3b/fQPXwOouomzhQcf7zdN1+sqA+qz3I
bUbEnedqGCE7VT9tEj+5hX+d2wbSpCpyjfegwYOssoyYilE3UVNTbTux06OiIxBp/qIQA//zlCFV
UBdVvU813Ec1HP2do7mv6sYN87UItBcnz0N6nDBdad5Zd9Way5mFpvLpRk1tRcLyXoq7L3Jqq/Q7
puu8Hjj3IJf7fRdukOwED7ETnnNUW7fK2fpKkFPLCcnsP/EGbM+wTeaTEonR7/FLyZOSKf/VCXpQ
0YQxNqTEEKWx1ppLGYWIQwlPbazq++pZrU6mp0IN56ryD+qMqTa+gm7UoM+epV3+VjvOZHqvprjn
f1QmRQW/yNhXeTa93JM1PGU0KrVMw5fiTtecd+zgYpxxDAe88EePjbf/LJDqKhiJ+LsGe/atYjJ1
ddUKSY0LX/HoGLXmnx5CCjL8+dNGO8f9dmkfs0x4JNTn1Ci9h3nkz5MUYAFVA1WiUiOW5ZoG1mil
ruh9XVKlji7uV9Gc3GtTStl0V0HlEUeSeHlSuXQV0wQ+sbG3xNsxqh5UNYHmse8xJdRuyuo5tf6q
VU3No84f3zv3SV3Y+81TQ3KxEiViUUWzpaaLX1b34Ey98/9ubthzvNo9hiOICXTtqGahilLuCxwF
PfXQxgoOVD8p6B0cx3tRIu/79scKpLTB+rAzev1XUjBztP6vESRPc4A5K7dNnTSU9N3s6EkV9UYl
v9R9MZeEgsq/cCcJ3EPt2Fv1kupP2VnIZ0mOAKxgcKqr2vn22Tfr8D77PPpsS1rsOEOou6Q+5n18
sVbRKQqX6Se2um2Wj/enqqePTFi99W4zTSVq7KkJUqqeUqPEWoMFnymlZc9B473cA8a0XalXVDnC
NPMPALLuJRs1I+9VcQe7BYC5EIe5Neo+gR74rUqmbVc/ek5BX2BwGF2NKJ86CDFUwE6pHqMN+fey
V6Wa3rU/BzL2BobxGdkqTqlEDqpjRv8rREudInF+pz7aKTndRi60aYmtjBGVIg+dhuqiQZ1L1d4P
Q5JLOf6J2ELxF+ZsVWMyqLxeavBo9p+B7dVl6RlZzJSfCu1013by1lV30+ruPW+zP8KPPu+v5TLi
aR2BzbnQXkIYxT7s182lcrDtqeZnB4ymPjS/A7mg6eOspZub2nIeaKL8tSj9b5S8N/ggUcjsiRPV
B4txUtZ6bZtuVO1S1dDVx78XJgP50Y0btUarL1VU8TIM+l1+siQDa+Sy4kb/EuTf1WpdLMVbYQL9
+7fbt7TrQph4ULKYe43Mjsm09c6zekEVDigJHqWa54hTnJp2agFS01Ftu0DXyTGVL6oAqh5Xg5Ar
bbQUpDLVRqIU5FZfb7TUP6ozg3qeOjGiet3nTYuTMHdeLX3pOH4G+A/4KCo5hqrKXwAWDuNP2BL1
j5qMKrbyi21biG93ymiDh3XGfVArhqRHQA1QpeXr871tYqPXwPj6z2Ki4gmlgXUgumZld/6vzEh9
mjKxbn3i3kuWaQV7yVuw7Jnuy6wjxFoO2WWas5//bulZ7H9OfN+wDYyyxJM1lphdcz5Llr8q1FDv
0iueY9k8q92FxNKeJNxOTQ/1MGznfhDes+eoB6q1wy+wGAhMhPlkAVQs0RXnlq1OibDUetPMftiN
rP+yoWeasm2K7zdxi5kWIeh7FNIs0zzWj5P78qV+k3oj5ujsc7QBthsAnHj+t6gSdMX1Z0lZdKzb
84RMtx/fa2P+S2r8k+vNCfxLnQpV2BekkF5kdu0DUqDqPkVJd+0sKKFqHTbpumCU6xHKeyGhYPNJ
OGNM+cB54x4UiXQ4QDjcqgqjWinUzcKT7A38sHozNJ/d4yDbN/44IIdk/FQhxlCCDVH3F1tgZhew
F0bKLs+dHtVwVH/uUic1yNUA9jSYLLEW9i1eXEQg6gF3yW8llSoJCj0JOaX2pY3qvaZXbDBJijK4
/pt2ENGCLUe2Ubdcxa2DJw+yn7b3qvSXFpcfqt6tdiOleYxPtWV+3N+WXcy/+iZ7cGk7LxyJ4JYr
BPz0z8qAK0atUG30qk5bqQw4ueVizptNw2RZUWiBRgnj/pRJHmrYC6dBK0fnvjxoseYdzEh7BHps
hn0cAcesNSiNQ2uvG7P9cRKnenQNGPiZfiibOrpgG0UPgIZjhVf5G+nBkQLXCMsV6Y1d/9KR9dw8
UWyrTIiN5+OEbAciC2Wul7t0tHGWMOddN6Jpi6sxO2iR0IBSy9W0VPENnDwjbXxMUJuRnfFBB29t
K26ONdJ4E4nsrGvjS2IZP05jaIfGLuAZIl/b1ElztPEiO0xRrqjDFnCjrvS3EyqUyXxAufch5MXk
A6xgHmG/gp3FJhuiQ1miRjTHJrkZY7fKPLjrmA7TKAa6NHFoU4uKwYYNzpvWgGOyPrtXO5rsB6OZ
UHFJ55oVmoKHB9vC6p/KaHC2VonIURcbJ2tMYBGZs+bAB6h15WkV0vf+yShNERpeADOQvhB68DGk
1cz6rRiEtVri/jMr6J4evWWfyNHglEpfCAf/CAbQtZusayfI8LhY6mxrFSJBcChCzCKn84w4pTaK
cOjaPwUUrKKZIbnpXGsMGEOgXfqKptMB0fQQWh3wmnIsx5Vo5gFMqE8F3cuO1kyx1rXrauNqibue
ManFkIZ1pac/1B3jV8sIwt6CLl8VrxBeQJlV1rUshkOezvYqwAcaDrT/ZATWyOPEt3SLC62EBqR5
Gi1Hw1w7hG/6MP+2/OmEWxWAvMTKNqZ41Shqp3n6IL1mWiM5OgH1fzWgEK6kP/JkGP2a4+7HNv1T
iQR3K1k+A70tVOa/Cr3W2+W5Lwjj6IOC02SwGsx8vtJ+1WO6PJdOg15Nb7vU32GFEMZNQR+OqS5X
wLS3XVq/Rar5xQIH0rb4VDAVrABKVOTL4rRE9GFqOusDzrfKsCShQ5ZMckedPACqnA05zc4L/bnL
oN1qGrFHnVxPoSHfz+JDbjFoCtgFyUxjo2EfusWcjkBjWaUL2rlNutCAEfxKht640LZNUmaO44Nk
BsTBEA72L8yU3W1PU6Dqdj8SrG2m37FcTj772Cq1JdqwRiAEM6e9LhxAYnVz8j1k25Ez69tIspiW
UQZHx1kwnai6o2cUxVbLIf9FrMirDJ7lRpH3vYgdSnMM6OJ6vdIs92NeiqtRT/Yxj9sNoBvaQtoG
UxQA48Zghsngjqsptl6wIgbZzCk5jWjaTDDhGLMJQBWVqoriJ2nJ/Zh6+nbQ6ZaIm3gtMsSZBlj9
pa2cDe5k4CQ6pPViHPAJFvuhLOu9bpTVyqnSiX7eJ921jV3KO6OzhOQj72LoQdyZ+jzvJkKtxRjp
lKpBN8tBZrvIGOYV4JHfy19TzB9gaXGP8GwcUqBHT5A0in7c0rDNUIPNbCqxmjWO28ZiuHhVthtj
5XCYo0RKdfNtpB1SNZrqtC0fxcKn9qzOW1Fuv+az3a3tAk9dDCpa+mXniLLiL22p6S6cn+ugQrqy
tNpWx+LbutXtjPtPgtlLOYFFaDNaE8V4KT3k+tEEISkQaBlTgzYAZTagN1UJ4NMwwmpqnO2ItDLp
C6TmFn40qDW3lfFpkyg/Rs6wGQr4ADOQ0XBx4hdDLjOyd7Nc2+lMKd9b/HXgmA8oROqDH3U036bj
th4MLIsAThgjtFhrwMrApwON4ZDHQj5noe4Eylt2ylZuO0HcxBbCboJhZfltEDaeQa4592rU6PSc
OJks4f3+DSLaoyR2TmXxZhVOvC9yidhgBrwwxPMxKb1wTESMTsy/NXSeWwLypMwgOs4F2fNG2tzk
NFi7Y4U754Ut01i5HtXFgj62lSGek0C/jCqRn0DdQcm70F+c0fMidZOaRhVC7x7DzjXe3Jb+8Jx9
n4xAlDQeExwjCrOyv4JWhxTpiOtYVm/GiHoAJxityMcNSJdnVxt8cNMJIGe3/Qv6GHp/E3zhc2iF
vXbxKJmzBcevlCCDdR71yB5xjcYEaA7AryOOPxvVt6N5W+pqWu/cNMH48zyGmgYwCdyNQ4u7+beO
cEaWLiiujhNC5Bi7hR0/zUwqvEOJcQOEoBo5CTH+/NBcGrRAL67nssD70x4pItaaGfT2zEUBaNvg
8oKyPQyGthXSfiULKBi1Uw8U7thm07Nxzrp6UxBUEgoE2Q7Q7XfS8Q5HaBZ2RSgbWN4mcIyzLDSK
XSTwNmlxc91+71uYs3rzo1kc+y5Nt3xsGvlM+SldBzu6Sv/qon6TzQ0yMUp77hT/Bg/UbET1VsbS
PDZlYR6lbeXr1tEpqOXTsZE+y80AsczB010DPDAx6cDU1uQNgKcEhbX1Hb85Vr61t6Zl3NFqfKsN
uiknDQSQC9KQzdIC/Ko7C55OINg5rK/GJJYHQv9gZU4trtSpbI/31wG8na8wcobWaHXveKR8VDZI
RpvW51Yan4YeL+FSAu7VDbDqNErphfyoRwoJ1M0GLFFhyRU1zZRdStm6CwTH08rC7OhlcmttO+bi
ARgFjUI4sTmpseuj/mWEcbhOiuKpkAXQT/VXYpntEQYPrXp5+9PahKNQF65ORyeKWZ6GLrMPdbt0
x0Bvu2Mn8itOi5AyOQDJDCC8zKntD3RM1dpxqrIGCK84OKgVViDGKSibCLVMKPibYtVyRigj61bk
y9r2OU8sbWvtPLfdmx7t/IYOoKLEJhvxTik290yHcBkKUcJy5RGf6u244S6TWVZXMS+TeqtZ+vO4
DNmGcJqdcBqp6lvSoKRe0dTrWnXP+S2qWa9yUDpBTaxo5CwPTX0Eu10fh9ohjURwVcwYZ+TjZK3M
xFubJnzHqcILsK5yTGjKB2+UEM8IEa1FfjsW4w0HipONaqkR7IVjDh+49hg6kf1W+LQXkJbeJha+
SYF2QSCDZHfaLl0UjovxUvqYS1VYuNUoA9QoGRqPY1dDqlQ4Xb7Rm5KCwrDAJzVW/WSGrBMEHEm9
auiMned82OR0s6x1G6zS8DdWVDH8S5It3a4XywIyCRi9LGRLg8N9Lr3G7EHfLvyHlT5DTky6Aoxw
R502tueVTRi7TjTMU2qVWxz90PL7UzaAvaq0B8sq4PZOHVS9LKcfJjoJa/7OloUmBll/uIQnXudv
tcxStDP2oSQ2rdDr0s2M5wQLoHNCCGwAlM2+tAIqymBwkbXux3AZ2YGlc43sr9TgDskguAhnsjee
IH2nUIz2vI40ApMCG6hGujgF4E9ZJscyw5hRfxMFbe6rmWl3NIcSNspUD0ANTfKj6/t3dfWj5v4o
R3K/vWxk9N3/W2S5BwxHPeDfE+7PTY2WvsnmNrpI8zTyXkVCuG4mjrrfFWIG9G3sGVU+7pdAeGtX
oV0sM3gxxukc4z/A/OcaTJhydpXoCM6JDXJprwENjOu2xyIjkN26g0ycsDXMVTZvdL0/yywmpzUh
jWmKXuIpSaIx63Y9mVBTrayBi8kSwT1qHWfcZGP1d0i9W2aW0UOcJDsM76BX+tFPPgePS/Cn7+l4
jHLd28ULXuk5sIapt6/s4tqqqk5JF7w0PnopgaIpXZp9z2aPFVuy72Mq7+Tmi425AC+pvSNbQWdU
22FAqVKNvYNvVPpR6Jm3mmNz0zfth79pAyg+TjYGxJVEOoVpPcSF/9nhQraiT7U7+lWwtrXI2wn/
NSYbsu6pM64GbCL3UsNVJ6HBxh6pAYPgx6568fbzQL9JhT8G7TTvDs66nIg9DpIC7vZEskg1tobG
YjunRWPxqmbjVCHQR+G5PLjtTs5B8+AZTrtRa/kcG8ka2zF9XUqDFT7UQF6u65ZqIZ1Qch3NVJNj
G5RS8dj5+FRIcD8Fnn6WUTx5wiigUYkfv9GuI/wquoX26diRQAZbPDjxU6e95B3GdINmhZaSgZla
beL0sZxIPJ0cPwjHtgJO3QtY5G2J4/Lgr8vGftNN0FxlJS6uoT+BRcfZq2TjX+zmSOvPezmPr23Z
f0RjCT20TI85/s0sMcjxoxkNhD2Jq9kS2i/qtA0F0YKYv/xoZjavsCap6r9GOoVektkbXUQw8Iu1
7tZZaAzjyQCpvYpqMqmgwB6nxiVYa7Fey1HiokhZF7oU6zlbXhsv4VroCoqWq8NFkwSb1hU7d0r7
o5nHV4/zH0orjWNaE89rp45+p/pyCPCTCgO9WNVacLH6qd9QjvvWxj7BExkM+2I6B21IQ1o+UJA3
WHQisQy1QvrraUlJFpKZ28baviJy2vet/xdTkqaIFmxVNcJUhLQN40G47Ueny2Dtj0aY2cZDkNXP
Y+cjECnAkJvdubGwEpym4bEb7VtQLdcG9tcq8rDfQEhDHmPTGTYWIR14CnIsiKadA2qDvdDbBg4T
QiR/VxbTFefsYzv3z8J0PtwgP/UDCDR4K2z97UPlWPxG37gNcEVNI6P6Ppzngq5OLAy1vnxwdeeM
IBDKoWhFGGf+I9nNFV53w6Nlyc+Y3N26IWtZRw5BAOxmMhbmRmpc+6hAFpqnbnUCqj/otxTDLjPj
dlO76SLxXWVYIgFtM1dGSRZgaLqHRf/y8PtNi/ok6uIiTN/ejkHcrdgl9+/mjEA0tXLJRIWc5gaH
pJnTjdsPQ4hTjkn+MQGdlA/8cteXjzjqYOr1R06jeaw1/FU7r/4oXXdt+KAfu/lZq3SK5Mz1VGAl
JDDkkHnMlkTiebVk8hHd/saugW7SEfvoa/4BoGm56Ub5YLjIGQfxoOc0/FRF9Iiz7sDHDrZa6m5y
0twrwzO0sI7xBfHM1ggXq3mvnO7WWQIxArYfVTlXlB+aUC+I5VrG95YX2dIAhLVEQqzq/TWM7Lmz
xaXN3L+m/R70BPgcMR4Blu2Dym83Ph34sLJPtuYEWykwjcxj44XV9brMLoAzsmUqBBuc7Jo6aOYo
tHCeFPkKrj/IxGH93uwjm1RG34Ckj7Yi7R4IqdwMIjjAlpZyOyISLAlD5DBilREcmiWLVYvLxKpP
AGxNBAMuS6Jp85GM/mlywFQmNk1B8Un0FqeJdN6iF0Wvp0EbFJ5xu9+vKKuJuygml83OVIfCKmg/
Wo29yOyuuEXtRcHm0fcihAe0Th0gZwaOWis9X8huWcW1q6IvDzf1pSneOhd5Sl4fDJp+dpx2uuP/
/KWRB/tfX95/0Dj6ts4GZy/Hsaq2fdZLnB4xCVjPo6kS782/76XkyB8WUaTkN9V/sWGK2AZVjijp
oLNNcyCO97/8athZQPz3mhvcWj2b9zZ3n6Q2SfDWrtFRHDtvrj+zQL+6evnS2gO6Pt89ZimwLYMm
k0eaRxPWk/mYVz4daz0WXZqdBJjxZsDuvajc5DAdA8uiHbd+j1OggSOmikQgARApKlmwbMhde3KH
q+h+sbQCeCoBdW1+aQnvA8zpN8M2PgpX32hdjeOPBw9zSKoDWNDiGD3RK1ZxJiF8AgCXrnECeMz6
Xn+27AuqFnwdxhru7dh8ZpaO0+gc7/Dqyw91lvhYrqyABU+7WU6A+GlEHHu742RbAOzzNjNcxxEz
qnU3VAVqRPOmB/1LVdZXXIToemjjvT5V/XpoNX0X9RLQr52eFzurNtCSKTgxY1cZOrzFNYoDsPUf
4oaDL+CfmI3Uwpg0y6rtJfG98xOZZbehZxXuVwpbTY9uQPFEmEzNldiM5u3YzEJwL84Kv0BPhUbX
LCrTMIvqs/L+UH4Cnl8/NjWsNOijphfdfFO7GSy56B8eZdzu6sk1VlM5v1HZExhkxeeg55Q5R6Ja
1b7xjeDjSzgfpUFMiPiXNyhPo8xo+Ob4n1U7vXc3mqhQGwTjjnpFuYa5qy3wxFvL+V4cqmH+HP+1
LOdcaPga0X+2MZDeEwxMz1r8A4H0tfJP3UieyQxIiblVdQim7gFodLHPnQ1YVuxhJJdtzMiZaCOt
ijbo9bTa6Oar79QPZQuF3GnJQjXOou3Ui5dOf0k6WM4qu4wlWnDq/P55bqlkdJANh9h/vtukJWn/
oFGmXvdwJOo+qdZNhIBBeREVPbFF0FnPk1NvAzhTB0vF+m2sbeYo3uajeHSy/pgZ5ZbarIYlBElA
qGjMfQw2tWn4dG1qkWln/AiE1qv79R2FRv+ai8mR5fbhwKqHO4X3UT43cXy0An3Ze64vSEOOJ10T
O0eOHzM1m63Vx7dY6tF60siTToAxV07T5CfHhPKd5saFsF4csczA8zZvcJXp+2Vf0Ja8aXjljQDZ
uBpkNG7NpZ5ObPw3HEHqnWyLEwTtJOwr4EV+ixW8HjkvMVn6ta5zctFK1iENoTORC7hoL6gwbQ8W
Mr8uti8I0R14/+UPyeYixCLTXGz/MifE/llSkpGbBf5DBg53kQb3GA9WvKykiV2wLbnkUfarqmdn
g4YZV1NqhDV07zZmZcKPKN92wTKtZmfwzz7bKuv2iAxAfdmaeSN3nGzIhMzn+yPu38+9gsN8U+JP
yYP1cFLW2jiFY4gJoFtnooXdpKULB4nWOXvzr6HF3tOsTPt8/wuqovPvf2Wn3Bex81rdv4dP5Uzf
kbj8n8eWC6Hi4Hf01lWuNof3H4u0bx9mqwCZ6MsO+RwvP8rgy679X7iNMlYy0OkTtpJnU/3v/iUC
4e7k4u94/+r+fagXPjbaJCForgHnygQhrb742fbf1/jKneokdg6z4ZjnOaC3Zok5b86DeZZmTAo4
9VqDFKGPS/b/fBMcD1CTvDQ392/en5xSMfGI446U+VzcJRQCyci146heOS4jMYfE/+5BrwpEkOoh
9+cyccZtlOAMUUo7OOekRtd6ZvuhV0s+YaZzgKnVTwYG7VGI7nD/gbWk0bl3EG6Yk3i8f+v+/CCw
v7Wkivf3r+7fbyPcYPB/McL7k5p6tLdYR2J5//9f1jbHA6CF/NIuQFtZxpMThF+8HEZZPwzKmKW3
ZzDE/DBFNA6iuB+fWMHbg6gkZ/C0iEJOyeVJi+Z9rrHMYW7WruXovODzvEtFwalPpzRQZ/UT5BVC
7ga0sSOaik49VLjoPrZ2BlsC2MZN74TYxhHtU4BFNTDPCxL0tAamPEC9zJNu30IfWUWoUda+UXwu
WKGOdocvB8krfJ7WjUb1fylwDjKTmwok84IoZciDTzfyHv2MhYV6ikjlA6nzQ4sZEuD7bhtPS4DN
yBB2Pl1pbRUxSdIT9e5RMZ0nvySjEZB6qAjYcfY4S7Un5xjVL6ZOAYeTDHPqSacyAqQk3uA9gXNt
cxx9sjBe5F2aWG6DKL2amnPJ5bAd2wXOTxGfTRfbHc167iMss/LW8tboUD4izKPoCqExuYtITrgt
0G+NllWczynxHMqYqF7Gy7XLc54lfHgHXf9uljCtDCA6KR1btkSpn/vvQ4q9qeE1h1IWO2uq9kFy
m4viIEet2PtOtHddPV43zkzPCqXg3rEuXtXvZd9/WIl/8Vp/xIq7O2KkqLNMsw5SbH/1EMMWmTiV
hfUetx5xPreTwxfaA95vPD1SBiQ07mndrpAXUnegAnzNJ2A+S8E5CqE/ue9yDwS/GsjbdPfi0WSc
AxhLNqegDffbtnC+6YAQWtNwpcjyqnkNxGjvDchDt4HXg6Cl5rDe9axlTjzDXG+vvdue0uaXVUDF
m/BlGNPQ93q59zLtjEOTCMs2fqzMX1mEQw0W8wmG8x4b9wRlVPn+Bh0QqInE7ioy8dpMjflNG9tX
WJkFvjBUiFqpDbSN6iHN9xyEm+rbY0QmlirAloML4jn98UsHB0lCKUza8BCsh59kNunCZQMUNTea
PkFODTr8ZtvfsFkf64QTUjCQh7Po0gkbmuB5IwiSArCpKalRhI1o2Po/XuNoq7hVrZyVjTpj2Vnt
FNZV2h4k6LKWOqgY2TYTRyWzg57087wdF7mrKOycXI1M0OC8zTY1elsDUDF0p15Lbr5MD6ZHOyzd
SNOsEL2m/oZ5zdXsi7AeZygq5YHSF1yD99qzcvR77TWOyy3l0YcBAMnKJy+1DSQ+oGVPrbDjSIxh
yvtUttSk8RLNX4xKPOG5phJFb37RpFtOv+hYO41jp49FRL5UZOiSUJ+N1144zxi6boU1HKOqpBQA
JDfDF60V5okKShAy56jra8jjcfEslmMJ7Rb3bAKGRuz9tqX/xcd5Q/SPXtbQlYSOmsV01zXj29RG
Ha0n04eRitDnJqInmLdePlAJn9aeH4DksGH/yf6rgPkLMTa5eDiNg5LUzlFjnWOw4p5R/nX69jS6
dsPZFkosVM10yOXasOhKN1yS453fYH0W0XZPggojOsfMqbbn+cm0W3AsteesDPJ7D7UNur5dvIuv
99dyNN+jftiB0m0PAHwoC9RfdMxAFm+MF7C41X58GZHs0m0AQlS5P9jWAmfbrd5yIm3dJ3k/ZTU0
G7bgWp5oiy3I3BB7OtKHOVvcOjK4mTsftIJ1JJkTeugUYb6u2+dF4KVEWY6GKnyHnW5hg3Y8+v3f
RmpYPpTCIwbglBFJCrdtvw2Um1/fXjI9DnN8/+Bugxhvbf/J9YOXjMouFd32Cj0fF7Dr0nYX9kPy
N9Aqd7nvPrcTVJ5mwYugjf/oSfbYCyoNgUHZ0Mc+S41evSQ9VuJIllKuzzoywBDbX4PSRQngta+k
JdB7kkeBCM6/W4oRmA0kpE6KYQ5Tbf7w6aMhj/6IkSj9OxgkrsA0EpBh3ZBFfpj3cC+dJwYVUgnc
VrLMXi2Ojus3rHMyqSRUAvs9NXoMaLqE/Bk+xKMxfDqib0MMJ3Ep9FIhVp5B2rMi8w2eaX6zcblO
6PTq+FXS4C+HWiceNRSLFhDQWJ21uyEZstAx0m3gBeeasuTKi9tXosKDZ1GKtd6UEGmOMSd2Xc/f
4KRHrVU8mnr9FbgMbOk+ItF+a632z7zQYaYtxb6Dp+GieN1ZxlMnkQqUX35WMvD76Zs83lnGm9rL
vgjwHuToHcY427jOyIZdxN4aFPazhzBoKbJnx8sLGpqpxuXzw9iDfWztjobIksUyH68wkr6K4qw3
+ctk/HZFjURkKA+x02CkYwDgaLfSIz+PTPZaxPbOhf+w4RWAfdjztmnSD9+o6HqPoRfTsBtwvHHi
XxRL94438xFMTJ36TL7LXpzqrEAkiUel71UPBgoLN9Y+k8B8w53y08kYHprCnmP9voKM/R5MQ4cK
gbsxJfp30+kfknMLomtYJvmqhF6CT8apwEG8NCfqVfMJbcURM2ea+J+rfMCxpZdvJHkBSKVvNjma
dZmZz5mTfbZoNbDopEedCrvIipst9KfapCMhIWRpOtg6YIlrbJOz5StqKHPyxg4SyvDomd9aRJ0t
pdaT2ARFjnjGHWje+OVXI9gxO9DwNVsLNlVEUDt3braFV+Kg0ou97sgPQNgUjqz5a3R7TlZV8RSZ
oidzTV6WLWw9oN7gWEwxXWdYkUo6mPKytN4myx9yUn+GQYLOALJetZh3tjPFdTyktn1qamt3GjaQ
nZ01CWfjoZKv82RcAo1d2hNcWbeXWD3zHz0vj9Iy3sbcfSnaiA4/54HwZJMvw5WSUn2J41NKNtCn
pBk5z0ILXPY57RpP2QsR8tmMW1J4gLLXY2M/zsxdsyJLj30GjqN/MTLtw06nZwrE+CiSa65rGb61
c6gNxfsE+3BVufp2irqTh0oclRlx5cipuJPuq+kwtcqZ8u0SKFvj0nmLK5BkdUFhmiafL/LQBwEA
3MorcbCW+nUh3TU1dbMfG7Dmtjjaic5i77xlWZaHhjlcBheAEj0UBFaompoZFkGa9CGkm7dm4Zze
JfNHjw9bMtTHhe1i6lKWx3gzjEW2JT398P+IOq/duJEoDT9RAcws3naTndSKLcmybgjbI7GYczE8
/X7ULrAYYOAZe0aJrDrnj7iv+10xB2IrYMcYhZoXzEVO2YjgarRDtkmiv6jGrNUjpq6YSjLMBoM4
/WTTMlsWJHbSpHQG/0dZ8pFJEoJXqhE2a4Y9b0KD2n/3+S/AMQKsIuSNdP1yh0x6IyEOxeTdk4zE
1Qc0x3MI8JHfryZ+dUNmnw025diBieNtWpIXx1ovdlP/yYXHGwa33FQ4IKzguTTkVznPkr0TMQOB
UcyuU/YG7fKtmAW2G2egs0SyzQuG68B+LQkSifv6nMoJgQRq7c7gYRfJsUyHA3jBM83H665acb05
Ot8PSfbfOrcwisvXNPwaLR0aPHg4B1b/7PXnLHOfDMeqQrJh6wj6jdw0l4SOGMnKfh0Yauo8eMx6
EAT+ChOjPdnGA5VhRdgsW31VVfqR7X7Npv2hbO9X3HrXrBvuxmr41E6DRBaXlauZzMb6M3P5ttqJ
iw8Q7YhjU4HjVDnAwiZc8hS9Hcvy4lls/UZhvpHeH+kqe1R+jXqswOHNFDwv1c1fS0QWG8EsZ7Yf
Q18LexJEPO77wR45JdjuKl+zopcTHuAvyi3fXdc5JTWNVBJRIJ6PJ6OPtyqMDe11nbPjFjBwBTGM
dvnSD+Y1XYjtm2L/ce2Wx7Ydm6szi98GNzU9kw8q4zFbdcFdhByTB/B31tv3RutRL0LXxzzqr3gM
3qVQUdapc7xU/6X2wrtNiO7I1Y7Jf+dzWETG1uUl2uE4ypwBO7gHl7xbCHfJqExgcJnJwDcgfCjR
a2JeZcJIHmL/HnbpH8pbZidYzfY/AMZ95Q/XuSyeTDG/2Zb+5GalLfiUWhZw7Yo/FbGEr9BPGrK4
BMRFbymaMbCTqN1yL+sJjiIhEtiwTn5ffnZeTlZZDswI3eALsu/rfD7oitI3MdwYVJ+Ldn0PkvYh
WOKTzGcCUIZDsaQDh6C+Q+cXISi8imayUegxSRlW+QtX1acdt8c4z41dZq5R7vLlo38ELO+oTYVL
NxoH3GPD2bqzGXAs1Gl3IZUJmUP+UmQmX2/yhrwwA3ijq4wA1ydzVKwaWIbiYjh7Juig480Aj/SG
BJmMGhOrhwvs6Pk3SgF3FD6Q4dqfDV38JzIinzsr4MNAakwrJfclcB7Vn2/UfiEU4ycibR/zWBEN
W4t5hyKJNqFLKtRrjBKBQMo75ds3ZypPbhNrkq/Xh2SwGSc6qoBE7FArCS+XFou408ynse8d6Nfq
1jgsF4vl155vdES4wFLOcbGto51OVDaTaWuHlXYIQgHqnTh6f76JqfBJGUf6xh2ZqgzLiGM+G5t1
fFMc+Att9zAbfYdfs+pEthFK8DMuWJfgkHM9fzwwqoHY0EMd2OYjVWAHO9ueWJW6O94mBllYeEap
e9eQN3ADXqdq+rDH+p9bDXCqnv1Ilg5H9rpCUTVkn9HTIwco4c3s3I3vtgdUWeYaRQTlnzAAMUGM
5aevPwMKvMhTg2Cj/Av5R+w8DuMTGMExCcYD9Q0vHhGMHFsGMCNhlCyMrCnZ9GAI/dSioQkp5DxN
4HP2KF9d1ef09v4qpROlgV0c8OHWOynYslJAQQfr/K4PmnPjjrd0duzIWv6xDLHvSUpkauQATDCV
Qu6IQlWE2uw4K8uH3iQrW0mKmmeTgOgeFWQHfR5nL+0C7T7Oj3VVRNOi/9GnxlzPXM7iQ7erg7eH
vPhlTt80SOmxt+RDkidQRhMNhIt5QlWJvbp5FhaA5mLKr0oRpN9jvdk5ySVJ1xsSGYtwm4YBkyyw
JnlLF/FXzWS8afsrL+hzjFGQzHRD0sXh7iruDKBKMHplOzuZgLKK7HOuneHoE89A1inzCX0/g0YN
JJa7VDj+sRpmBeKyfqyr/moXFCwVZ0xGCFO9aY/jOf/gzjskXfyqFBhw2Y4E6Gr/X+DqGz1Dhx5O
v01exkqUh+05cSqekXyJ6TfF4TGukMaij/8kq/W0sioWqn0yyKbbESD2RQBfSFE891g87mJdn501
+6BKiMZDdBHExCKQRP+nx5rTpFhD9H9cza1qQ38KnvvK+S69/KY48nZ6eWu3OEi7uKy9Oq907Hp1
BU7kkzg2NNFARc32m4Td0W6qzNP2grgKH4al5wLb+zfvPmG5LNFtKu9/1/Rgn3FdnhvDdXfOMP8W
RF/k8dfoL95u0FwpznQc8HCyBiNYaMzkE5odaWJdYrimtiMgqc1ScNp5Q4CM052EtOgK5V9wfPHM
b3fVGKevHplyTHXuw1B4BHyVJ2MlDboiw25OnEi3w1sxhfFgf1nb3ZBIqOo4XZ62s1OL9dbGfD6x
QJ/ZtKy21MKd2fg/PVmfzKVGwT7T2xoPF5KuuN/YVne+RoGj282VClde/y0X+eh6F0OktM23Zoxo
gyfcHJtfxBgZjVqPiwYmXDSz1dgTZJPk8o/TnOCU33Ru9YeCrT3AHmNVxNg1xIZQww5qNluUmipi
oPOyP/jFdOmp8eM4mI990b/KZApxJf2jyhXf6GsnI3eJzbPhl99eBX+bt3+KIM/ufTypaktBXVnp
79JK3EaORY59xq6xkH+WfJ/0xNnH021EpF5m6ZOQCIfrgZJwpftIxdfGEAitAS2PTbxALtYmIors
ldCnU2blihMRF3ah6Y4qKhTkZqJ/6VKwzTbjxUuwNg7jX2Nq/7YBXShpXn87/mwTfx+ak9nsIdrO
ARqOpG2OtVc2hwZyep8Vrj7JyqGJDWmFr6gSQGVJfsF4V23bytDcmVl7ksV8Lz3/HCApG1xZ4azI
Huj/OUD+Qa8tOHFre9l5TXEdjOxar8vDQjclD8zw4RPCmVc2cUMOlm7qyZyGHkJbZY9L9skoGu9c
uhe2B2XKgm/bj/GuOx++6e/bNnv2yGE3dC0h8SsLtjdyVLn1A7XcGhlVtJOMy+McLYBjZzsJbpac
Xgd/tHbECBZngrnQxlm0BpUdkpVuRsefuczH3a2vnnOj4OrjxALF5f2k2tREM1xoSnoZIKDEHXTQ
moKSCf2dYcBN1OOlat1q73KETUyFyYzylyo8wuhZY8PMqI9eOYU+Whsrm2g2G/2PwgyeR5y8WLif
m83WHCTEZRe8kkIEjwKEK1pEmkXZy6o86hfbOA2TYLhwP+KLcP14b9Q0BxoJPyRkwg7VXoQLj21N
aqXMvmT/4RUxViYxJ/R6+c/AaodA+LfKw0zaVhMVUEt2JR9hDjOPlYjsyU3j62YH6PujWHz/bNRb
kntECtxwT2B1VMoOFqy1nua8xj60OB81McwhQ/GDVVioYhj3MpfsC7ce/nNHPJpz28sdBegkhU/t
/Liimkdp/N9QBwsSdMI4XPbhdevXpOd6Ottuf2pqxqmkWONDj8R1An8D0Oqt/QweY1nxeeoMJjKn
eEfOPiszMoH4aW/nw5qXaZ0e6x54z2YgGcrxxMP51xleu7H7cLLihqwC2Rm+tnBO9fCwdbm40ov3
o8vp8sNyajYptI/UAt316FgPbamRoFAvKGsac832SKrVNlJI1FpvOt0cyXbo+gkis/Lc46fcIYt6
JdSPbNtunyNa64pfo+zSsLNtM+olPzxrDt5hAyV7KT+xKR+waFTqhfmOumJhODy8vDhj0xH9T9vH
OpaPniO4dPDbDXAYlc7fbHyWkcY0lrCEjdjoFZi/XSznOUmZP/MCfZujn4G2I6RHAeVfqPcMXSYh
JF/oozwIoSXUfkxB2ey6PKoEf9JGGMGrRch6fpFJemoNNbCATvFejCAWiZnvrVS6ezWOr2SYyJBK
8CIKzCa5KlmERH69lEX8tqLj2NPzFxxcMT+OwjGuCXej2rT7QWZcC+n614CDgLds/eVmvfm+5NQ5
UJxwWLBMnuxtiJ8d3l+AIA97R+9P0660a2bEWYAVmeK4KPM1mNJoEqiewECz0HI9aKgspR1XAh/4
LhBHMIsvXMl4Omna2oCBMSA+T2evWcypKpJkOAlRs/7k8/OMiqNoNOFHjnmjooKvegaIUZVB+XbV
JphTTIs7DAulZEiLeuCAkPbFnAU1eVutODQczm+tP2GgcHMk+GcMNMt2BWImugwOv3d3WfdQGgnT
+BqNnW9cmtT6Rrc5nns3AOWT7GRziqVCZPvcwYCX1AEvOQ+EOeAtqZfqwiJ1lUXs71yqlA9oESO3
oUN7yUq5J9/EDGmVPhZ20Z8H37qudl8dcvqpXRkfUaJSLYVFK5m8P83kN3vdjWcFbLjrDPCdxnH9
MOuNAjTJCJcgbo4GbcMEzA/7pbI+Er7RfCI0iqNOv2Hl2Vuadpg0w/PUpROhQLhFYpeUg03WX3re
X9CiQ7x2vynP2a82jWSIiICH8heR+PpkBlvuL7f29sKJwAfB5BumKotd2gRgCwiHzTLCLRg3A5YW
Xe/QfR446++kD7ljjsu2nLR3copvQ91SgyCDr9IYb3RxVVHgEy3vJPeFiTfOJRi3S0/jCsqPvyPk
4VnBXLoPTsSSYRQtK4fhAX8D3/14NU+sEXfSpptY5648z+g098oPkG9KLqqc9j5bErgH9YLkFelA
kTa834N9KIalOw0SG1/bi5MtCcUgvXNXkKa6a3JzT6oKP+iBIYyCt7ceXexiz3+mhROn/Qvk4OJ2
oqrZNmHoiAKxm+7OaejQQ5zu7acBtNmbiUNtOwBN6RT+0U/n3zQlJ/yMNSl3ngEWlAr0H7neRHs2
nwg2OyA6BlB+gtkhz1cuE56JgTbSXGUe0HVJQ7nDzjxZGBgLa4mI+U+eK+PDiuV33Vu08a4e+4WB
sHZeHOeerKzrYqJYMIb5JcYzl8+1exImqIKzIM3wPWs6ESD+QeC/ecByg0nQK3drc7UHlJUqXY0w
pr8erYd6II/A3a2xIKTe+KJvk7Eakt2YXfwrrS6oWX9JSxKOizY/4iTtKf4xI8t3qp3y4fo14fAi
QHA6Y1QL0bKHuLPviKd69kfQTmnO7Hj+O+n2y94oi5RJjh+pFhaZco9jEfjsdnMSuWs178xmvaEa
2uU2pEZcx8/KWVGW1UjbScrHFjQi0aUIy2bz741QGiSKV317LBaUSIyhoQlBeIz97AVpR4h4P/R8
UeyI/nj13SnY99WEdtFcn5B7Uvibsv3TRvVkN9arrc0XB+6QNMAvrIrUpanp7DTD3apsuGvumEtJ
A/00quIJvOp320lYvrkkj9hhMyBANd+KHYcjbkykW0t15xjpuzIzBFXecEkr9d2SIwTgCy/tKcLT
R/NrTpf/DDnuswG4d6xW+g0Z9WzdEo5c0fWtY4p3ZY1dIcYRdwnq6Wq7yXQkRPjVKD8c/AK1k9t7
SyFPygeyFdWM7BV1XYrWSr1VoqNkmqA4Rt1CEmfQU11hxe/+5AZM3FQqovJdvE8ljBn3fvbRT/Fw
lwjx37RUV9z2NaS5daImfQo9oppDN/aJ+y8ZY0AIQ3ByJoRV0ezs4klmDt4Lf5n3Fv2Wxak0Fu/s
ApH3lJxHWKnsvUT85AcOKuqGbPpVEeu2zmI/1wz49EVTiVtpxMa8D+WM3s0zwAJcTfXjbL8QRokw
mAydC40x0C5GTNRMRV6w355nRT4DzHBp8PO1tWFGqFXwUsYT41sVzDR8esiiiyO90fVisiap6eq0
+XiwHBxDvWngtV0vwjDLE/QJwCgeFhDP+rxOwDi1iikWqcB9ZUCyT5xh0Oy0g9nDL4/e9qzKQr2P
IwNZ4Ij8oOUsLvlg3ryS6PHJOYmkmC8zWGXkPRj91IQD/Mx+xWqZNoHPbEnwrKCfs5G8yXYR2twM
Rq/He0ykztHmsBao+7MGdGLA7K+fmBRe+mVknEiJSlBwE2BfwLtNz7xkGiIkqImHtVAYvjD00yw9
0hGQaqILQZP60cFPkLX0464CJ74z3zuUuULLoTWYJ8De3oY+rv+RTmkga17+TR27XzCiFOiF8b6m
Nno1m6/Uwlu78/CiMZHug2biJwg3bxkAumRBQR99FzOePBpXNSssFTiI0ndtLWsQu2bYisNpvs0q
TSEw6Ia5pqc1HfnfJSszV4+zsVe9uBie/6cD1zPJIbg6lXWOVdXeeyknu1Q9vigAu7DJUEBZuELG
Jo8j6XLPG3F2UvXYsFYbJ8MynmM3RtGQCBfz8cqQ0W/2nJ+/lVhooMwlRg1vnZ4gqya2URw87va3
nz/y86vamusLBTCIM3m4t98LGu///hQKMGZQsOSowj2RToqpbd/OQXHKYtLmjXSVoexRTjpD+Sp8
qtoQ9WiYJo9Yuty8tM2vpdROqDp/DhtpvMgKQtPuyEimHxX19fyvEk5wVy9XTj5WCpcg534YwtJF
UUNQIwhf67Y7f8a0hAAS0dLKdI2Hw+UrpdOrSZP7pvep7y26O2+rY+irNQT2bC9ZljxJWUx3M0xB
XTFQSd85IeIh2M44Kyx8b2ZZBAB3fhC6FdXZQ2x/ObgvpeOle6/HdOlOEoOA1lhB5rdhaWFQjc3y
jlbJxbp05uTbT62eaeQRYH6ei33L769B/lSrgf+H6M9Fh0WA7d6mZs78Egg9IiKTcfOWy5fyuulq
yeXDawJ17sQICTozyKYWiojMaDdPV4vRbcSq6m7JhumTNvzlVuG1cirbgK6XhFsZSofNOIBTQbkO
yfoF8q55QuRyyJv4iaDYw+q5L6NHOQOJkc9rqtmqJqdjYRV/3XhKjoajBhxIGXcDLbLBmJkoh4Du
bPBndiH/oAdO8DlDZI4X+H4mugrLq4MqIJjvA+Ewok3qUYzqD5l91QUtc3n5+ZUcLAmx6jfpMXOn
O891Avx7m93of39peJg82UZRd29P6s/vmBj8/+8PWZ2NxMolheLn0f15an/+4P//Yzolzy1BDYef
Z/f/n/AAu1Kxc/1HiQvufx/sdnvUl5HGhM1CaBzlKI4//w532tVM1m9Rol4sGSFYh/lbaVPFyzz6
ZrU8tm5ttvSFZ33Yppri3byiXaI+5dkKG0KqarGSSUwFe8hJxH1yE/kIKlK9UkgWpzCNrhvBOPT4
0NWfRoCK8wVXjB11t7caKgn0JKKUVuhazO5lMha197I5Uv5WR1ys300jRjAsiId1RY5ejPuuekzG
ZXlIAnxpLidBqIyanFlwvKX6tQwI6gaicTKRKSRDD/YkP3lcbSrac0azoZIveTb89qdbYRbsQStJ
f5WldtQeQ74qm0K5lk5qN/FvSlrjadPTSQl3SD0NvZlLS60knrjFuJQbaTN2Cnbf5VXInQsDarJY
B9KE3oIxbnHYIQqdu4M3lxX9xy+mkF+8ShbPFcEk+MLuvBE/URvbL5XplzQJjXUop+Bk0ZVDkDmj
vGCK9FxIQBQETFxgFNOEdV9Txg7fVDKFwQXsIcqjxI7j508LfhYVc0PKr0mVooFmdZxWyJVqBXWW
vX2Y7AFyAb3tvhUq3klSxXazLw4EgBvHbjlUaZo/BkvAlkadU1w1aGaK12Ko/izFWD5P+QkMipQJ
NMd3nja+yrbVTId4W3wvw6kIpqD5X1z7kv/KWkqkF30kh6UCRTcJwGukeWhKiAwsNumpnSsbRtM4
9+OkI9/x7vOqB+KJJZNeFYS1hpBztMHIoPVporACqxIisGWBFKjd7uTT+zH1KRdBnN/z8n9jTkIR
HWe/5nVYd232W64ctUCwXsA2NAb4H2S9FFgjuPx0xb6Er5Mzp8savAFGGsEFXYAa7Z026ucxsJGO
GQs9VhxRhHl9xWQz2B2i8UTLhzRpjL3THU3Te/Pkv9HoH62cMYUaO7kbejK9R1yljr2ci4qm9nQg
kAMQuyeWUhxNH/vODIrk+fikRwpCD+VtHvvf0ijrIw8mmb8QfXADSO4RQSHNScebn9rvmTm4odd3
f+Oc7aEMeHQNXzYPIM30gf+R9qx2g5EOp8RjjJ7ah3qZ8sgCqDlZ6g9H35ZNj8GJbwCiLliMhGLp
/I4Kg+Tkk1xo7hM/xjgwMfbY9nDlKn3EOKu25sqQsAB5yr3CCXsTOV8HXk8621Bf8kJWl59/XJFG
87mPm68NIkZ41oV0OOviFYt10Z5DZlnQ0WBD+H6+lEvUOPQSi9w9FmZaYDCaUMP0fHYTs9jFYSQ6
4dAhdWF4nPWsjvNSI6RCkYExl52ZPzcL54ThDFHbsPLJ5IjUUi84DaS3GN+1DdpsWdnBLHO4fJzP
2VHX6f08+AHCvZS5JnE/HEI3Dl1DomIQCCx7Jl+71KB3hMvpfd0wEnAKYpYlPeLnIzidTzI/DI1Y
5uGSe1jYWDbH4NT5pM80DWr/ohOhg3+WoIpgK+HxeSh0Ih5rrErLIKezMrL5EPR+eqh4HY7KBiho
Xl03AWbGuWrkWUIdXb2vOgwZQ+oy+3eTPJul8TmW+jHt1+m1EOJ3vqSfVjDEXITkmxRW8+gynDAJ
QoMLVT90nfdu5f4LlxrsB8xRWPgmsyljJzsxwzWmBxWOS/mKdvGcoSJ+SxKEGcmcHkECfzltUZ9a
l3PcCxS+NO37u4r8BahCTFVOOuyzFt+g6onwmTDITQt7vvoe8WKg9GPVzNrN7Jcyz5AhxTqU3mc4
UkhqXz5xTUGwmAEOiq7DbV4/EvhyyVp50p7nbc1Xdiip180lBtzlr1uOD4RaNHduy5fr+uMtqFP6
uLvpNVA1C4qjm0NcefYRTyX7F3k5HGWTfe0JkgEYIsos8XtSFefqWaEdTvzm0cj6Q7mKhraE5Lus
uO8JtT0yQtxsy0U7EJBAoxihRdB/U7oWkPGY3nK9XmZ7nKNszYBtlIWKI+goosZxJVZ58JqevPU5
vywZg4nduURC4uWCWH2FBMn4LII/FkkiHELde5tkyHRdqGg6BL3ebXE7ESoi5Gje5YKtssh1gkc1
XAq0bcTq4Fbys/Tk2vq32eOTEfYM512UJH84rzLPqy3S9zXojTuziQeS/l4qq1uRlejnUrvmrhAG
uoJlwLTDoD/khMcurC0uCX9cg+ahi70n5bTg66TSeWv2hbkP6VqKlUHqyLGnZ6sRf+wsCS3810uv
HhRBysbSE+VgsnY4zviG9dVbPcimGklirr/XKvhIp+EhyfpzS0l6UHV37To8+Bkv1ohRApcQ4Q1I
2+Hh2D+I43vGxN3tHT9fdrZbf1vWaQz6S2zlD5lLFM8KKRCOCSH1S31fxoMVLmsYeFqF6abYJIyH
Urj1KO2GIbVG1OWO1q1a1ueYFJes/LNCWFa21x3sGL1uTJp09pgHsQ7B5q55Aq6gGpz0Esfuvrb8
iCuXqIbRCXO5/F2t+nFO47tKWUU0ap+6FePBiJf+VIrlEW0qQWeq2YlJX33M0Ezx0HFkY2QIhxLJ
MkWVpgeyOFvEVqQYE53AfWbjFKPJt2NpP+xSA0ip/NpOxTsA6eZP9t4z0SRRP3YULTGn1g7GraXH
/ZqNz4UhCbvEF15lfCOVO71XBb4kWeRvuLmuZSrmKB6Xf8RX/TYt6zplcJsiM18SKOqQhrwPtyWq
xSLKZ+6NgxJuT0yvMHampsIjz63DTJw8xxo4Ro5dEu6BpAbzlFNetY/Lh2rwSiIMk3vAv/eU6SKl
OpM8tPHRqCO5OJv8q9hbXf6mQN72wCbXqtoclboL63p8LwHNccTbOzzVD3mfRAGOUrtrPpBDQ11w
cEcglAede+o8mSZ8c3GyasgKJPCjBw0X59CD2use8DV8MVa2GKanAqYTqLhyTTwnZIGNNh/bHW0N
z5U9Iq/vYuYliz+4T5jyG8qQKsf653a42WsOXz0O5Jonsb0bSCP9EUABVTrpw5yhW0S+RBxUj4RO
dZP5sMAAC1M9dnrERoQcMVpJaCcM0Txk2ebB6aokSua2xEdgqggLPY49jhLmOhOLLpUEoFF5uctp
uQbp78O6N5yzB7meGeyEa80ch+SF48Mwn2zV2Xdpm46HSlLUY9imz0m+GnD4UHmVMvE+Vym51D1X
jgSzwd0SJRMqCoGavZBnWY8oLt2C+dy0HrgfkTDEqAgEwBcoDK9TSqPWXAuUPen7bKAUFR0OH6bl
3eRzfAa4Ca2+fWzqR6Oa0yh2SrR9WYAKC8jZ7E9LoPgaKvMpMVBi+jqGUPBh8h0m4IDM6WFc5N6b
cX4Qecmjsdb7cRFfDVBQ1NDJ17bKp4YCZrzkcAhJgfww/fk2Zs6p3tIw2p5j2Eqs76ksvqekq/8S
LJ7ullo81KKeIVMuS59l+6D4JNOBgR3GYDfgZB3LCFoXhB1tJdvRPvUM467p1yYaMx1CFiPMdG5D
kNiXka02m2JQpNjZu2Xh7QvIsNREH7cQw4eufdfPBB0Z08/J4Uepbz66Ft/ZaknD3vKvs28D0BcT
mtyF/YwsAQb5VNZQviA9UMtsy53yo1YUH3axnnUDGIxzgwXrR0Go1K+VbILj7ImrFVjZOR2+M8fz
7pCKm2dVy+e4ibODHHDZqKk8yNk8Y5qJo9Vs8hANADG+Sx0iR0AIIArSH+1bGxT0C9f5wTaSv7ay
bm09M86hyb65JVFQZidQ3/6kCbVBDnGdI0e2S4gYXoehzruHec7uU7ah2vZnSvscuv1MkgHgepY1
vXqm4LEKJIonuZD0Y7rv9WIQ6pY6Yp93uF7jVIAVjQ9xorNDOduI6DuJRPWE25Mtkg+4L7Xd7oMO
gXf81m6B1r0Q7xQmljsQ5fcq3qQbqFgKaEKCN/RGax6qIkBJAiONiqlj7csUbF4fekylYc31z1ya
8hluH4pAoNPCi0Zx4tW0G+4Hq4tPQ+5+u+XrbAkoApIUOzBL4H1M+Wx8QVK/Aoh8+BUZVsm2aRH3
t8/dDysxaCBkAG9VE+VkU+wt9rWdVZj2nvTL3/aA2pC2hYPJD7rXHmKKdPxL8Bw5k32YZWQpzXGL
6pAlyOiGp7VMz2Xv3FLR/DKlctAKKaTrGUgQFX0O9geL9Lq1dQ4Z64xH+wsWB4QbLLFDuCAiuWQJ
h3kFkbs00Muy+l3lfLMDcnmM7pqRgbD65W/DoLm31wih2NoYPdQvAyXzRaTHjtRSAlgCMnvK5uza
3/YI51/UEE617fGeri2WymYOiUQ4TSWSD8eLHZBP7AF1YDw5eBBQEZdPYydVqAf7rquyF+UtzyRE
vdR4NXeu6D/KlJ1gRig6OJcltZKDaVi70SaZKyVUyNtKKgbntk1L2UwLaFLh0EtENkQyQETdxOal
r459a7b7rmzvBup1qR796DkoYt/FwZ4S/9T50ahIsk/tGjIMSHFMi1/dyH0mLIcJWbNI+0Rsc+9Q
r/KnUD8QVx4gUCg/KXb4rw30PQI2/NtD4J7i9p1HPqxXo75jQ5NsjwlJKMigBW0xsXprCuCzzSHI
OD/eqMy93z4fWrjZeKW+sNuRWl9VBNoiaU4HBg+e2c9kEl+ICkPE4t5RWO5vhRD21M2xTzwUKCAz
MnjAdMrbINjP861GVXkc8wm7S15/FIjmnIbpcGEMxxzrZYexlVspANUlquxDZ8H7Yurs2W6aT4Qg
smv+LD7GR02KiGqutYMYOLexQOW8VgN6cjM+LqlqDqZwrV07pUnYkAQQBPZlSs0nKDayAVcgdozy
GEtlVyP5JztiZpQaekB0d/ZAlX1QuTI7zKYH1YRltnXXL4cKndOAiU778xEn/ZdjiXelLKYrHTOT
WJpICKf8paZbbk04+zpVorzpIpPKnD35eV++C4XaEv2PvP19tkZyR6bub6WcO92W/zI8bYhuDmY3
45Vs91QH0jPD59tl/q8tjAu3hcXxWq4WeWWBRvC6osVlh4OZb8POfSk0eQxBRwFZQc0KQEy7YUqw
tkQj7nU2FWdgTe7zGEVpB6UGaacOcQ52RiDsMwVLqOia+Hce99jBq4VFGtsJdnOghAybA88Szxxi
mrn7pJvEhF9PftWA0HtCHO9NRGaRWjB1oIeAQptRmC5iOhhD+yIz2EVNxA7cXtrskOD/F2QJ7uUu
uZIs9t3J5CGnVAoTOoKmlcCyg9JQDN3shq7dQwmKesUgVYZp5f5DINcfFlfSbHwU7YoL2xmag5Fc
fx7hWeu3xh6vmeCYb7QP9AauPELeTCVKtc3u1DBuYaBp56cev5MUbFvtVF2qQL11lflvtGMEvzWW
vRFBMk5KViW/FaFtoCYT+KNhYptn5sRLhYuTLjY7JHfkb5qoTe/pcKr/LX08X4vmA9s5a7ibockZ
vAoGKI/Kesgf1ALtn1R+vffoYU1bdHwBR09fFAUeTBxoRplW+yJ+ESud6KzJqHtxeqOS/AZ+6fel
OWGdK4n1aNCWUHmMoA5IREwuy1mAynpYl/sVU8SpmH/r0nlaYzveJ1OsDu7o30H5IsH1vNs6s21N
zBIs3/UJHCHSA+uuA3eKhI2U4vnTmRCZKEEmn9s+Cz/3Ix4lJyJDaQ37op52Q1Y/TMX8MVWbnwsd
mbCbCEi0jUwSgUMl2a6txn6wWJJGw68eZ1t0JPmEk/6eau+5/R+uzms3ciRatl9EgJ7MV5V3Knn3
kpBpMelN0n/9WdRc3AOcF2G6W5hWVxXJnbEjVtjTk+k4h1gGzx64+9w1YeKFx9Q2ThGhnq3Xus5N
mq7CVMSMqvaqGSCOAgfFltU50dbpx+9Qh2QBf83Rfhqd+In5nH+uEx27Of1sWm4OtdE+ib49RB1i
mwi+5hCK7FCUXx5d0HkoZiZ4XlPd2C+5xXurU1bImtjkHrMicWO0L4ny2TcQykxDr/MO8jsTcW0f
LJsnmz8zPXrV6G214fFOEXH0Q+8zG3pzVwGoxHRAXVBwR0DibIFr3sQDx6EYg8iQpxbQhPLCC+md
p9pAxeEcuXNzsoC4TAdJMq+aYLMaRDSPnop/Asf5yZQ579Bh7HUSAKsZjYfO8gF1l7Wzimy8mIEk
1RfQkG6kkXnwTRISWdZ9CRuLoiz5iZCikbvnb3sk7cwDBEqcJ7f2OCmCoQTnjNHcJz05blLV+ZrD
ED+PMK6FTEzGujl90H6ePhl0XgbTADjjMAymf0LN4KJb9czYZ1lWH+HUtYfYK6Y7CyeVVCLbZEp8
+9FHXztsTW48craHbMBXrAcQZlbgrmZ/+BX+VhcV1lMjP2L3QmmbnHyFykHwTM600Qj5JOeQBpDx
zrHy5NEpOR/JmlD7nGe8NSAyEAfMYhP2wGNUSr9shY6fEaDhdPwaqQhPSqDTg5e5rBJHlTPWcmDB
zGRtPIGMGen5NyL80UYThWkrnmF4cTyPKVmzdGkkh/4w+QTPoA5WhihBvDwFUBT4xK1K+wQPFEaP
X1P0J+tH2+IiL3L7VBYVnRWIy3NY3zaQLKXPmK5fgOzzyFJwY22P6ZpVEGSvgGSo8z7HucTSBTPD
LBGWtB2eWJeb+8LUJ6nz4iIkTpupNL11YSDZDWlXHSkhXUGIxrnjMNCCLFnVOXnaIM9QDvtXfwyf
hFdDsqLmjRhR/GXKgdRSX0AB4FMVNjlmJe1Eu7HCkymi4zAGJaUp5S6t6yXM5/xiAuQYyLIT0nIE
XWkJikfDW5jjuKCbG1N+VXNYDTRo3cUCYmXcJertyJHyrBLH2s+rxiuSc2qbLyHGupugymOeIna7
9otk36dBvm6dAvZg671Of6mjqCSHz4JzdnHmELcEzczBCpXd3PiBQEnU9X7MicuUAYPpROLTzLDg
B8MGL7JH3Dx5IrbNsbkhm1QXB1AJD5WA5RFpAGkA514tZ2Cul4jr7OMxyeRhe/Nbo5Ph4hoJ/0jB
FifjIOcI6ga5Gm5iqQ5dX/lrGNZ4/ursFMIq3WvcPti0VQ4x0j7rTuUAXnUMONfZsdVhlhw7zv4v
eQmfBKL9sShQldIOziIpbdS4BVswy2w1qiS8MTP57hgD72cVvkeCnEWbN4pcvpwRMMwPVdruOuyL
S9wEJ9B2Pno8kgqzc/uUYhh89NLNELtomQ3bVFFycMZs+GsbODZ5YDO6J7lHcF3G7xMVbInZ35e9
c7br+YRT4r3PHJrUcg8UNU8mXMXcmDTOzpRcOyC1h7mbhp3UBzdROI369ynApeKGcth4LK08g5co
rSv6Tueg20TRdO+5dbgaCAEgAO/rpiVh4vUv+Oq/ZwDjnBjI4wYGCh5LP4aC2Nm2nRMeaaXJWLfG
5zDS5Cp43BSxleJ1E0eWoP6uoE9MRom5ScKUZUEKcUgzLZ/SsXgD8rOxsGcdMGAcg8YL7vv+aewp
bs9TcYfpHph2C7NPTHpXxF1xZT140WXzJiWKSKnTfJO381NYEfaaG2+6QRxiuz6O/sGdGCMwIe9j
zDerZV+MtdrrkhCe6QjxI8KrR/nvpdeEBxxVrihiTk9gF74CUU7H3rWnlW3gS2Z8o+WkUN566kKb
ZVG9102szk0ynSLfGI+JD0rSMdjWeJ65tzvCKFVpwD8XOMMikZzyctIUTfBJxN5prYRbk04p8DCY
2Y4tzEM7zG98tMa9lVjHqLGLndNyiMjdxLq0DisJhZP5Jg1Y78Oh+W5rnLGmw+BQFA8WpqUj0b5s
j1ETuJi9LCojMINIak5kM7zEPVLbNGvYHeAz0sB+0XBbOxeWAlw2zYaRyaPGUFf0I2E8WF6cuJ14
3Wewvzx3cahhxYvRYCDuLBUAoUk8smYNPcUL16lbhQ0r3woXdEDJqTMZiiVN7p7c4WtISPmniHds
Nd37rNF7lfN/dPUldOltYn2Z8GHAeNIHWCUCFNh9iy94g4F9y+xTnaqa1I+Q6VvujnyMHYqCIUHE
25hzJTLKeMwjpPoBcxN35vewnd8rz9e7vA1/DQBOcJ/dcptYwUnlPK7Zn61hvMHCzslkel9VTDAm
FOBki1qdB9ek6RdVAjwGVNyOxRmu0wDdzp3z7ZjyswLnCm6LDJramDT3DRo0AQQb2b2fl5OEwn2A
n/deDVD7RevTBlq6p6xB/sWHzUmzg3hMGIpejjg/1kHinCj/cbwENEabfjvJpK62jwLd5sg8NfPU
Wk/ctDWt5DtRVATtKl5LHGL+qRrEIoPR9wOFCYJi6iJFTrvKL/C8Qi7nZogtL9G00kTxQUet+k58
JvHOu+1k5AJxEac5MnERB8XCu4M6LmkMFPakbpKWTBurDpJjzM+ofba//REtVmmCeXDxMXKaKU8m
Np1lUn+2IkxpP8d4HuDndLod2wZEjtb5dqotWPUZFSN9jyz7Y+pNxfhUs6ZVJAKKcG/M/X2aQGTX
gf0+md28qSX3dDKsW49BkGwCqkU6uu+CzBvdCNFL3dUgja3ugdEV2EmyQJcGioAk19fQp4wvqf3E
u+3zMogTD9iVO8satjoP1YnkWmeXEJdicNoEWtetoMQg8fEFBIKp29ewADqeAjZZ5o1OnadS8eH2
ehsaUw9ObwKwVrsgN8HifcG2upsM/3dyc+OogzSBcsPPlNHnzhFQeWfPCj/8Mt43dS83ykvslYGA
PPEZWXulWpShOt/2lf6KJ3PtLIffbOBooT31VGtBx6KHj4l5ZYsBqkUtNSw2odZ6NJSzjQn+Ymsy
4Cuw367AdpynsPsyQCsRg/TXQQ9KR0fdXo7cHWPsi1qzyhWF8du11UXByN/hrb1GpTOuu1HAWizy
uxD4GuxE+qY4LItxstdRWlOHTIsEW5pa7CxCZXHTJpxk1c+MlaabzOGaxuGqTtJ6i57xFcqwXMU2
Z9ymRZFyssTBarhNO9LQJLu6YwqzhuGoZRVV918B1VGnxnXuptAfVoCjNoRJeMoYXH6cGL5o6z02
FgQN0iYmUOwOCqXKSIl35s6OpmKb2P4JCtm1lAAPc9HBpYObEIbtzh48e5VLUBHwVMG8dZpXMcme
qtkvN9yH79vSuC52Wz/iKekOCIWjH/1Dh81bWBuW9zwUDaMoy6xiEOrooYBSh802kfyvhQWindAI
BkL7bn0XozzvC+75sxf+WHgCwbgFO3qgMOMJIO25xD3MIpgwRwBgM6AhIjKHU+nRIszmFzzejM0/
Fa+T8uIz/4aBoHOYcCGtk9gJDsmEBcqNwSb4+cUEJ7wnbXDXSd885Xb4jGmWEIc7cB0igLnJMS2d
M1FKTsf0/dV9iZk/Yo0vgnObV+fBcv11D/6RYBpJW78q4Bqg4pRBPvEiWLeeYIdJan6UnEwS6r5r
rz/WOBlFshwpo868reYI5bkcPmOwAy9eymEntyFIK4pDRiKq6xAXrTmUZFM9PW7gby9xLYZ8LvZV
Q+4f2cNfpChIb9C4uQku5soGz4tiQGfHa14XAusJrVTc1BJDQMKTbifEuBmb8G0Y03HDcf4+qhkk
hWweRq/55LgM9ckOmO+r29AAwKN0+RSKgDc0IW2jHq2ixHlomFsBKIE3F+29oMHA7bFwBPQHuBZv
cN7V1xkn91orNHZsn4+FGXBFuuMvzBwqCGdahj1SHpjfF/cFJrak2tb0YjkJKy3tQGNou4s19yB7
gIZZcfQkLHHxrTDY9yrYi2F+7EGgotqHZGmV/tE43xGDGmubwqJOu/Ej4QhySYIE6Zj57tB51QFE
0hWD9LAZqhB8OVyFOua2Nuf6jFgx3CgxX+vKTdbN7P6KsXySS3AZXSBfIDxXbXpfTT+urCl7Hbr0
PfCUf6POueQdCY34t7MnojlLB7xrXBplvJjD/EwUNt2O4zKglwjyrsKGEdkP9gQDKPaqH2D3IRul
btMazR1TCXTcJbip9XDufN4A7I6vQc0h1+oPLtsilBM+jK+j6vf2kHqrKcM1z+aZSnh+mD5smBA8
Cpbp6DCj9FoDRjcq8wG1q/HZzQbDYcxsaivVtCO8ziaFGlzUz9NYfdiW0jvq59wVtZ/9jSwIktSO
U5161DDJ27sBePulROCsupYI0zj03Nh5tKtG4AuC9r6xQw3jkeUXa9vPjFdSp95rU29NhUDghkRL
2wKAeVkRDyhTootzU3HQ6IFz53dVb/y2RmZupsps96Wrnlvf706YflBy5ckIvI0RCzahkzcQG6/v
CWfSkNEQx9m1C8txWF4L5vmAaqEw8tLDHLgE5Mk1WTZl8vhI6ADFJErq7iB5vtwkGfRlK/XQkaJm
Wy7tR9kEQiJhGx1FNoeO7OpY/ZYrIcBSa9KD4ZpX1c/cxJo02S36bqg9TiNfY4a5eyZsfSNvvcBp
dy6SA0dna963hn7A7M/Dq5M4BiYaZAALr2QTQJZjbvRtHnyj7k6ZjizaavXPkM9Xr54Up4C3VFXl
Rdj4/43sTnjpLYsOyll5LOFmfbL6EK3ZvHUlG4SUPvhtRveLU541qa85sXcpJ5k+qbCwOdWqYHA1
AjLZTucfA6UfemCrtQTw4HfVc1r2r1njzFvLxedrVC+Vj9HMyT6MEZiLW722ATr0PHZ7yJCmgDhX
uQh3ZSXwg5X7OWnxW1HmjcwxjukmHK86mymnBTXeWgHEUoUAvgREE9kSHo3VU4hDhEw0tiLkC+6l
n0h1nM7HseXozjOwCIE8h+yzjHPXWb++6DYAF3MkrOopCfjAsxXeIIh9hz75IAzaeSnfjAVJlurp
MNk9vSwDPSjEmfHHSf7hwo3dNemlE9aWySpavHdqM4z1azFBtMiz/hXPDlQyucNXuk/5FibaDh4U
NUWsQHHyp37ANi2r/I3oeALIhM9cZqUzPzbLYNt3+LYy2jYay23gXaEKrNtwZ1Xi3MZA2YzQOn/g
Oy9XdkgbTVSn5GdmPtnF4oAg2cF9ovkosaPHJE9WLCFxdsruLi3EfTja5t4q3qUcKYk3Hn1WVVWG
ip+m1ZfjJCNHZrwDw2glq057zB/98NkVI7OMPz10LF/SShBkScd/dtA9mPiJesskTR/H1e0w8C5b
nHhWQeD94kmDg4C6WKQ1bAwrulh+X2yKJLijm8FDBjGPaRjBFSQthBjscIFGhT+tEnJosCmPU14y
RUr36Ppil80gyVNsA6zjfmFavWspz2ixnGBwsswceCBgEhrkYDJLBLZWnqnlejVT19gFZvNlu+mW
TqK1Lx7DbixXQV48D0tI1vMKrja/3I2S3HCqfzKfi7SnvQwMwGvhPoxxeTQYOm7s2fow49g9NE5K
xYSNnusRznXrF0LCdDLVdKUVolj3lIMhddg3sXHyHLwXaCqvdQKKvm4LblhfOkIEh4x+NdOHfub+
ERNQvTHKifx9DyZRYR6J1buTtC9+Wa9LqrnTggd3wGR3k4y0c8UhQnx/NeJTkI82o86U7UvzAubl
qirvfZw0BZleQwa0fCpH74scwKdhMdJlxJkBzgHU18ubmnTRU2QJmEZbVXLWALjwmZVZDLyrIdIY
5092T2uIJraUTJZ1jfpoHxQYz5uEnIqzkFKqgliGR/yojaInVRIim9wA6RzAHpvrJ9uiHM1OqYxI
8FTMfvFM7m95ed5MLrjDkAaIZfMSCanRxVt5KcP0t+1be9O5MuLS9rblq5Fg8DHijg0dxPHehlld
MXOE2J2K2fnxkIJo2iQpYeXvEdR5Qxk/nTMc6TPqceein5Mp3sgqvhU+i805uAFHHfy9h+DQ7pTX
Dqf2vR8bj7szWjqKIvaj9C6csgedmogG2OTtOt04LTpPltOGZc23Gffo1aTag9Vbz8iIiE/OfK68
fqckOmMQsozEUWPl89pmSXNTR325ziyEx4iPQtkRiA/8i1f3DAhjw2mlvtqUEWYungheu8Q96rra
+li4u5xlEPs2TMbtyOrD/JrlP6A/jEeirUkJ/AAveHIoDto2TXXAsLiKBxdImL/P5wwNQNW3lEIQ
M7eae0f5h0V1iH04+gUjZt11t6zK+KB1DBsq/xe07mVql/6LojuEnE+dcOWa9UXjCi8jmwKwNtgP
3a01+LfT7Owag2EFZMENpXCYZzSNIlV5W/rlNbcmkqQSSH4v7+bU52CDJxaDMqxszzmqRSMM2n0f
4NGzLapH4sWaVNS804Fl/5sU1k47IFibbsY8fvez+Qr5Y6N9rK6WqLhMIF7WnF7YKfk3fcv5wmM3
YqXMKoAheDQ62PXa19jE8tc4JB8ITN44+AKJeg4PGVzxwgXKtlyE0pivhkn3FTKKKbsjEGKBb2zc
dyzqssi+Mif1PNMHj8iVONeS62xe/BUxIq9b41fARmRF9pHj9hU2HPC97rERjE2o8T9DU7Wb2WF/
qZHxN6nfblpzuoY2xrox4ZxEBmklneint+hXmMdVDFskxr9kT/ibWIJe4bisdE1fRj92cHjvemyh
1J5YnDjAS7ixyap7/nVmI2efNaXrvOwocGqLj8T16DG3v1Qjn6U8MUdRGSxAHdJc5JgIcYDT59w6
6ZQXwFUPoxnwTDZwuErTeZ5kf7DK3573g50Ndz1jzj8yW++7ajFG+7O7RaRnORrFPYbrlAqXrr04
2qbdwge1larxm7+JXT/9joJFxJD0zrF2KafoqmhPbdeKwuph0zv8rWmlV7SIRPuu490JSo6QlTwN
ixWKECYOBRreaZPaWYi0FBZerCW4a6KE2UkK5i0U92bPiFZHn6pjSKQ/kJYH3/nF5L/3qwh7G3+B
ISDxdA7A9qVuAGyUBZ0h1uATPAJDE6knL0VasuwdKAMrc4DONmDnU9cj3aL8E6WPL0tKq1an8q+/
qxYHGQu9BUXAyjgtWeni59tj9zkbDT05Tmg9k2QctwnB2ElSUJRV6m4chbUqupm5nYa8lRzyrwGt
ah3l6GXUYq6tZnF1LQBjA87EjbbwWZtV9UaewzyG7FLMkVKxjlF143aquKD9zw5lK1qXH5U52Af2
LwqLFigBHOET+wg/o3K38Y+5MvWltXV7pNtrF2CKvdgSvkGhzSVIsvxpBslwtXxo972Oi6M26uL4
33+9M0CrY8/pAzoNv/v3hZ+kRb93/HVlVGDeXvhgcxabfWh/mfFSFkb23tFzC264NB4MSTayp1H7
EgRU0cxVw3IDXXWo/IkHAM/PJeb7MLB+WqWZMt5Mrd8iw4l+iesgkM8RCc80vbc1OCxTOwSGGSPd
rE1fCg5l60Q03Z1Zt/ku4p+F7sQnHJKO5J+beDsKE6EwxBbrgRYRZK4TG1ubPZ7Cqv1/X5I0HU9/
vxf1J9aQ4fHvz5IyfCwxs+/+z7f//aHXFeFRNef//b+EPNZPxKmJi09Ck9FrufFhbyhYjp6Y5mGS
/f8vVueDmAmLvetkzqnvQ/u/L/7yS52lGV5Rznsosq/5QEXW3+//fW80RCFaeyjeVF/ZuLC6+6kh
2Wg4d8JgiyKr6RDCTth1BbBFcKEjb+kM3EqHHNwgGirORTz6czi5kg4Ey2Z5P8/eMa4z/9ia9pdw
+eTFOFSOigMrRj84nceyQSHLyI6sKzqLPfBTFLpgp18iBPScFce//7L+SxSIdQCoaQ98Sh+V5ejj
RL7g+PfLvGmzPfIskLFcH4flO2rBvTuY6f9KAj3yTFasK8qUx8WIbyWU5OwyVo+Tfz9JMh1YyBR5
JFufBv1L8b08zW27XEOUgDn8IKK81KWGfRfGYJ5hV0An0rre9ARaySN1xnE2lQHSVTvG8b8vy76/
tWPzBpq+POZDZvz3pY40IkHeYTol6IS+x2bm71vS5VvMxbI108crHA8yNylIBqM/u94KWI3a5d10
mJFbjh4F7eXolKdigMLYdWfD/K1MqznGucGSzse8ZY3BEZccz94Wb7q0ouasuc8eCqPYlsT+j7jc
UBNYnpfTJ7nifjupv6qVFn/LbLHOETesXhTbEjQDYxQ8SZLsYpkhm+MDOOyYzAm9B5JAjy9tXmn/
hJ42gOIH++n39dr1LWddDSlRygDF1LTmJ6Q1PKqe/mTONS8UWgmN8K5G9cGdIlyhK4lTzBEpqvCt
jtUENsWhMKICKUQjRbxKBw8rNn7ktev6S0KEHlxtb1wTJEeVAZewpgbhojFvxpZSdO0hwrHfPwVl
HZ9M6pBXCl+OFa7KpuTpWEMJXeiTIfY97KREyLvskW5dY14InP64rayO4wDlfEi54bDiR6Ro418p
RXHwB6DXFf4tt6FirWyfkZfOzCMgu2HTSGyoa0WTJZzpedyU8jkW3nuSy31Z1G+1c6qp5xj9FFoV
9RsFBzuO6sYWTtlNn/xTkiMcJMaCwy5sCPFRDPW+rbzjWBGrcAoCXqMrzznQ9kjH9jk3EvZHQh4q
XQAcIlPZPXGf602Erm646xz7h01lt2aS37FAVlyrRbeCJPIcWHDnidLwE7JyqBp6JyMmz4bFUx0G
a6so6MFuH0UkPoF2p5ugjq9oJBGZlvc8DiX9dvGqMsBctsNOpHm39JHtYt51bAjevYfdXZXRsWzF
rXLok8VQyLRQrkU/wAMuCdVVrb9uVHZfO+1t2Du/ilscej3IOjNGuYLKTaW7ucfuWcESD0u/WEUi
f5iK3tu15bTVXvyg/UWQzsNN7MhLMlb22g6PPChuu1o/GqXob2wN4i637wk4vNi+9xguhXNLFwAa
IQMi6cGe1DKPUXyRBpUhirbzOYLjV0EQJia2GcKvjMMkFBW3yl/9pfUck3SAxKkKYllT20OClL+l
ACHr2iyMmIqy8K3K61dhJK9AubAkUu3L0NBaziPEV5502XfC+8haynnDCY7QNjDg29CKb0Yb9v3o
hvfJwP+saDE2OT18IdjFxiZdnppjRQDe8RDc8ELoKL+vgv6bodu5MV+t1MFCTp1lNJjpLkWLkCaY
iSnhEdtTfuNm3yU7pDRVv8OsxCEv9bY15NNcQuXN3U3HCvZCvKCEAnfI6mIftMErdWhsDSIOF1oy
pkyIgeHw0yUzRQ8CeVKWVwsmJK5tcg6xvGfjU3NQIc9eGizhfTI0BlAlBjjLoSnRO9QRdvsml7fS
bqm7xd+4c1z2BCHLswTGWK/ABIyJz07RYCuNk44lo9H07/Ri8RmwV37hwhiL3U0+JFfM+yBMzU+z
BSXTCvtbxdi+Gkx24EJmFpye+yaoQEWiAd9KufDGLcof1+mMjUk/duVzZwLIlMPqKt5ts4OE6x+b
rgR1mXPWbJwH4ts4IDP40S7zXtpO2zAkghjO/Re+9DPm9WEpEyURBXwxyyMPCCFoF40Luc49GMSz
/u5m85sNRrRRrUDrYdnHlpkpe+Iwx/p0xUqc/+hZWthKq5WTR28NDNtupDaxsl3Mgvn0PvX+g4tK
y+EkP/YJjkkhcwagQWBEHDN8yHP7XZY6Ow6BvG04lkuSqgeZtyB+ZrFJ+b+xAJs/ihHpOp/zAdkv
vMdxCNNvqK6kQod1Joovm6cnbwMvaGMx93gWT4rUfPHDmbRaYL2oWm/MNrptRfXUW4a/Tcvz4Iho
1zVQdDBebWJfc7TA2NZ0u7ks0Xsr9peI1HE8slu0Dy6BGTfSD/70aHbtyc/SH9x9uG5yzJ7t8MyO
4FAkUDNG6y6rp2YVL4hMNw9okJydvdOXnwEUCN+LtpOzj+zhUrRzdAcRH+CfHQAeQjqCh0/uisJa
xjjlulcnYpVQhZsxSo51sdRhj3KfWuG4TQXOgHxgPwsQjYYweKEQXy+zhsfVFiAL/KHGQRPoVWZj
SZyT+RhIjIZVDGTDJAY1qPgFkynkpkkmR1wYe1Pb9zq9ApBqngkwj49AN8DmhDN3a0gj5aAURnla
Q8EHOaZXbIFHAH9tzYuFI5WzHQTsOqvvi1jkV1Fx0HTaBppat6YCh271SYQsP4v+0Jfc1IMqokGc
3DWpLXH9+9J8sOwIVi3J6VqU1nnuFcbqGviNIyrzmjgRbtdQIWeRjC9l9yA/yRuf2owyGi/3eOlm
iabEm5lH5ipxHrE4sJXJmAVlG5wLZgm57PppNcGznxTDyqI3gSAH86BlkMaUQAzG4SOK3fHcVBXo
yYYNDS/bLie3jW8Ddwq+AbZf2RNQN/MMfpyNbzLs0TkBNLiSxvr+PDDYw+m1GcScadtQIhfyI7il
iQ5QIFq6dtHdZUrj5pQdF5eVbHp/6u7+fj+IaIyp7BbZT3R3ZLL1WvmYmDJFpCSiMH4rjSsA7fhu
KkJ1PyxfEKPPqqYT3W788HYZNoqpiO+NiLQkDzBmqeWX1fKFI3vD9ple4rGnVNmeRLn9+9POSuW6
pduagyHfx+WNNUiOGrXSj059ld2LGZuDRxGtH3NoQsbz0cCmmEs0Q+dm3MZBkvi+4EK1Drm0j7Xq
n7sooPyEvNCahcaDxzWxt6fRWHw3AV6OZB3ONTpJS98C95dnWYKAJEkFa7OJXprFL94NPiWlaxYK
4W1TlljfYnUUzw3kdyYs963qiZuLfGkG8cKzVf3T0KE2kozSmk3E8Gzb0Gpd4+nvFwOdLCN74lVT
pfU+Ma3xuYFkKvCePP79KmujbTB6cqdcTIdNGow46F2Fj8W7TUToXNVcFc+Va/zz6ry5/P1q7oRN
x1eldo6tHly3L5+5KrijmuhBjUrKZ9uZXJxX/bj7+1NznFazOQTrwChjaNxh+cynpd+VGDPxv1XV
synD+BBPvrNYrElA+ow/HjbPY2pBIIHwXT3n4TjxqWAdMiUBrEJchi86TepTH2niIkN4YTuVXjle
ghlX6a2ZNh7RC2trh7jvU48H7cjJyXK4t4/MQN++jxft1GVF+QGw5whslSVIXqRXr5jlZsoEwoA7
nOo2mM510znQQUKaWObmHWQLIcnYX9UDLQUFFZ/73psMfGrtk1Fmxl3JBevw3bU0wpesBKOUcroa
CBDsOeKBNaSk/qalCouF/PSYO9SsyuEVbjluwTBh7uKzjydnN5FIYCWFvgdThmyN862zodsQgeBY
tzgWIlb6uyoKHLpUMVaAkMWgG2UsELC31K6oD20Ubts23mBltJGGZbSJFXNrAHhg0v1dUbHO104o
N9xIadW9LVXxatupizQSPrLJZBAsHJ4mFtQMGAXlDqv8JZ3HZk1N4L0KiH2a1C/mS5+kXQ8/KaXN
Awu9vkm4LFu1DJ6QMwvOdyIgNsozVUI3ZGjhsVX+ynm60uvubqjAeAH/h/EWd2QhPeYtuRiELdLo
emzfUqd9NCo+3DXUMDre1LkPbqVbA95l3+H2I/mLU1mSJZCcyBZ28XfK/ctzuZrEwAJ+csi/Nrpk
2eB4YE1dY8NdheeImB5djjHtOCweF7hKPfZcTjr2bT4OAURKBEjllRs1sEfwgwsJ98+oMmDTCbZ/
luc/2KN/bxklGFHf+xpCOG1KGusE/gZ0BeuQlarHctFau+VpSDFmszPewcLK/eB532yIkaHzDg5b
ZO3CwQIkNpINBtTGexm7HyqEA1mVFj4KYk1WxCm5iAtFBUT9mDIU5i4EBY5t+6xkOjckm6NA9CZ3
G3zQDruvObPu8AGw8hEN60XSoUMcQOYke2GXFeNa6t/rZiFZkE9uaC9EskK8b2WwAeIEeLUaBTEk
YrKeaYArwYwWIwqF1fSbMctmTnhtAJgqhwNiIIFZRm7PLrP+rquEj6/RUmPicojKUoPPG9bAmBN2
ADyytWtu+zETJeol/qT7KM3SNdLwl5p9sbExjTMBQHwv8zsG+ae0BsPpCKSnqhzuPCFuMFmVm6k2
OWAKciEFKKoOYI7ZWt+1tN9kFAw7IyPvRbky64hhXvV5Pp6KmPYxn2eRCmjPpcTgoXVwtdPIWa77
uEVrcu8qt/s1hfzSqfEDakBNi3tSsbbOrf6SDuZb4jE/TZFBBa992xWwdVHUFYw2RPsRLHA8DHun
cYeNk33Pc5Kt0KnWIhx+1bxJYOKvMnUZeDsO/EBoYflnpeN9pZo3ocLhEPJ5Byt5G/JX3bQ5bVpY
xOcmfm96+ZwI77nTjbVJiuqK+/p2lOMPq4xm3/g2W8r4K+Y2dBhpSYxL3G4yw6nPq4Q62tZXM46e
IU9sZrtj/SveAJBuR6876ZK7TWgP1L46ax4u7o7bC3zvTUA6aY94/ETDnjY55KdOabx1xCoiYCGY
1IEyZGNwE7ykCd3sbAXRr3FGxrkV3xLFATM9caRt3TugaEAkmFvNOcEQ4HOby+1+RdwBiSxcZRUg
uCCZeerNbAoQA9auU1F+lPOAjBhQSmzhHGD3dZAzmeXenVy4NekUXO2IaIjDew8U3j4JNVIFImNM
7izHY3j466mdPT644es8kPzGp3+t3P/h6Ly2m0W6IPpErNVkuFWOtmTLku0blsNnoMk0+elnM7d/
mLEt0ZyuU7ULiKKBwwAxfWQOA5W1BvGCK02KDU8FdmjUss9J75lrrWfKnh4NfSJhj4MHTYZQBp57
dmz12oQM0ReltrRjZCvbizDTaiXg44RbGvziekSgSeRzQVZg5/H/yikJ8LAoEOEmWiyRgWHkbFMj
4Q1X0K6aIfxTM3fMGowZKWL3hgvqecxJKZeRI9GG0ocIy/fIsZ+TZHwt4gZqbyDfxjGzV0nhvlu8
E0Y1vUk1zVpMT5GAy66tjsXVFe7r1BdcZeLZH46dsZ2ohLGT8lgbzZ2kIslbOoSjuKYqAC877Lmi
XFskSpApLZL5mAKYJCm0zGkFccI/Nivo346DZDhRiq6Lb1ZruQoLcGkhdrxq2HmRBpbBvrlx4K+c
3oN1DkpijHXoh5m3T7sQ6wOTe6aDzwFjig8c84/tsmNkNljSjoQrwhSvQefd2Dw8Zf5Ig1jq75Ft
+XHHdqtrxlvWRf9SUQVrUmUTC/hG6y+pb10ZQ9HakgYxMv9nNPTdmL94PL9jGT67g0KLnjKSPhpV
9cxp6OafZh05G498IWZ/nbwg7Ktmyl8TTD8cJacg154NOzjKtPmwE/osnY4rWZh9Dg5KU2kZqw6w
MDNjt+FtjbUstHDWac6Z0hPUjZJA9SSr0xgWw3YOsK3LJ9fhL5POrBtnNP9R0jPX0/T82Bot3bDZ
llBjcHC2PrCUpt3AEGLVNwdHMpjcAK4+3JgnDaUhIkzMe7AFmuG3+U/aJf9qna9DqD8Ima0yKsxh
CjC9mEieiecNS7MvPmEHIA0O9au0or3VXmKsUWx88Ao5sEcaxW+jq/A2ZmBRWbHcEo9ER+qTQdex
rSKGeLRdZol99Orkm4N35QgWyFTHH4wakYi70QF68znxm2FXNuWrEu3N6dolQfpbZ76IchoooSJ8
7+vZG40xh9Cwv7XIOw4NbwhNESKtFH2sTnuuAy76fequIMiemgbpxzL3itf2jpXrsaNGnHe4sXUd
gEI9XpSuWjQMDSWGAp7y5rnj0rTtYf4FOQ/nEIvnybPVimAf7YHRZ1I1J4uSM96QKKS68Wha4+Tl
YY2CNMv8VstBE9GA8lfkvD78kqKJwrKNXZ1htptzDKpHYYXcxuGJgqmbzDCGlc6gNTB8K3bmT7Ef
wm7dJX3/5VNSxD0PW0ExgvecIjDHGujOIdtmcmIh3H/qijO3wBZh+CDWCG0a6jxa/AjcWzWOsIqW
kKfIVhk6UPzhttNwdDT/ip3qNcH3tvb9iOpSh2puyrpS6WHO4ywsxF+lW92WFixyaPHFN+sHKRUq
tgYq7zz/q0FdpLlFlFe/ujUOJQuDZFeEoO7aP5XN7d8wxYlS1Z7H1TA/Q2ha7GR4G/Pb7nIbBpaF
oq4SROemhoNXBXLPKQQkJXj3Qxmv65hzYtQge9mRYIVelOBevWQtKvxPhvMxUG+PopHykYG7KGYq
i/YbxILhtUhWY6DhBlXtYZzvRjaOFK9n+uGrcrMNRjvV6V+oh5OyUU2t97Hsfsyw3uMieI4NfSOS
+DNF3/BaCK3SR5NNeqCBX3qDzSfo4Di5DFRTbPy0nN25tEC/esa9sLuvbOTE1jLJDaD5pRaX/CuS
eFI/IhGc8bvf6Z1mjJX6A1HzFyO87qS/zoCrcKrq77HATGYWlHTUEyh1E6RcNah0ZQkbsxvtI1MQ
rNPK3JJOw2erlVvW7+v/9yxpjjLHeSLM6QPcyjFsyBuPlfMFlXUdOf7dC7ubw1Ps1iLF0fQLzgZc
4QRQR3KEiUJSvWf/PSNrngGubL0c4VeBTaD2fEGeDy+6LU9+B1TaDuQad4VA8HYRr4k18KljlqPZ
rZSHMmzag3Kvdhr7qyrXPinJ63dIPfEwHcdKTUBHAFIbYXMtE/cbdf3ZtLxhNU31dbTLc5Amr7YD
TF5E1BGOdzEGK90VzooezbubctuAXO6HqLA4JuHnkOp0Ku9TpxRohWgbwXzhfDIxo5Cp/iRLR1a8
Mb/MEBuC5mESk8Td26hdipC7TYKK7tjGvZaq3FEAFeOworDLqYjhoiWvxwnnmAdQI7YBF7slYqrp
9p9pW+/HjOnEC9SH1UTA6s1/8WS8Qc901nYG6yOyXpQ/3siWbnXRvQFXbM+sE6gpx/rWquitqGlX
0HR8D9XVrih2LVAbW99bRcaFso572Q87O54dn8r3Vx6VcEP2NfjlO0amDEyHdsRq8dugnh8ackV4
3rkrNKnAMB2wJy8J23ksy2WLKQDC33kinrpQBqeNE2Q4PepsJy0qfkDwITXkmG+7DzeJvltsDMvO
Tkvq9vBujeHJTagt0dlp9tZT2yKeO9IFeTvQWFpRPjZGoPSKd8COZOtIciznf5vjhp8+44mTx0Ri
ILMNinVNZiMypBEdNRFXiYVZ1W/kwPbdaETbWk/wPyYUZcvq3xAS+Df7Ei8elbkAAimk2FcN9i7+
QIRSX5okYvyFM13ypc+96qNM525PSSbBgf7H3TA9JEn654N7IG/v3gx2Uy1sdeJ79saA4M8QQHqx
qK9TFB4qI9xBq1pSbnXWJNTJuq7Z7NjOpxinfZzkL8nUl1vpRr9iwrrFZo5hpLwPKnJwzKX2ymr9
Y2jBy6Sk5NUNghuDOiOp0EuYA9Qu5LtJ9wK6dZN4hV2QETKcmhXdzwe7VqdQMNBAvNC3pom2ynsx
phoAhCANb3WqP5txBTKodT8hgUZHL+v5CT2si2X/z6vKn8opRpD60QoyGgs0UJarrk34rku1hiH1
IcI+2dZKx1wUT5gNJYeDNHMuslO+ikqjPoiQ8aSFXiHIEtiKpk+AmHT70C+mZsH/udXw2qQZMUzT
bM82FvasJ+LbIKkTz3NusfiC2OXwfxnXfRuQaejw9LlQEYqC7UY70AjRUS/luZP1lKLPC1LWuNNX
bVIj7bXNK46kq28Nxz7ftYp4RJ81Pv+TyLswhJYJiykQe2GdisPoaO9+Lyx8flR+BcGHUQNJGYoB
6ct8Q/ebO8lBBkurVXvPw2lUHgZVskCW6bAtAqM9deY50/DZNIMXbSLy7vUk+ONKRnrPPLSD4sYN
f8R1Hh2RZ/JKIZWwehaRfeaeTJuzWOmtJJ5GKiPtfGLoifWQRYg/qzymrVf+mr39wt21erbwS7I1
YKnr+CzkRk3undA/aCG5YV3Hmd1ICCfQ+Y35LhOudO0vyDCcxPWRpVuxK/hk+np67t3BWTXDzYpb
7EE8KN4kjr1J5FD0Txap+kMwjCfNmBzQQtYr6UJU+1bDVYoSYofwUMYcL6ztbjFB0D98FxIisCbF
U1CM8NpC+XAib1uAd8G3DDSps0GQyMpZDUw8qEbJr+Oa9ZbVe9lMWClIYkbueKyTjqRwDGHGnMzN
0KKzWW7zOvl8PZKov2s1L+3I7Njn0dPOcfdncG2C8G/4iO4/2WylRDgPdkbccveqflUxmys7YMzj
rj+5pv/sjT79QX4G6khWPwBwloMruL95bOk0g0BtPZ47R3cPepOUe9EAGinaZL3zVR3QEjsr8CCn
kMyrlcjZ5Qb2D3I4JJ4fbTD9FTZ1Z2Gp9A0GU/KcmuTHxx/ltB232rBeV7W2CUZZnNBzvsxWkHdV
4CmCmrLBvjtybeWE7anR7cVrUaEJOG07LrhA0kvE5pML47gYqCKbiRawdkiwosLdcpdkpnatffA8
wZSyHZL+peMmI3JsEQ34CFTxO/Ae5v7ag4vNg84fjWYpjdKgoMgess5CumdoGBqJT1IN6X9gVL1M
g3402mRvJSM2IRxO0MVsdFn80x724L3W4veXDs/utNZjdpTobTUTV38YPYvO5gTmZlmsc8Szkw55
aDVJ0kYdh9u57sNbLuB3jJW1R7/Jt7rdwIKKbABKYYm136fbElt9if9hSWMWbtt59YFxLm7PhUVE
fOz+EhVfKtLry250scgkya3xmP3iZJ9YRKsKtyk2FSlKQSBzLSBOIeuRM6OfLK+OE2UpA3qDHcww
MPWmG+ZPLbUjq7lV6FrXEsPzRnrkAOjPisJPF31bpfFXl7DIBDrxxCd6DLIk2GcVe+2Q5WeP72Ml
tRprY5+u8pC1ac0BKCa+Z4bIgTHZ9S9vC0M4v1i/q7U0NoaGVSwMNmPK8xHCHODosUhPD+cIYwIM
pxF4EO2qRXO0nek77jOTsW+l++krvnPYVE29kYnx5pC+QNNJfuyIuG9fAVI1TR4+B6rb2pk/7bJ5
55f2OFVrGiSFd7UC43Py8zer/5nU+KVk2h7KtPgaqMgbJDl+uA3SGM64uto1b6KP2vVOoh8/YpM0
IK4FAl2AO7m+id+M1e4S6zlUW22e9dr2kWTsBvx5Fz/ck9DNQcYVy7IF6C979EoiXq95Jx+0hGGn
8Las7N40flpg9DQST4xQ/BaY3TX9SUXaE1GUNTcqPFy1J3C/L4pwjHYUCE8LyfngNvoH+9+BIwa4
xMTlfJkgnEatES4hjL3IcTB562AIaJPq203wIHdj+66Z8DqtzubB79xN0vRz7whuEg5Y2iPqaqdD
YFpPwjkYmc6/k6eUsWY4CmwUyO0BvHmH5yIvrFPQ/5QapbOU4c0zPRtjS/6jg/IjojJ64eBt5WEg
KJYVFnJlN22rHmsuGhe736b5GGyQMwYG8KVpG19jryhyRj6dwnYhPGNccQ419Pqcddu96DHNf95c
GuvwLTfjaKNmQoHIX4Yi49oQS7Gsag8VN/xNff23IhS0sIaMF6yyiaM1Na4GYGs4tMjn1LO9hS2H
Xr560ngpK/dRAG1g1kvYPw58mwx/loQLxaIrC95DgzON3ysJ65FJvfcW9SVDYsf9F/CG7LglkXNd
hCOhPMN09oMaT1YBxNE6D5KUmY6tbKGLROzGpuIsy4A1y4ShjvAq/9E0HRtWpCKKcD56znzxpUkv
S0m+4sYgcICphlFzKazkykZvWmtMOsvGfOp9rWMTV5JsbMXPLvT9fO1KCPWlo5/JI9JRW3RsMEzn
RIFgsXVL5yku+NpC9jH2pdPxsYi5rrJi+TOwzi9jpL1SMJhpfhjs8GsDxNDFnxoc71mRCF9E5suY
Mj6F6NoTObdNnlPaS4in0awbXx9sxkb567O1YUE/MVbP3ZmxIy8+4waWya9kSLZCknaoqJ3phhUn
dbfsaRXk9sEmo+SJQqs757G5d0fd2PSOetVD7eB1Yg1qaDXA3LDTF5dEOqYj+W1KupykXb6ECamb
wc2MZU5upewbvh8l/UhUppvTb0u7GugnXCFpF207v9iOY04LYtX9mTWnpJNKYAF8Y+2KAKWkm9us
OMxUb++7un+XsnyAHPu0kuojdLdyJFZbKP3VShOLjGNzTiS0FQAAT1FEAE2N3K9U0G9kZNir8HVM
R2ttlyNGOT286DVY4SD5kEHFtNXylqKyhzHfx15cTED6sBF/Dx5b+Woyr2VtMLEmDe0QaXotfIZ/
RU5rRWCAdzlL/JWN7ZUwHXIcavyvPRDdrVj34tZPV0GQ/kqn/CqNbeoYBA8ELx3XG7eBRVtUhu2E
W8gIOUL1Lxh+a56itIVUhLceeHnEFVyyKhGqiBeY4JaNjVoOm5qd8HOrLBCOpc0wUetPbeNcTP6Z
RBcEUjRiWRqSpzOKhHlT38JhoO2sb3/ZmrwMZXkFzQGOWb7qvKk2ASlbFGmgjmZiRAcu3VigyAik
OK14by+bEReS2Y8zQM87VEnOj9Tl5HXxv+lc3xsKk4LZQ8SPDsI7TVhphhmORad3IHBWOn/KupNb
XZVvkyr3vcJR5dODwkyZFXztU8YQyoS2hNMhxAztyYBPzsJMTca0Dj1C0qYw6Zx0Mp41vdWOqSYP
uhenmx7LzDKBa7EW/LtWWpC89Sij+0Lmd+SFeufre9tBMGCvTucDlZZmpL01SiCxWjbal269O1V1
t0JLsJ/jxE3RB8uWxNmQq2SBpe6DzcYl4k5TM0Oy5RE1t73yf3+JQdJ2YebhtJmUUbJdxYw2jkbL
Ld4Dm1Wmf82s4RQDCtcQcSAIP/vX64ZFWs14FacBIPSaVo905Vl02dcgCnPSsOto4KTWUfAtE2YV
RuBp1zqCV4Uyr9noIrcqObAkAO4cAOET/JdUL+y62omWejToCysLz2Nos78b+J51RFpSzY8JZ2Tz
gYL5mifi/w0SF3ptbmzIlqrFWuwbFVEgLCQ2x1uGlz01eQv5Wf0+gDwo6fMc2XVS+OnEfnkZoM6s
dc8KeMY3w3w6q9ZpYBG1e94RNlUiRNShUWDs8bBOdvWtbMeHK0B9RoJcdcMpj0BEH5aRfUTdrZ48
2HfhPfT7VypqfuEQziFqU1+6IS+USvyYbfPwbAwLgW78DRmxfLvXgyX7D8iIiunSDlEjHQUTsAqz
JccDKiEP1mspXCwyjNJRRBlrhCrETYBlasCmqQg+60r9UD55ADazVzmhaNoEC+1VcVDB5ADVQei+
zx6YuBex220tRk20JYFxGL25mb7hsr5Jyr8aNtF8I/dgovCLaHApeaMV+jUPQKKHU7xOw+GRhhLw
VySqRfpThfWr1Y9vdqmfJSUxi7tyGxqvwbpYuvFcuO1Lb4MSNrs9q4ld7mW7SQ0HJ8KyObq/fhLf
Reu+FRnHZiiwh5o8CPIXiYhP22dhUOUN1xOuHzArk87lrQF4EopeCB3p//+ALnVoa7p811LGkMne
DCBBhzE9iQ6LqGZZeOxyF6MbevOI9Tg2YYCSrmZZxbvCnmhYKtKribkutVjZhNZ72JG+UulLRYSA
5cGyY8PQ6vKEME9Kyh1OcdI8BTTV1WW0g1W816R69kNjbzTI+uQYJvmQrBmMGDinGZ+hLDAczHIJ
G/mERjVwJNUj0uJ7MA0X5W6mqt8nZXnxhn5T2MU+iuUqnhEXZniqW/iOdM1xz9Ki+HOYGMo7DIM4
T0j/Jp/gOW69E14A5RMz2QWRfknc8CrbLeM4tpW+eTHd9uCF3lvRoXuVZDuM4i1qC7pjS5hgPBLO
SHDGral59JPtWINim2S5tCtqD6KU00DRNKOcHj5uPWzTRj51XQ3ZeEK1Ep+CqTZC/YEFenAhOsqB
0xd8FU9qIX8K+5+ZCpp6EYGyrv61PHizlZm0dP2Sc0Y/lHnBOCsJwmWZGe1mPy8XUFJnEiocbIVl
i2Ok6QBXDumdb8ApcQnmBbeqTN4EeMgoNS8RZU+Onn1WLZhMYOiEZqx9xXK3H9N3ZX/oefbDvp5u
t2C8jAknrs7jONu6teAHiAM4jATVzswEPGy1tf15aVDxpZYvJd9SHvFxkRvFO2DLnTVmp6znVImt
8QfZ+JZQ5KqN9RPcR7rhRuwOoEpJ7VkrUecZ0T7Ae1burjo3fKIWFgpkTt6jjvg7jMNTOpXmtsV0
uEjs2R+sn3sDmP9Y/nPpGh6F9aol/kvXmi8kglDl0/a3Is09gu8ICwj0cFsWUy6uQKLu+ty6XiJa
UIq1jF0a05JtmulizcLuUPv1v9rS/kjF7bg8gw5PXeB7tnbKHW4XrV6YCy9on1ARueJQ0YeBnyQM
BgWZdis/6d/VXF0dhtZfnhDo90ZMff0RZyKW75lY4PGPa23IXWOAz05l3PZh2ixg+SXlCEM8emb7
OS4Lb5vrXG3jmiYB1I1Cy96qvl3xZacbt4j3rT8cwsQlDjEAh9cpo3SKGVoystktSZ4gJ8TMB3b0
Yyj9n7RIRrYyuWPp3Bipz5u7hoooSMY1U71n5X+2ivqVQeIry2SzcwS7fhhVFKok7+YENzzPMN+W
wzsuledU29UG16Uy6S9cnr80TVfcwkfUffckkcyJq1kLVPFwEaTT1k5M5jILuB0gisLCscxcvp97
/oyIc8cco6uZ+tu8dz/S3r46rfgoWVCtCCGHmvXUeeov6Sg+LLAH5/b44yfmvuRLKNq/mPo+zrfh
Kf+sbrriCh2y3rPb4pb6w6MZrW83jl+kLV5zWgYZxCnocKs71dNH1yST7kOlC+kR6Gxt7XBTCa38
IFGnXfRX1ELYzvn0x/XuxfSsfomq7gtnyw6DnvWtBBzYQahYzr81PbPp1isFW/LoaCXTE4ucJyOr
1lzrDnhgZ+zWb10zL5BV6aln5yZsY49eannwlAGISFl3mSN1k9PWtbLTwCtrJI/Nh7oexPDDNRED
LGO9nnNwpJDFlv3kXyYPHkABgMkCcFJMz74yb1J3PuMgSTiMxl9SOGox1LjSDBIQXG4Oqp8Au4OA
kYrv1VDCIqa8L0eXxZT96kQCbx7JvaHdhn17pbm9g+RabJFebh4f5mTkLz0KPWlp6gIt/P+yy1fY
eRtsOA7DoOvDiYm5Zob9sKIUM1k7bfZNqGddpd2WGy6FqO6C18qaJZzPmyLLnofiC+dp3DnVxi89
uY4tnnvHC++6kT4nhUYsySZ0OsEkIaNFm/r0HLIlZtN2A77IQwzfyEnrB5Vyfy01r1yUaCDXp7Xb
cImX+MkWqmFO+sItCW83bg0sGxElVOYb/R2zx4o7ldPMQ1BwMEzqspHFhuxQ2jrp65QDC3z1Ysqm
hegoiImp5mEe5l7BnISQFv3LdeEs7bq8jvCDVmXNN9rjs8dQuzJ4u69yMIZwWY21ExW3WIVnOfnn
rttTT/bIunZrFN2lD4djWGU7vGo1xVlbiU8tbYMv7lelbkXLYKAIwgs/NS1mkwDDsCI4sYio0Bob
sYYmsbe0jmI7jY0oVGBCzDzqJZ4R6uK2sUbDgjHq64Ed0iS7HlBjQ1JJJi06Q7VtcffVTnbSPVdf
9hnVBj6XaKLCsMPREpvqn1PIs1XrZzNBYJx6/ThwPrWuuU4a8F2Y/rR2h2UbEz2txWnCmqmooJo3
zqeWeJgRINUWZXTMVQNQU8eNoNpHX/NpVjLH5HIG5Mx1jvl+kRgvlkfyNpfZwVQNMb1rx7k20W+7
MLzob34Gx6K9Rh16NtP8fUj6s6w1Gr4taDThZ+9bh8Apb0FuH0tgAithTNhtAfFXXEtOPYvdld+U
l8LTv5SGpbFildZaHZGg4jyxPLIEOVoBeCKz+OXz8l9v/eapeS8dV21Tzb0xhue17yxdbvaLeCD8
Luv9YLFmtwhhaqotF02b8QXtQJONuPyZb0r+6LpNYCCnM36MaP+NieKLsXvknGoL8LP89z7h/Lkx
ixR+vjAy624x3WkNi2Su74uWe2VXiFe207uY7S3dIu/WgKk7pAFkcu33mLhzy7tiTdEAZQq0ZRjI
5oTHFl3WQNX0T9PQ3ex+IpuQBpuCqJ3lS+jkAPxcPhSr/H/LtYrDS08wNY6+UfLNhT9CH2mZclnb
/ZEBu4Ua/aqwOyk/hywfeyurghwnAA+GNjaCsiUmBq25tuyrJxhFGQUg97WY+4BkW5JWVx+LyzI6
i4nXuGYEBIYAcKDnvJIMuwqC+OiU393kX20CQJxAVYur5ZLG/7ArJUuhtPPoDk8RjUN6vGn1YR1q
wx8zVLlvQ9Ry/U5J5qO14x9RO9tW+NuhYZWpmSuI2cOtDu0L/xxtHRSAk1MnPIS4pYVu0udm0+Oh
i+YSHJUoPzQLJSorCO11za0ssCTrdvFVN92uMWE9hC3jh6LVHA6TIBtwkXb9JHjdbmzT+80biyi5
c6I1gBU/kjMhr2ITNwwShrYfG4+Mtm9smoHuHOQFd/B/poyBxvnNY9iJs4Mz0Vkkpnl5ciLwawL0
fijKM4ywiyeDuwCZ1vjTq93a47o15ItVVUDS3R0XQToLs/CTxoZ3utEpTvGWHm660rNg47HIYfuk
3XQx/ZJRI7pW7lCqgMh23TWL472oGEISn1EmJbmpWGYogOuhe2Lr8EReUh4yGbwZtKsuxYiIBlcK
w/iPaMM/5ZPeb+IdWCjWLpRulmR5bjYcryDCycCWZM0F75BCGDLdY9WaV1G0LbolBSKeRptUTSNb
gTSf6upcmhHDH8stCdJ10bIi4ZvsrTmvM4iEBLw9ZzqU9BBOGjYHR++HPQ5rIkU5Ti3Zm0/aaN5b
Ox/ZkBPTCXTsqvrFnjqmc+epC2jVwFzt9uOvj36wCmmEdOZOMeEO5xKUXE9+QnjVg6zAvZjKa5ly
QadS9B94rcvQY1VtKDnDC5Ix2xMww5bN5rSvl77Stqr1T9hOlyBY6I2K2AekvPbFeJi4TeJUJJFu
tmpTu/3ZUJ9JOHfZmvo1pVWz0QU667Sug1fy5ZBrW5QqeyT15FKKEGqeuY7MUl/UPg3Asr50cXSp
axO9nomKyeTHJbNuzKEe5VJVDWiDap8b1fUXm2b6RPfvRrimbe/ViAN6YKDcTfF9LP0b8W+yKFzd
dDVctKC4mn667WBFAxuLtfgtiO+1m16tQt2trP1LacggdhbrwBF5k+/TJITV8doreVG9XFcWd+mI
Rgpa1S+AERNiXryH5weOiDVAFEx6ZRb86tm/UoB4LnpU26FiIZ2l5B3kd9xFG0eT71lJc0RH4cDG
Kz+ctv4uy2nZ9JAqklrcQ9u58EjMhB2U37jScby6cNX8i6A2c6XKEE9D0b6DL0Av1o1HVYU3M023
QvSb2PB/lZWhXyTDuUDg8a3gOc2M9w7DGVCnderHGxdQKP5sFr1zsLGW7e+k9StILiMNDeSz8PsC
/Pc7bs9WfVd6/iXyz8yjiS50udHWDNpoX7MFZE1g8o/gywZ/Gx6rSB+WUl2Y1aZdyE2Z5urnwQte
vDDBmF5S2CfUR6/be1wVvGpqhj1bZae+Nw8pzEB42P6bqfnk03lW44rMg8h/Cme62+O1BIoQuMMh
sCx3PRsnpVn9xQSO0tH/yVPxDVLzmyj3hlTL+4jXgMAg30lMjG92Xb1VnOv0bn8OTXC1tAi5JGJj
aFEg5PTRj6aPNDoAX2lvbtl+8/lgbmqW8AIJlwcwmJsiQ1nDGBeJbKN7HW/6nstlNzpb3uonfQIL
Ev+FtVMubDO8q27P2LiNdQVTnaUEf8u5+KHP14Uh/iIuR0YlgfvMyp35KBVYjsGsw+VkWzszOFJI
8u0aNN1QhBvJ4Mvzgwe1UgfCGEtORwI2uPp0Id7pxESrc8QZHQMlRUfLbb5j0d0Hp12rFmSxeIaH
/+wIBqqSCbI+0zX6PtHOPl+ouAiwB4vtR5czWg31W0XbQyPiU5oQC9bfjXJcmxh8YwiHOm5Z4Tnc
f+XFNMZvXGynALmt6AH7mM5OgiVVWfNOwd2f5e6d0UWOcCEBNFeXCr+SbEDknjjl9txg9sI2n+cf
rhJPeu1tssLYdzK9JJZ/yJhyG0ZJgwUhjZzJheiORlBHrm2LwVnvYuSJTLtDa5LL28ARAUzlYLTW
PyueTsqtf9zOR87yr+3M0U3UTR+5C9vzPFjky2pMcPTM9yfkBrREGhOh4n8Qt2CrpJ5itYqjlKtL
Me+RUya3uqZ987f34AYlOt9LM6OxgL3da/FeELsUCUeSG1AQ5uGvjmPi8OGIhRWuoyrdtcPQTh4S
oT6JO7je3Zbz7ql1uAEbUIiDDkayp80w1QZvFbpCDTW7lqO5MA2DSEK/60d5oYrhV9XEJpoeBHVo
H32oDfFTCsd2yQYzYCFcXIALElNuMphD9p+HA7IX+KFU8jWm0Qh1lBG582FiVor9tsntgyNX9+Nf
M+Ldz7kA0W04FkH/ppR+lBOqeo6HkxzSQGS8xYxSxdT2ROOf7Xk4Ygd+nezJjcRHXjkXdGQU/frM
pgnxOHir+XpMdfQO0RkYlQrOYcgA0GgcxSOwNW92qc/0Rm5kkL6/JamMo9uMb6FCGA8crGd6AZ8j
e7XIH9dh1C4mz0MTJN3y4/s4XXXe+Axs/zq9OHu95HSbf58wffMVD2/iYJrXY7azY0sYhs9sN0SP
jBvNqgT7jfAkDk1Uk+HlMrPEOk4lpoEgiyAcz+n5uMIWP9Txzqm0ayKsP2d4+HX9KRs8vKSooEK7
XOKnbqBfR3yVHVGGMucZTwGijeTRHAvScdu9sqN5j5VdIpjRsuSI4ewZyTN99Txv7lxGR1wjzD8D
rizEyTY0XaImxcW4pWeAuFt/L30sFd3AMl/DeG7Ew1eBtNkZ6TGcnnpvxHbct92GkfjSFAUL64ro
u4WgNfCj5ZbP95Wm8oQzjDT/XQxWxqLVPePGf2KFpIT23nt9xROFRyCyuyetACE3hW9aQmoQ7+uf
obNdLsdPv+I8kfD6QKj5kMOo8lZRzrqTwKRhzyJXsaLO/KLyBuBhDYuHCRPtOXgQKHwNeqEzdsnP
Tmcn48bfKhvthWyCb48gG1mrx+QR7e7UifqqNzdBWKHzr1kKfKJW49zn53+AA7tQMSR84ZIkCZv8
22IMn8B8IG1jUJ4q76HnT1yJ+FO3RbSh/AXHN4gv4Jr0IUyQYKAE0oSenPwY/1GPyVQONHB1isV7
Uu/MOd0eREaxVT9Gb7HMSlAnSZcuQSHb/KnNoz/lu9ScVxPGyp0mzJpAIRcUdn0SiibIPZiz1q8/
tCZ6HzmwM8dbq4ISHF9y0yGUGTvI1yTE1dJGs2/mB4u6idA6E67egd549D43eFq5QNZVgLC4w/cT
6TY+XSUYn9hFGAFPXTE9ZFa+FTbTQVtbakmQBrY5X8VsyNcdjMgVy80XZJSNiEFDZHSpIdfhc0/6
eNuW2iPWaq6HLPad/xg7r97YkSxb/5XCeb7sCTLIIHkx1cAovTKlNPJ6IWTpveevvx9VPTNd1UDj
vghHRy4NGRF777W+VX5Hrv7dcLHSsnjMdPU8gonxDTEPJIhL6vQH06ovY7QJhvC28scFybAPKCxe
XegGxoVgrg9cYjXFdLVAX/dgy3xlt6WG+bcBmjEln8ItcAbVyNOS+lhJ79Jl40WM7a09JgzH3YC1
mrSdAdumm6sv0OivEkm5CStGN6Hcuk6+I2Xh26TLowS+vlkI76rHmMZTrzkfTc45EAoJlEX2BM4T
kF61i507tyA0zoa8RPiiWJss/CgtZZye7ROS95QgEYv5Ikep7MnKvHcicNdIxpTvvwQ+TjODl3wg
QBQWcXRr2i6/m7wWZAKA+UPjWrdgE1RhB1jWHR5oDdFgvRoz8TBh+Ms6+1uzxmAZJNOH1E49vnVu
6ghDEz3NOS1yYHe7smMML6PWLIqGCSgc3huY1Q9F637UoJqWtnhxUnpNLlyfZtbw4tchdJmet45k
qzI/otB8Qll+CHuS4+xqLjEH/0rl3C5jhdKCHjlQj2Bn9S7jY+ejGutPHv8mnclLQrTjxi/Sb0c6
3xlFftSgcE07NASq7NYWVmlOoNYT0wZazyt06a+ORgcJdT8Rw7o8Z1b1Wk1c9T0prrMlfKlH3srG
KIeZNyMtFXxdqZA5e5AKy3lZL3QasIxfa36oLqqPsRaXqsc5on+ZeXDI4+aYFN2nRQGwTFX9iTho
Bx9qiUl+6dXlKx4S0n06j+vpLsQSTP8OO5OsEIHCZiRn94xFHm2mbDGYxs+Rcx9h4yfgnHy5JiE+
iUfkOPY5S4xXAHYoI7q3sGv3AulF4RhoWtlY2YV9ZIQIIzzJW+mMzltYt3eF6d2Oenh2DEE+Kwlc
FcFsoIAWiCDQjHTNsEqi9pIZ9rfpNHeD7e5C07rnj7/HjPxQjzHLJ3VKaiQOB5KZFFomZ2AaUOof
4FZ3WWgdJUNqaBTm2xjFr/oiD/zbDsv2Fa6Iu2AMj6kGiEtI79SGw5aRHTrHhWSAzJS1/3Tr+rYU
9qZHTgubnRWSizPkIY++900re5zeDH1uZ5eEtZjcEsH4HCUmkkWMCSQ77zIfA1VKuriiKi9LUCJR
+TT0JW+uki+uedda0FaZvlxJFutFqqvP8i51tDfPmbjsHAMMmTfuSqIrEEGVE+amouDISfc2NJrv
pJ2ewolZazseZDenOupz+i0xwEbOm9F69rOClQCxmpHGvXtOgJUAJutBRbvcShl4jRJRj649+Skj
OQh0lOs28Oo4T8mpbOZ5jOdyeUE5djIWPs4BTLOKHHF19dzq6aOT44Wap8YHEh2HpeuJ57jlGxNd
xwyXRcQzchxMvOI6inBTDDrLQ+bAmkst52sqbnPL/K4rVNPebJYClcay6u/rCTOkw3S1TyqibtDc
kioSDHTplbBJVIlJe0MWwp2uONpDgdWwKiVZfQP4VKwsl+6/1SLnSuJ+jtKap5XEaaEdZzeFN+Qz
QWum4N7PKE/BO+oM79E6J4ZzhQNtBtuPqEewFSHy5VqayOPytWe7TM6VzIZV4RG95W7aMr/Wa+PC
GY5OcM9T9A2SF8KzG6bPDuZDpv494guqBfD19tLgJFbH82svs2UeXnSz8FZ5anzKNjhpEQMgtFtr
NPb7AIMgbePumbT1vS2eG6UhzKxpj1mYSgcW/6aa0BahjOf1qaKe19SM06vWyZ8Z81yPglNSb8qe
vqiOWdO8m/CEZk3FOcM9DyZDwHIgFCtV+qcXz0KsVmG5sj8dA1WmiujVYWx8nmz/vm69F3d2QeHC
QTjgIf1VJFPmGrDGnMsjMLo7hjhzPhOOELUFIlmtEC3eCMjkVL8ctKNBvdo5jYso2ZbmIYpETy8k
YnxmM5ulg35sbMwpeQFXziIlKBHhuqSbuoDszMmgI6bPrm95ObADTR7rH+sCS80VLxJQ956hZW4T
tWuHxQqTyM1kk8IYeR1z1Ch7kAoP5eCU36ZW3joTpl8XOqrq5VmLwhviz9H84SJb2UJ77ZX53aFf
qk16a1M6+9FKg7E+tt1QMM5tsh6tJcSglNwoW6spmCexM0xwKbIGRc9EAsuvt9c7tTT9iet54PQU
4vFcYH2910SxTH2NRGf1NAnw+IV8jQ1ySavgLDzrXujhg9W0DRDP8MPPDJRM0GlSDPWpg9q1ocnr
pNrd5KPqE7jznL56GKwEDusYrj3hfA3s8VWKRn7MPO47nBL4LXWGDGyHjOEuxHlbJKOGUMyvQHJU
LCU61Dv9LMxsh6jhpNgRrmjE4NSrz2KQaO0cqIKyTm4KDsWIJlA1FvSjDeWWa7uOmHYJKvkeBeaq
HrgLtJSm0kCvJwsrhiactSNw44u6zClzav/o+yEvFpBzolasx5zdUTTxEQH4q6o4SJi0t+ehG0HH
brEeQ9tY5vQYLa5g9oboXRvyj5hxH+y46Da6TfqYC2gqtQeUgv1VGA/BGyxtBk35qrLN9lEYI5yy
Bvq2C9ffNjMy6rnMNYzTsP/NLdI6hvu1uM4UAQmFAx4BRUJVl+mtFT81E/Uz4HH73iThh2beNIN9
0zMqVQZuo3mnU+quuoEQSlPkycpP6AEEGmAUQfAPPukwviLLLd5ztqQDLio8yrTUPBf0ldmLZtNN
lQYSu+NV9Zp1o2Bt6pI+STXDtj0UxqtkQKzb5H6ynNmV2K561qraBgbSBWdLhIwMXTIbQelj6h+F
4iJrn9yJgRWqqHXhyGpXoLRqSgO1XlDsh4zDeeDZ3ro2nOleS80U/OMtQm7mlQZnp1qR81U6rEOF
EptJlRtT0fKJbQwk6T7RHbGMS9kupwZ3N1g5eiZTpO2a6BGeQAycFyC9x9Nwm6/A6ul/nZyp1Q+x
q721ommXlpjv3CzkT+OE9/MAZq5+8bquWElHPneaST+fcxzqFWJC8e0uy0RaV2EQsE0l0QPN1g/d
7OH3Se+xmgScdgoU81knB2EZ1tWx7cMLxNG7MADLl4T+a+qevJyEXCMkRUrGgJnwiyhoFzZVESo8
cxcrn7siD4cFaOM7YmZXOAKu09F5wmMOTINudIgysHJiDKDoHkaG7YOR92t7QNuBXpnMPQ55S3Bm
BzyGW4M+ZV8iQbaa0lwaPMNquob+WwUfqWHcGEOIjSCYnrjkT8gRrvRyuHM8utPanIprkMlIOQaV
GjOLhqBPz/Rr9KnPwahzIq6h9OpDuQCyWS7LklNBONDG6r8dEqYj9FymENmGoQ+Q0ohXrhKCBo1r
fGlFaLCEtST8dOMhFOY1Hk06yJFG5gqToEa6L2VDepoNuQE9BTf3aHjPSad5d3k/4+Nkg7ZNY4UO
e7Abs7amDkK2vFVjOIdecSQzq/Q6MSV9GD/ftCq/BNr4anHONyfkNPCK6EHE73mMblE4wOMDC920
8VC52qWHahBm+lFM0zvusqGr3suyAXHqT4xXZ8+zl550wz34wCgo9JNXeqMZU4+WRjCUi/G9THGj
tvADZ6VI5+0a42qYxEsiI8Z6sv9Aubid3Hzrhc5tKXsIgAF89jzXV/7ILCntSM3Cc/c6WmxQ2D5J
DRSg6UITyWm16wyD06fP+JJSOUNipoHsI+acTnPKetdrmNPCrnybfHuCTQjJ3OWgklNrjx5HDlR6
LAYZRl9O2c9DQtsTDvXKBCwOHd+8nXx268CcNjQyZ9x1mDMeaA9xky7PJmo2/A2AlHLhG4tOFV8o
VwlUGugr1078DnQRN479hFOzIEo9O429f+A94wQGbm0VTiA8FBb5q2qwXuamL7vdDhvQaUh5/MD1
4RNcT6kDDnw0v9zCvdS1fSuz+f0uzaPoqVE8vT6N4w1X0lwZuOZCtKxUxtyNNrLnwG3fzOdINA+j
E7HTOyxguhu8hAMmG8+zPuOWuYsy7eUduUiQVEn/4+yZfhpACnCDUsMM5iXgdR6D9mSHeKJAeu2l
jlaPt5luBrFUi+xc6/RJ6XhPu2kwLqJzVqT2bEu9eHc6hVRBS28m/ZNuPacL1XrLiAyOHpz2OAUP
zuSu8XM9Jl39YcWcqHBKlxDdt00oHhMfGxoWliNRLyQw1ciqDPLerhyssazk4kCqXOJuh9A509Fn
COXV4oou50NpT+Rbx99VZtyFDskHxCN9Jr4DBJGK0COzm74ym1GyYdaNFI6gplmlCVwueQRyg90C
ki2BX2c4CFeOG+1qkA0tcvkM+41WG29Nbxxq7cUpW7IbghQDczGRZVNuygwDb1JsZdA/E6N7LRIG
VNHCEu6X6+C3rOtTVrMTdPHF911FsXynpYgMS988CH/YUGXh6xrweEsxPE2kvQFzoomtu/TEUH/1
3YtXLlH93QMhohAoVmlUvntjco4d4zpwcRkHBqGgo1zYBjGLOL/umWavNA0+WVB27crI/Yee29dy
uieaRdtxetVx7btIaaRJm1wqlzQS7QPG2dygxCvfq/sq4Jg/taARtPSRsvmz1aoJpahxz03BSzVC
PSgG7xQnX3qUbfsYmSnddPadSsemEayzKfv0f6LeBLztMRs5ibiEkphN+Tj26dIG20q7CaD8FAER
7rB/dBzNWvjFUyIwIgSsETrAMQ3KXGTd1KSPsoa9m9OhsrqFH9ffZomrssxpCGiynBWV7EfEyOKo
aWhxwSFMDW6+LpU72NDRyi+mo861YvVWv6aM3JFMjVZ3wvhqSzQnnQaDYOg2/QAtNhKgfPBQbPKQ
XCxE7zcTAgc3Gt8lcF5SBZhwRLGLSAng+kCL26rIe+qweAap9TKbV1odrxaJcp9mULEmGxOW2/qj
DCBzanG1H6rR3rnyEmvumy7dS1Kbb0nZByuUm65uJmuQt8AMOaDXVgz8YaS9BlFpF6C4W5Izca3i
+LMBPK4hFQhBScz4rlfHdE04MPi6UezqLg+5yYIbjD/I7trTlOFjLmR7jIbubUjG+uB15SnzYxDT
ZYCkKGdiRLwhjcRA2DGmBM1BizE3zQgiDDw6+qYLucVYl5g/AXmbj/pMyjBxxrLZu57zoWR2aCHr
mAk2vKZAaeYCfqPHsuAnUBK7zqOnM9EhBYeAtYVnGSBbRgiTQc/q3o1PTYeTtomdvc9Y4jrvjXXi
1uGmqzCgxM0dGlN73Xe0vYHSRDQ6Pmy8FGzklbF0OWgyiqZfaoqCuoXuHS5QAKM4qUC6dje2Ss3l
6N5OJRCBqBCXJqKDOJkmxBWqaMuiTpLP+dw6sBLsjYnJfxTERk0Cm3PTakdfFtPSSyeaah66gJGW
CUCz16Tvod1WW1giHURuX9sJJF5ubSFAzzZuIB7zpPwajWY7gkRgflsosMKGaSEcQqLh4qo3FKBn
cuorey6LR69YUob6gnlyBPp3EWf+I5kLl6KZrdRYKpeDBy60eqvSTDL6sb5b7AQi7XmDJ5ShdfWR
uMln3znI+e1gV+rKuYq9E843JEQjXqreb/ae/2JV1Y0if7gqWE8tDrkLRGIvwp6gOer0gmmdcwxg
3YzoREqAAPgij9oBj1LwXGiXyB8erYS5ZDe6K1GSTgYPVc3n++UiHr1s6aG5QN/FjYj46pB0A3/e
V/ty8iHl2YeAo+gCo6+N5NSjVK38Y2FZFztDeUIb45s0mUVA09hn/TbdeQf0tQ/D544CWcUURxXv
kaiRqCqnu9paZXGsYuR3vqe3KwvlWhAmr03U3WgGa06Zwi1LJepntAi01/rzQBcBrx4kKD2m9oih
7yXSuyVIjEWHPRZyCgRTS3+slf6lN8UxwI6+FxISwVD5pw7zrgsEH9mDVwNIqb4ikTwX6oWL/eTM
T4j5+ZpqhcodsEBa39m0fhHckAYXCiysWTMyuca1VaqHgeb9XJ5h30FrFUHq1yYfHI1bUJm4vIht
5a+Lgc1EF/tY0A7GcQqV1CT7DduOSDtnQVyRu+5gaDB6mlUFewNKwVXuwIhzAS+YaNPdsn7Mg6FY
lk+NNWbbNKhMUMj2tvHJFh1F8Qg3kuysHr9AxLvQIRFZxSMJM9ZQHXKa30NPy11LachU6BUAD/c7
NflM4vVbhusjuO0JGR8dnJ6uhdDkqvfLbKmV5plK46EJgWIQspmvYUjqquQ0n9xDG5mwuXsnOnXf
aY7mJR0PDaGpI+GVdA+QLCe0WZT7LHu8rVG151G/0cXHj27RewB4zDAwawiwtTGzF6yYialJTBjq
re6sD+hJd4R6JqcxRDoN6cNq9OvGIIHHtiX+AH/GatJA0sxTObIjcM5rCJWJXhz0Loow1AXyC3Jf
6ekb+a0Oz245JsVbYHM3tRXasTwnhHMY0w3pgoAACsorzZCLxvsOynirD2O+wj5OcYQIEM2VgkVM
8WPQrxUop68sxfQt6Info/mriQYT2Ygdj/7tSoTM5gWN6xRmLoUCXkqS5sxFkcf3YUoRaJnjV0M+
9SJmitELkCd1SnhdkcRkIriEp9pEcJOotBnbfpHiBKTK6tu9jgOOUyy7XGzKdUvKFs49UDFqHq2h
enkxBlJ3Z6OtE6NgZGRJMDY6SRRGfa825sBrj38hyMFAl7WWIFp2cG22ZxKZUyRnNiIDJOdZ0N4b
6O1rFt3FD7cqTSskxeELCJ4vOYKXGfEfGZxfRiu1GYhOmybEdp+kclNNmfGAZHNm7OauEAdDowAo
Q94tpKUXfAhHg8nhvd+ijspnsSgJJ84q6JR7bQVoni3UGzYBAekkxaPSZMO0lFyGOAA04I2ae6fa
8DIYMAzCjL0Othkzwnp6CQaSk0oG53PRFgPCGf0l8JUV1UGHqdSvuYFBnnDjW+lHZbU3boNdJM7J
Jw4h/jnwfjErwq3hWEDLHWA1YBvcsABsIaGVpNjigMW14dPGk06OiL+5J7MCMYB4MII5hsmnacus
4y5B9Wa7KJ4nwaWDrPfZh6pBp4I6okUfOpXDjiXIBUQ1Xaj6Fn5TfJAV5q/ZKq2V4Oq8gstXIjBh
fHvdhbhXGcs5ckC2js+UQAS6ieYeQ0i7DJ3sznOZGWu1edG0OepOwmgBCPUR6O1Np1Vi5zWcqEsF
Ahagy6lBLmzoEt5H0G19aW4RDricwIpHoVmnxu4OpYMGuKK979f6bdHGZ8uGbz1Q+bZ5DGyozb/s
zr+vcnnHQG/l25G76NL6RW9fXDz2suFmKJL61EPHIVotsK4SjeFyVKTVFQe3kHDu+BOXOhta+d6L
jGAXxWQefy6iOfWWEBqO7SX+yjRzlUl2CYR7NkebfletrIJLJirsxzHMX+MeMlzInBY1LBdS0Y/7
zrb3PUAPGfXXSSdZ4mjEpQo+XQOmy1Lo5rPJuMRzHvyogULyq+xMjXCowq+iKzd5dK6AmCwITLvW
TIqwkW7h3KLhZO685/B5GaNjqA9p6SplfWDrTyA7Ewo6jgz0FDpUYrDfC6t/lSK+J+4y4sDKplA3
CGm6TsMmQSmLE94za66rY5d0z4Pf7aE7okNQmIf65qFLmsdaBC89eCJcGtnaxlqqAt1YuQS+NTBF
NAv8K22DN0NI0BQ0GK1KWjh0nZNWZUuAkey3ft0tRVBsspx1pHTkxQCwrHWkjjSMDEEaGDOFikbf
wDa/0tyOUwuiggVD7GyVGtVGIJfHOcZMV5I+qargSX6aNmV+SGIXCxsoxHROHYrwzOY4LKUChmKy
1IY+gw2uuMlCQ1QQTrYwfIZ/DZ7ikfoadSlSExpLlTM9E8YM25XOayP1eucAnhYx85rQ8oBHOdVt
IeoGsFJfPLnxI/iIXa6ag0ydfkmBDUzTdb6h792VHa1kzWe2l8wSWWT8jAO5lla2C2Y6EsaTL8Ge
NeFmEuzCnICGFUKfcNtG3rCFO7YUacgMtmDIUqXhoxPYD+rsOt7TMFqkiHigNnN93+rNtYbg8ZhZ
YsNlWy4Vps0F5nvw8ci3Uzf6KHwYFbW5DRj9LPSGo9LkkovZxmJtZBK/p6QbV2jJtRSV82T1KHJc
c1ailvjt8NIJXdshvWiseY5qACXNa+pTw7HXIQdz/KZIK0N8mEbIsKoysVFogX5tNMXKqCu1NgjG
w7esE40ELM80L+RG9cs66kF9G2JvGkm9DksyVww82rgBQ+Q4BUbEvWS76ooiPrP8r+aOohysu1hv
2vu2Hr7gg3xS/7fsN8mdP0JQ8v3qhljKXGS4CQI5LbsCsoOjOdwSUjGobQPOChZ4zKmuNpaNstOP
5DnsPKgdfLsp0wcZ5eFLHA7zVaw2DnvvxqnK6j6y2lU2+tfNdAxswu9CHAerODBiArgiTsgV6XmV
iOlC2JVkraa1zEH5o8f1dAOEyWoZyfl5k200Dbp37uffsWFsOuatd7IeH/UaC7aOImRh4SJHbGMT
L+AkIeExay+DpDZGGZ0+RB7XShzsvjKv/cQ+ygE5Tx0VOAxG6wATatmNsc5STA3DdDvSDXVd5OrZ
jw0qMitda1aarkuj+pjoUu99TOz7n38RdcReJxkrAJLnbM+fptVKljP92Aikkqp2HjMUI2hJM/cc
4mdR1LSpfd1anN3o6W8dPziMAsjaICp9qdFTQBoM8ArprFq1jcvQsbTvQp+edWtYLptfuFHBmmKY
sYoDEMIqynuV1OmyT+NpR8f0rAnFjeDoqxHBhSArjmnrOG1UO+0R8lqkP29+/fYff//P//gY/q//
lZ/yZPTzrP77f/L5R16Q7eEHzV8+/fvmK799S7/qn5/6n+/688/8fXn3X/e/wY/87eZuff/X75z/
3P/8IL/+H39++da8/emTVQbVbzy3X9V4+YK10Pz8ER7o/J3/v1/87evnt9zjhfv910feMv3jt/lh
nv36x5d2n7//AvX/80r88ULMv/8fX5yf6u+/Ll9hlv/2kIWf+b/81Ndb3fz+S/+b7UIvQkfmmFIZ
tit//dZ/zV/RnL8pjNuu0JVtSCUZRf76LcurJvj9lxJ/c0zHtoVu6libLcVP1SAn+JLp/s3VDVuh
eLYVcyZL/vrvp/+n9+l/37ffsjY95WHW1Dwc+9dvxR9v5/z0LNOyDLqOlqPz2BzTUIKvf7xdwsyf
v/v/iE6GSoEFXiRt/m2B+6HIaM6mRFGgw46jTjTu0Mb5Nz8fBhEV2wIB5G1mNJSHXdBfA5q3Hhkm
vktvav+4rv50Wf3zwzMs9S+PTzmO5GWzbZAwUvJ2/PPjY97kJJmXo0gqaEOpDiFzKsVtb0t5wghm
Elpae5ufT38+5AYlG/y6Z0S1LekHlXbCVcsQrAitZVESEGpUmXwwyENgRlQUy8GYCqIk4olBSYyO
3dqgiKgOvG/pfTUz1oKEFJqms4++NXz4fS3Yt2rrOlKwwoNU9vSYU4YYiDAY21r9BnMFkjQv0glI
o9SiHfOeW35zdDj6dIZGpivq7BRI47Ixs2Dnm1q0qacmfTRc7aSqmvS2ptYVEuqRVOlWDaRrFPGI
tS/e51Ov7RwqJFa7ID6WxCYhMNFf40iF71HhIAtg79rbPY/b9a1HHX8jcgrQALrZ7SGjQCQFa/aY
YkVjTQLhXjRCX8sS/X1u9+GB5mt634+hhThYClz5P8+t4jhjo/hxyHJrX2mJDyeFrCsM/WuzJZis
aJV7djumtUPnrt0y1N41hsLg8dovU+nfwmzaB0dn3M8AekfpFjKa00++jVsGbHXGmUym94Am4/tx
xdnWX8CGMFlW4S93BMPvJgWO2e/9S15mPW+CfwncZtzqgUFcXKPuE6ebzqWJNgmkbnIAg034EtkC
G4qSVef6waZlSnVqUm04DZwWl6Ik81BacuGCHbmXWpVcJ0bB2G3+lHlYekTZ41LiKFg/UekdVQUg
dv6sFdp4QLp9bbOpRSPKCqqoeegytNqmZNisW7yzIZau2KDPTzOKGI8fbi/kBBOSVd7v3diZbuPJ
r48/H4gM7dGdhTdD7WNPwooir4smL7Zpi92COokubtKPzwnyuKXG+o8uDACMrTOYHfr6nJvjcIoj
OvoWivt8Gpwb00MZN9ZURjkjmh2+lq9GJ0EFIzvjazuGBuiA6v7Ui5SyQjjPURPjjvKSZU31y2DX
vIsj8PvFdTjKiv2prOmZxwB4ernVADVAYWJep131iPc4CMcLrWPm0+kzcKgzmGAT83nfOtG0rewr
Zvl9qc5Emo4fCG6QHvTTiza2S3N22ad1g2bLZClB3dStEIgiXQjJEVtHtqjXQxwy7+1WyK/Kc2g2
9lmhk7kprOzGL7XmZHhTfGNCcdcpP5I52PFiDVO9/3m3oA18qvBhQueApZ+3L+M/kAtnO7etbx1a
mnuZqZu6McWhnT+QAqddtbZHRrueanuPXPpNmNXjMrcxwzVtlbxFXcGdXJX3Yoj2EWHxy0AT4mFo
BrKIUMa+5Xl58pM0eP+nreUfa/efFsN/XQttVFECfqglJST+v6zVXoxHYOQIs2h0rzuMUZ8zDKRE
Aqt0Y4J1tMPo6BmG9eB3F/IMtcfSKZ6KMC83+rmdJvdYmq5z9E1szmZK0AAKIhhk2pR8jLZ/Fze5
9eAQKL9hRrnzAOytUC0MNzbMgH//RHTT+ZdV3XEt22T3c3TbNPS/rOo0YEiPFmO1mCoXLG4bXQ9S
G7cy1NFae0JuSiufpw2RfiImXq17u6S8IYjwZlK5e4uGm81HddGDX9AbNWOCAYOakYgc/ZsqBVDk
NTBrdJceGSyeaBc1rrOtyAJf1DGBLoCp5eXnXzpYUURaSzrMLnkPhvEAE0VfprD78baMC83xxtcM
9UKFi+muZvSkLyu6zqzAdqVX558PQlPuXpZUPkGdhjdm17rnXpsReYnxXLGWChG9ZEGov+jFT+Zq
oe2sXEXPQ/hWtSHyhTLqjxiwaLwilH/EkoPoRG/QQZNzdDWxji6camof+wIvYooq4CDs5L2LnPRk
ZyDMaxNEjqnjQDL2raGsp6SvKYPQGd7gcFCZoGofWEgXRmp1y8iw6Pk3AHdzL7gmXMzedv4wbzNO
QxfeC9ANmH0zXXWtVt8gapiiyNtODYwfp2VldByglAWMBC30jAM+r3Htjm16ngDVU7AyT+rsVBFE
247XaMN0JNaEsBEsOeJupTzVCWVrjfeRCTqaeY1CPoe+Muq+XBE4m576+V8aizx7vp/clGY3LX3o
GdscLuax7KmwAn3gGlZafArms7SdUVLRAChuRa3zr4zpc+luu9SVi0549VEmBWttchTMfx4bdJSj
CjXQFlO06E2iC1BamGtm3/p9JANkRh7s294p9fsi8dwZGqct3Tbfa55tnhzLLLZ91jZY+53lv78z
TI58fzmOcdKRlhAmBDfb+etxrC2VVsga2D35p6QTE1sNzsnB/tBVuzacEI71ZnUwi8RZViTbA5Mh
og9y5tYmKnoRZcDWWYjj50BaL8pCBS+86kWFM+SSKp0U6eHB9MbhqGrGQyP9bGTHtmENr0bW4DRw
a9TeqXlHiVBtgEGotVZjbIhV+w7igRdmbNIdR4+zYfjTwZcGyYKdevEKdbQ6B55J4YfX//4lkf+y
VnAAli7LnWWTvM5L8+cT4CAUs40S7naaNNvcqIMXUvrWY9GLwzR5chM2TMly3Q/PkR4vk54YTjE6
7rItIWqOehYdRFuWaymsrR0azq6H0b+PrUTuBKfss9YjHFRWD1g96zdlAPGJza08JIkYl1GORmqw
qhukVd3K62oY8rDFl3EFKJsWAE74hjB0V2t3to8RKNdnLWWhSRwhyjn8+1eCw/1frw4lJFMKy0ZT
h1rY+ctLwczD6hXIkwUbJB3VfRlN3X2ZBgWZnHa37hGW3LZV/uLEaOWatOaCd2S7qdzxNKBZgbLC
0Rch+TzH51PHKMd9iKJl6aKAQU+XFbuizJsLA5Ybw8fNMjS69ogZv7mqci2/+fnUK5jKmsajGi2T
rCiEGtlUuMC+TGoH/D+4UUJSyXK6TMgYiWD+7+IBNPRb2giuN0pZuyQKF8eHCTsNmIW0GvlgchIk
ZXRNKVW8ePr4hUmtCxamPZabCqVqMRE6P7RzvTzGpO40nnnraPCoOOs0lYaO1Bu3PytyOYLYHHo3
X8ad91UWJaEOuirCnabwxP18yDTmqCitFKqUdiDroydWLcjzp9iBeBIgOoRVQuvvalS1/lkU6pzX
LQEdUfIymEN5lbcjEV8B2ezQ0uJd25V40Lsw26foEK4yCUE0xfdekkBxIeYTGzQ4GIfJDu5MusKc
+i9R1CbrTkMQ5uuEZ3Yl8AKOl8Gy7qAnXY1+6x9cw0Zf2DPvTUaOVgmSqzMsYWNNNBtGpSlO1qEt
T0AruvvRrrv7VkMRNab1UXTt1ocyuSV9ickxIuINoP1qCT+Ag20YiA0GTaha86f6gJy2EKiP8jn3
iN6TLvvyQNdgZ9uafx6a71yLUBZDSGTuMzfQ/3iMdkqQQeF0MzSgB5LaWuJlDALkOr0R7UXKHDPN
SREyXf+Gg4Z3+GO5VZyTTf/m50NUFB/wkOZumtvsnCFlzMExhyO601zrGak186Z46lrvWcbjo7Ci
6lH4wTEtImaosXbbEa6qMSCsygaIhMVb0M/ziKKuPzTL6p9BTJ6Fn6i7NoMsHhASgoyEEejPxfXz
OYiwI2sxqNCf5+dYgzaTvQr2a/OSFnR6FY65sz3Wy9ibMFXOH37+xV7YLZD80hd2NZuRoF3uXECO
ML77labq/MkCD83A0x9vLLgM6wTq36KoQmPlN47YoqnBS4+LrPFxlIC8Adbhb6XQ/K9osq+NknzH
kfA4TbPjY5VTk7cDcvSfPavlOt7RtTKu/h9lZ7rbNtJ16ysiQLJYHP5K1DxYkuf8IZJ0zHmeefXn
odIfzhfnoI3zNl7CitMNWyKrdu291rM6eDBLOGvJSmGpP9Ot61dMlilkR0mwKJmceAqAUiEBoZsW
otOlI1zsSqk/pCi/17TD1cvvT4b0ecSxAL0JLCKqKykq8IeI+paK1sNu1MviEuiKCmk4fBmt8qaQ
q0cbSu1fMrIAeZYix9xrnFMPFWkM1zDmccpGb3TvL02UldcuRjmmhNDYdE2Bx5FHyh6tp3asI+Gs
4GREmIxGllto1UgBUc2byrP27nWTZTPVYmwZLf97Zf172zXVuc1CLUpLBYHQp3rU94OO/xMYNnXa
cFNYPQ2ltc+TgwAOW/cPJNLqztRy58EL28LVOeGiVGU6a3F2WcW1xwGmNPKb4aFs1VOgT5SdC61K
z/mQlqea/7JlYnpCpYBmxSuLd6mau5DMjCtRu9v7USUsvWzbKA2ZlqH5LcGEtquxCzJQTvp1hwRp
kezNueYkoBfdTaQluFhz6wSuHmuRp8VfvSl/HTd4U5g/UaHbpmVZpvHnxlvjEPFI5AOYSpYH7W+r
Jq+ZSzjBERm9yzivYYMXdDvNQd5MMRAvayfQdxoegmsCqK2MGoTLCJjbJAmvhtntZUZS/f37vIdb
UOF7qi57YzL+P+J1vFqScVNc+qcwbdKFtolJXNkYtZWgq7AqpD1kitTw8D2Br18lnKGY8lXZ4AaK
/Cj9GXrmRUZq+iI0RsqREOcmlcXBHLT0APNl2hB3FO/+++YR/49d2aI2kYZOkaLLzy0qjbkv41ve
p8DS1R9jgFWebHoYSdYQ3hJmh4wUqd2dwTgjpivYe0H7j30yXMhbRsTA3MzR0hzssao/h2ZlLnog
GbsSNBYN9Pqh67SPgRi5bTJ7C/qodtZsxGD6QIzCgmzNs1FSm7UGjypKrGAL8KrHpvo8Ob54xo9q
UyKskhTZHAen7jGJBySMLUgIFQ38f78ZOo3JPwtYDCg2vUzV4K6hQ/nppukymvqaRVNEdqZY5w1W
L49h9GgmGh8wF2FId2pL5bUDto4Ilk6BsEeU1Y51xXXMaNF2Np4NBsr2TcjDzHwrxxOYt2QDVzY8
BX3h7XozrY+dMjRfFODwe//+BRxHmytwOqw6Jtk/73oN+BufwXziq2bY1xCFh/ul7Ot/v/q/fyY7
YhO6QkhGRA6nm0YOLsEN8lxlRoVWk+xfPJQpo38gPJiLUKHqaX7W+VTJk80ug8ZcRoh/TLOsbvcX
nY3NhBgcPMbz90zYo3ukAerMCJg9i9iUXJoDeO4rkh1rIgZs4kPdSi/sB+YR2rEgS8mya/+YNqHi
LQxPQTNtv3dEyW7vRUIWNN5GmUIItrTXbkPMkryPIwQwhdW+JADRUR0BVwhqOjOJ+VyL2HprLSYa
Qg/HqyDmed03DpSzqgzXaeFwHBl8lEW62Hej9jZNPecp8IHbDmL5sRkecBqMh4ztbqM4xvd75YNu
XrmSEDkXRaIkO00TSrvSeru+GX36Yyyj8WD2+gpXIQZlO2YePF98ak8EpvpwLQckCWlPEmTO+ryq
RZs+abp/xgC+UfTQcLZtnEs+mwqTlIqimI12nvg24zlSlAQgP6Q+BV/I70YTrM1loM+Y+QlS8gYv
GH5A1Gk4Lxq8hH0V7hBaO8t7C6kbpnBXyYL40Xt7UM1rhpezQUmp1+BWlGvO3bAkrax+K83xm6Cz
utXbZLbaEIa3x31Xne6Xvm+89ZCGyQKDCI6WMQC/l3ssplpLaT4lxk+R9/geOIHPFjCzXdO4X4L1
glLXdYHJXZTuqDyHXSqx5ruGVQzHVJZILw31QN1vnUJRBmt/gsIHnQMtEgnEtHqF7aZ2WS5UodQ3
ncBiYKbtA0xL84sFQci/nicyU+lYScOyHE18XhAm7srWUtns64mwW8x7W8doFVciQsU4lXBxrtWA
jlmxcswkdG4POqmNZ0r2eD8Ndf1wX9mNeTmhR6gATyqRlpaFOufGZGd29QMOi2d7mOxbV2LiBYr1
rchVexkMdX5MVGhMECJvuepBrQ9JAjUomfBQzB49fR3mU4hjSY6HL1bCeaH4Y7JimpYm2BSY7kjJ
WfLPhcRTshiwMVlecTQnXtWZxvX3Cuf/cvose3KKsX8AunxQ82FwM9XjEfA4m6Zm/srYMsOWn3/r
7Gi4IHXWb60vXVwPMKJCvdjc9/4gdAA1mvrHf//sxt+LoKPxs/OhGbbkf59+9h5KljKnJi/7YfrO
EFEBWEHCYKeuG5pde5w20h3CwIY64HlXMNwkcgQEgCCnoNkIRYImnhVuiSRo1lYTBKexLp/uN0Dk
2ZKbuFf3IJpVtD98pWML2MCQHrzdvek8jN344JjJzajH8Cqq+EXpYcRUhLa82j5gw6K6MGwtXkag
s+DgeF8VprDqVMbIPvtRbolw/gBXmz5kwxs5dszTLb0GbdjUB3X+Sm/ifv3f75mY35M/P29ub0hY
utR0qrfPNWRn9KE56uhqaB/48T4Ez74XhvoKG7TeqigMXBxp3vX+le+QWRqlurfWSILyrF6+IMyI
z9ZMxbE7zCxa/06qMAxEulMQDxsUIwWVZ4Ln+DFR1LVR1+aTKSqm/mPXrHFRIyYS1RpRdfRPCXME
tUYAaRkUJ9LftrpoJnm/RZ6t8cISqDZ6Iv6qP/H33u9opMIZpm3pjim1z3eNX1i+7BBy5jPsLo9R
6HaAHZjuaIR9tTDZMxGvh1YKPECRcdIcGEqOzbnEIUTjCNccqh6Nui6wjFOTUwgFfYwEIIzP0qsi
aKH/c4lhOByU0Xv578/Q/KvXZKmqmBtNBp1wx/l830c2PYzU6LF/Jh2VSBXab0MwhNeBKAxb076J
XqUxKER2q7MuvyFkhkwxNJeqi/JbbsCtztOw3gpkzWaTpUe7hsmH6orUoi6MbwyXTNfEt73yUGeC
uCfZ9z516GOCciLN+6HYqXZsrSbHRjQeIgmIcyi97xKc+KDRtMYDXB+tLNiQvMvAv6+1PdY3aAqO
+lT7CQGz2VYHW/Ju2qok7g9DWNo1zC+NArEdS2F4F4/e66yaw40fq/IRHLq3HJnouL+XqmYyf9Lg
io/3i5XglB3qilB7TVe296d4dIYCb0v2hg6i32RpGhwYJAPcTmy6ctCJvni4tL9qbD4YW6jcWHQt
VcwOfy6m4RDEgWEWKXA9z17RgzOIK/B3w9j/7CqofQzZq2c7QJPeD99QYhJLHWLALqxOvHpZR/JP
4OYFCRmxRQU8kp22lRYlgB42X6z78q8WrqXCIUYg4jCsAZjx6SnwzJKIbXr5uFx46gDbLe9tNwIM
iv39pWED1u5b5jh1GGpHOBD/yNpo1mpXjIf7pQlEsFAz61lIh7NxEZKfEpdIpCTb4URgxthJ/LhE
RESXHswgDQFYa1amnCDsWZtpij/ur7DPYUfNxoadU68f9L52zpbA8Nr72q6fcoXh9pzY1j8A9zMe
zDxvWbeglSLIq07VANk51voOTSpvY5HTa04STGT3l71pPIcSXpRqN0CsFX3138+iPr9Pf6yn8/to
c5zi/KmShPjpI9drCmtdMRJuqnnDTiaDlKYc6N4kg1Ob6xg3fbNbdhXO16EfihnKQXGhFlSAWf2U
t56yrDK7P1kOUTKpoezuXahIHoz7wz1h0RK6Zdyi3rN2/24jPg3+LAeikpGttP3//42kZjA2Z+rF
P59/I/w0AeFbabL8Xcf3jXKosmRFJAuTfaawWA0SFF/UQfDiJmVFdtn4jY96maRX1PTEK4rAQwww
KXsxqPJd5vnBVpvGlRa4xXsxGsh16yeP/y5fHEQMb3qtJ+P9i1/lr+LGgtxqGHNnHhotzZM/n8eg
IgcoROG+RGH2bgx0oJOuwzliesNZRUy8dGLf/5lnm67ryfhGBoUhp9UOSmHBRop5w/vhoLehfIEQ
UbkgF6wHpgitqyvFzCpKjsJ3Mn47Lfri+dSN+Wf788bSNE54QjfYp+VfY1Qmi71PLyEiK9duGV0Z
8fHefzBfuJWS127MDu0A0KJJg006ON+VJDTOWZeZbu/VAzHETnXtreiR9uwiZAh3TZQkudBuRGZV
y+wQOvhHID02NzBO/oawZg4DmZZdvEQbXI11bMmvVV9HawTRKLKTGW1FiQYz0D1zw06ouV3ThTt6
IoTvzicb0Tb9ZTD09dzZQLd97EhN2WDufNCr0jzpTPROA6CALdkn3lGJJkAQeOHGnGJRDqN58LQQ
NUvbYaDpzpHwh2MWdyYxgdO07LNgOGUl7Dxohec0M+Nri+m6qxX51MwXJwZvF0ZofKofKIHra22C
U/WrmX6c02ZJI36yezNIBqCDBiAK+HNCuhJqcBOg1zap1McVb+sUqWCs5oskAQAhD02TqbembcDS
9BDNlwzauBsMxslOPcmxiP7HmAplncFcXPYi6B6QJWyqfzrfVI5WjsIXwQt9xq7cerkSnyhaiRPv
s/wp7XMYiy1aFMJ3Vogm8Z9CEiNQ3dl7dJR/X4okVbYKVHZkALmLX7m6FEVfbywjzA+Rp6poHkdC
uUdizXSvcHZBN22N0kgeyBp+aZysPdKvlT3nmyyO3sY415F06oxuY7x0fR65Jca4d5VMAUCgFlYO
Mnzfy8q4obR/CJMJCTAcZoBRNhnBDHQJjV10VceMRavK7dSOHKYnjCyMPmUeOeSzsfXanm6+tIkH
IKkY83O/vitbmgyGYGITFhEwct/e+4xBacitbUTXhPTMA2u+O3RlvCqoSbaEmMpXpWteVDQmi6G0
SvSGaCBodZGA5MXU1Y7iJ6tqIhDDJ3vsECJpDxyR77Qww2/JZu+QWYiF5nw/SP57mlz0UQeSzzZu
0jG7c1PMrt9weEuiBoN4nbSHyNSe8sTOXSWyK/r7bbnNBrNeVkk3fsvnMY9vTwImAxpehlHNzpDN
j7ir84c8DdC0lFlG8F0db+83SJv13hIQVklY2zo01OBR8cP+KrAb9E5/JUqpiFdkXf4YiHtY1GKM
npSW9gYWjG9dKYLHliCwE77GGxJpypzaRv8b2mGGW7+rmB34JWJQ/eP+yrZmcJ86SGaOiXaQdPEP
k1PTtgp8hKZarzwmgcMJxBnfcjP8oj8l5/7Zn4vX3GbkpGEx/3MM41N/LXN0+oXkDy1RkfVkQme9
201miNu5+eUHIUNyDOXIQvgK1kThVmVbu73JlF1pJue9qZI1bUlxUUJslOU0pZvJq0b3fh5tJW9F
rmoHogp3c7P86I+df+qo0hkccySfz9t6aZeupkeFa2ijTg9mglNJmOjSgTSy70T1LtocR9ZU0Qtr
HPM8pWPjBrbi7zj4P5ILLt+ClCG7KuudBYnrxcDIU4TjNyja8Uaal9+7Y6EmwzptiPuLOkbv96+S
+Ssl8L94U/W/SzbqCyk587Ipa1hO/9zNmDDTd1RzSraJ/ql7H/1gHJAHz5r7uKbxo7RU5xjMKrWs
Ul6FHK05/QFQkA2XYy9JymLqfshV02a4M4iTQYrDchy7/HJvbGYlOJaw8PWHL/bhv/cyy3Hgc6GQ
ZCtT74fS/yXfLBT0eqIYE0oHWFNFq+bAezeizJgCzSq7ti5WBVG/emSd9FknRAPK+bcLAXK829aO
fPesWuy8DNcOxkk/26mJgv8xoD+JJfm/f2Dtb8HpvZrT0LZCVjMN9dMNXDVCUaOaIijvLOPZ0akM
mJjo1/tXxAsTDBVO56as1NcQ0h85XuF0UOKiPteWRwMlgidao5E4l/NlFA3SlgZm8i1SZfeCDgBE
vYrVuorPUUkhotk2QJiqHEFNJIzadDBFKgHJs0gk0yp5aBu1JXgvzi5ySLP1/c+mRuvoSdoAvEfc
qGGAE7Vv4id+hOpIiKxubu5TsAKN1NB7vxqzPAdFYV9tT4X9MEy3EBwS9sTmFU6k7+YOuelF23Vn
P0y6M+MCJh24o++v7n/eETK5SawK+V+CK1vVYpt8BJpEVtczDywrbRfSpEL1EZavXUXMQeTUq7bA
PDzMgoZCGuVaiXKknj5mBZ4bsB96Ebm/C9vQvwkGz3hxvWhtIClxHYKijvVgPgw+g0amEKTmWUrx
nnhdv3DS6MIkTD7WM7ipGbJwcz/y6edyrqhjRZOrztexevxeF3iz+72tohP4/QQhaGbqMfe6/dRB
mGdy2lmPeq1u1S4ywRhR2OJ3fms59fErIbdfpCUW09DPugeJFwNcQnBTwzy4JdH4laLk8+MOqZpG
pNRUTvmWwR705+OeIaEY0n6gM5e0D1gqiFULoILS1vXOlv5SaP6wrzRSslEfsxj68qIXZCJ7pjmt
MYVZz5bvvYxRbe9g18Qrb565qhU2YsPb90a9/l2JQ1S4za8SaSN7yop3osLXhlR4+2IlA3PdViui
NJwVk7Xwi9kdY7pP+wS/o4AdwfkFfbdp2XOn438tDOjDRo8nJ1kOeQGNSeBx9CV7niRaLY679AdP
J0nhd0EbEO1VP6bgt7Pskk+qPY+HAh/NW5BuElnhurFgrgIr7QKUT+QctF4pXukfo6BQb4VntZuM
hISbwWBZyaL1vbmblgPN3TqbD5lGtcHMB5Ns1hQHSRluqrzzDt5keIfJkP3WaLRXLyLqDO++d6y0
Qn1yBAouY2x5wnTys8q+p7knDyRU0zhBRnw/zQ2keRPfoTVb8HXwUaIWZwTDjNm/P0CwmNpT2uK/
iJK4fJcGsj27wFmk4AZEAQGwoOevlSKKz2Zj/cAmGp7Rw1dnWUf/NHX7MOZpf4uRiK/oZ8q9WRIm
0rQUdkZytZXpMTWieNeXQfZEw5lsmkQL3YkCdeBoD30e5ZoIRLPVbB5keCEPUCMgLNRAlDzDyRaJ
ngfgeQGUrNmsIYSXVrwmPCx6KyZ/F+WV/T3RiI30a3yMjjtouferm/EKSZV9s8fyGYL9vWVGUcnM
AEbQ/d4LW3znamE4y95k/CTn5zpty1tFRmNvJ+h0RkCWXxzY7c8H9vmWg9dqcbiy/h+iTpKK7TYH
ErfsneQJBt576XnDrh5a9HcMfJY2LSLeQX/tIG/6yIZhr4q0OThwHCkXYrnEo1E/5J2f7dEj2vC1
4vqJUPZTL5zdpGnFK9wVc9lUsXZV5llLEtgm4ZJ0VnELfieYxD7oEfAfzZip7zHZCkENvMoLchIc
qlKuS/r/oIm1dFtqpMkOzKV+K1MKgBFV5oz7loU+TrX0CaBL9Qh5aDXYrXwZNCrrStc+EmBaC1Ix
lZeJyeAOaWbj9rNIyhiG06QjkXSmoD8UURTc+soJ8ANp03dYOtxzffxcSdIQJjuam7UtsJfcLsWJ
zc3aMcYgMy+3QQsosXdtK4aFKrjcqg4JssVg8JxH3CBONZSn+1LMpd4zVOai5eCQwfc8JZESXIaL
OnnyUFH0k7NWVBxgeBl5xvjF4Fv/3ATgA+coYOrI8jRT/NXpcqre96WhxiAGq+ZUAjHZ+GBlV/HQ
GNe2rf9pzC5ZiSx27mfI2kqVnTBAiC6gb3rkBfVwj7023fmCn9CM9W/plMQb35iq46Rk39OitC5U
w/FS87zsC2sJ/YrPoym82qYxd6wdSYfJ+avs0zhyKC28NNRJ30JLT5dlMEbXer6A8xh3vYpNLNLT
6CpqB0MpFvYjSrmH+9+4/1HRDUze0bzgkAcgg5+LdJhhzk+bD/ycFcSO0Myf91ej5h1HeqUbpyVB
cZoqcS4BYE47vxnFRVRvhCl4BEszGh2d3N7LB1k9FFPGdku3+978/tQGp72Jx5Ftbm2odvUUMiCy
smrn6wrBNm13sNqR2UkcgOAMKWiieJi2Yog53DWK9YK07J+ot6qPCMZf6CmLJHLg+g2WXAO/N18A
NNP2oG3P36m3upmJDWkVppu0l6pH5lGI6TvNRXFB8isuaV0yr2XMvMvKqUFsDwEUPz8wjblF4qPN
NfSImZdGrgzi9vmJhoxT4B9xKUBKDiSdfY1C4YaxRZXN2ezAN5HfeT7t29bwdlVCzr0+iNc4Lp8y
PfoI2/DiIw74SVblJWO4+bt97QPYTYEv3ISai40jVfIl6mB9l1p5ZHlaQdYeAq3yUTzaKMqngAg2
ByOsIcH/RU43/piNsDmt6DdKK+lmHSjRuPKf9IqcN4PDCrGV0tihRY1XLLOxK1qCjVGTvkub7C8i
aR+UniDzqqmOoLbpatiQWAyNcFDVPEzjpD0GqvVL7YwrAy9iyuzwFptmsgkdAxIs48xtMFrFrilk
vCsVib+p9NZOG9aryZyc196aR/sdbYMOMyfp6VH6EAUsseowl781SDg/H4p9B9PgRL4g4aGK1T4T
mwCmO7GBt5gBCD0UIH1NTG7PM/xskhBE8ii+z3Z+aVPU6sQraLoWIcAi7HLfmNq/F6G26m5Gcqtz
xQAjW6UnnBPJML8c54unRzmluy7cUold3BIVyVRC21hdMriegnK0K3rOl+GVpOk5hMCozr7TVGd7
DOvfX2WqU9FDj7vV/bvW/FewdGfrZt5WS9U8kd8CcyuHPNepIj4TgaxtFWcMD10j83WtpsYV2Bj5
2HoQv1YpvW6OrfJl0pyLjXt6kXGi2pCd7Z28bheC93+xovboiLb4YWKMX0I7aB+6NjKPTB9St0mH
/AdOkYVm0b/0kyZ3HRlMB+QGKFk54b5kBcv3QOi4mq7gnUFYUoL4VhvsS31fHVIfFQU0i/CMjetG
7b4xq8Reex4QdC2H+4Ju8dh0lfVUlV70ZBZ2cNNiWd0S3uvtUKGqub/0HFoVWgQhmeq83LYJgw5/
urV2rD3eL1GVvGAiKk73V8Q9TGuNsG8MwuVjC+twr/opgDFVK1dGU/RwrBTagvNlLBmWTIXe7p3C
sLZBWE8b+nvlE1En+xC9RFaACnB7UbTH31+2Omdyi8rS4gC0y0tlFwn7MLLePKsV8Qwkwus8CD3d
k3wAkFlgXJ57Jk06qYdiwKKLaUZy9SIHYTXgvmUwEcFU1Mo5YBS0zsuUpmIc2qf7hQbzEJXJlkn6
dyfV3LKNyg9Gmhc1K/13L1WwTqDa9aAZK+io3bTotfOE8ujcTsN0Bv/Rq9Faa/Ru1c11m1Ga+bHS
W1jtXWjVnAno3RbjozEbAInwhRIKwfaQk2pwdII55CRhDlIZZrPhQD8+iwwDs0Ig2XpAXfI8tXic
I0Pt1qKwPsrJ+k4EFDdKG0eLrKHMmAYfbwSPpA4JZh8rwfPI0VRoykWb5ohhf4eaLXqXGPgi7Fip
B+K/J4NziMn+UhNnlSsTrC6HgY8+AUDLO5oteN25gwawiqWXL9QCF41F80fMII6QTw73+62Kd7TM
XtjOLLduxT7yzX6VDdJipau2XaI+FmH7UyX2ivyNeusIc1yIvAjXtQ0OS5lhI7UA7xevysqa3JQA
Zl3L+5Uz7dIx+y4mYJxKRMyvJQwUzKCFihPhYNMG3+R3SZw2gqPM3GG6w1g6ecYG2DcBSzqBSnnl
2knLOl3S/B+6/BedQg4tRZwtcWHAS9OZktTQ+/Phu5ogl1Fi/9BRLpLCRE2GtZMvFGTrybPwrWTj
oSXL+G8dwlG5IMrm9i/zf5phUPcqh4BFFkO8HVu6sY0g18UoHaxkTDkdwckENttEvrcdi3CFp27O
mCT3odA8FFA3PJJskTXYTw29zcpTYIoUuSjOCWv8ApwUYUuq8aw6nH/p2EzrHo2lq9erWGM45RP9
RhMaZC2ZdoPRfU9L/DimJV/NsSQ5WzOuUdD84hn8IbttazyQtXjtxLhGcA7iEivpQlUqDQKLvmS7
wBKBRM0xssQdfSNeDTGOpULJGhdc2T5opmPrl9GJfHPM7qP1EioImvCfLyo2RLcGy9XO6EZEZt2R
NlvCxLgTslg3Wb3SguRQVCiiavgGC6OXylIZpJy7+I3pPVrhZO+6if1x/GXWwyGuurUn7XBDEsaH
5tOPZUJBjhEpqh5QwoVp2GCj0Y1ODk7YgGSPrhEvfZP6rmq0V954tjYNrBTcTTwr/QFrJ5EFFkoo
fWiXjkYbwuITdUt8MeEAmNFoAA+InmYgEQ3fmtpfAU+a8Hx5xZKgB49Il8OYPfd6MO5JH28OLcCz
ZW5M/G6mvuy1qlm2dM8AVjnfnObDBlG2zBP1ltmQ35LI/N60dolACj8+y72Ym5tkeJgEczLLCjHa
2A3KAJH/Chn4QrjGmlWG3A74Q1h+bCBSWdWgb63JgsaB9WuIiqfcz75nA1n3LcBER0zbybtwvtjy
hJHX4Ov5HrXdzlTzN+F38MdMfS0pDFgv8JHmHCQbUyDvvkVT6SyMouWvN7A6uw7hAJ2niWexlTD4
kVptohKl9NhArvKZpK4bhp6EPeFXqCzAfklNqHKevdk2DKDYYsUkbK9/jAcAKWmrbH1Pd/lITdeb
sgwFMM2Z1F6LrnmAlf/ROwVhGFVDe20Id+aIJbWmdFgS00DaEfbHPNG3VEDcZe3YryBkzjASxN2j
OMFiSFySBPd9Bdcyr61+WQlxselwzUMh9luCATJ11Vj2W4BOZBnp1h5+2IPOwWBR9UW3Hrp+kzLd
WqcmlKSphiQ2xuVu4Ay17AG+GGXxbYrQJZj6StNLlnv9MXZo4LdGuyUz9w0UCZUeggpqXvUA643a
pSBpFKwyoxZnWDk1KW6QZmEaqW4o0Mwl/b4ck3LfFbR8xiZCig6d20vXAXZVRGAbRBTgkS1q65a2
F5MtXNjBQvjUu5b6ESlr9IRkHPFuEqZgbkWbuMOAyCPJx1eCleJl6fRrIy/IJ4MzsfLit9pAGhNP
rNdefTAyDSSiBVgoJsJjKZzaBM6B2LqqyFSpzaUiPNj8YP8P/QieUmUOUUGCmipEUkOE14uclgre
FkhhIzDB2xTlh2eVcNw5IgF3tv8Zyr47aaW5K6NgPUbao+8RVYXa5SP2o2PGkS00gStl1bBrC9tt
e2/rG/ZLX+fsQwEe6DgoiQ6cGvhTDKEtbzJdDaMjCJryey4FXeqQfBhjQCbDwddNa2SBRWJ4rEVq
uWwdija9fgk1dF6yU9yBvKKFP8b+JhnA9ERBfm1Lxni6vfFTE1K3Ff6aSGpdDBXof1L9POrc/sEJ
io+G3NSoJrQpaPGARTEoQ/0la4FbNR7ZOllOTaHgogFbz5qSinI9KC3dVRizTu9AeIQPGuX+j3BM
Ttg4rwHRz7FtXKghnqxm9if28lmyBraNSJdm7e/7DJF82/vITcBKErS9dMSb5kcrTfG3HfSZouZ3
7EPrWcmZjAs2Hobrc/5aNy00af6UmU30FRjLkDA0WcbtTsdD0JR1siO0a5+Z8jHwkbkRhUWbzNdZ
ZlkGw3TPR3ozYTjhplCPgRcdQ+zfMUbQHGulNiPmWNDGurmiK9pE/UcdFnvTaMcT6728mUT9kOiU
LXodu6BZynaXC7kcrPBVFeVmBCK/c4pN2gWQkevoVIXeocfFqjUbSjXdjGZVRgqWKBlxpAeInVPt
WwDLgFinVagSXdB0PgFKIoUh1degkMvSgdOCOUUNf1FfyhWa4gedQriZ+LEb48OyqE7pH5QXxk+6
O9LerlK4074cf+j4IIBvDVvTCJiwKKXGetyJdcBRkG+PZbKmDTNuWbA25RS8lkiFlkptgdbM5Tr3
YofmQyC22OyQZKbWhu2aioudR2cs5sLmM/WXqk7eCZ0EbDXQvoxUGA9R/U5sXUMLsylcjVZmZgP8
EtDcor5luQDcFGdkwQ1p5QpPbAsiXIDkjPpc8L9bRoeNpiV41x7pDaQaogLNY4SJT66oISAzKCzm
XCw4sqTZgbRb5Ln/0TXxTY2W4wSls2NmvGKNFswdEWaqSTauh8Qk00cRR9/wjxw93TJj3hOSBYMB
kj5cz8HDZElrM4lT32P7ElKn94Xwdwh1DkAoqO/vS9CyzkJgrQ8o4z+mHGq4XgarWlbgkasClLFP
Cy2ahd3C2iA4ttbwxkJSviudFT/ORlJ8xEEDKycPdWiVS9Ou9k5Lyep7k9jQOmdWgV6CPmCw70X5
KpEFLyKTfznQuwwNjINTcKSNYrPnqPnPgPnhwuIYtrA6glnoOaNWPehq96vqyLvRfXsFp4smMnTZ
EpSbUco3Z6KssVRYvh4AQkW3wl1BlnlSpeqjxLjd2RpmVs9OlwrQ/lBkhRuU4H+1HMAYNIalEXNG
9/uidVNL0VyLiKn5XxEODeh2pUL4rEPY3EbbVWtSj611hA3Gp2u37qENY3IodlmdysWg5D89zHw+
UL6llsxiroi8WjMFwF1LQu4C6h6Azh+tQjiLOSkbyCTawrCfmiLzH1iCrYVpfpvxDQJPNmhI9AVl
nDSPjQoHDu61ubi/BOPWPHolS1i2y0M1uKbS1IGVAW4jV/WLYaP119zEsVRdt7Az2AaJu58VzUrF
JNhDocoTPfsTu8JexkKnqmj6bH8XgCRdFd/adIU6LVgVdRMd4ygbt9ge+e0wMFShGe7voizFMkl+
1M46Tbo1a2D+mNQN7jYFSIg3OGINbq7eV4JfXJ9tLPeXpfc/o4jeOXrJDGxSBtJnFeccTHgZc4cg
xd8exZZ07QXR6RrPxiIvygmYi+4mwvYf5eDBwVCLeB/MWgG61td8qjBOJ2q0U4rGvMRsPnabFhv4
wcYiGdL6eoZIoq6GGcMxVsZ7dR+cYF0sNlULQn9oIrkx4krfFlJ5R4gwnNu2eA9KKelQ929W0eUn
/Br/XqxsPIUNUYdfTFc/dzQtBkFMpzGQE40DIOjTIHv8P4Sdx3LkSJZFvwhm0GIbWlOLzA0smcyC
lg4H4Pj6OUDUTPXUphcdFiCz2BSAu7/37j036lq6ETp5aXhl6tDCgQXLsmMyuho6x98DzUDBabU3
zdSIdmAiNCtx0dlPjYP3Tcs5grngzoL/Ig02/i0NRreJVpHn1Qw85OT/1m9maAOCnJMupVciDxLh
Wkmn7MPxQEj3uqpO0Rji7nMLebIZNt71a6kIsRHp1LCZ7db/Zehv/Lt7zbfk41OiCsOdAFvoX1NA
JliuF+O+o8GLdoRBk30DY9puyxAXuTcNr/ogfuuGd8ry9nFk9nG19MQiA2b4r65/U/+38NizcSJB
iHbpArqebf5rXNeHYRypsWET0RhL6u146/k7DLLadR2KHNlO/amNolvU6+LMbNs+R0bu7oI8tp/8
HOoLmORNDu9jUyQ6xHsZiGtTIlKYpy9m4YqjSaqc0w2omJQXb53KEQ/30QyZ7QLRA5hjHVgM3iIR
9tabN3FWWi5zzXj3vQFkZoh/lVVhziiY7Wdh7e/Aw338bddAAgJLFVLxbMdueiIJtLJCoYPEf+Vn
EQ1VHwuynsfcmkavbQVRC8u/pY4YOIyV/lYMPRk2GhACuwjWEVOsr0D2MGmws+2nPCh2laOVW5By
syK5UNu6IVOSGE7BdHuGMGGa8q8qk8GDPr8UMrMQT2LCdZonp9CeTMK7yP8O+b3eB9WR6b+4bLuz
MR77cErfc1u1tcKgvWAhzAzHABbJs/Lz+KCL5OoNE31cnMbOZHVo7Qzj1Xfls4165aZUZbxy9EHh
qQAPh8rfYFMIN7Hu6zsnZC5IOB1TvoFUalCz1SqkFKAmBd8zGSUqu7F1XhLcZF3e2g/AaUsZtW/Q
CrGAS0LK0yw1DrXehlRMHRNFR7v6IiarmS7u7r4oT74V7wbSgx5jqLm+m1jnNratfc8ppfS6P2CV
bYh0hv8Iriw5oRvnnmOzJdRagQcSHU0o2xrEdYqgPXVReRF+XV4seLD3d/Gl0+LLZMFYWk1hgUQM
fdSFWPnpOlaI/RMrYW4hnSOPD4bYyCifd8sr+t3qOcigEQ0pfpKuTIeDF4/Fvg66nwor5IPdK20j
Y8c+AZ9xTk0ZNzigye2LuLOm8Ypyyzn0sVOyogUORR1ZOovhWQvrducHpX+0lI8dWZA2oCmyjvzE
ibap6WN9133zre2AJet1U+xRs2fzSHggXw3IyPTMZJe8tAZsRIIm+/7Qze80Wz2pRq8Oy4cMrUNH
5Q3vgOo/p7oi4DvoQRZVenXt2qYCRosJFm8GgqCEeYjT6GR4FiFKCQ3XF8HxE6ZI5XSwjnkZCv90
h32FYULPfsiG6+gX3VOeO+9J8+JkwG+ttKEvGiS1OSM31W1S3girkqlYVgdnLOMGVCxelGZbG3L2
MkAmto6JmRdJxiZSB/W4XOkOp79w1lnEwKRmYwljoPC2vGPncI9VqL/4wkUIHgavGfPGzejI+DA5
7g9zMae2L4rQTOCshbfV9UK76FljnYfSzc940EMiW4W9Ngm7+sL3pjKgijOf2coeC3gpz8IqNU7I
9vTgCymJLMZWF16ZNogz3vigXnVdDz2qyEt+hUVypG2/b2YPm+m74GgKRQuOAHSorU3HBDVNo343
GaZg5uqMj47Z64DU2O9wIEYPYf/TiyZ1ShxktjQUOPEt17isgOEr+b24UYugRv1jZc61rQggye3e
ubG/woPIqQBdr3W3wtYfsVuq00Jx67XdXTThNOQO9UhenpVDndfmT6Vlv90/h27xZ7SoWaGRg1s1
1SbnqE0vK3F2g02jcP7v2tEunkb1mM9wBI8qc5e4Di3N+TJThAegh8s3bUYAR1bo3TWn+2kLz3jt
Wyd/aco/UJtZmOYxRzd+t2GiiC2txE4Kof0OS4pg1QcPNWr3G4bSZheOEKzSebrWJiN5ebX9x/Al
LW8eeS08IHihbzOo9qny8vpB87lz1fM/H9V8M77WLMXNF+0De+WWUCJSYRzLxQOaiXwTEmqxr3H7
Haw56hE59Y+Av/wnbqeVh2L9JzN1QjfkS+aQCw9LcCS1cyRAHTQpCV4q3bbZhMNzMUGIrtqaZaHt
S3tYh/mEUGKSo4/zvB/CnRvOQWXzcxeSrbuCmEnvcX4Cqx7GBo1WUu4W6VFHVXBiOHMpGg8JY+Nj
mwkrEsdnIZM9KI4YvkarvCzGKwShsdobpGyuRiV/lvgs10EZzFQwXiDj//0usC3C5kUP7o2csiup
fdGeUSs5i9T16K67FsXrmGTmRdUvYWhGh1FLHwue70s1v2Qmlj4Yvru07eg/s5O/1oEGZA4JPXw+
RjAAVNyUuSLzgb/wtK7H3vcf4Rz/FXSgv8KoIq0zbOUWORK88/ly+YQIu1cfm84h9+hXExpjZBcf
XkwbK+2K/rNdxwVHHGJBEWVRHsZ7DXFxrpBtT3Us30Toi3VtWOLhvv9hzNMP//lDNRmY4L4E9Aiu
17iOLDrEFc9vTflOQbXNp9S66LkTvSdV8O33kXW8i4c6TGwrH5JDJGvja36jZ1b+QDZOtSl9bA2R
K9+6VqKvceq91BRtAfSKAw2JaWXRBV1rg8vJrIwmSFUFXie9rr4wb6LB1HV6b2na1g/VX639HQ9I
urqkNw5py8PTTwH1OCf8LeCHa18G0ytsY5seUlpnO7vJpyvufXOrd2a0FbIBbqC3tC3mg1cs0xE2
uaBx5mWHhLDlDwJz802mHP9c2NJH86TeyHveSK0pTy5POYLRf96qgI4YCZqfd+PD4oEAbeucIhQN
rNRCyIOzrGZCD2JamX4AU9lp9wrZxWrRNC2qcKFZ6sGufzVpYbwzr5mOqmNHH88i0sSjQ9zYEWRT
us0dm0LXqMyBpVu3pw0JyisE98yt89vcaIQcK2xa88Z8PlrYLxmOsF2P0nqbk3cPex8Z5KqJMS1o
dRu/AHkg3T22gou7HMU5yBvnAle5WwchIQf6yq8jGN0zEiUeRsD2esNpErPrHe/yD+il836E/oci
ZQRNHVz/RmcpXy5zt6NTkdmYCabc0FYZnsC9GzI+QVDlkZvolKfIyP4sJnDEyepuB69MbzzrSf6e
9aZB2DO1p03CwXKYE8rKnl2uRDA+KAU5znN7fOPkOR5rwQhpuUxab3wKjKk/1LioyGgvPhtD/ysZ
5wSQ5fagb0V17uQjjOucAanh3yA0vDAm8cJzkxHIM3FQJxbUObUA7kH2a9cw0VLkkZX62eUaG25g
cLwd/N3CCamIm9lYRZzdLwd7aA+JadO4mKL6RVX9VzC2ZE+D8yo4x52WF3JAtZNK+g9JOtAVHFf6
GITRnya21GfEBspdLM29U9fq00uwuOsJaPT5X8Fv+arMawyc+doY2fZuE++xKvykaqDdErJxUTbb
xwAT6k5HLfsWqe4tnmgd4zZCQ+BGzUPaDMcK6x0TpyJ7R8iztk0ZPHUgJw6T2U/7uoqT1xD6F4uB
e2kxUd4i8q8Q1cdPTZ7Xx1a1W8RyxrV2O+Oa48y5Lpdpyd9iyJtfiBnLhzKRJVTTmtOyRdt6uVw+
oYmnZqE4KZ+s+MEN11akit/kRZCIZX5N4/inxey9QPaQyL77lE7PaTE2Nw5o1ooBaQpNchYxAnlr
to1wLXgJVXuoXbtadcSogv4SFt+5mrZNNlgIH2ClabeqdMsdpzjmki0gTAJdVmKqzBMP6r1+4lQg
trqtjDUJdtUNdZm9Dz2C5UJR9UeCfRDdRtEAX7vu9lWkD1fOVd0+1kZvlxnj74mn7MqxeFpnndn+
qoL4weCJeuuT3GCiYdIeJXcGQXf6GtdkLRSgajGczLisgrQHWepczoez5bNOJ6aD2xbaTqLDBvWc
9/PJHrSmExokn7vfJUP1mxG25jujso1dtONLW43y0GIIWs00mLM/Vzho7sB7iuy0XC0f98bMItd+
/ifOP2999BugxOb/ptN/RW6gn1zV+RuE/moV5F50Xl68+V0FaZ7cwfltopOd/P+//vI1mkD80YYB
EttsNlhsB3WmhZuxskt2QXAHTQZuAU7lXT2qaG8K13cfCg9kvgH2axncd6SPjloXbf3Ea5/C+cUh
ynxN6bUqiqp5TuOUJryIv8KKrNhcWlsFVmGnz4CbqKj/flkuOToO664ySR3yQuvWmvkTxaZ2tF2t
XaddrZ1hl0Rbx2j6Pbuz9YYHiGS7gtRyLSiuHMuqW2q7JPECBduWU0NqbCqdLZ0vAPq2pX5mnnvk
2VFvTlEfsATKTcUmTLu/qPERhe633yHc8bruwwE8FJF8eBhtX19T7jovjl68ZXoTnOltPzFYjC8L
fYSnYM+UjnvfMNSNAOrpBnxa3eyiY2rRBI/z/8rcfXQzazxVUai9S0O820mgPfhANa5tVPwKEU8x
3na/bTv9q82y+C1DNbDrGtc4Wf0u8LzxzesfbTupP0oIeLe4T1751W5Jv/X+1IJyYeaITL754DpQ
88MaGwjRjHINZkMA4BuCV0cScVXkGYqJWSloGUF+UMaog40caaNTEcdNTcEU0XPNiJ5Yozsmb9Cs
P22wxftuNsjlQoA4y2J/u2jmJ0gUZ0UixTyQwz5XAOGPgNDPrA1GJiPJId1AAQEk6K3TnN913H7E
eUZRhBuQQnKI6EAVzUsEX/GZDQE9bzPoe3wYyU9ApAthYvkwJiXoEiQEaaHTv1lZ9DmMg/ZAa9l+
u5NFDPpMR8Zb9tEn8rgE1vQQaPvFXYHsfWOQo/fooQ070XMEfRrhTqZHGj4TQFG9I0fu2Wttaqqk
JEViIOBEm7yK9bwLVm7FVKMdxgzGRU3KD6qgX7EaDv7Q6O96R6vA5Pixjur6r8jR9IdK8htY3oHc
i3YT5rYHim0+VutU4RmkRyhSrKzgC34JLQB5m3vfDGbQvAWNSY866w5pRTynVcUPFnHWr/TnKQTI
viM2mAMm1q5TJvli/pzz2xIwenBmwXvaQWBrWZHzyIr3tgkPRZKyu89alAnObE3ujI3s7ZTgoTzf
21X9i3sVxK0R97Qa8l06dqfZAv6ekbK96sapP7M8x++mR6c7sUAtLp+tO/1rqJzyEjHP8efjOsM4
/RKNRs1cgNleFlAfBfHY7TO+NF2FxNguekNNPTPiS14UbqVN6lbFEeX7DBIpMXLsY6vu9/6Q8Usu
u3CrapXule/IQwlB5G2kW2dQ8n1B3sS+UariQdfVdUSOuUPrNx2ranBPUc2hrfLNXamQy5uTXV9r
b7S3I1shyS+xv6Jz/JlmcX3z5/shn+8Hbb4f8CbgmkxwOcNpCXybSnCmIJuZpz12ODlV0qXUcGKE
vM1/4wbF4Z/T3XLEK8363C9oZpEh8GvSEU/LECXl2pRkunaRmZ6TvrefzVBDUU28kecbkGiSoN0D
8qbWzsvKhIjkVIdm7H61Imhfg0DmB5s1bU+Vf4iZjj3IoOA8ZJT1n5g/WQrAX8v6lVmE0d6uRbkb
q5gpiJbm34Wz8Qu0tYld/BLorjZBEBSXCZzQLQMnuHaCrPj4e8PW/SvSR+3BVSXFfdNQ7yeZ+1JO
VvgSBcZrwXZ9lZHWX6vKJsTRv0AcGT+0si0urgt6rQlb/R2z3qYz5PtC0hZhMWzcktmiVRgvKu6e
pXD8Vy/tL0nh5e+hMFgBhPEcN/LJmVE1eTF269BS2wZj72s/p48Ss3LuqW/nhGxUshVRo+ekNPNz
ZKNW1hyiE8mRmSNPdKzAM1dT14JD1Q77gZlOQ6uIPheM2c5JFFbcst4tl9ZCm+0He/NVufV4xTgR
Qee3XNSSVQUIuPK5V6dgC4qkuY4N4UGsrZyIZ10/f5Nhr7USUGxJJ8yBQ79b7Gx9lv324MI6KUTN
VFk8meBbV1i9sJcyC14gmkVufRd+39M8m0j8NLr+OBFqOcpbWqOzwz10o4krjtGoNycu4uWjk7xF
We2+0RAg36n2aqzednyFkF2/Tyy/Ws664dYy2WY1ATqWEs6HEUACsRufzD5/RDWeTpemL/SNNDNj
k9tZsCtRPThMD3uQ9ZNpfWAVwHtNlvcuJVPD7Hp+WmNALpuayTfyJ8SN2TVCu/q8vPAU6Dhr7WoX
StU/Bzf0ayH+EHe7bAm9WxOm2upg7m2N6CF2cjX6mQKCxVcfGvG7VYCuROt2B9PwRhwA/VFA0fql
J1gpewuuBydDpmyce5YXZojE0ivpbpdLHNenUUC2ktaA93kxPhM1+ljk5k7i138xnL+NGUJnqr54
iCo9bW+MGPLSGq5Ti9pSNXGwWQzaiVs4p25BuDtDn12hIzUrjRP6sQmc9Dkayvx0/7bQr9g84hWE
KL9N1mTqtpea23LjtzW4hIX0TMWW0dqcn+xCFdlFwHfWB9RZ5K5WHE0HHD8yu97f2lqWXXMDYk44
sNw2CePzKCnMu1+IpVZualX79vHJoK8Xr62ppZ9ittq2m63y+DzlFfDLUc70/eUlSA1t6/DNr//5
WAdC65rX8a7VaaHSXGcI0IP43DjJSIh0odqdw766YUHvONikzbkYzXZDp/yr7qz4skQd9LaoT0wd
SH6YR3ulQSg2ThfioHykN3O1ZKUWiomE4B3ListLGwSUBHOlP1ot9DQ7/os5SMipghA5lrLw1Raa
KQlUJBNi8UdNpo/eM46qzXLZGVN2APpPilQctjtLDj3makmIQFu3J5QirOuqL5/qIQ1PVWoquOFR
/0VVvZ0y0/3EPCV2RN+0qzJ22Azn4nbgRvyPF2H2j4XBlH8S+u+8s8M/evp7SMZnwQ51km22qVmU
z4nBCQZg52rC88ZOjjVqN42K/XmskgNMlfhJJPJOECI2xn7pBA6wHMEqpAFkPZmmI+5w0e/QTF1e
IOA+6WKG2uTqLRN8y/f2ppvZyeNyyJTOp5N7+WPntN3DwCiY3S86+/MB33OHFAjRfP332xpmbwY1
+Br51VVMSr/JypCrjETgUyLnIG+smBjWIqCg+HDoLkJOeigbsTeq1j0JQdW3lLiNImR0GDSiqRL9
JW5VwINN9ilwFAAbjIGm3v6L8QPKuFLGl1E2ySVrwy+/bKlIpVDb1jPsFeGAdWH+aQL/xdP06a2z
632lyz/Ln09wPHr20Uq6c8d1vq+fgppVNt5YY4quq9bcsxeI7suAmb0SUZp/wLg0uVG87DSQCrFJ
PUYv89QhI9bgEYvruRcmxQE6uDUeA2hIfjenwvk4sAvqKuFX56X3SxIDgxiNnzZHd38RJRN3J4vi
H4RPAU1oLPscwrR96QLqS6Lbn/Q6jC9FH30Y/BzvHNcZ6uJPW6504jLHqnjPQ11CDYTL6ee/Y59w
3JBQZ1Nl2kdipdPWRjSA0tVpbi3EeFckrwtcemjsr8QbFXR1dE5ZVTvnqYGj6RtdeCtDv9/ayumf
y7x2oKZP/TsR2AzXy5JpRm7lW1R6zdnzQJTM58BlP2udt6YzhjdD139rRTCfGhKK2f6KfZakDvXN
LJ2s+6ExX1B004lvhnIv7HLfdkCi7LxjDrbE8nVIv9b9NKAUnj+4fDoyHP9S0fogcb3D//x/8Onl
XYVCx/MlcMXG0fJvJJ2FVmunwWTDpqKYXzGB0XOZP+oOsb+bhHzPzLC5lraO8WpkU3Fbgdhlvlw+
oXSzGVfCbZqraJzgVPn5dvnsP/8kGxjmtqP2NkB2fFQAUY9aiUi0RAX1uHzMt0Z55c+4B/VDCIwO
jiHVo3rv1ZO8DLPYfnlXdD+Y/nSETgQMCirfl8RHYw/UVI08B5EI0i00mRHD+Lcc8vlRxLTh61H7
Zr6Cei+pPdgFRJaXjhuftcAsLv+8YIJskbR730vDMSr0GWAMUb0ZzqqyzPPgueRzKVdmH2ZsyYeB
Y8Om82F5L6uJUwmAURWad32Ux14kYp1H3CRxnH4vhrlSpNaR+LdoY+tASRX+1/2yD0npZJchN9HZ
yivWqHzrWjJ+oUd2LIGzX9oZAhKrbsQxZg4IIlkVAkRC4qOLR//Qm6fOLsy1w6L+YyRGtBrLiR/i
gzXlFHmo/xX1yksSsFAPit76qMtfUeV0h6wKzaMn++PgmN66pXI4CXLRtqRAyhdddfnaEl37w49y
KBm6u5ncmdKlTfWTL4HBzO4BHKP4qgYo296YXgcjaH+hfeFZaIzomrL3Pjoav/N8sMKjRRzQdhG/
TFQ/K8tlgvF375cafist5nxot8jjFeOEGqoR5zTABijDAca8AHFbW8ODoZDOBx600WXvXBrg5uDj
trGq31qvBefa9c8yZcBGB9U5M13+ykWjmJhwVRMIhFnEbh6M5FeYtCN2nSBY49o76fMMvFXEnGPy
YmwoGQoYUAa/SARc0wCs/tDd/kvC6nhjbUx3jYPRkfa/vBLv2EQE/Zmo0e/JEZNLkxc1AKefeR9V
Xcw8OP5dq4cxaI/ewn4XegUEECCjlQ+3Ye5kLHC7AUGWtIT3I3JKuelxf1xajeLDUPa4dqrkbRwH
ub8Pu2XeJ+fKOsmidd87BbUCIU9AwpN5BoDhHFGUMgOnO3ZmZaO7XgCjFiYc+/n/LazYoFVBAzub
oXrLx1LnN/vkCJuiiG8CXcp6UD0M1CqemUXNtuXL7qLUcV7nbvMR6Q+kkvkyUWF2dVLOfJbYqQ7R
Ay7YGuHtrFuk42k/DybsmvmzvpdHZ0twRmH2brxUgFgCsrI/Awx0R+LB5YYRhHlKMM9uHLhzmetl
b8EwFHu7Keojw0n3iSSfaVWG2NDdyD4AyTLWeT/426Qlb3hL1ObD0GvOdpDWhzZ7rIP5ZXnX+xZp
vuAOLgzx3pFuTE/Cc7PHxrGIrCR66YdWxuW2zJ1LSOPoWhohuGWQvj8CHMvrQdfMc9cHyZtOEgS2
TOO0yBzunmvdM9WBbc3i6Jaqxz7WHpn2aO9mq36MRRa+tSGJ4WkkV6aLyy5weXjyuvy70EsC3Iz/
HKiXnqNWJuMeP8yb8BUjK6BEw7F0xyfwQn6rJyvGvQNEwYgDxTz8W971bvNT+gyulnbd5BnRzdXP
o6vdFiIOk5VVOsXTimOBc6mz8Yi3o93IObYrBvYQe0b51Bm6cezm2TP9YfDaU/kmXVwvyAR+Dg1x
WG1oTPsFq5F6HZRVY4IAU5aY/0cd56OdkrZNIkQ1R8k8SqOdeAhYLyOtqRBRRlNzSUr97DchmkoH
auuhTQPW5brNLuTWnau6Mw8u2dYnQSHezDC+5XMFkqVL3YhbHbaWpB4KJ1YEHYXUHEjvC0IIOl/G
+1xDycjG+eobIQj+BQ6b+Na09u6zMg9sRuUV0Vbz+880NlgR/S9N5c94jSCdW86RiCicpILohcKM
/lhgQ3bII4horZW66U2HHCHN6hSVb2QfrYZIMIXIr9eK+BSU2ckgjEKtWs0wj5ke/12dev407O+3
yj0+gOSFhN4C5Y7KR7GzJsLKu7QmEZXZEGNS0oEB6dOJJulykQFG2Fef5ysLdPDj/eeS9C+e3Eh/
EiMJBg4xtfc6iSb8uF/q2sGNCLcy9XgTz1N5i77eJbRab2ODZVqHIecTBvLJBdM3sLV5bhLWrxoZ
xx9ZIAQih6Rge6itbTwRMB/K9DUfuK0dMeyizrDOy1Ddj2jDRDAXjnWdvZZ5+1OBQHow8pQWSK1X
jxrjQkpHIQ4YE4qzW7uI2lvrSSvN+FO4GqU91cKUM1ScfQSLDCtsg2Rddx2ml7j5qk3apzaV4Cvz
o5fciKtjwJlqbxUhqiiao/uFV6znxNEtEITuUM8D/XoCFcb3scF5Jz+HZHi+f3qCN5ZrPjaw2tNW
1uSJI/Cwe9Rf52nvyPXDfYzg2YYK4wrT/cZghVLnGAVhvifYntVvtglCOm+IKRLTVvO64H0YSSUh
VMvvTATzhnis9Is9C3isallIQdvdKdHIEoJ7Pe4OTrxv+E1sJpy2xN/q0cEos/ec1Pcb7R6HXNop
3Go2euShZ8w0pPP8ACl/byLD8hE73ehjvOvkYD7Wvvbol4M60dRBLDLUzQ8TRPpqeYkr6W3v2Q8Y
MRVtsbvoAU0WkTicfVYkUPcr1TjGcWH2DwETopDZJOk2If2L1q+Mq63t2QGqm3DNI+Hs43EBZzH7
bZ2o2muhtHGa6adl+uDoQKQYr2YRPIBlrNEX/Yj12Vf7DGHGNumaZtNiBsH+gSLISmJy20OiZhio
31sxDRKiY9x6N7Llx8/QUzlUn35zf4jgvqWpHeM/rK2PuKIjW2u+u4MDpV5g0+/tdiKPJsdBtIwi
dAwFSUWmeDDQvNQK52PQivQ7zlGi9MTBeTVzwoXBHyI33XXc86i+Iefi2hZn4dTOJmo4RTiC+N7l
Jdb1nyYjEQ7+mPhZXLPumFhI75IQKXc1XD3ATSyABWF8i3xST11lbNKWpc+gQGlmbJGj6h3Tt5yn
rbAfgkCHPtS6T8ujFQqbnbEcHkS48Ryocp4M58psviH/+DIdvqMS5rBjaAMkOH/CRgHw6n6PRbqW
rgoLiwC7p7WWc0siMov8IHIU3w3L9apDiHyerNo6JC1QnWGcUPVSkx0d3RNPWox6Zbk0agx0S/RP
HMXGJemgeEBSXYl2cN/RBhxpxtMFbtRmITQI6pCtxnjwif6Vieea303d8jNlhdzzqxFt8OAZBUP0
RZWYu/2zbILgPy75A2h38M5QVDlNIs66Q06oWUXQ9nlqm7+WO7RCesVUY6A1VqZkWLTRQBKJD1mi
empan5n+YHXhMVX6Np+1OgtggZ6XPBTJMxsA+Xisw0ysLRp9Pg5U3yTrIxjj4BEK9G+aMvshQtfi
BbF3Tmv5Zboh9I351DRE7F95Dp2ZtLzqkvZ59Mxwdac11nfn4GFJbet/hWtZZl9kwkCzbE1GzTlg
Qr5r+PpJY+GlShPoGXZRkDHYGumq7/PXuqQhSySWcxzdst8VoSE/+rHYMnLMXmNR5i+AFUBfoX6I
afPdpVNpJqPz/ckoZt23HOAuWD6xOPG8U/99QK3oNzS5Zh2tgQxNYyaOtwZouageU3r1+csQdvGX
Fs36796aTUt+f0osB2P0ZL57LYezMghIk/SsERwrx91/XhY5w3JZDvabNkfcGVGD73lGvBCjFb1K
wNb7pOnZ8W3p7mKTbdZL5yzumacwmdVKCJLWFrACFrRg2/qsGEQ1EbCWl+aNeHpzO6BB7OgwHFJZ
JbvehLw7L0lBXDjrMknjbUwcFz6ItgYZD9YB3WdNynXST5QG81CZteJcZ2G1F1AQf2TNaxtW1a6q
xpxhS/JieJX2xwJxIKi0V0ZpI6xAaEUvf25SaaGVakwgCXzPbZwWWh/52FAtnppZhhDDePdrg22j
xp8fQZ49kFBb7s3c1t76PnhKO9tAO1FWFPgxUcaViKDceqW9p4x4IE4J2XdvwzslSmfaOnFfEekc
269N+KMWvf4H/uP3yB/9piEd5uQqmnUJ+OtteUccbUs3A8H10TGbYRXNIxTpsga1tnrKC7d/8TqW
CCfPHrlVNQSRDGmj0f1s68A8LFSr2CyeEDmo411H1qCy4ImPzoA7HAiEpvo5ZUhM9VEjP6mR3k26
pUMXcG3CD2Q/iPUjhA1tk1Xpj7iXRJ2GfvPpe61/8TA5tSQyX6Rbg6bkPLJbmk62N3mHQQeX7UY8
kDbszh0C9vqR7BD01tQNHm76dVwbOZwyVFoROUdRn3bbRbOlQSTcLe8iy8t3A8PTddRMP3tXjtdm
DsUO4wymQhozEu3bl7BGb6YEyCK6Id6JdChzr3IL7HbJoALgpvFUFanxlJlARFjsrLAz9wKT61qw
WxyTgIDaZQFKRu+XbF1Ijsz3n4vAvnpT9VsnVO8hJTIIwW/G41Ii+s5sLzx00n7pplQ753Ff4PDm
C+p5UH3in/hd2Yy7yYpYx5kXPyfYpPYM6M8mqsID6ToNFV7yaOZOTxxs/r2QKXvX/gVSzjmMlLGI
AMkj1DgXwzTJit9Z7x/w3WSfYSiR3IxtdaqJ/V0Jx4mY/tAY6Jzpl9TDBM0dALxsHCE2N7G9MjNM
OnfUjk+gT5m2j/CPrr3dm2+5lqUbYWnekeF5QVBDYa9HQBPkS8qaUTgCkM1kBc7Bla16oQO9yzJU
VSbYm8vg5N1jUmMs04lQ2aJMsd60hOzgIv7E7EOa7FDfltqeBZ4ianjRyj/DrCYqjPlb8wr6tNKj
pWxpe7CKL1Eustc813kwZwvNfelzpfm2tMSbPCXNKERRsbTEScxd49rfG3ojjzLp/Hc3U1sU4uqn
GyGxRNymHTVp/dZwuDEB1u1HN/LbjUnu4JlDVPxq84sg+PFRj8zso8iT97pIxx9T16ZQGtLpxfZz
se1Vsgt7efJ6xwZKbv10UKbQhO7iGytmfJOh0VHAutW+1CsYrpj5bhpw2tc4Q+AA1uZzlIi+dDa7
jR5MN/aJ52ZsaCXgZX4qIh91sOf1e2k5yUsOOYDK4WoSULJWAVEXUan9WGT19z6Bqmsdy2GPNFgS
4+6r8UZDsdihACe7VvrYCVJBbMs0Nusx6LxHF6TxOlfQa5oCk2WB+v9qaa39lLfT9/K3qP7v4wOj
OixxCROAiADmJa0CPeI5SQdIfcZwsdzwl91BZMxD37rpJr4i3cB/XDiIGEu3p8PH3bHh1ImulQSO
nvYuehXAzRazwgSN7mdK1PI6LXBJ2S4OhRHE8NaOzQ8tNhjhJK0bXyBq+OP/UHZeO45j25b9lUK9
8zS5aTbZuOcALW8jFAqfL0SaSHrv+fU9SNW9lZkFVHW/CFJYGXJzr7XmHHN4M4n6atus27V1HW5z
IYgQQHd219AJCvPkruiDet0ZcIyH6WKhJ7RK0WWT6RIIse9b8dmPQYuLgtMTZWD6Bo14BDP/qpm1
AXCXkNPOrNMXzxkx8NK+wrmTZlcN+fIiikV/aDNQZXqeVqfQTR5CtyovQ1UUJ9kk1UpBiLtSithe
R05vHnQK72UfuFCgaZ5vS2nIde5U6Bss61Ur7PJEs6Q69SKPN0znyS12Pmbnij7ZVxIgawsOH/eI
cdXF5Lcl4S9eZ6Y+XIpQf0EDmz+oMXlmQjhfTRCaO9dDdzj3Qf5si7RC2eSqchrNnP5kr29jrdDo
R9IwUlpwhNiVpzlGjFJdevmrg4sxpNFVqbb+TNUKJdA2qNbg9SyTLBl3c0veCxHdhvAoPcqBYNot
xllp7Ae375Z2ZvWbbGxZRqfOJhENzVLYGa6dIL4ovvTfARIZXUT0jVL9cSdK16oWeS+hUjf3Pi5A
PIEN1R+iN4KUFxoNpIdwqN8de2pvOUg2PTe0T7ddOWrXKaRDZougMHSAUWa3sRhjbHo/ix8rdqmO
7t3lU4472Qj5qRxHdqrTQ438pt3IdHsl92COihRa65TQ0LsCQSQhws0W2n/5xByf4WdiZB+6ch24
2C9vfpzbWmQErHOh7qqnNk6SVQ4G+kl3sycZMWpAWvJJ2j6buoguTVEgmmij/HF+a5DArRHk7Vk7
q4eWnhzpUfEL0zv9edQnq3bbcMApwaSjqZstixWaZ3JJnio+nbVULHtDSAH+XlD3p4AAdsPx08ts
maAkcXfRiB040gO0xWHaIjhKzUelNvdx1fb35B0SwGRJyfxZRSRdAVWpMS9cstRAY0N3WGWevx+S
YLiwrZerujUdrEo1zBmud1spbSb9Fn7+smuGh9vozMWXu/Kysj/XMc0vVA/llr2HtWHfPaxnkwW4
mD8eNvXYPI+XOeBNi1HOhSPzB3/KfAm9NJqc5XiFEnQQeNjoa5A3f7ItI4FDiQXLyz3qSL6xTGZd
L9KmYmkHAZvRqdOL2EpfBBjtjqGOIZ406RtkuqIdeNfN7idVdLxulxxPV0jUODEDsMqTcOqN8JNu
+2ezHfRvXHTP5L6sDJnpp9kr6RZkkZajfaeXeA7TdACaAHNvkAzvidG1r4pK+ZabrI6Nt09uVbWH
8sjWLZN/mB2Mzg8fVPw3COzVdp0mBsInhk8vt3sh8qV5eddEGS1yL0M8GZfWNWLDf2M2z88jJuZg
RY9rbAM+u0LrzCOztXJfe8VTlqnrDq0qIVfWuGK1C77lY4vLuGi7gyRam6anw4LRZm8Ceus6qRns
zl1qdpCr2/vT2AYhUtOVRws9ZENcTQ695m5KraheRoSge7vsK7bhplgGHVC0UBRry/Tcj7IQ11yV
T14+FE+GE38jZir6jCXqW9cXQAm07l2xkgNXN+M1HEivZdTITL73w6UvwxXkhfih1X2a2IODSafu
1W2aWSb0JwLoJkC4G/XxfYsaELctfAqNa9aGbJHv3ZSG7PilsXMqB3ZPmFxEPyLkp8K+dc1UL204
2AMDaoXbvnpU48gjrzfDq91cct2OF741xi+U07xzaVreN+AUdyKcGCvg3BQ23o+F45YHj3DxRTFJ
+Oavee2HzMg4qkz5ohaxsWHS9+JhOcORV+ivjiBBXhVKeNLmsKwiSpCBBrBLAmR7K3MaCkEtHXa3
tYVY6/A8Y/Zt6u8t7v2jl9n9YrpYf+26d7fx2NgNI/EDSyqUEfRBjvYlES2dWi0Sj72kex/FnSRT
kCZ8ACAMOjseA3WC3FPZIFyc3ktQY/c2WpVjm1f+Ws068akN5aJp4mxLNYzSfiLoSwt+TO/q7U6f
LxPYyfTM069DkqlL3W2jvVc+4qPXn10PXlHEjHqFBUluSy+kqg+G6GTYvFYtlc2DUXbMkIz8PMap
snLzDveSZsfD4XbXZVi8pl0HzRR4YRmU31CjgS8q0m0NbBXPObPaac1UxdBgG7mTTa7eFYzytx0B
HqfbG9hJRP0yRHiZoRO+OYPMojqVlm6s8+lmxrF38GtUfefQidn/IsCPhJqubzrH0R/uEiVCNu/A
+v9zllQz8SAcjEnOZHlKmp50YTapiP0Z3DXVNdFDKqfcbhYxSUDH2zMD/bpwJwnS7Lup/BFcrq+2
K3tuXscq5B7y+3adH8uFB277ZBixt4uYZd7uzYUQbpeKHXFePfi2rx0Fm0vo32B+57XNSZFo+f4w
tS3zwxxM4KrgqTwPilaoJagtipZWrgWta/RdDxj1mCyomMwvLkI+h6vpc5t3b+D04KunnlzPbb55
3WldUa2KXn4ZTawirdmYVz2L46UdZVzrDP0uCFV1qVpMkDId04KGTKjChQHidcyveqIDxtMmNIU7
KN4ydfRvKmyxQ+JF9SpMqmAb62VF/zCqTjEhwdTZwFADoblL/rhyV2ENZm9NlU9z4ahkVvIx3UnJ
pvgYovrINSmdv/LztxQIdfPPzD9M+4uxL7nnmWbxhoypdfH8mI4mU/E1Ms6K5QHLu54p/QlvC9Is
mlDvHFLYfoGw3Tt2KO/pieXMNKTyTjoem7E/DfDzPTmZ4kO5trN7WyHZLaTNeG9OsFqU+tVJh5r7
jBrQJz609c94pdxjnWafXOrl43wTBoLIMPRAxJ8a+9bPMW8VrrHHCUMvsmbnXiJZeI4kCKnaYq1X
SBk7zw9BHr25PTzNdWmxfSNkN303Qhd9FvLJQVXcfTzJRnBoNoshBOxmdJ1+ygVij7A0um3cgMJx
JsV/lbQvcZM417ILylWiVvZOts1rOOb9IdLskHaJql4h9ZE3R9Nc9GurJMWVDmx84ICMYLaVJBaY
6C9o1K6bmpyFuZssZQh2As84xyNQRKjYOmlgOgdwviT0i2G8aI2EfrT7adBbEvTQLOvLgubGti3z
7w4OuU+D0mHZJpn4ZjNtLM1j2EtDDbWaXAFvKt7RXX13Y55LF3dXtYTB7HeYPLBhwmjHPlYEyXM/
PVBavjz/gNeZ4e3enz+q5k1/r1dpv8JuVbxiJl7NmG+nFtY6LvsYZlBc0r7rVp5GHxenQAeBhZxM
sg7ogVtwP5K0ZYX+y+PGyNePVSLEcxPdK43TrKRe65dSDjAL/PFrNqisF7miXmSUVQcFItMGuBNE
PwbDu17t4kVTTRGOZUNElUZbusnPseqPU56ut84aNrnASMNXtZDFguCh4RwUSfjqB2Qn64yCbFEX
aGOzQ+F40WtOeCXAMwAy80+5Rfqlce10m3eQmgyHSFBtuoDMN7XrPeUcOUcvav/4Uq7XV8Ly3GPs
jFSZvuE94MSITvPPRxLXw80bVvscjuQBNo9kAQOhqckfESPi/qi7syyzRagDTz6xmUqy74lWxvQ1
NoSfujIGZVL2AAex9jIfp20X0fRhxInusCvKbtlauI4gIbWPWYWGR5gVp0pfbmbpx3xTT1kkto5j
MEyiYZM2n28Tx85v/cWQ1/Y3SFQGneSPIkTnxVvVPRVocBedKoKd0qMvcaYbpdPJezU92jE4p6KU
LUM+aPdBosu9oCdJDCBajq5p5adoJDkNNMpLKfqehm6rrRPc2Ae1gPuPdG3SyMlQovuzrCPB0nSN
6s5Zzg+x7hHBkQwCjJJTbrIwHo99TFMQ9XHGEMOq3pW8GfkYwhV74IfMDruLE6ZMuQM6MSCoSBJn
JSpFiimThK15e1kZwl+HPnE5Ri2603zPnx9aXBpEmzzQPTevGjkihhdva+daFapOEcNNq+fj0SoO
NsOeZaFn1Db6lN6KY/ohwu+6LX2vQ/qVae9DexGjZX8KzZHJi/VQAzQ6S6b7GGgw/iy6MvI38xcV
v/S3g4KoN8oLUtARnRdlOC5UJ043Qo/7RVdX2SExBizJsUO1b5yDvNVW6PeZ6hj6BBaanGJdz6io
WghEYO+RYstdRub9MsitiLyixhjXLVb+wmDJrJPEumaEiW/8stAPlesOZ0uUuAVDfXyBLvZZGIry
URl8RpLGL+T0r4Iu6JClWItx3L86GcCJLnHu+8bq8W5Ow2zPgf3Ry32NXXehTTGqvdSGfT6hEMLa
ZNrKJGUoc6plxvx3CklB9Hjh8wtJ7qrehdVhkEA2aRUNS6ut40NQScjqXbyOaFQ86kaVbr0cXDjV
2hctiPAjNDTY6mTQD2NuVJdbZygX1qIdR1ARkHSwvxHKVk8PCcB0VjLO9G3tkc4uRFsccTfz7oGW
3WEhVXcAStVNlWn+Kg7oVbuWkV5AsQZwb6A5GVFbfg5Sc292+P0aJljbLM3T7dB5/R5tlnVRhypY
tppVfAvBMpYpyjIndk6wn+Aa9kG2x7tnb9V0MI9afZ0M8p/LQXVXI5qBY68iphrEuK8k0iw1YjxH
FlzQ5JgtZF8/Cs+711O9f+cqNZQ2uuapaEZYWB7wEuKltz3nvtAFL3y6V0vja9KCrx+t02QEfIFL
f/Qb334A9GA+06LyMhxLOMlKenKuWMYdUZZp06YbT7OCc6SJYS/gcsAjHYat1rTZYh5Fo4/STx1C
mhuYntCoTdd72X1PXk/gX+cwYOZk7L7ddqWYQYHpoPWe5hsVwSzOy8f5gcQJh4dHMzZeMU0XE/hx
Mmu1jReJYWHMhmZa34wUUJGuf3TbCuq1hqKa6BD93SoD/bXMtWynMNfmSsxDnSb8MjId9RgW7gnW
v0RZi3SWayNsoGLvKQNtGePLfFGG/6ueCnVIF4MyNDeBYdNOlkLsygtr8sTOVthhKNxjyhKgTtEf
YF1fosIx7vt2LHatrOO14kl3OU/vlUiaRxmiSJnfMmGRcGJU/soxerIVRm9yqRencrif45Jx8ujn
rC+O8yMKIwCtM47ptq+VemkQJsdvDWSNY+iLss1sXLdaRLmE9r0nivg0TyX9STsaK5gvoLZilMx1
Y9ukDd3Y6aocYyu04uSxhFxWjSpxj2CYN27i3DWD4ZyGNgx3g21X+1RTilUhWkbVdJGKIvdeW4sQ
ocAAU0gmoX0lgnc9O54C3ds0bZ2fqzi4KGMvd6Gigqpyq3pliJFhla9ZXASs7PvtIYyXaeBOJESa
OXeAHpG3NjqyTL8xt7ctTaa1j3OjG06ivSQUpb01ugke5oWMAV12ujqdXiZ3TIK2QM0fcnwy1MW8
SNqERMmmpxCF10mBCkb/drpr0/89udMNk3V7q8fVS+u4TC5kiHPYMTwoa0X+XmkddWca3deiotaI
S+9Imw0/lj4qK+gMy9gmdrCfyowkJiQtGxKdbhI9bRva8n1phsVuqJVmW8kMEm6UXoLaSBe5HIwd
xqFny54G00rtk2EAW1dDiFxiRksDxrNDE+fGQq8hSqAOmCbUzeiuIBnlJVOvpLJfb2KwIfDjtV/0
1sLrvP08A9BqVIU4txAQaWOmrVMlRk7YGeepBFAyNf8a2MrVs2r3s+a+UMickfWE30xRf8YfHD7H
MvC2DJaC1e2S5oxAxNuKbVZFofqVk+ri49J84e8e6rHLlm0hy+d46OA0qKX1YeCYlPjpRuabq5Rr
IR6ueiiP800Lbf52jzjHR1qM4zajTjDPNjDqk5OZNM6dYEpNmRwgede+NBwgu7ncNaPc2EQ+eFfe
lu94DrSLkTUh3i9bHgdLfw2FZ54MAXLAGEWB3qj7A7hPcAKRmWxBb28LKgfa+Vrm3M83CH3cLWbB
bpH07h9fm78xyBjTLMKMZeN3n1h50K/LIj1Gae/dzcVuJlGwaiYm2y5YzbOjXkTmQxBjOJ7E4UXc
vVS+ZqCjdmgrOpZ+nO+pjfk0wGEp16RX2McoC+QSX632KmL/owYh+UH1usRRskrNsce9iDUpNFE0
otzvALpOVmc3MKPl/D/1BmRkFYMB4r+vm5bxSZoGEm0B1OJba6cZSCbx4+RTNrliqQWw16SVOBZJ
D9vCTwCNjMkRfxHRwvNdVjImX+oBnq1+bmHF0IupTrM8rLDTgbrI6NektQLClJEFQtEfJmauxNxV
9eueUsaACddBdZ5uKuEfK7z8RwaMPvFKdZ1usAHRH2x0hU8qJrEZy+OQyE0HVPJO+k19gENNX71o
74bpS/4EMPdYNVf1qBO5WAISUcpTEbTDqZpu2iaebsxqUZDUte7NoeRqx4AhNczPhqZki0zlausF
8BtV4nKOWTVy0VE4qeZM7kBF8EtZdxGJ0R4ZwTHrnRo6QdS4S7VEmxXRzniEmbMIplUEQ5h3Qibx
2SOoZDM/+vPritaTeaDJBRId3HC5PZVbgw5IN49s9L4MHRT65l974r+jvJRfW+74IV/BUW5yKUsg
HV5qkSRXRXoPszCodNuKGGF2MmgTEuJLyjcV6RFt4689oJKlTZf8Tk1HoDac7XprZGKBxC9f946H
DGf61OpwcBZEkBBqmCXmPZRphqbTSFSgklxWLVn3MzVPCSOTIdoSvC9pOGlHRVmQpOdLfUCxob1m
aIQWuZVj8sX/BWe8AACtIS/wGgoOa6QbUzCvO3YOZaCjpas+0bOz1tnVNdQYbHL872nbTsBpjfE/
/dHnzGGtc4MclVnDggfxRblLZXtmjOC+9NS+xGO6PZL9YDNrxO2hvHoxTZZZYGh16T4FG587/RsM
RncFmfabZyvFIZqAO0DXaekNKfAqm1xCR1OSs6Uop5wBxWMh/c+Fptm3R5qKIMPGmk6TjG9GftCf
kXa9zI/mmxaJnDmSqDs/kokGMDgFgm0GcLXiuH/I++K7Rus6DAm4oA1CShiNRhWcfdpK5+wrCMIK
dvyf2A8v8ykeIlE6boiVQY6gaIvCRYu+JKWdxNSUvqURuQx+CcgwtJEMX2k2GwHtTIxbdmUxx7Vp
HAv53umYYVbhxM2vzc6iL8mgoA2ZP7BgMdlLUhRdqvkwjra6NwznFWtpjD2OFAC2nt25tpM3dOv2
Af9VstGZty76vvW21pQVbxdJeRnrvrw0rfpPSXfyL2hDwxYOIAppGCr5h78GWgW9JmhkcLCIYiCl
ys/3FZyyc4lu8xLL52CaqYxMAY6ijZdhGr0FcMeP9mBb5zRx9UWiObtuCliZF/0c3PcOs55ORCdf
a5QYTH15l7lkqXsmHdP5Xmb0zFfQwd4cWT0xkTeHFiKiEVQf8t6mlwkmKgyKRqeEW6G0l1sfPXa7
VW4YC1Td+Zc2S5hMDz3z3jRr6OEjRAqnm2EK5pN2JA8Asn7QE7sWXRwzJGAXSw6jLDsMuXYjf2pg
PtCuzdkhTr602mOMRddNvyQ14KpKousPjQvM7mhNIWHc8EVR71oLePHpOkcDVkGPeBdWkcMedocn
1BGrukv0deXn6raGFDNDKf/X1/5/ex8ZJO/By9LqP//F469ZPpRMM+tfHv5n+5HdfU4+qv+afut/
furn3/nP6vH/PP32PSt/Oz9unn79yZ9+kT//x79ffa4///RgjTq6Hh6wFg/Xj6qJ6/mf8ESnn/x/
/eZvH/NfeRryj3///jVrwD7y17DXpr//8a39t3//zgn/A55z+vt/fHN6qf/+fV9/joPPf/mFj89V
ze/a/5oYnVN0o0qrGjHe7791H9N3rH9ZKNvn7HBdQ6CkkeyG2b32//27If8F147DXGggPkleIiW9
ylAS/ft33fyXQTdGdSzVcnRQm8bv//3Cf/qE/vzEfksbwmTRXFXTs/n9t/z2QU4vTKoaCm/LgEpg
4AsUwCn5/g/pcaBeyPBhlgxPjFZ8ZL4PAtl65HUkE3ojJTPZ9qXUnwyV4oK9a55AKo8taysb49VW
O3zl3WNpjFuilj8qcOL/lG/3yxMULLECCq0tQDZZhvVrDGrYecKBxgkN22rzBQHE4U6mdr4LVS0+
cEcQaqHYxkLBZ9e61cHPwq/oBZtHWnYDqNyIkRrITeI1BoN2yehi4zDEHhjz9x8+8z/e2h/fSvNn
8qnkCarSEYK4QZ0alc/857cyVqdP0CzG2ywp8+Q7o5IeKxwVg182KCS98mHICfXIatsCXUzsaDUk
KA5JatvYXiZ2mq8G67FBy5YU6YMZY7vvRoQOTT58Quu5E8z7ql48zFqsWs8ZK4Jh1rjQAs+f5gUY
Gb4UiCR8Ykr2t/2V6xNvqytE3NnVmwqX9KkvwnpDEMBZGoN9dBtL2dy29wlpkwjZzDXm9n6ltnF2
qHr5XUFLfmF+nNCWs6f2jDEiVQrZzEPU2szW3xob0j+kzE2H/4+H5vR+OrZOXgRnjtA5Qn9+P0eF
jUjdlXQ0cuW+a9BrRxG8TodBxCayZbgIXGdPIb+v2Tmc4DI9DX5KpommofRHd/yAAfDt7z/jX+i2
02es6bqq6wzXiWDl1Pn5ORVRqbFXGeCUTT6IrmQmko7jS96P9V1Xq8qZrjiQSeuKsuH7yE7jFnTM
ZPA1azT1tuD+tN7+eMjNsNgfzl6ejsHa5KCEVi2dlMvpUvrD2UusQtW0SVgRjKrmawkN4ZxYzPc7
jTEi2NH3WcZwG7UFZAMzSkpIs5mUErNDBl6mdtRhjR6SyIT7pL7bXee8GWFWLdoGtHVuWEdmzhpR
pwkRNWMoQBtG/h6ER7bWkkEuuryKjxRgweb/+62GtGvzlkuHcGAhf3mr06LEs4SDj+tq/mLQr13l
CEQh3Xmw4CDiADHHXtEMgFw/c0WOjh0Bcpt0skUmGW6Av3868i8Ho60ZyPSEbgvBcvTLwegMKNiy
ChPzjQPh07IWnKOY6tTkYmghwk3cMX//P39dnIUmJJcAqYnpDGAnxFXgx493aMeQLTJqHuLPnxUz
YjEB2bJMGQahUEEty6dooIgOkKS1U4+/wRS3ScD7b4IYv7aXnOZQ4sLQ3oQGQcDXRiTyFqD8v3+m
YnomPx6IPFPBCQGhy9YNpsnT2/fDgZgOxIRrxlQwmjpKgoB9aw9HWdPa9yqFEEfohlJtC5w1z0YW
rdiCAr7paveAe/Ed5vu4TCujOzajeL3FkaPXHdeRzRlVJdj+6AvcqUl5tScdkM/op6yd6L7P+xen
V6s7siPZXtda9or0pf+Hs4wp4K+vjnPLhGhtmFwmp4v2z68u6PAXRTpEBGoMZ68Iue1q2km0pZQj
eXrdohgIn0xE+lhRr59sqsEVmOYPdUjEw/S9Pg+yR+oy5ZjJzF95OnCnzs+x2Zd1cVHdqW9JTRVl
1kfDRvEk21GufMCOm6RsD3NgXmOWMI+U7M11snSnWOGnzu2qp9aWkzDrSHu/f3ZUjaHGqeztap3I
wdkZDcErFv22peuocHalTB/ZIt+5Qwwx2hUZO3vMhK0ZRTtfLfCdU5xESJIxs52VxM2gWHq8PCPS
9qQw6U8JpJOpEI47xIck5pyBbajw8ghzL13ZL1Jg+QuaZRFN86492FbHlSnPcEAK9vGzQKQa7Cdb
QYcYqwwdnMLRX1W1WLeRJMp1Yqewao73oZvve+J7dgSiOStWguwun8wj+A5PRhSz4rWtCnSnkmuP
ILZdaPaCppTvnVG1gNMo6SGo/PO9MBBN1cF9w5V7r0wxgLm4OloNSEZlQQzyKN9kZRyucp15sg1G
Zt1YRnjXtkG5tgM127TTwddPN1R6S8eOqqcalRRMZEs9DR7I7Y1mKPmhLhWxM/DJLseaXKN8EG+K
pWP6SHzl6CBZ3xTItRbCxA0y3xRj76wZ8eAohoBMsYY0NE/VDzZlh9T85kXep0zU2UPiqPYxsVyU
TVFBtwaNFo02O30RZXNfNR45AYIVQJhCP/uuC08rr1G6GB+QSor3xvbCZTrW3ol+H4LGTDniehj5
vLmXQXSK0iZ7qMP3ioykp0oAm7wtMKaWYB2aBKqAjArgoBWtQ1OsArvQ3jzb7wHDliNowJraRysC
KMUpDu3A0feyFd1G1kOxxGn4bW7A2sScoa3cdtOBHmdGAh2r3JGItxdj0b4bBrsW3amVhadWxTFs
2px+zvAlB3LwLUmLdRwp5/lEsE3bu1bezs8yRGpqPG57DuFaI6dGnTdCeBTkPU13cyPIbtkxOngO
PTNZCTojy8yyCS0I1Y3vuZeRj5CpPOa3Aw5x8xh17Cps4OBrYN6LulCDrZXa4oTckEaLkUZ7Udrl
joy1kTwU5mBzdPz8q4XUJTNC+kma50+5OtI6Klb+gtUVYEVuWpuMSh7qxPjm+eV4gPnSbvuYwzdQ
A+8wAj9d6w6SyIziPZ+aU/jNZoTsDJMdfCg6fUlAIbkaW0YT5uP8v1XEDieETgXHcB1s8Ut2hIoQ
Zdfow7hBGwb41+CUtidxi46MCBJI+cw1pcb5XFkQ0PmtOQg91DPr0Dn1RyDsbuV6SrYO4HqsskyB
sJXV7m7eMYAiAoIBeOSxRSWTaN24NUwrOo+gI4gIGfONYSHz1pKAFUWrgISW/qHWm+QpavUEuNU9
CSYOaILWPM6vwGuaR6dqNrNdPmHytwgsVV6gVYUodlz/JYWYswgzrQeD1HwNx4nL2CL4mcGj2H6O
ZJ5AbBHELTX0EZeeF9t71xgqulCRjRDkQZd5wEwu+QILwHh18uEdV9veqMrh0lRhdALM2K5av1z4
lUPMezZ2B9sf7xwU8ndjlqqb0K1DDPsq9J2avSdm8x32ZMYmNImPTu00O/erF/eg/aAq3I/o+fDf
qEdCej+FLerfXsM21XZhfw80JKCtqa/cfso99jr/VKn0LLoe1nnkoQac71WJ372YQ/umBftYleN5
NhMaAxyd2+URAaiFeaXS1r5Mg83cZZMezhNdj55zNWivnH3v0hyGTSFq1DsBHP9Q0gk3TDvbYX23
FjmZKsdyupFaRiJSAGvFNa1k01IkLwSMaFXvvwCpB9uEHw5zg4vb2yDPdYoZDgrNPOKkA9E+X+Aj
jwlAohwojZh9pmaxJioxWhLO7ZzxOTIxmLLltTrfiijv9moQfS+SMT+QnEP/OdCCO/Td1Sry6muk
tC8qG6O9F3biMOsSK7v3rkZheguc7uWLK6MvbsVSXpeAws08JZ4gzfd+06XIQxDZaIz4VXKnqyhr
n5hFWxvzUI5gERysZZvZBAFnrG+6OzdrLlD1OclF5W+lofaLVh/7Yybg1801j69o1WmuuBCR0vD1
kMUGsrtUsbHWQq26E2qA1AVnGFJ8e+eUTfQeJcodotOJmpbeq9QM21zR72bhmM8VdSUHmW1oUoM5
Mem3a+46H5185bitvYHlaB7dKbXe0vR+5STOsAkPnBDNJTDT4TKycdrYgOpDO3W2Fj3DVWEStpMH
DDNr8gA9WevXnDppFXtaC5IKF8gU0EOg0c5HwGVGbXSab5Bs9EtAdwSn+LG/HUXS73Qnh7Gk03SU
YXYc7T5EQROTgxQxi0nMsjsf0tCvTvl0g2+SdqDs+83c0DU9R26yegeDNVFKNDUTJBO6rr1LdPc+
DGt2gk6hbSOD3CecUh6DarLsOu+O8JgFh6Fzz8C/vecJyk1V5+Oj5gf3pdLuWvxPWiacL/gTYQdM
b1HVW/oaqz6Ag8KBSALfDujgeCy8JLqajbGeR2Bmp5BCTWLgPguR3yedUm9yOzl3Zg6RiCv6E9b8
fJGUMfBBfJ9YZ6G/qr4VojfDJzGNDtTJoFB65lcf0txdDbcYUbrxWHUZeayT7XpUvGdCOCBq03C9
5uQGrMkWj3aJlUYrNwWwscGEoS3iomeXB9GFFLjsKKY/Syaktgybut52fcUA1uQ38sQteHlAhipW
2WWP5fEYhXb2ygm9sbImubqB+uQUdXJfurm2YJAzrTah95AEOscBAgAbaTEe0GvfW9HDqMrHxiPY
dq4G2hjvO7IBNutd3l26in/BLoas0ZxEvqYvxpdEE9sQdm1wr7ktiBWb3VQmD+xt2PB6w7hMUDis
ZoS8nnrXuafdGjGXARgRy7Gw7uwQ3g+YoCfoi8HaR1CzMx2nuggdK1sMx0ZkaJsqrnfmkKxztw5W
Y+uSlzT0J5R93YZq1100tACvDIMVzr8uYKQ7vtlh8c2WCiIYDPMQyjPML63FKHwSHLUFjqQy4tSd
lSYjqIF1nUwkkeZN752r3aXpUzVdjQjToA2zsJHcX0tGQAzZbTrOKiZf08CCTRyH9g91hFB/LSMs
KiTVkA5lrWlZc07ND0USguMo17WUEnrSOoFK3c6DQ6o8lCVK/0mvGPb7in0oCj+E6Vah45na9jeR
f4yZ3URCVjXlTfntB4LYn9wy96Irt+ig/qHZ8ZeaziKeRldJe9cFq/av/SzRFQhA7E5QysUDwmpm
J2IM3F2VyOqcodAxWqu9i0AYr2cN1d+XlNpf/r2DBJvun+noBOXY8peS0s6lj6vSrRcRGrRllwf+
JnC8dhloTbnMVbXcGX7BjB6X7TEMnArp86awt36WA5DInFMrtXHX2BZMnpZAqNn3qU5OKDeExPX3
T1b/y0frWIgBNM0xbampGNJ+rhCJTzTaOszKRYCcd9lGFvFV7F96fLc6/PHj6EfXQrhkntPHf+4x
o8yThGmXcyKPB8NTS1jHvIlkyQSOjnFrIRKQJU5tOJj/TKx9FaCDLm+/dUGVPCZQ0rDiusHGZ47z
XkpS7uwSf2s1KhsoCcY/teP++hIdil+YygadaaHZv3SKO4X5JFgdLNTTjnLsuVKSygcKAIputm5m
M9h0tEJBImwaX+nSVElm/fs3+i9NQc1xDJMDwzb5N1KTUxP2h3PIbzzUHGj8F36pTSFiIdIAtYQo
h5bxgaRoGiPzxSEcHSJj6GyvwH8UB7Ovloxmi2/jQBpeS7f8H46Av3QGpydmWbSpDLIcbTF//4cn
NjqDUKB9kFtKp+xUJ9opEw0Kzw67sucFjzh2vzaaoOBLA8INpnCepoaZmkjDO6uoqf/hnaKJ/8ty
I1RhWJo0bUOnlWrovx6TPkTzytVY1cLKJmVwe+sxOEsxAPogG42cU62ptv+XsDPZjZtJt+0TEWDf
TLPvpUzJkuwJIcs2+z5IRvDp7yJVOIV7JmeSsOxC/bZERnzN3mtHdqf/FH79pQfe8NL1RX8sZ5Wh
ylYFGPOedjI9CRPhsBZ30B0Cpz9MUttgby3vZPsY16CB7pPjCFl1ObSZSQ/eYiiVWV9NLNW76dkN
Cc/t3OzUSP/b8IW/unhaRuDuryGScLOrALbNUiE4mn1ofAHdJTFc0sqz9LC8GUuj5Q9ECo0Or8cU
xb+/h0vfNXHiG1jtE629eyL4yff2kQvGsoQojvSaZ78U/FOSxH7N3OBpmTS0k8jvpv8BPn2p9KYS
am2t1cZrNOpqm4uRQnUe00vD+d1KBWzFAceODui5qqfuGC7gYZ+A+aRBUtjZN3P+qKBtrv/Tiw6x
daRoIxWFTmNbS8EAu5Vjum47ryOCyA3ZnXvyyy7/dXRlf8cBa5JeBgXNcAEdCCfA0+BznIBbP4Jw
rI4qdYp3vuk2/VeCJP6/wFmyR82Ta3JeGA49RRI7YMYsPNW+CHAbDOE/GNRiFzthdSy1Chp/oDcP
PdcZ8w+Oy2XjxbvcxtdUyPRnQ1v0F4Y+vEhPogTG+GynZrWV/lhc26B9uHmjPm2V0rgkffAeSoxy
UVvI1xE/BorzUtxVgcCRnpj0zHRrRS0ZBgrBvimNbKdPaEf7+RlSEsxLNBuTDb98VQWjDwvxXJzp
zkvH+21S+FMx9C1KVIqg3htJMvew26pAXO3OP1t5DHsweixeaiR38oK/TrDjCVoCnnrCUZNMri0C
Hhdo+MKFZRH0/dhAUtx9++SYg6NogKupu3LWbQW/EONQkRlfQW3UvK4IAmU1FqupsMZTC62U1YSL
X5IMAFwYvMauGo92m95Kp0ONMUfIB4O3JszK3pBJcwn92NoFpjB4SRhor+2m/Vq0QeSsRLf/+Qp7
JYaktCPeGtvgc4cDYDUO0nvzyRBpiLpbJSTdHpb/CJQufYWJTfCgqnvWwfIbcwBuJKqsM+CRAPyt
x9K5jzS95CDCiHUZE+PN7DUIrHizQOd+BibOm8RItT2+JrnNYn08xiSqYqN2pqe2MKLN9+E6VX6y
9XTrPbPskqy0+DiMWnQpqHxWbTzmvIAGGWaODafMIfEVbtXw7tTjTWZ2+xyCLVmPqfmnYO/3Eud0
zrWAjU/fgMgPykgxhNxegfGnSZ3XBZUbpZlNa5i8u6TLX3CGrhQYrEcI/eGIqxCdtdFG20SrE6it
+XWY0bPtCFbYC1oKALjMr5hNurNXCoVKki7vnISIhcNsOkm7B6Vhez//8yQ0Xn+bHCNYVzGVRJJg
XDfhfSzSTJTprVU7lyoYe5Qu+nXRzS8KegWWGtZCz8sTTdEeLUaHbQkTVExy0Fpz9Wgz2eN9QZYt
H91MMItol1kV5uZRd4vkxS1J3IBWIVXq0aCmcr1gh7SCCa7V1c6ehLh/Re/JKytE82j4O4fmEyoT
nbk/sX5ZrmVXcEyM0t+7gzbsAOJ038LVYtJf06YqDsu/pfRvWRis0/nODIdjirFkZrXLN98MT/Vk
m6AsaPHRzBFnj3HiODGnOw3eiFjWZfbqE0ZrSUWtqhu71mm709IeFx6T1p5coe/TOlbmyi6t5jkW
BVG+HVz5+SXpfF/bB/y0V41lTRcLiPxUQSWfuRwNOmTdSW1Si+E/toFID7XCSamxgNQze+LYQg9U
Wu3V1xME3KJo9pLlGq4eV+1ZWGz1yM5uNq5eYkOcz0VNlIqwuKnJ+5w8Lz63upWvFjEGcbre1TI0
d2fqiD0XHe+i6HVwj2xT2aPgDOvqGNtteQBx060tZiQbs4vqS5w53UaUvTog8nE2ra4h2+wSteG5
Th9l5dGGLMXI0hrN05wktzQE7xY6nbl+qj3ONPzW7iqQsjz7cbTPHMmbsEQECWpq9gPWi25YJ9To
zb7xgCTYEMhUDx8C4mgNxro/aKkEiYBGBs189qkz397KrtT2GHjfnDE0t34WWBvMFOSrRW6+Kdmq
nhm5Py1FUjwSHZCYjXnoCElAiDtd7JHsQps7lqwAMK1WD/gtasYvi24dJ5MhcFHRaNt5bgHBCPW7
yQhwh9u7uQR5mq+XDtMiumQTsPzMZ4emptocnqOMDstko7PifrPY/YK6/zBd9DUeckZocNbwPugf
USNvcgmTGIrffharv7l8Jfj+tSwA0kMtu/XlH/TW+Oqast0usYDAaFiA20nZ/RRKUYwYXYlrqNs7
pQtiutZZhE1gOyzTCj7cHq/mIW1k+DDrol6Tx2FOB9W4T8vfqufffSZIfBVHebZrI4SFFLfVOTWB
SoWj/uXZuX/qrDE4dzRuVWcyjemH/jwk+oxtqde06962c9voRQmkwdwB088yjV6jeGU0ZXG3MXHt
2TkMkOVDDPd+7G2D4bBwCQsI+zrvyl1xEXNN1MS5LSgnE+j7vmhGspQHTL9O8q5b3VHpLCLL0TDg
c0YQZeioELgDEixSezgZFYGKejN+ThyFDFaNeG+WOBUxU+FDVIoRt4FXaV7o2GV8zP3k1HTDcNAX
pJ+FzGMt2opyImhYCI32vxweuTAn7nnWjbtvPzeu4jUi0uriYsABk0ZwS2LqUX/kdShOi+6MXErm
B1TCOzQE7iaJNBexNq1YpFdrFfcsNylWkYTL+EnlfvtUCvvMT3g/jlP1PiPMLiOpU8CXzRiaqsoe
wL3eJUkiP2GaY4xlKPxqeiTOW5X84ejMx+wZ5V+BVr037l7T/kWGnnNLU5CyLMW8VVv9acLhezBE
Um+WkUmav3luqa0GdHo/YR+Yq6I0ypPofM/aEiXDlE3Fz4TGsgRqMaJrnHfHoSA2sSRFByIGkyy+
k0UlgeWgnt1lc1IW0aavwIUEg7r8XZN2furx5FzBi15bT6tecWSBcx+bnwUD6GX/ZlhkQbqTW109
yBjrKBggYcYphwtiX2ufAc/b2Xr2c6Jo2FGlEevQeuBq5wCUuufJ0vvm/0j1pbP63+0f3QSdhM2W
jOaLUAjz/2+8TLvACGeQtjEkFeWrY6K+pUulwMpwlGvLjGsg1G2vGUqdXcNZu76yjpxk6nztUMr+
JruzeQNCjnXJG8t1WxAdNcZSv4zeh57a2lp1RfQpMBrH9tqQxnSRQzsn79U+gY4uhmNViLNf6MmR
0ThqZt8VZEvwZW4O//kDemSDSly89c0U0YAYxRFaO2bhvtF2IgBT5BWUogkmfLYOwLirDviY9PzD
AvkdmyBFELzGeeGtllQ6Y74kGOuqrfS8bBu4bKjoeZoboQGYuYqaiEnycV/cIv6VeP3fkPAbpB5U
qHZuNXcLrfWs79mh7a+u//1IihSVldKb/eJrt4Jp3Ik+0MQxQMdRHu1eeV9g+yDt4D2xMpEdQ9rz
def59o+mz1Zelqt9RErCeunqHM0PDrqaMuzmiQFUW56tZBbEzlObkn9REnF+TwH5Z6Hb+esFQlWh
vYRgqJ7BS0IPmx/CAFPfuh2YopVu8bnwZJYP8ge6a6KNmP7IYNRzZlf//fawxfqE3d0elhPAaWKC
RbzxWChCIgaSVRw/dY+oMj3YnWptxdXWEXX3GsSZfLbTtfbltHq78rBd3qvBkWezTAGB9jWp7+hV
Dssoj60Uk355LYo2ORMD8Fdh8ntWZDtlI1dUb5v5kwfI7nstxDz8xqZvbrzlW1VUJMXiJlhmBJPU
3Vuc9gCvfLkdg7rYLPyZ0Gvbk9fKg2MBL7G1X93g2Vsvz4jOUhgewkaQGuIFb6WTfDjSr49Qjasd
K03mqMGAcywNJVGODclt+Cji0eO5KeBE4kjwjhq00AOWFXZUy/7zD15IYg/meUmR9bC/YqVvOiNt
sOTi7OrmXXo1p/jElW6/BClkPb0Nspvf6/tlU0ZHvXFtwvkAo7HFj4kFKx3gyVMa9kdWCb+lFNlp
gaDCNAlXweyusKHMpEOf3Zm+T4TJ7LXBVO912++DtGq2RjNI+nDwakbhfA0ckSsn+E9trAId5vLc
UMUj6bNoFnVuJ/whT3BHuqeEEJsTB+LVCty/gZuP77qL86DKjt+75Gycxpfadz+mRCLmio1/Oe7A
ixu16ClIEdX0gMSXUvfQpcpgPGfAHAGp8yuWXCTPkUWLw9uM1pFegGdQ8bDjzM5uQesfeqPJtqY2
kd8MpmTnwHV5oZqtgVQpDs2qdYAI44J0BNYUkSiuN8PZO1r4QtyY9q7L8MPLtBdoetOv1rHOxHkm
P8IxM05JQgfdZvqhYdXyWtm0uhNVxlPY6eWzppxN0LU/YE07f3XW20OpXG54NhqaSPy/eEWR0odX
s3KTZym74FVrN4FXbPSphZ86iqjfISRmb8PIjqVtGj/6FMafk5bwIqbgiAiUOTWKvS0mLmdrtuj1
4SUYJ9yD1cwiGtejHxo8dEpsLAaIG4vMafhjAzbsuvB3XdqU2xkxTt5hgym9x2xaWeT6gOkocK2u
tFKLDrbduadKeO7esZOB15BbPG93efk7LxzcXJr6yAost6U7vqXZrA7FsqmvKCmfe58UiWWc3nuN
cZgKFklhPb9smXpeonrh5pDhgVVOS9JPKHXi4eqwa6bSebRZjh0q6xHj65pPpzmZRFsvl23XdIJL
jSbpv3nLQKuujW2TRja/NBaEsFtlHSPujzWxdMFWqCJ+7icves7lxFoB8Od6+TKx7JZdZzkcjazq
0UUohsSjeLXn50TXZEl8LK5g9KMDPW4QHyham2dVMyDIdDWzWMVrZTm/VUPWjut3IUkZYts4WrPV
BTElAlzzsS2RylYQxnWdUUTIvtkJ5IE5TnpL+h7VZpt9VK6Irqz0E3YevbWuu8J4E+PWmiPVzLjZ
mRnZQm0a+re4wKonWby+huzD6zr9sVzuy4evWHE33pW/RHwdvA6QWlT0OEjAOHRm8E5Dkx/VUsAB
9iDJqEX5AAt+r3rkfdkotz0u6zdpxM1WeMBJMV4bF4ex2sazR32TW4bVrEKN03DW1xObUq4Tx0Cs
oMnu3ufkxnCRl7tFjRNVL2an1VdK1fWI7edBCEh6ijUQUQEBvjmV20rZYNa1IIoehnpvQ9NG+0A0
gOkjynHT6IKAilAknTAFX2ZA/xMZHvxsyp+MWNsY3WCd6DgAOLoVr7pfd5RGDsvBLg/XdVtlD08z
vC0mlGxTsfhbRbOmf4jycuXZyMrSOjZvzM3ExQ5hT2Ya611fTJ/U76t2CLqfrQs7Ck/2P1k52TZy
9PqcInUBtFS5fwzTcrj2vH6rWwTBI3KDIX/V4zr54BIGhUpvdurI2PywHXNnp4zl9TY8LwMmiW+O
go7YYV33o01vx8VzMw79OqUB1WTv3UO3gFfM2GMbNY+mkgXx8anPOyGc05ARjT0/6T0+5m2SuvxT
wmKrNMP/kdV5ui3nIEm36H53xoTew3Rn7xSjotU4c2/tTP9nEkx+EnI8BQ4gAW4l8UQOyb4JIveK
o+CNcBPzhpOrWk+jYT4VDilHuuRsWeuSbLQRGMFW6rCSO4TLu+/+PGdtR1PdwVoOTIAnY3BSZvwy
LG/wSD2zQhCWbLh3231VZNN1+RUKG17BVjjnOBZnN8nsd5g1uwao/s6bg6vYn+CFmdxQHIXjNDvI
gdYzOp59bUbD1TQC9xZMExOlCCJqkH0sZiyKsumINevdKsN7nZouJvSs3RqJnd6XqDdPExnlM67m
UWibJT1p+ejCiHBL3XhevhKNa3Pmdx+NHntAUFos7HBAaMxZFK3V6Bi776/LtJpwr/W/qpFQ+THo
3rkMQo+loQhYESOQp29+Qq+kPS2/appQm4lBI4vVNt6HE42D7VjOy+hTFmCTn86QGJwXlU/dphy1
j2ooo3UhEi1cTXamri4w1izB1zq3FSY+sQfmo++7nveIJYMk8hey5KauR5/nm6dl+VhuZFdF4B+5
oVhwLuVBEyJrklI9jBxytgl/mYnLM3EV1iXrzfDuQUd/NpqXnhSaQwQcEW4gp0trsKzyurg45Vxb
Bz1KxVrwkJxMmBur5TtYji6osdpVCDa3yqjCvwKzMdB4guzwTj+8aspuIMx232I54biwz1X60rlg
FylJ9Q22Ix8KOL4zC3M/ETSJc/cC4dylyTjWk/hcy9gIjtlQRzvEGquiCmMMuU1zmBCoEHVZ77o8
DbYgVeGT9Vp2tYRjEheffrAi6u5CktjruFSki0nY6quTDsljBwmspjdXvwhKay/LR1yCeRc9k6/J
AgIVRe6+My1yD73mPtr6BPzRsa/Du2FU9Zvhh9i34FVHHTnGM7dqnBtCRyXkgc14gcYO/Kcm0DBR
+GxeOuiji5bHma/ZjNErZR7xNUtc9PJh1mTVWiZJ9jmZ9r28LbjcLJpAmTYhYZDfc6XeZGSS/EDL
Kk6Or6cY0huOgQz65Lblz1Y0+jfb09The2w9TzoH4YlL/E92Xn/uZTYArdB8pA/O7x7l6bk1sI4V
PTFWZqHfByM/RNoD41cAmTJgVTQ65+WjS81PZ/RrTkuzUKeqyRl5UgMuz55VIKswlZYeY9fnJKl4
mJB3xzMLzIZfzB1aY3R6FH5iQs9pnK1F4HcCd+c2GYkCmMSvfGKBE+ompmHg5pfDYPkwXAZz7E2q
jeENn6kfN1d4IuNt6PqfgZjyl4bLivJGPLyM44Ug7ydgcTsP9PFJRcmfb51lJmnyMc9K8MtFscVP
PG06UbE/7Ty1y8w5uq4FltmWZrqVA/C0tIuGV3b38bk3BcaY8hOjgf2xpLf0mADWmLONzUiQz9nE
v7VXbcgJXsoPS+j+Jnfr6QmL2riPrWJEssgfkiJCgnRMYxa2Hg3vhDMw1Ax9XfmTeVq+RPJEFgwY
hbxmEomjRT74UZ7TybTepyjTmLJM5MY3SN2jAepTk4t3DILqdYhDeRhJstx7TmG9YdS44FYedymJ
6lewsgbS1lWbceoSNfWX8K4fdRV4v4KBVbkgIuocJFG33KNn4RDQtFAY52uVL9FILF9mfewdrIap
okW9Cyaa1JA2M9hmJsZN5uVwn8bhdyjcBJ5e3e2IISmf67aIwQICply+9C3rJbGd+tqAqtuonmbY
oB5+HUDsnVBtApLJiEq0rTjeFrNwxoQgznh3ujnzcKduSIrK2GINad+tw0TZDwmdF0Cp96EpWcJ7
4be6KXI2A9pN6K+F8/2Xb52xOedl858vK99p0GVrWzzS8cpOHNpge44gnADUeRMKpliXZPEGTG3b
gt4MnVjFsITkBYJRQyHcO5frevkqKabslQF4INWq92zSn4OJN2MmaUZl8hWgTEBOwQPa1aR4jJN5
Izf07M18+7Rwt65I/mpGOTxcn4V10XThuSpIxrCgFzd6euiC6VBIBdyrTZm+zMEbiYG7M6Ds4FwU
xt7UOReWgzuauH5KDht8p9zs3/7lxnEuFDXQvedFZj4NzkWmaHTm47pP1EeTN6QCjTHItXxUHxL+
lXLq9jZG0asji+jq0oDDFW21n4UrxUoRufhE2HBLI5+h8UtpWSsWQoekAfSZK24MASboA9jaU640
gtjGUawp6IKLgfkbLCZRtuCMLk1Rqh9915ekxIKaGMx2vRQyC8Wfyrt8Kga+r91MaPWVOC1nLUYG
ulYnF7C0NtjMIeD+z4fFUgND7afTC40LnJEe7+9+MshQbvN+vMjAg0jrJNrd9fg/NVJ7t2iNI8ox
brZdMpbGz4n51CZ2vfGki859tcdhBWt22/JoxdAhSJ62p/qfFbevBB10L2bWPbt9jIxyqOM7CFbS
5ovGwquWWM8NOX4tG+ZtR2zC9xuQz29FF/XN1WaB01vRXjTWcJ1c13p248J+RrUZo88mKApf/tHm
jv2oJE/X1By/79IE/1sWquraj7RCq06Fzdq0ui8hfTDCPYbzNdiMYqUZsTzObLtZKedigSZG1yfJ
tGqaFWxC4wJ+Izo2VvghaZNXbVLmz04yVjvg+E8LJN1N8msOcuhe1PDJcKzd44Kcc09r2rPTaLSX
86gpVwMobQ7lFLI2HpXUhY1iIGihhLKg4TAD8hBtbCwTI8pU1upIwNsOD1i5ahwZ/CVZWNkbf2ib
nZt63kXXn7zRTB9aO6yL3hheqb31R9xWhyjyzetyMCsv1NZjmRcHC4Ef/iX9shSr5NB6h3D07wwf
CQg0k+Jqz70W3y82r1W6wl4WEIoNZcwtVHb+nlRAdcvu43z6SO6jY6VeKSOdFxye7aEl2glGXEFu
uAd/UDVXWvfwbkZG+WyNI9AqrWRqoRHkMhsZLA+fYliLe1HVMXbisf3M0+RY9ey8k578htIefqis
7nEqo9jWetTSLmA3poH2c57JQ9GTdJoOgfVsmd3OGSZ5Q8z7Ufb+eNbk5N2bsPTuJTlaoRN2B5cU
TNZJ/P7gMnhggXRc/lfLb6Uqw8gcsXPn2uqRJEu6X2nYDxE8RWHApt1mYj3jYVr26nuUydF6Ee4v
9VPi4r8w0hKNv4vhfMbKjjr1FhwDbf3dtM/j92UZY6vevs3H4orik2PKm+oNYcv6u2c6P6e0YiFj
ZO3NiUgQLae2uhboF7cTYnM4t0xb+xSvQcj0m9dsbQSkJoRYibrZ5Cebhh1wyRM36JCYWC4SF8Po
Y0NQ6gZyXUW8+YgedBDxgay2X2FntUelCDkTMblsDfOuNXD9fucQPw1HLflStpY+wLz5F3x9zwKR
5km2zXhtR+SSTIF3fGc/yxytUdrlE8Q7Wf8Udf20aB81vXVXo2FXaBsphnGQEZiE9JnbqIhOlD0Y
Idz+Tnf0L87Yo4SIOPemWX9NmWE8gQX83WoMZrzaiH/bpWK/xt3I7v2tpPZcw5bHBwJghMuf98Nw
Wq4TAjFWTO4CaKux0q5MtUOXwctnNSPiSgRza+IhT4WjmJk7vwdCOHdpZjzsMWGyF7PfESBOaxVf
mBBB2g6HQxDEjH+MCm+nDgBkQCNeRhPgmir+QAyZwTLSfbtcB+grJ4s4uIoua8cE/5lkX2pqsXE5
teuu3ZrV6B0Kuvv14MCMm7Qp2QYBHhubmyIcA/VCfvQcqIlVwDFBZJECnWyTEBqmVeylk+WXIkqY
SMX5uCZtcdrBlaFJSz7jmgU4qvM70QMTbiDPBQ/PzsPU2f9XsfmTkhThDAmYTtyew0EhhPcf/lEU
ItsKoX2wz0Dn4JsHgh30YwTDQKNPRYoeEAhF6+4GGrw2tmWWNoNsqSmJ+2OHa4lTaJbVdkzSU5e3
zBTL/I9BiNc4ZT8g9IQbiwHwFuGNZH31FY8N8lfTPDjSmR/KJtxmNdZ+1++3/ehvGh2mCOOmtTkJ
OJP2RyvLX4lcF1qqbXNiA/FZGowPh68u/FsG8h4m/VdkjcXcZDQbFPQbnpziFHVPrh6SeDwT3MM+
KAFfzz6DUAt2NNB/Y22EvJFuGhUfWuRvzEnKW5H4qzz/EKMMdyJhQBIlwG07mTkMWXEZT5r6l2l2
fQ7mUAOG9oy0M9qYVpdnV3tMKfGGg4Gnp2zI7R1Hv1m10ILWXUCcCxEMhMdHPUmqXn8lu8zfohuq
1rJlySJVkXDVE4DTOQGhSSgGV16T/Jjn7Be3yOpNz5YgYgzkW+65hIy+snyUHnXAnHcICD2bkpYh
/zgVe5PnLE/CrUus9koMnDL6aAZ7zMiGlZlw0h/SL4I58/c+JHa7l/pXZftfpdaqDbIdl6q7IqGJ
OmyaBm+TsP739Bbgq4eT2JIQqDWX9S/pmf6j7VJI9q32mc6pjUVPdx56n5VbEAxNLDIcDBrEnoJr
7NSfoHPhps1ZJxF6BvxpzKviLgXkCk899KJsHyX6rEP1vZMrD5MTnFsRoCqZPIjBnvyR56U4SJcq
tuJqQEsBvUo/lyYg/on5XVSMF20yjH2eq78hFBCVM2/EQ0EKqMNwU5vwEIQ2bnAuY9exx2t5jDSZ
rwJy/nY8NtXKdob+OXT6ox/PqvECP9+AXc2LI7KEtSTY6Cmr40hDPcP06wVHS34BnbgXWt9QOrGZ
MbEL9VNFlkJQ6muDUmYj0MC7Tr52s5qc1HEzA1A2VH7ZsSkdjk6kFUajvZDMcBmD5Jg03amLOJ7q
xqlXuNsfYobO1Dong9m0REImUCXt/kmvgv5kFUf0KAzRsa2m+Og74eJfcOqd/6cyooLZnOQM0otm
OzV8x0bXVjuDydSkO38cP+52uKe6lWKcyUlFSi0QAQseb5ZuYYAdSHp8oQIkH0evvyoXIHQ+ImYx
3fbZ6N9C3QDamSE4EVp+QzT4y9fH2UqTPPeFkaLrD/lxamxSjPx5QmcYECvmRTn7JLXCkfMnaPxp
Z/uPso4zUmrj4tCPzkb23KwsSrq+OfeE6eaEZ6oybo6FtLCmFXTkg62j6Sf3jInxi4bjC2Fk+qY6
JJFDZOfH1m2SXcuKY9u33jvKeO/J4WcOL/A8zhGr/MTLvVun/2oJ7tlzE8TDjQTIlgbHwMcqmzZD
Aypsj4UUam2qc36DPDlbvXdxM+slDitGVUZ5m5UTGzb6/TqA9rgWfWJBd+otLOS/GfqAuIHz48Uu
GtOILCadEoOLoT5oPup5J6QGLeNuXype1yl4QEebjvp4UoneXjH4guwU+RNnFsll/IBMczJW+jT+
IXFA0bN1kE6l+TdnKQ1xHWVmpZVX00HYx1C6XsnYgOBSJdB2QuluRfM79Opq7n2Y4vXYUCv2rivb
V83KICoEhA4LG1rTgr0IiB5wCnuyaMS6Yhu0KTBqQmPTsGcOLP7DaBhgFXkReSVtvw3DkUQdH86R
qTONjUoSMbxa3HLBSxDaJUcp4UabfmJ74GrFwFVCU086grGbQynqKD20PjH3Q+iwj862KqmGTVgg
XkJB46+LJHGvmNya6J/WoQ0IFWV7xIFEIq9J0njNPjwO/V2Rk97cBPDd0g8dduTUmsaeGxBuMTq1
l6QVP7HnPXmW+0HmzRsy6ho6cwFkggeHenljxJAvXHlHrfQT8DGxS3322wLGuO4iylfbyY5x5Dr3
dPgkeU/ftFX7SRQN5HzysmI8imTYDF/laCI+siR3bD+vPYzpNYkYZ6RElTh++ShUr9HiEXqQhslq
7FALhchcZdISdNl2bx7hLJYFwUOGT1MOs9HN2SkTG2hu3BJ9MSP4ZJOCBdum9h9roMCgRg438STO
hpWw5cq4ZLlI8pXVo2jpI+2v0/o4OkPjhjoRUKV2a2mDD5iVwGNHb/yzz7apy12d0rpMDEWZ2vUT
LdxYtiU/osTcMLYLoPn+dHlF0YMZ3NBIAMyGlQk1B0ZP6QAOIbJVz1gjYBp2VqEVF+um4X5THZOQ
SIpjARBjLdKUJF3StGotuUCR+0TOg2rPHfkOBe0JXh4R3hyoxNKhXPkEhYnk0fVamvUvQqPeefJf
2O7nWwNNCcLSGDfKqNvPAJA2ZkKdVmDPQyGIm1SJX2C1CAeik2QuyTWKLMoiXQZ9Y/Ls+sOwDuu6
AR5UlFtW8daK1DF+lGFh3FDIIwlqXuspYiiklVtpOc9GNp4tJPKvJRHGO8pUxOL+JxKnbdz5G0sX
f2IR81TTxWhtwUkcvGCL9cD6Y/2TNQDxrEwuhpubVOJZRrRCzL6179113OVA7LsiXWkp5b7j18zz
q2mTFjK7aCVLSpGyxG49lpV1ffQV8dRt9VMf5bANazbEbT9uCQxDXOr35mFksojzUFyweIeKIV8Y
uO+i5yK3VTFu/KC/Dum4svJGe3eGN9Ouuk1g6XdE68bK5rVHU72rPYqCuKKGwO34BlDBxQVZl6uh
we8Jm4Q+NR5Inc3iD4MLN0mrk1LUWjYWaar3rZmlj3rIxSp3dFb1GNPqUOOJJIhtVeh5fdPUMekM
pHVVjrU85Fyk9ouTBr+EWXFlCh/5qfIPCSvT+UWwuc2LxOYZ74I7UZzcd7m5Z0v8a54JAZr6qj2f
5CZrQ34P+cQ0irR+YIG7kVpcJyaTGXHGhmtsrm0RBTQ7INlknn7lOhrMytAM/In+bhwJuWbfRYSj
G99tS0aX3ryxkkh2U8nIT4QWg/yiO9ExBdRdA67v2vsMocYzzOAwdVRDZURGPXkb99aM3ggtaY6m
9hXXW23YNAN5LnpXcrNKscEzcRDD8F5DMN4zBqf0yhUvDaZqJAc1LJX2RQVmvkswwiQt17dNestK
s+aHxXdP7jhX1HnQnamBibtleVJyq5MuzDQSjN260BtM9CHppal4Jfhb3xueccAWoe2QGHsryeOA
AuLQTlLukS7wBrTWjmVbdnQFSarJH+Eo79AY3t5uYCjHME53qCGpcDLdPTRCHHGc9huVchRUE6kp
wgC6FVAhpeehPKUhhFeBx43dZHPrkLMzvXB2gTCtnSxVtRE26N4oYvCZJWQpMYhq9X7dl1l+kLiZ
plD80ePgoVeu2uUVmQJZOx6tsPkAJMAgzMIq4JmesQ7U3powgHtQkX3NczZG4K9ShhEZOisk+q14
EQ6HqVVazrqwxK88KLWHZIeWwM1wvd9l0QU/dQ8Rk0iKZNU7gt4Fen5YtM6eaAVvbTot3AMXhA5Z
uUXC+gVIucuSAEDlmBjmJsTWvJKlnJnuIEoz7eyKNDz9P+7OYzlyZk2yrzI268YdqIDYJhKpk1pU
cQMj62dBqwAQEE/fB1m3p+/8vWjr7WxoJcgqMkUI/9yP51bqBxWA2EpgCOx7uBPOElqR028gulEs
qkdJSPcTw4EKhRmLkg2HeOQptmBk0RTpJTtnAE1N7u1EzWGx8WTdBUBrHmoXm0k7OqfUtxeOaDVg
NGJoanqPE9qI/DJRYcnKmoAbCctm+vQ7s920GY07qf/NQSvZl5P7gOS/6QvF2KSeqVhJS1gZnvHQ
rc08HpN0xGEtbIQ68XBfKaUbAzFEj96EA7GQ+hbSitjS17TgPgFkOybQpxYMQu2W3AnYgMH6q6Gh
FFQu3ndGXsGEhQlxLUNPBLhJ1MbbiFh29DcS912kgILPCs2zcsxz/U0W6YFIAaUD1PXQYQB/QDX4
HDdFhwkFEyClrkYepDZe85H077bP5YdFnyLNdfm9TWCLRoSqxSOMewP53vR4P+KgjdvuvSLoueOi
gsMmQ/AjiB92tIlpc59StQfRteeiOnglE0N+Qe5v+qQKhOrcjS8xshYlA476aEfQvabRuOMZXA5q
bvEp+K+Ck99RWuV2dKMvtxuODSyekImxCEa80Ktnk5FPQR2wVWgCNxS/9dATzj1TQXwZfynLsrco
4PHOHPbmWJl76Zhb2Dig2ZeJyz7hGXL8M9Lvtevic1vOfahrMLhbAJQaOTOI5Nw2+zxmSQNAEOuV
dem7qgot2XzXffVYEwZifWB44lY/8fZRl5YuP2vWFh4zeHmZs5qZedrMjj0jjnnJyidNmAtARGPD
VsgaaOsz0meyB8bEfd+lM4V43s5y7cOAPfjaK6r/VgRXkJbGeV5GlvQz/kPv4AzaTFzFW7bUjhZB
N0l07M/cNBrWf6RZFoge1cS5S5d+DPqmGs/xonaZPj5HpudfknR+sxYxh1J7NLTkY3atR7dSEO6p
ht5FXSYDZ+ExSi3wfottYrVmUTM9PF+t/Ss3xfjYaA5tmaNFMbx61uWP1CZw7WK4YuCJxUMqRuha
tPM4h23bNGGLHUBEJoba2HpJU09mC5YEm4H9fDcNWnknKh1FdG5Pg5G5ASadJPRtkNxZ9i4x+4ac
fGkmn7i1tdhCdtLmIGjryQEI210xJSOhXG6/bmwCPrjhBVKxN0yeyqEwzjGVTFqpdw944jB8lTWE
cTM/RYlyQ7/sFmba04es6mef73wzpjidFFZoKYTYJD+KtJzD+FAHXZeazAX6Fx26wB254gPTyhR7
X/KaNlgwhN1bu8qgKpwIG2gWKxwo5Wlh9MxNOwX4rp5q1OiwHb8WLLFhUpLQLKvq3LXDYRyG5d7M
eEf7grOwLenZRn6nImYDUJi3mPRSXlLjayobJ3S1qQ8nir124Ga2ulGysVBswbkW1wOx0C2qOV7x
0joX/WfW5O7FkDB5I7lbounY4ehf6Y5tiBZwtyS6sW1EfHIGCh5pQ97qNI+dUpt6dc601GW3P5uh
e7NlsZsLk3dHmQ07r5P3blxrHA/mI2tqs+/S4UekEuNQa/kXg9z4hMZsbSzwsDU9h9jmTMq7xZA+
D65zwmYLY8ynSndxQT/8HCApngZb/RJF9j0UFu8Yf+DCMA2bqCC3nnYvflWLsMDwHPqF/l2M5hMy
L/U+tjlxl3LxeGdfjiqHXdnGfbAvbPSkBfP/tgc+JuMETO2IkgFDW53EkL/WGYpQDQR4a+To/JnU
om26UPUZYauCJ7xvnLQ/u+18mCkbY6U3xaGv/IcsGYNhla0cV007MxaCbEcvKMrFlyQynAv26O4T
YeVbkzOhbQ/LVS+Hg+UJa0MrLLKtQmriAsq4R4cxLRu33kfTLJk8IvS0DQ0PaqmPZm/+wFY3oP+0
emhYv1KVagcrfZ7dnGlRNr1h7/ursRO+RuBZstFJ0p7AuWM+AUq6Ni6G/3YpaS7pF+yfsz9T/0ts
587qeGIHnCxBUvAcidREpbYIklvj17R0dIXjuMpH0gigh/NNhamWuBmEJmL1G6eYDz3D3Y00+scI
ewTHZ28rsqIJEIUb8gBn3a0+TVlc3KawMfEa10GJ3zS/wpRmb3GG1kfU3FQJalwVUWUPnga5jkkc
dIaPqby0HS5E7pRKcr9NOoQvl0tHkrcValC0Q3rr9/HCRFOkYGfd4joqGp9TIqSj1hxUxHxNlAIf
e73A7c+omysxfNANxoGC9ycsAbKKYeNlFgsHBrJBat+zZb6pRDN33L9JeZFQ9BoGvAZxBKqL2wB7
zZU7ZISRmNcIL+uPJJKHuOCdX+I0r4+ZibjXttpwyij/BI3EXAhtyOspJjfmz0Fv9NPgVZ+IMTrg
BtTiypjlY1LdYal7pUTAOtQy+zCtGjbMMH0pUVFx2+Ljld3wNlSac6ESyOJtmMGPgYs8eKjHy9nv
ehPfSfKO0mgCagSNEqWwDiTy/B7g3e9kbh8WxrCtMeXnSMeNMORuw/OonV29Ve9aIQ96Y0fBSGtl
6NgpbxfydyyST/istEAb4s9RH+2DWcUkFNlfgwqEBtM9HUG76qE26o+5UNGuoxjQ9efiI4WyYUKF
UDM3F2WtnZIABDN4xpD1jYdsqIqwa6shnK3uCqX+ftDqX5Rk4tDwOEV6Ao9gOf81RjrBwpItdGak
9Z64fXbfbiqGMbEpzX0kiLXSuj0GOZHY7UC1r+ymjSWVOpYW3jECls8U2dDqO1rvkDtnkCXjxLYT
DDm3XC46iCTD+C41Sl6KKt9Yi6UIbiEBjhQYxBpvU2VM18o4NbChx0UQBFEmXj6H9sIFDBp500cv
wjUkLdr0pA8ywjLzrSCfD9mP0ylmC4dEYTmEsqqgrujpu7LS85wX6iDMlANfBpQ5Kla1O1fpg0d9
XuLiSOqZjp8jKe56d9B51AbFfV7maD7tGueXMZdfYwiWOvqk7kcFK6YbYURLT9PiPI11pu1K+sqg
jRGiyYzlyazTB0kLJC/47DH3xufeRYcb5rdZDc0zuVNKBoafJBnqC57SN4cE1WRE16mKrqWcnuMa
b5HTRs+MN7j4mZ/phP6eC87b6rPtEvSpyKguww9l6FzmSZEWCYWxXh/DDfbmaeOmXX6pFb25vaJL
BwQM2yu3Xdbr+buNjK1uZtZlwJ0tJvlh+DPaeccnlhkgN2VEf1Uy7c5jxiPlL9BYcvqMAsDqxcUo
1hKk9QMP8aZn5BPGc7TshzL+RV3PeuZL/qKpttjbKdU1g+nvNNtzsTpwRq5aZpByvc4xyhyFPCxN
xzOfl/vc4s6PFRAo7Je08O5JwSZvYASN9AeHArugqs2PbPieEAE2Y6wb126Y2UzdhFKFtv6aLPU7
LbnwWDOm0+qvOaZLxBgRPgvb+ZH5XLhzo92MFtcHVVgfVWJ58Omio9EyZhJVjKqIDtvMnALzbF9r
nbEnpwh5PYKbh2UjTEc7OZiYLUgsZSG21iHwFudFKhMXtMd1PKYchnp1vgeV7ayBEp3aGmmgKThK
LYRwdVwBm2VEQuRNOtrsc/hpKNoFFuFxL8aU7R1y7ELN0tthJ63vnmkDTNOviavlZtG7kAN8cT+g
kTKuUJzxl/ioGh2pCzMQVy6LPh9nRKWnRkJKS2y8SWBCr94sK36zNRa1rH2HD0r8yVTk6VX5GmkL
G75mcdsbTPz2nsHlvqERWs+++yQqTmVdfXKze/MWNz1imQV6oLqnzvfavUTITnXDDqzJQ5+0EYbU
52wrYhOs6KKYXscZj5L5nYj+Lx5zY+tmyOFZGrcfDV5mc4rowqs7uSUpt/enTDwWdkX78LJLB2Ah
S7NnpAS1s/PikG/0Q7gMLyzhv/ssVzJdr9tYtEztdzbhwembE8mdgXVgHSk4nTyivv30GkRmYXIv
Hto5VJRdBTqXMB01MBGDvXMdzkgslQWUr7wFty84FtgFccsFcWjHHfcjmnuaHfqPtAImjzsQCUQA
HYsm7tcc7wDrxZlHJTQNnDSWdJA+Qvim9bYTNVuHojJn1OxLno08tK2ZblNaY2wPkUTRh7PxE/t5
8RXNbsb0PlCfEcZ5fUJPK7ZtiYmjVajnrrProtm5SoZbZ6SercKsFRqGgVOu2+v62FwhcTEdG7YL
pR50IuEga7tFUl3EWiOS4pXCnk0CLumE2WLj6DRi6FMFIkgQyIqSw8IlPtA575rTwG01g9HgKw/P
AJDygFjGUZO86ruaDUlLEQl86l9CDERu4I71nWEhFXAmmoLeTK45OZ/QUl+m5durg64k8WTkFOoi
wjvNzE3ISJ5ax9wz2Y12lHJTA8iRMYWsz62eipa6FEFu5kz+xXuTjMD08HlbFsZmIpNH5h7kJiiX
2frOcyXtOhBecYRrRSQygOzXBiADvwc88T79otwufN0tj0bpPJtJ7WPFMBBVOXx0EfFshgXNV8sV
f05/UNg8hi2FBExxeSHGLCe64nCqPOwc2kgNKQ96mdhsAFASNpGBvz8iUh8J9HnX41w61Cjr40Kz
I/6bmcsXh08gIfx3rAZM0tQmZy4XgDVCFujXYlM6lXH+WI8oIzjtnJiL8/BeYp+sRZQ/ybo4jKIf
Qk1GnHwaj+5vC6jU6HNUA4bFkpbvh+KjWXhVZpH5MxZWefJXbXCVURw5k+wYW2pyaW1kQkr8qjF1
BL36ChSHSAQ82K3n5hsuu+3WhQO25XE/epVGN1aj0iBZyovqhBkwCd8MEnIoTWNciUuUNnTAZMop
zITrEs41/5Lr8hgQIBGsd+JJI+vrS/ZYb7qrnBhrkI5Q3uNsoeuCJGk//SqjYjr45dAEds00v7Pf
MV7g2XSH/Ip4A2nDqnmTlW0d9Azmyh6dfHRktfVF9Ssjga63ng7FYAYvhad1SHnyvXVqhEOgokKS
2bs1t3x2XqHakeXnIk2/ZCkeBz99H1d/sk17lqnVhOD2uKMe/diOHp3CYpJdLFcn9y7dpAW1Luqz
I7QVCNb+LvxxCUgn84ZyaVspIdqUcYUk7GufMaDTfQtcaeMTCyYVifSs0uVMn/CTTgcW+hE/0Nxq
nP/dFDUoYnMQBgeIJoJ86nOI0N0Tc816g3N8s/j5cByhuYgEDU3GHmbmhbI5t/ya4AWEEbR3LkJ6
B1033ZRahK5J5KTE6k4XBHFVzsnwJiRZS3g1vTK9C22fzC5cXkVCvmDAORu0p26XBUwYwEP3UIMI
43XjneahW0Et1Ntl9WPTJs5Wqzhqx7354ZhEyLMnb9C0HUccysAjtZEKAu5g6dtpapbdaoGj1+GV
/bg+EpOCwNBajOl8eV5YEayeQ7ARi+mYpvlezfM3V7liszi8armdaFo30Ss7n4nxOmGr5tCW3EGU
El1Ysgf3pKJOszLu/K6hillVL1brXC3LW+4kBY8kB8Y8QIM8llkCEl2by4CDCbghdI+4t54Gupaw
d4h8hzOgD4R7bm36n3AYhk5l2Seyi7wVpjwKvXE62Gr80ocSI2ZT13iYnHskR86baAbbcjK2IfPs
5bIwaFvoltlxDMY7AVGldzLrsLwWlf4xkgh6jtaIyJR/0W9a3gM+u5P5r6kYH5AqFK0lSEhA7glJ
TQURG0QdzDenGnD2rhUu9a5x8iMDe8PE8OcIEhOLbUcMnIhtiB3zNwM1geBBU4+Yor3TWzG0GuNV
y/xrnpVXg4pMHJy6tsXX/BgT/EmzVJ7tEq200I03NeqBN4NaqXr1PaRducMaorFJ8EN1P+HO4Eix
8FMr+VHlTHo61ujF4SWcFlzSffDNMe+lA03QJoszBbM2YvXQ1aHZzi+dpzvcJTiX5BX3gGitLyXE
YJYCN46iJbcmwBXHlPaV1vISxQlwXpCK8GeTXgd326BIekR27Bh5BsfebiQIzw6Ucn2OSRAU33bl
uwFOrg+trvtttBg7AcaKC3H8QnIWZ3lR2Oz4pMVpKiflJYHkj4Ii8xh7qpcwaDDcTt+LlMBA5J0Y
vO2KLqZdl0EHPaCPRq2RD9QtjCOx756s+kmCiHH7fe5iQsN78eHnStt4S2uTXdRpiMGZrlvG6gTO
LhknKs+xdtb0u8jRf83hWY8lA2FezlNL1WeuW/Fj7ujoD/eFls17pLiLjvFlY/has00xxO7K7qnx
KP/hjJ5ujMg5EWWOdoQmaFA1qkNtiB2ZFOdAo1vIgMbeWqWOAEDllFj3bmco1cXTue1PjhbWGXhu
Fz4/fsIRmsxcamVoam6+TSZ3U3PpZXKGxUN9wThcA7J9HfozuRYOnHtScCO9QfacntKiB1PDBNlT
S7FzTxB5unMr9DcDmRGyZYzFh9MgZcv2hSTbm+9wMmIJ2fk+eX5poDdLVT9OvbqO0sTOzvGhQYTC
Apxcy4h+x5hbO/wGZIzpvqcPC1YHVzYE/XZjT6520JTxoZbASJ9HxPeYL0b5RtOvSwPYLJcVSp42
NGPSOoXmeJr05smKy70iScqCJ/3zVPcPhtFzPbWanii1+5PjdIv75NLmZDacIoePAKL42mJt3chZ
3WnNIE6xbZPMdvprQ/Zt52YPpvZgiATao47OZnXeweLstFka2qGn2NOJuGFvFFMz8294/u7Guaj1
EasWJaMPhHzFBksGLj8fAsUa7IMUxNOBKw5rEnydiRecNS2gehNQZLWI+/uuld19lSv2LnpjNih4
fktmHwqyc3Y1S0OI0bgAYe61Wtc5eFYZbyrhqj2XJ1yWLlbOkmE/osvLzRdqVCxdkITsPfhzfCmJ
f05w0gcxDnEG+Eh6t0/jdJifcQF7m1u+e9WuVt5yn428DJeORF2K9Rmv2iv2JAC04F07wlOIgjDk
eRQ5maVZSKgqY332KZKU3npyUV8TiCFbo09zreZl3+oe8WCbiGwJ+2VpyOD2QFhiRHJdsAJifYUT
iWE9x9bsDNM1T71wwSB1lDheX7uKmB09optJQK2oI2KWcQLdIMHK+wpAhfvAoj8pVT35A0gzU1PB
7X+mdIqUhezUJaozj50jJ5apkupF+Z+4mTl4TjRs3agDnJvTbdKR8aV2VBrkfzg1M55pfetd1rHE
62gSuc5oObk9Y05aTyeI/A9iGufLzZIKq8QObig5Wo5SSjzoXyTrWAJL6hG+8fneA5Ow74mzy20E
lYWo0JzidDTwUyozMwOzFb/+4NdKu7dfHI7Mq5TLSYfTPMliwmWIpQNoldXDjahBB8fulvG9fagW
RJ6kt2gEpRqKWcrz5O+7iaHzmFXaAer2UaeE5KlmCBxQVMEMUyMW7FTu9fb1Q4FFwLfcNzGRWYzx
IVk0NbmccRQSe3gjx7gzTKOxnmC1Ayy6/bRKLBFMk5r/xpwIH84qeyXMCSksyTGZ3qhuuiKICYqD
PC4bNWfSQmwz5K8D56nvquYMAdODraxW8z7W6LWIPZFdRlW8jF0zEmL1OxJ2BHFyl5Afbx6LDawj
NCfbF9bIn3an60cxYaLCBuK/dNVRrjG7AXj2rRuF3tU6zIeYQtcFFDsiTbNpSnfGPJ1fDb2btnQf
zme7dsHTzlMUpD3r44gfTlO1+GuizI9I+iYfQFnNJbtSQVB4axjV90oAOTe+yJ4I4MCNWOYMj2gy
XQGL75OuSe9wKeI+TeDxO0uRP422t5szg+bSxX021lhh35XtfcXvOokrt44qiD7mEri6kHRdoxHj
VkgeK2Oi8jTiqcscxi1T2i8/powTXzk+VIlqXmfoVDxIU3zNqx/IwuN1XIH5hVlF2GCHh2l0f+qW
zQ1mmJoyGP4wRDqjvDTRPD9kLcdsucSEbsr5fOsslTaHxRs9yUicAatejbO2KOOdXWG2YulxzuXy
l8afhzNpSQK6vLqwcDy7kAC2SeLXVNvW2yhS9YNp5jVc+ZINqVcuZJlsjbiTU8VjxxjbbryDpsVY
ZtdJt7kmY9Q4zg+w+BlnkKu/4WFShZ3KSbKrUWTKCMobkYXdNz1jV5MXk8lCkIIf28pe/0RtKk9z
Yk0PVt+83gDr7pyCfCws+05G7cLe5T5oomIdsIziPHcyiCrEm3lOsD92mU0wbDSQTJWOGv5TDhP3
x2yASwOCYcSZuEnBju0KOg0bcnCn3KXWofZ9CuIMgNCxncjAjv3sJCqOxD0L8IPFvHjNQN8eVKwJ
YdNkCz+gi+WTXMMtligTGAcWenNQ8wY8ePOoDjhxS67Jq1PQLudLh1aVrLCuODoLw3Lvb6VkoMmT
XWSRdh5dzQz1IuGivT4lUdIRWM9R5fk8siEMbu80LfF31YrHJApiTE5zrUiK7wYZMUmex1NtC2Nz
Y/VysPM31ThWT1om3V3V4cv7z6+Odf0L3IF7LwfGHlyei0NhJZ9YzY85sfd0quXeRoUMp9oABw8M
/I4/2OV+e77hqts1pVGlCDZldUx18VYn/e6G55I2DvsbkW4qS5wR/bKuG8nzVJly40PBuS2IBCpB
X1TFzukKrAMN1x9qKbgk1x6aFQFPGpD/oNTqMmxLpV9um22d2r/EkChIHtl46dcPg04GChq3cci6
e0YjFzbpdX3/jw+l99M1a/2+GeunES2B8xJ/ZTvRr2YEKXT73WJlFYf3cdgNB24E8w8r8iRp6x47
QsOLQMy29aRVXdiufYNVzxkXM6F1jesyveBh4C8UgobAtMa5562nVLj3Jnq+zbOjEv9YuZRfLnGZ
/SgGl1Gto3GzkI6BKLFWtBTql4o862fqthel/5jaKP2GaIOPw0Ci/kMN6moBTy36vnUE9w4JANpt
3jQNhjhWlJ9ovMptSdW0U7wzclwANlbDG0OmxyCwMVDWLacdVryj+Spm4y0vS+sq07fbQhtFfgFJ
rfvhykwPWFMoIm8ivokqfoCmKJ5MMBZjbocQdtn0x7a6Yip7hEmvbW0r5odb6Z2aEX2MREBOJB6j
QwXSL7yhE1Q8PkxryC3L5uY4a27yWs3+0wyE/W5ujfR1SA1UNjcD6L7+pbXm4QQ7ej+1HNUXFu5e
aNnZw21OrXPeoL2R6l864M2aAjfaRAaOWpfalL6Q037Mxvyxa1iMOxtFd2anO2azePrDRstGCABx
vOJVij0WEWjcERJB2qr7VBKV1wz8Bmvx8VLp5z8bfuspH2c7wyqCflrPtzJZOqloY/fnySEvVXMp
5rkOciATBf3GdwZoyK4aXjNER1xuk3aeEhIreH+7S2zDkkzz62090eJqgkbn2iRWQBBqnEJo7+31
ww3Qvsz+ckSn4OIwMGJ08zb9Amfw6LJiXVpCgxu9l95R1/M2HEcXOgqx8zBemx7b4vfthFOyr3F9
hftkjr27ywsjP//Z3+vcnR9qr3lTtvDRb0EHJDbBQAwfbWhlxlND+86dZ2b2U8bsdXEaqkh0e+ZY
GpuINcPR8SXTmt6i9tSfXbTHOTryopTB4EdFkBIw2TI8Puk4qu77qGYuvsaAmCV5j3++BUyFGn4f
1RwsN27eZ8yBq9kOrEvXNCctWztVcLmenMR+i7So2Bspc0e8ATDx4Ao1OO0PfiezA1sswhMwIx7L
9YuoWnmgOWYtWagfHY0gWplHGEtY/skR46WS5S8bGkHfDfVLLPUrFkAHDcjhdxzgA41k/Es1crfS
MpuYW9NdMqdq70m9cWfg7cBaMv8g4w2Hbf2ZXFJVAx3QxEXddodaYFya2tmOpi4vN27MIJp/In3+
IMksM9M39hjTgD3iYmbCz/hGtCh7DdU0if2rYyTA2yq8QX5zJkJWb9mPKm7AFpTiiM3nLiuSJrhh
ZAyV2Q+xSnC94vTD6/4boAjvDn4ximRPahpMhRT3t2/FQGRv9orcGstqpIXJQDAXOQn3WafPP4eE
2W3Z0XraRuLZH18hHeyXIks+46JWQW4b6JOp4+9ynXkK/Jr9DZM6qLTcDbn1UA+U7rlr7YBBPrIl
gA0MNVvj8v+8shCfUQRAa+bm7uQebwDj26ovEs7KbeweDZxIZClTUDzrJQtcIIDHjuPk7d7WKNMM
MEtgHF9vapip4pC69Hq/FkcQfkh/6yD9avz/u6nkSIvHzzqQQsbZvnYOqGi0j9moyEO5DvbDtp9C
5TCMVjfugJEVxzHv4tVzload7WfcSzgiO2vWGNIAA412+up0TC1VbgaUJlGFU0VQTv78UiMZgv4i
t0bdijfLoxTGz1JxwOEg3pSXMHc1q4+qowS9AmHFajTUm6FyrK2xIjAFgaVzlLa/Jpvs0402OUt8
LPrcw/+tPfd57np/K+VvehmJpJoFHxqTMSGI2gDpcWSIo/DSEvTbeaWdHbUoehEQh+4la09beeMV
OyqfqtBd6lH3/7RQ8fhwRMcMklKCkLnC3s2cELFrcdIZI5xEtytB47n6kcoRbemxmI6T8VRFNkpq
3n417awxhofLIcBpbiRbzm2tvK2arJ5NNZiMhM9g1OqAiyDtbyOUKa9GOLh9V4WRnDH1xtu+AZQt
XFhJo2b5sK7Mg27EvxWy8a6YS4ar62V+Hi8YUcqDj51nP/vOJW369KXsL5zomx+9XXL+kU76AhDE
/bPu2LwA1q/s16hHusTdzqt9+pmV5u6k11WnRqt4OznWsw0Ope3pxXIT+YtU5sXQmZWnBLnvx8j7
TejMRIhzfleQCh86R70vqT3soDAiDUR29FJT86kSZ79gZAlwRg/3da8dJjB6AMCZhDI7IulZpHCv
Yy5kZRJh1R5AyYm4e9R66khui0qse+wWot/y1l3uYnNhkMhKNrq8ulUy76uWQ9XsEHoWCYpvVTlH
hUHmYvvTR0zh3dkVi3dmjcwhwDDzKlhjnxvWs6hcxpfO5JLqFfbbrbo+LYZHuyw9vCHxicnaTDVv
kx/mxpB3Hi/bTS4ZnU314G5vu/065EZmmy+373nunytvah4M2aJNG5wLbi0nFuz749Lrx9tmJtb4
tLR13sa0lpnUtKwdJLc/ndv4J20xCryjP/KAuF6YxvKpNkaTZ9nzT6IYH+3CPLRrrVXbmI/dqBEC
cNQpNcmCe8sFZMkQ4j4tX+ZoXgBFcIIquP6JFS4C4chisqig3ENcfDKgs554w+CLWgbO6Ba9K0JX
8vE//yIvInGgUQ1Zsk0eolVSmIvoN3YxsSNw/Qt51drJsRYFvSZpfBUkdQO39LwTV8pPhd2G0Thr
l2blVFU1EW6/9VSRVN7JScEujIb7aFXZM3m4Ht5M7K1hMZaTzkm29NIyBiPYioCsZFDpxTGZOjrl
hiK6Dj72otbLm4c+ZiRrsmn0wdR01pb05w+8lSCmiWwHwmp/LxgQjgXeQPat2OMml2xvdSilrzH9
pavquGREI9kf472gHuDaVIpjDtMMIgmQ0psowS437fR6mg9aS8Xbymq7T2R5/wdJLGx/NyQ5JWuA
YNcLdC6RBuH84GRyBJcYs0jWtAIXa1BXTFUyOpTa9tXJ5wwRDkVEM7ITDww0ioEs6+2P5mh4FdBp
AlEa9HO53JA7P/1oVbUvyuJ9YMR5p3XiI3fQBZuMdb8ynvEGjq9CAYirh5UoeltIkKzvyh5VWK+F
85Jn+jVN4Pr3lYACXo7l8d8a/vkU7dLYJH7bct6n5dkiYL37N91MKhf9R7Dd2/e1IHquFSeDpgfE
1/htiulXR2ZuOQZNhAtTah9xVLe/Qf+kS3rE7XJAgf7Q/dXFKgHzdzMEzNbbJBbaw0jzUWt1bxRA
MpxMSPThGH/oevsZM2VIZIrtIDOfx8n/akwnrGpgP0vdaEEei4eu6S8mdA+Edb4LOzsUBDjjWsGr
c0W5YZz4C9vQK4WBPORrSZFXiaPlZmTlTRsTbT4+JUO/8XX24SySz9z0ABIxyiWy3Ps1EwMi6Q0e
HJn2KCFzqJGfxoM8RjlR84TyIPClhse4sbUYKy2UFdg0uMcGTnPslJqlU/3l8ZhS7Xmo5H9TcGr+
vS/Y1IVl6AYTS9twDOPvXbKVbBu/n7IWqbnejmhQd/P6Ifce8o4zeGvPDRMlPrhGwwfH/edvb38W
99RR6j7eFIk5/YqkerLiFvKAVhXULFg6eSAhrMc/HxqOnPXIXeR//6//839Ltv/Zefy3hu+//fb/
08LvteCUR+JPE+9/Kfw+f1d/6/teP/9P37dt/IPeYjqp4eS5JsBKnvbxe+37tqx/+AbPueuyIFAT
7fA3/9H3/Q8QF67lQwhwhcfriobRtS2avm/N/oezVs7qumM5lMBS1f0/Kfz+f1t1PMNwHccU9AX7
jsO36f0N44vZysZlwBxKANinPzUjPxT/rLnEBqNZXXUbaMDESS5dMAr+y2P0zxfLv7YVe+uD8i8t
sf/1P/9bXXEMyaSDQJFt6tItYKqIVuFOAuAellFs/cr7KTnmtFNcnIQxW9Et1aOf1uZuTGWx7RqE
10FE42UuPTMsM1M79QSVttRKEA8YPVaEZFbbYqgY8FuphVzY4IywJjCp6Aoifc70pr0OAMKh+bjp
YyLz/FPRW/JY9F714TEN/6yxJ5tv5Wx2M4wWVR8XgL7dTka2kYSZ3wwTe5gBiD6px3EPlBkkCxDA
PLkshi1dtFaN5rQ4GSUcLPiHIF2KVvVB43WNenXTCesZ1lWsjSR1Xf3gQwFoN2Velx+dZ4xXKCAa
xxmIXo9SDMZ9V4zDpeAgy49oJaaxGT3dwhs4iKMqfO0QZ6iKJjbWXU9zZNiY1O8FqD3MixJjoA6U
zNqyLOBZ2srGmpxT7IhhwVwdwkDq2bY6JxDcl+9lqtkby2+OeFbSABjBfdcRAKj9k9WDRRLjV9zL
fW8l70ncvtlEAmj4CJMiPWnknSK/30vBzdiNNylNq0zNxo2PpwYg5Gbu8cJi8+kbN8yBSnKHRuyv
TpoSz4Nk2XW8fyftzJbjRrYs+ytt9Y7bcHeMZlX9EHMEGZznF5gkSpjnGV/fC8yym2KIRVbdeglL
iSkiADjg7ufsvfYuc7tZkbH2OrU2e+QXAQbUUWPOwMpb2eoMefS9WVC585PzGCYdTcBsNVF+TdBp
aoNGu8lZWT1J8InYFDo0GDTPGFPvMglME6ZQqGa9t7kD9AHuJ0pW8Ov3QA9Xae9iWDHbRZp0d0bZ
nxHSSGRcCUQgvHejTq0sYtnhfqcoGetXEQ1nFVJhw3iqYV1UCTFtdbkyYXNLQteGsKThBhdVs1bU
5cqFY0SLCKhOEGKFZ47dz/8YddA6Zmc3Bs7BGGKcgjkLJJQRCGnGwT50U7AO0xsbt+9AGFtqF5AD
wq1mTYdxqG8TNW5U4a+CFsYa5hY9rbF4B/dNL3ce+lwYCguGPZTqceOgw0Jf/pJXKQRfPFBmse7S
DC80nt1cP9ilepryBpktZTgIxGkwvFLszqlcFruKZR197qVVR5BGzAN5XY9D9To7xQJT2zYdgCij
WxsRN0ZrgSUQDYHA1zIphSYk5OA2RmJ4iOv8tsaLHrfdjRoUZiTzIvPdIyg6AEjOUtCBc0YTRgno
AXwa+0okyTfQOJD1gqkeqEZNG1oU+yQhrU7i0Bn9aWtbSMjZRNejXNGEuRlGA5V4cSt8m8CdGKkM
wSjsFbNN0OmHfpQ3kaOhpK7VdeWLjainx4guCDqE8BBRVmYpIawFpqp8EcO1QfEHTBbOYIr3PMct
m0vH9CiPW8Gzi8H3sndomNqyvWg0H3EJtzoq9xV3cJjidVw6x65NuIIE59C8kJSITB45R2fHbJAU
HP7iLmyRnVSEgFH9eUk9ov+i4SqZ+mPYkOLgAwMhi+ZBlj0m+miGK6+olq0hRe3jqdhDjtgCXjnv
LKWjI1KXVkufkoHbY/dF7fgtNXXQqM1mRA3iY52eV8/CwV4Kxa4KbdbboD08f1PMupSOFWwljonw
dyhQLxjpeuf/sNgEuXFzDT8Cby3jfYAJxsp4bSQeCRzk+rEG/k73K162OalDyu8rKIL++TAHtC6D
LGygO0g7Yv9ducWtQqHxkJPEW5rU32Z5600i9Ih2FbpxxMzHlmY5KL6yWEYRDh5UYNuoVQxzv8Ua
1jsd+PFJvNSe625HGyCdGELt2Pm8fJIwkwh4gh+lP5PT26T3l0QuUuR0UqKJ6Z84F4i8gQcEzlgc
FTjFZYMTZyky5oTc6poDdfM5eyl345exCM3H0cmd5yiCR2z1BUpExXa4H4rgDgfaRWEC4HSbERqM
CNfl0OfsBb3nPEGQNfq+3E5DSZ1Tb9Y5Kh9jaBH+Bt15WMvjIIttUgaPekO6SmSzvDNvcMmvXNHx
9oAcopy7FGe764+8r01sTdE+nOr7uUscus3tOMRXgAt/JWzYbUmTRBPJDQXZY0kS7gJbLkRjvE3Y
bZ3xbsinGz9TO58ExoXfpjs5iX2UCV7/8jHXhpXQomTTReaxpTrjVwWOPdXM1JUO16R7HoXabWXB
rHC7LcmTV7zXn1DcXYkO8ow1hPQ6p3XZwtZVjrcLgPVh5+e84PiBzCUCShwAgH+PU3qaNilg9CLv
4oAwgNB51lTeLkozvg77Hm9EQJumD1a8Hi8r+M6WEpct1Vl4JPW6LnmZFNa93c6vWb2/YI41N0UJ
HwaPPjZGPbqxO3HWMbumAbS9BBJNozFJynmb6CY7vtlzQ21bS5urXjezjSU1Gm3G+RC6yPH6jvsS
RjsfJM5YTM+pmI7ZiEo5GpDhyWPom/0SH9rt5MlvNqkwesfupcZOCsWj2MZyevRzVFa22UAIVHuX
wtIU0qzt+/QFwxDRwOaj6VYoOhhr6JjylSrLXxAYttVgraIAulqKDxvgCWPzAjvomVUH6NeoVPZz
C4p1xe28htxUOZEcrZUDIKCz/MPQQrlNSOi40JTqnk1YNou2wNaUhHDQzZwll5bBXYhU6sBvQdes
6X2/wmIDH7S1X5XCfsAgwOtsEC4EqXY896RFlzmD6MIexl3bFdmjhd2AzCGutelBjLpdJDcyoOk8
UnB9JPUmexRMtEnMxNuzvtiWIz2WGD/ZAaaQvzV6EV8UpZxTGskmBYaa3w8U0naZN4d3WhC+YisX
C7sbkyUJk80tDZf6JYjKGn6vRHi2MLo8R2vmU5rzdMJyJ62EqQ9G44hlcNyGlpZ3mKjGUVt2haeO
gwlnsRqLiITwMMJPn7EImB3gqadxZQhtXCGcoy7qk3J2XkSetc2oEa6bDCMPm9oOpP+ASbmwEVMU
4PdZOZtQNArHQPhGZfAOvFh8JerKBQ2h/KtOd1mkEY++yTNlbX3i5xZBQDyNaLkBlpoZ8TFLsSfA
NP2FqpCyL7LOqRbWEImDDohgp7VDulGkDZL3Qsu91nREb2XqQx6J8uRH6JrNFWtp7UXIVu5rXwi6
9BbcdTUO2O+JfKU7MBarhDUyumYdZO1Ydcj8gsB5Bk0ZHXpPMNyrAm251IJdL0KBxIbI7thOxBXF
HbbDGoBtbwL1bNalvR2TMkLXDdGpa2rABlNKLQ2SPR39sXftS+W7JW7nLuyoLXhDxzSjxC10M6Jo
CgcrloGBioVWhahjUtBhsCrhr4ukM4YryoKNuRu42Zui48mNV5Nvi7C/FW1AB++I1Ie8jGVO8mAW
32XOKEokCs6oNa9lpPxB37QOuUhPSBzIJtBjq3KMQ2/hY0bOxrkS6WB3IbUf3ahdcdWaORWPRPqD
sZwqAAKYh1HLMhuSI3Ou1SzJuS51yTw42AMTSYBQ/KbxwIZlK92lSPoCw8dF4h6jEGHdMwosE/o4
wBZbhaZ0kFTamHk1DACi7BEjAtOghk71JroNqE7iUS4yqXZhO5DpvajoXDg0BlqCTtouEx1GPL0E
v+G6cAFhLrYhWseQxcMvy26InlNpivyNHpCRGLyhW4cZpgiZ8K8j0VqWfd6BNQZ6povm2eiSUDB8
gT0Q+NOTimpgRWi7xL7IwxKfoY/m0N9oGQbeVTz2aX8IywQTVaeo5h2n0QJG09CbAoWH5DQFP9Il
CaL1CokZE7TRXzKOgmZp6OxXFrmjSePSzb1BLkfaJf1mvuTTWo5EYTOAFEtrA+oT4qiEDZexV2lT
ZEtljra4bjrMLNhW8LQtdVMmxqKM6fCyandD7+A5GNIOQd+b46WvC1a8MgfQtgibTrV3lPhjdR6J
krBxFJCRNj1MpcY+Z3Iqmzi/nvM4pNhIwl1vBY24t+3JyDeUZh33GhMcDn+yVXxvF2p+JO6mfGTt
5NtJyi+tPQ8O45TP9trYQNtc4/CkWt27gbirjTLNd6KFtT/Ylox3FGQ6bLe2zsauVYHj83VkZB+j
fnIQ15FV2O9LaInAkToMG8uysvHE67qBO5QlQRh890et988t1zHSG9r3MQ5o+Ilu8MtvOxMrdVOW
cfnDpFhgbAYMepzkhLAEmYdwLe1eEMvXYB3wy6RlQWjGFk90B20gSKPrUptBr+hxPS8kgLNFvhqb
sV+vKnsaWLh36JzXeRG4/k6AAmWurEp/2BLt0AzQRtAj+kLbf14ZeJ9USl3AEbhpdQGZCwYf4anv
s4XCkM1ih/VoUdXAWYy7XrmLMXj53x3kpPKhpVoCDZO3r2M/OTlr34HGW2EtPz+KdVrieDsVhddc
SsmJzSWQ32JgjckpW970yF4j+7yoJ/LanGM61BfUAL8oIH581f55KHdObPr9UHrY2D6Ou0XR9+i0
EA4dO4ddtFJYfz8/qw8O5Zi2YGVBbYoa0EnhJinyQE0hkmEna/x10OffqxHHZEUI3v/uQPPl/e2c
8EyNDVBeCvfZGM5M2dpWeHoLLCKBlmPk+vxwcwQuKYB+nu1f/+Pf3gbeu/M6ich1oz6gOM/daq10
6ZHnKfHfxRlbjGZY1eL186P9Uf5yCFSi7KeUQESEwOv9ydmdrhUpri16OQ8OcIWIHjy0ouWIVgMF
IoSys4SV2ucHfQvmOj3H349KafHdJcUKqac9Cau63mPrcgmrZD5op7Rbh5ieLuLJoV8I8lKrl27v
Uv6XLHgUyQcJfHGdeMPvWqyK4+df64PnxHFcmiWwPiiSGicjqiizsVIFT2MueKk4N7lHXnR4TOwv
kss+vOa/HedkQAko370EQDxLlsujaTCQptS81/1gWENpBXVqJ1yZAQ9w0l18fo4fPTUOPBBqu/RX
DHHyWlMmyjyLRtjCsJvurBzTcsmTlO0JEgv/529QJCuObVDeVcqai86/32Sj89PKaBhaXgWNCmdY
Ur9m/q/Pz+eDa4nNTdokXTu6FPb8898eTsJoS2GlLuN3xAHZNz8zv30KcTALX+xxcGHDTy/HOv3i
sB9cRhyqDmQYkFsUsE8uYxRMDCBtvoW0Qis4fWmNgyn6z2bGXyX8D8rTBt/+5DlxhSFM3tmm5Zrq
5OwwUYna7nkXgAf08YHXR93pd59fwbdb/udBDJeGotJtGgXvL2EUIY4YiCKgFpJSv66qnL2y0+cQ
dIWDtcGPfIqAtMDgqsrJQgaagOb9FlD8Bpna2enj51/og8eQk/7n93lL/fvtlkaJL/uImYP37QDa
sdBDyEcQHtQU2Bt0bvYXj/1HQ2i+xOwdWU1Zxsk4LVKz6zCDY7PM4jOiEvZ2PK1RXi8oZ8DMWefT
mUyePj/HD28s87FFdU4qVhnvr3nWjPPSlGN2pUu0BFC4PN1+foiTdMS3icQVkDGUwdPh2sbJfR3S
ysH8xDGApGZ04YnWYXFMRBu77Kn8XiqxT210lAi+Pj/yhw/H3wc2TxYBUVQ0Xuhw4DknWEdZDhKR
2av4Yhb5cJzQK7R121ac7snUVU04EBAqBxBJyRxohTovXP0lsUgSgH7w1bT81dFOpqwucdBChzzx
haBBi6E2z2OUrTb5Eon2xQTx4QWkfYJ3iodeipM7B94W+es8KRP8vels56E31EEfjC9GyEeDUOms
nmj92dJR89f47UGDeiumYt6zuXiW2xgquavuPx8KHz1bysTcairdsey3fvNvh6hTyFtBzVUzPCzI
aJ0sAyXTSCD5XHbEc6iRJ9PcfX7Q+ca/f6FJLppiZcjVM63TyweNtiyyeek+H6zHSk+VKzDHM1dc
zu2Mf+FgStmWou9Bn/RkFBYBff8y5hUdRoWxhbERMRUl+tKNowNlzWJRGmL9+SH/HB6c32+HPBmK
qnI0Z9KZwye9YuEbLAtwM+Pw8PlR/rx1749yMginCNp4k7Ds9WaQq+aqM5Nd+mgHz5UbXoZecZ1r
xkPrWeEX7+M/n7R3BzZOXh9Fm/NoYQ+jv+dcjpaRbRqIH/gkZ3AQcvrPT/OLi2mcvImBtFJnnWfy
Crk8lSw/iZYO66/PjyL+fNben5R8/6yNIUjxOOadmCFoItF3WzRYKJP0BpbY0g/jn2lg/TJj2gAG
KK/QxxBq69aN7Q2bXrhXn3+bDx8QRcvftVnm0vl//2W02OqIBWHMlmjYGiBTPeTMke6yWf8QMlp9
frSPr/DfRzsZrmPQwDad5yFQO9+6PrlvjOIg9a/WMR9eYQNFAp5hQ74pGX5/m9Fz06txfiqU8doR
1prhe/78RD68bAZbA9Z7ju6qk4VCP2QFAL4Subbr22ulFe6xBTxJ4RjxoSqd4KoOB+uLe/Xxaf19
0Pnnv71BpQM/N7C4V5QjlNyy7/SwwM8c5y/201+d3cmgyHoVGZrgNrFC2sogBVKyGQLYWya56/b2
80v54TNu4bJQpmKlp58cDPuDHFGcBPCcdoKnLaxeYvdHMORf3LIPrx5bXMuGrIo+/OQlFlsmPoK5
9AHwIsckafabcYqqL17IH106dtDzplGxhHRPjmIVOvEO8TyR1t52EP1OdgLYGx1aMjU1ffP5tRPz
ODud35TB88uVg0dyurHySkwFcz1t0QYOnWrU0qQTSLqw1b7LnHMx6uetqu7VpJ/L0buudVD6QUuF
0HZvP/8qH91GZNaKtTN1MuWc3EabBTq8X16eVPEAX1CID6GqCMzx7Rcn/eGRXFOahmlZLuPm/WPA
hNcXGnTrRZZgZsbJ1uNFtchHc6MnNytWn5/XR68sQ+E0obfh/rm9w/UfkXbNs4B8ZhGgBDbwBaH0
+xcOw/rOcpUpdeWcFhym1ikxgtLjr1OE1GglgL72MelOUVL+Cw/c74ear+9vrxFGUhFSWGLMAExF
5jKiQhqcCw1ozueXbn6bnw5ONqogBgzL0Vn6vT9QB+ZeypBVedeoa+REt4htkOoXd0agLusMoFCI
KOHzY340OHjhW4JVrEGFeb6dv51cOgVTKX2WKhk+4UNnjwc976/dEq+123ZfjMSPxobFxp8jGaww
/9iTj7EXJvTSFgrSm3YgRDsKV6NDGwfaY2W7X5zbR+8W1udEMjLrcMiTR0wm8LSDhmktgK6VgNSj
+YgmaJn69zyTX8wBcl5bvbt77BgNw3BAj1EHox7w/krWyQCVXfK+TOFuk7/hbwisW4P5uc5i8VwV
xp1svWd/1M9CmYKYrFb4ly/IbyC3J7qhgwCjrYnkoi20DW2kpZM4y7yU12/3+/++q4uciDpP/vj/
LhB6/yz/ff43P/JirEKc3G/iyL//tP2ZX3xLf9an/9O7f8Pv/c/jzpLKd39Ys6Jsxuv2ZzXe/Kzb
5K/f7//M5//zv/vD//Pz7bfcjcXP//i3HxRNmvm3+WGeoc58+9Fc9hUuL7T/Wtx5lVcNhMTkj3/y
l75Ts/7xVr5AP8lEx1CzeOr+EnhqSvxD2tQAqCApabBX/lvgKf9BCZBCIA8rZSxG9D8Fnkr/B/tC
FKPzYywhyTr/E33n207871HFk0nTQfLISJfHxRL6yagC6pJMhg6VF/NvuG+L10Fheswng+jahmBw
w73DIqmt7ba+cAkmu/ZmLWGbAtCpsYohETkIK99bTg0f37LHL17Db+/Zd98P/zFiVvZvus23fJtw
f3t/9IUfws0TWNPwc2z8NiK4UB+8RXnWsLujFZ44G6jWu64iWMEkFn2WahlrUwuvCzbQB3sK9laK
cKBElYZLsF1iCAU55rZ3sYP2UXcwtJsZ4pMBH06dXpYz7wSH37fZc7Hy8LTt51ophrSxwRFAlo+e
le3BL8Nv+ijATKnEfyiT6NpXkKIqgrtWuRLffKs09mRg0eHvlbqoMnuNA+tGhYQz/Tbcrv66Fr/r
ZN+KYO8vEfViRR2Sl+xcNj6ZP0oLEJYpkYxF3OzN2MXO2dtHQl7AWUmxcG/2KWvHuhLY2LzkUYe+
tDZlX25p9A/LvAidMxJjZv3YcBaMghztOPHPBpiUbkjiYTFoT7WZjPSB5+Bfrb2c2j7B7iMu/AJw
BwR7PJ4FnfcAM86ErC1fVG4wnouwWTn4lGzqXY893wIXMPSnKOntR3J8McgRMTYqx1r5zPgrzVfF
zThzMz6/Qvb7SYhBTpuQ4qmyDBdBK7uQ96/OcqTK7AeqR/kHP2xo9/GchYQ6pr+JEuVdMB+uJsBV
Z9A3Gzi1U0BSgN5An2qz6Mxoe0JOVQO027woBiPeAK2AJRKDLyAv9nKURny0sC8dg1S+JJABt29/
RcYV/ZNuCACnDHASWiQAJFgVm6l09eth/kgpoYGM1MFSzkY9E5LhtUvqsIx86xeBTVdm1hXXFavF
fvKLs7fUnbcPc9b4v/2X5RXrrBAG7rkYVsBkqgs9yulaN9UuDoocJJmTHzWv0TFRKPK+FEmP2M9e
zIRcdCON/SVXTOyA1AznYxjsOyckUHP+09tfhYGP0KUl0Cywk7Xq4/ZMA0F+1tCTOSMzE0rTuBxj
H3mb7VXQS+qv3gEnOvB59QCARFo2exKTbbF1MsC12K0THl9a346mr2Quk4sgsK+4LIDCWE5vfR1z
OmDG6L5XjbmonTK5S2t9UwYQLD0Td/hbcnbSN4esaZybEkEBKbTAxTMVnReqiC/qeGTgXiRdVz4U
Iw5aIo7zYyYDB4kiOWJvXr3CgGrw+dh0jHfT+nxySs4NEoUEej7Fk9VzN0WxJcDYQNjrvxNk0aOT
xlHkQTra+z6PlD4sujl9Mei9Z2PMHmohwmsNK38QOuWBXJ7g+u2vps7WKBeStvT2d28fKcS9Fcpn
H4iLvk00FT542Gx3XRTDxiNf8EGrc2ujEcUTGy3C084cbt4+0FTtC42QwJ4A2Zs276xDOYdwvv0w
qJKRuMqgXTbMAFv4dmwM6qvUnyCnVuTINm5PXMH8x7cPDPYgIW3Hn7V22oVHyM/S48p8o8Z6FbNd
upeg/7aZQlaQWHKtuU747Izxs/D68loXbX4lSADCcLvxDUsjZrnCFTuv3jlIsU6nLL9PclLua19J
AES6tUcPLCjCwcqblIPqmtlqo9vtjZWhN6lC6KS+JYHV+fl1G5X+QxHk60Jk5k1vFK+f32Lzg1vM
K4iquzS5v8SXvH/9OG5ohbo3oTh0zG7ZVPY1mX7xXT7mA8KKJz+zzWc46lpNN5f3tX3460M17KYc
/yKWZnIYjKogOySaNqgSgiXT2rWJQfH87UPGqXOuEoIl08pFAuL45apL5Es3IrN3cdmTIITjZ7Sb
sxAJFpn3qtwjaxZPwXRZtK48RwaUrEjWMM90o/F2vt0++MnQPRE/9z3NTeM1zvdNpXYNDcmjb0az
4ahYB1GtHwJtr0WiOsSJS2zyqE/eIVBAP//6sEtr9fnlxOr0xyMz+2EowiNxoXzACujdnmJAhjpW
ucyXEF0Dy4DInfYUKkDgdERZelZCVEXX7ANW5FFmmjfJ/OEgvaHdQ1iV7V+wu9u1/Oazvz/KvlkV
g9dtygZ7tMWi5h7H2BZXvHg0S8DDTtqP+6zC66IH5mHEFL7l5XlAgMaET4YAFNcrwmqmm1QE9kpT
WMwrqBtHYRTn2ESM6ypuCUM0HdTpynh0BY+I5oL49KJSPy/V62jBy2IJRYT27Jl8M06akpzGtgZM
V5oO5lwnuxBi9PfOVF3rbkwkHEkTC114+pwJNSHDK9xVPqQPMhjOsJZaV2gWmkvLBh9QChPgAx8T
0ZhnCdkQODrdbeHV2hEHu3asJwXsVu60JvGuxtEIr6tx2oKEgimDDwWdGnFAWimvSPGVV2U9zOh5
FV+gF242Q5eZl3gBujfby7WuY91zC8IfjAqYuOdDF2jaKvkGRvESzAUyFBN0et4Z/dlkZ/h1kix/
6cPhqS2GigyaIjsGrl4SdmNkL0XS3KUy789r5KPXbx+oq7Z6WCLTJiV5AEtjnvWjMo99pP0g7yT7
8fmoU388xJQWaVqw36OkglPr5CG2J+BEY2sjLKlWg0nWStpN+B0KT1+QgmgfzVZmZ4kLJ7aRuOmC
tO1YVMb7bkTzpzA37NIm+wXxHoM3TNhmF4f2o5e5TO1V8BpT6N4GmnE9x7rGvouqpI43dSG0G2Ps
+11Ty20Id+H87SMtg37jhbJeAjvq7gsIuVUfTo+fnzKjf14Y/b60tFl4s/Li7UVD1GUZ9f5JK92m
bx0DFqg+z/Vjfvf2gap9EQXEEPTSEEd/cJ7rxEQp3gTWsprRXSJkvWl2cfhg9np2DiK0p0k9hA9O
FlqHvrMjpLT81PKsbp/gcVvWvQoeBi/wAIItSVjKN1iwk3sHBMICE0Trlf5NpyfNDS7LhCNBNHv7
Y12Sq4lQ1WWS1M1fg6GM45Az342Nc1UVjkbqEDQJ1vRbYAWQJutyKbqh3xdT+YDL+K6MfJANYfka
eQhS/aB8yeOLfR2Er07cFwstHtdT7L54ZpxSkofQ0jyPyn2qWdEu25+N5vzKOglxLya7VLPqRRCP
LwOZIVLNwuOcGRPT+USs3Pit7DE46CrHh+LHy0ElNTRLY+vmPjzshPCfMqlYd/bOpbO3vOnFbTJy
qLPwQpTaukmzq6jqnqPKRHUbw45VW7cktUWYOKRysIHLPJp4h8Os23S9c1E5KVlVnvZtykrE8hPG
oAzJl5aiIopwXQVag64nj28F8ZhtR6iRb3oPURg9VdqdZZW33WgDjDDIWaiy5qWpUuD0Vv8IMITd
FVkLEcgG+tfaZeQIb9nqmJmNdLinUg3e0dqEdb+V3XRLxXARafcIBKmTZC5phcV1bDfFmpiprS4K
Y8FqYMVknBOR1RNIBk1ok1aQ3CrhbSuZPWIYVitJguFSJbJeYAMcd4kxJTv8rLhImN+XYP1LVZGH
IBQgIM1doMAls7M0d26EoQyGQjn7n37oGOE123ktLX0fojfdyDAwNqJJvb1/47lGvTFQ/V2YHRQ9
jH7EcuSX7Hl4O6UwiyPnPpMD2VH6ujVMelEtBmPUm9z5sN2KKumRJuMPlq2uUWdWi64Lt2annRvg
RQ+Z2SxkC1u4J0mM/TQmJqiILQBF6dmQJqChnWMGPOPM7HVjJPnCk4g3yxbyZFlp22TUL/VC/MIx
qJ8R5xZuggDmjDZlN1An7mh2tF1X4QUsdpYsVqDUuJbdtJeFeYD+WiwiGiBOgaqX66ktirKHTeRW
tEQlGU0x+teKfAjwKO0yxkPBQISbQzJftjMlYPshSoggUcmuG0zIId1SC7MHt3G+pbnbr8Kdl6uj
BZZ91TR6sx2GqrpLdftXUhEyahrB5UDZANgwb2mD21la1hHqDbpxOItXYrotzew7Zs9tFNBKnHiF
1GFBrqZr7GgKbNoW8iZBI8XgXrWS5O8acw/Jgot2KpMlQvAHTde/aQY5zLn/OKdHjYG+m5HI8R3e
9xo2V+ku2ty+bIbwchDOeGgeWxfr5VC4z1Nlbd0Un/oUdziqmKjUSzS0PwL7WWh1i4OBgGi/FIdu
+Bm3Sf6c8sVhdREWknf2NfnKqtIvSQtyFr0OWUyWc5KXmd+QF/3NiidBEnzprqhjRDNp2CAy1/FX
iWN0GzvUxLHTh19ZToMFPPoIAyDa1X5OnLrLRKhagH/wSuRBJ+RmSWjxawHC4UAUpbGeZutM71n2
GgfktZv32cqqu11oRN/rPsm2EdZDNQYb9BHteoJdvBv8BFCZm72ocCx3UZE8TIV1lR68Q+/wBFaQ
h9OSJw1Jv1wLKhazCsbdlf7GohHqaOs+UeWmm0jb9LIUSoQF0YrgIVhqcIRGa9xNq5wgZSgQvTwU
mXeLRyWeEnCek0O2kPfSGjlYO4/YoN6SGxZ/Dyw9tKPbC+042ObO6ogsZN4P3ZAWgu4ZCLnLJ8+u
iFz3xwtu+K+IZMMFuELiiaQ2rcjqgTPSXvcDMXUWIAY9rbYFuX5H2xp5p8uCm+DCVmlDgPX2ti1N
0Eow1m1so23Mr0lt78nXrQZgFhBW3O/LItCLVabnOpGXzX3tYXWJZYHtQ1pw6oqfbXh0xU04Wr+A
PVOJDTPcFhVppKIkvE546bECELAxvPGxKQgtmbB6rgoPQnRt9bCmyERfCk2GdGWIlap771Wo9Kfj
hMkTxKY1mlS4JeGUXmXqyqyze+KHbypplVs/vqjq9jrEf9mrOxIqwpVXhLd2Y5z3BKQUUTTtOznV
W+LRf6LDDzfpMADHsQb/0rMHiOq18dNLkMaCfomXrnPbOv24cyAQ47xIwpuM7JjExJHUyuGsbFDV
uhFhlght62Wm4HS7G5mIWaoubjSH5V4+sCACBqmXwrksjTthkOMTQVdZTW5yHY26AL6+MrQ4PhZk
YS2TWGRrO4NEkdtrCkD6Fk/JKgxfpTOV+yDhhdhPYbo3yhL0h2ct0yHX1/B18w2PQlF2P9yc/0iw
JGyLQf8eFE4FZstfk/TQ3jHZPpTdQGGgs2fUm3Y0e+hatAGvO2n3F0YWks0dxT+LOZ4Io8iyJ/9u
aRtkCEchGzB8GfdEa5ibVOU/VIsDsomye9XLa0/dRh6hMFZeP4AZida9YxOtVU/HluwrbrW3DsCs
QAHLCPYBnAqnYqXMDNY3RDYczHNEDuhRjWXxWa0VTz2cC1Yk7ncdXUEV0SzEMcL8kNc/urA976h0
LKrKAUI/kGXmhxSwiJZIF07gbQogPIspihS8zNhd9cFgEmKmw1KcYGIeMbjESxwR/Y5M6HjVGn0A
c1QcddO7mYbsLsb8JBhjnlXBOqf7tIj96jIfNHiPYfQdWP5VFWn2jrQfbw2vl2iUzMBvVxJIlH5L
6CMRb1vgzB/kWRM7018fcMOZmpj84JUm52TUTleBitmBtoQ+FbdUIbMz/CPpWZYY6Rn7CiKrB+eX
rTOtu9imUZVs7GpA7hfY+gZNYIuI08INTwFvBZubd96ilVa79b7JzoNV1VG0yea4rVZ1T1EyPpFC
UcF/suNd6A33bdO/eEY0Vy3SfZfPW9wa6y1Qj2xZRXG5CQHb0mcgy4aFoivwLg/OU11QJgRRWNmJ
RV8aWnL3GlKIWCizIcgQdOnCNWikdG2hH6p8MiEgX1t5BtvXJb6imSc+simkTT5O1WjrlK+86LDX
IRWdvlPts0g1451Zjba3KmlZrdOsI/Yi9rxV7eC+kV78qJ6MKbZ3Ri0As4PjKS0D4KhG1idpbAvX
K/qrIjKXbleRXdSmi9bUiTXKAxpA9QU2GCrRU7/pivSoJ/TAKv8lsBh/vXcZ0UKyJeuhnv9h7FnH
jLDoXT3YE8BEC6t9BTENU9SgOpzf9VN8B2hhWNFuu3dxLnrD7JJtnXVvab9kM2EqN7y1LWWyAu4j
F3bRreOwnCvw59nUwGNsMoGx/iDdaNqJofnhDQ4phYRUe7J9GnQHcdt0aFqKBz47mqSGwzMnfyOw
vp+mVeEmDn54yCyGajYEa43c9gVlD74SLZL1NLkryEtrzUP9alRRvxVes4gMkpUJagayOzUgPAu2
+rbkkWwmMrB+OSnjAWydQcbjEIVnwfzhp+Wupy26x7u5JAeFIBS9RSJdkKPJ8qmIVIshXSb0DGja
38mh6neI/4EYDC04MQW0OsugjAvXW3SThycpt8Klm+DpDwmqLwX/tPYI6hkd85LtK6vUjMXR2FxN
A2MQah3a3s7eaHEk1tFUPoYekM/E3UWhd5WmmJsxNo/461yM/a7qWSZNl7EmH6dynf9/6s5ruXVk
y7a/0j+AE4mEf7wkaEQjUZTXC0LbJbxHwnx9D+pEx71VHX06zuN9UZRqO4kigJVrzjlmN7R7R8cP
VcnPzR+7nQ8BFfQRq4KBRjyXp9SmE0QEvQwodmEO3JGbz9FHvZxqBnmYprf2chqGJrrO4ACuzIx3
uxHZsLZETFGvdc0r8utj78IOqKsvzqbccGj+CWXBQCtvHByRlVuU124LYAnxaG5/WXGVhSZf3So7
9q4eT1Fq3S+mB3AzS6IQCrM8L3AtqxI53+XRwCkIdqQWDce3sOSLZIyvegCqYBFsE0/8GMdmmC3T
Y+qUNBcs3cPkq/GuujEX0jigSALG6ADooZlJtJsQHkw1nKkz2IDSc+ksopTV7Tzu+cB4qSlfDq6o
aUMV9sc8D2Ghg1NQuI96WAg0pj4Q77q1w2KAaRYQAD0N9o3M3YGNzzcGUOxtBg8IbhDYVDsZwi4T
n6Yx5gcKr62VnzSfXSkTVtRUfBaSQHUBbiiaPygWekgbA3wj3um1wbnANZevnMaQTSvldqHdIZG0
p+RUXRSSwoWxj+9bRVbZpTgDQoXrrxU9IJtCna2k/ZXMuAYK+ITCAhtYT56/bvATILokr4XYM9c/
ZA6BU9VPLzY3lXoqi01b8qd8jy1a9DhNRpiJ+FokBOhm66oTvM8GCMpdAbdqNbecgL0sGK+0HNzp
gFU7zeQmTWFS6TvTKVyefnpjwqfdC6psPO4v+9ZMNGfZvl8PTQK6t6Fj0DO4gJzH1og/mMBhc9vU
HTnADiznJZP2PtOdExrAxyns9WeO98t7NHgkkjNCx7U70Nhh3/YJc6DXsYTtYZi7KnJfMHReFCWs
wCaIKrvGsOoNeYl7vgw6Ac51DYl/jtz9LM5CgrrCUD/feSvf4Zub6KyVS9KGXUm/ru4psyiIsiVL
TYa2fu1q+4srLAmHgNNsjplt7YDQoGM+/spVxWg+rheLXr4Fhit9nNt8iGC3RYyacIFL0zRWserh
g8bvWZ3v65G/wBg4f/eU4zEIcx1Y1J0rZ/mVqvpd0RG48gC5DPi1v13aEUCosFvsp2LoVy1h7Ds/
IhOPZhan8dHOKOvyZXcj94OHjNTyNlfW8/TMzoriBx7IB8PN7hL0rvVijM3WWIjZe3rk6So+zMa5
R92N1j5+0TVguN+KkZQeQnjnxa4f9c/Knso7SrPu1Ci2SVb29/JCtLlesUHutggbCzIMNJAcyRQQ
KioEEcsdnfaYDdKKnQe4e/ajl2YRG99Xii94WgcV97w2pSl1SOyQupV6TYCU24RFg4EsrHWiKZbo
tXdiqHmKKjSYWepNN3p6A/74jym5LyLYOE22HcfoKVoobaXYTMxJA2iMzGnWgmQxzfQha8dfelw6
NOQMfpAPsBYuLGdf88hs3fM0+wP766WZGn2kiBVPa/snLqdiR8stNRLio6uSIwyAhJ0HtyLVi5Tl
BKFnFQjUQicAFO5uNHks3q9sBEgOhjI5p9Duwjyxvqy5/DLqEqFBF+vA4zoLbp06aNGIHfToEiTz
W/viTjZwP4cfkgumhW8BRo+7hIW/SBCY6ipozw11m794FkTpNq6pk2kizraxdpkesF0lTAxgKODI
LrwdqcXgqXVhDkbDsmn/bqIbGVaWW1vGzu038s/p7NpSiNEP5naUgMPtg+cVHmV/DiEzI9okvmI2
I9i8cd0Xx4iNI0CkaSUqC76fb/OlDtW2DsqnImpBGw7gz7GffNBbaGzcER6JwfzajpYmrkXxfDAY
pyQy3TuuIdov8B6cjGZH34jNAZsOqVx1x/pWKttossYlw8CGBmnlGc42TqaLKpODPQxTqIUInYwV
QY0UBWuy+DMxS2v33XDzI2jNNMqSQ581DxbsiTEr6dsz1KWPHIiHrfmbottLurS3VoPhSXQxKJa4
oV6ryD87Y9oGxchbh1UdP+vsM44f4BdoguLkrTvYKsFsh1wKr5lNO9uiNB2YuXWaepv8G7CNlQkI
Y52ZAUc8is0AMf9Avbk19MbxqYlv0A44RvmSXK61FvA3h/paJxRlSkIuk+rP+Y8SfGA0BVxsN24T
rB+CYSBFWkrfXNqAy1t/hflMvikZ5LZYyDix0+CT8isJmjuIrPsaZhOLi4ynX9Ud6oYuLV0UD0tm
T9vSpKgFNhL7Dj7LJhTkzjPO5eDupNUpqtJ5ImFtrg+lKV/LVoGTRjoCssiOjtRR3VqKk1v6rDyr
W9cYTDicAAwQMWhhGo+sqmHl3c9bvMy/J7LyAASW3ZjRNmVHzc5wsJhovxYhQ7I1haXTZvvKnzd5
RoQ7pl2C2AgFAlPLH6q+4Ed8f12k4fBvrnIIp0HaUMngflkxCnBtDcAKIVhRDCwfwSQwgbPbQBPT
wCdRB1Mmm2mUL7bbvkF0ZAEcQAku6hSDNwTCuBS/uyLgIWCrZSUX6bEhpu5nEU3I+htqd8SCV7sP
meXsAl1tHQ7me6W2fffYCjEf26wJNn1M87VBPYnQ7scu6ar3TKgfrk84lGaKy+BRcdNAuV8XkXwU
cf8nl4LJO1XvUGU2aV5czB6IeABTFmI1bROFcmnL7H5l5p/GoyoyUdxELPnqexAi/Dym8APD9jbF
eZGVdFUJjkJ1k2zaoS8e+wQMESH4PRVOgyKfMvt3Tod1RVsefXDwTfTSfubTHIcnArzs8Gn/5Ppv
w8KEQTx1QPhj+6UsGmc14dHd16br39twUFe41DgJzdCk4QaiLvrVxUYIsQx+SI7xZCa0+0xJfiZl
/Bm1KfuBwdjA82aj47tPAINPhYP6HvnBKw9S7lJx9uqN0IcNq2YRKJixI1b83tQ8GDN3sXJim8Ty
wGH7q+0NTM5jYTILigymY3obcUyq0dy6+0pHIY7j7TCY9s7OpSRLsXEBsU558xCfp6XPt4vt25s2
6pxtCQ1mNY0WLgG2E0Q6Qr5itgEgR4wU4FjWUusYoDvsPbDEVd6xIu4aKiL3hjKfLHoOE7cFzpWn
267Jg7DP85ZxNtubPLxWldQzd7Tlt/DLAdt2sGcRUG+y0W7vUtiO9KbVmu9t+kpiTbcwbUILO2DX
Ug+5lPth7rlP2tlbTmk38AX1JOzpbpwWqD42TKlYNB+jQdl3/2S1dnMGUcu+jCZCQ2NThRVEEfV9
bJoX7LrDinfi7yZ0QZNtMjGg0aQMOTi2fiNirLhOTgOXPY+LHNQyleS7IOC5T8qJueaLexn/MML8
4skDJL2H2QR+FSVPCRPJ5PMGciLunGPPBZjTrRS2JvzmMqiod9QTpDrQHjo5ypYywGZyPozbz3xB
F907i7Hzu/YHjwNj5eIjWoNAB43mn9pqCHaIhX96Y/ldswMMOXp9QZSCpp2A6je6y4xf5tBlxT4P
mJVKiokIlqGXg4/G/5D453x0lm3e63evBxhXpeclGOUuXqAncfBKCXrI4JXVNSuOyjnKlB3d2Hpf
k8dpOQkUw2peSeBVTnIIWF/2M8F5HahupyRPYz+utipFYmhiM91mkbGtIuE9SPAn0nRY3VHvgGDx
FAXDpV4400RTAbfqMVVjfqHVFHiC2HhJkay8VpW4qGDedb+zzuG1y1ll8ULutN899unir7Kglxyc
jRda6IAzR3a9sobmDwqEWkUxpC5nkpfRX4qVtr0/RVasW998cDLoEQPI+FXnMi4jbeL7aeAPAZtZ
qYniZma+NwZ+IMzMK0Pk5GevTn762WyTOIvY39wOK0Y3A/Jg6hxbPHi9ZT6PQOafTfizFL9g6xUT
8hJeUpbadOFMpZgv3jAfSrdUVx4f/R1qPe8BG0h01NFriBsxuncYXO4hzSwbVS7jOq1BOqo5OOIY
6e/poeBspqpTYnogb/0x3hFCX9fGaznWf4i8Jq9m5fQnbtzDqmqjeTczuW09O/jtxOlRNn57SguI
ZQO+nsms40vd5CV7ypqxnaX6RlH7ZIzVsXTn8k7G+OLHDN5zWdDTZNZ9/zOdVmnVWCthlWKn0Ea3
PZnxc+uwE0jysg2JJlFZ0wzFNaDE9bsXpK52MHe7K0Lhhnr3kR1Y6SJL0/keSv5/aT64bZ/c9cql
c8HJxge/d9t97zOzDunXUPTOJU1bunmsBYneid/9zkiu3x9S7efb2ObQbgXUcLpJfk+qob5yPsD2
YEf6oKsIRTpx6Eyv4NeVSTztIpPiU5hz1mXIOUqYHxpXwyGm+OERGlz6aDDIrqY+Gva3Xxzzwj7Q
gYgao3Ud6iZFNq1t48Kua9w4Q+aGUxP3oTF23dYLsu4a3D60nc01GI/3InPaa1DN0ZFv/r3oqUJT
VMwdqBTynyLvp6o5MyOS0xLC4+xkOoYdtpbd0HO2MVzKCyDvlGfpTWexSP1U5C+zXzdXztTjUyys
NoSwley+PxWLU62kTRx/DrxfZEg4X4owH/3yOXfsFvZ59ScLSnHym6599m9ARxa91J/dflH1DXdt
tTxTiXwVTRy8EfjvWUg3QNUXbT07I3qqTsQ28hlBRWpNu85yp5WR2OWTVPwIOYtwV1Zd+QTMzwCj
ZNj3hc3bBSiD+15NfvVHJvRYY2wszrGjEXYW6I5uqqb7IKa+Ou7iC91OHQK692Vp2/1sUbggu/j7
NqMdtLQROSbt/oo4Ud8eOjYXzdeUx58qFfqFMnITb4D3CJ7QBLjfN/inIOAPEPN3t/3pKXaa9GDf
vHp0mYGpKmoMsnL407by2TNccfWNo0zYX9BS8lHP4KNQiU+2xaYcZt+BmrXnWBHWNQwH79DAZT21
916KrNwjuq75iufd2G/YALUvba+ap4yTkmmeQcXoNxBWFU7Ke+E5OY8DCEGzCtTaJAdw7Jmb3FKo
E8BCJDDn2QcdYXgVB2SrS/eu4V0Dg94dx4g6BLMx3mRGJs9Gru9UzkvPixJR8FP0r4VD2by3OLy3
VLLRLrKUTdUGbVnRm8O4BS628oHX/4H8rtbwso1rlrbP82jIAzFN8uN8U5vequMT65XHETZRGAkw
RH4yQQWEQRO2KZY4ZHJ65Zu8woJFo6uTurSqtc1ubAzncXbz8oEFNFidPngqh/JaZrV31Dbodk3R
j88SiepxTB4SxOFg0RJdzP0VoudNSJHIHn7VnCwQE4dm4LYfOzkG0mKtgDcciwDdo5Rab63EiHFp
2iVO5eWT+29EJ4pn3A0JKGu3BxtmBMXVnPtq3940zMp9t7rRvXNoSFjV/WRzJST3mETfU8aFe7rv
Sr4q2G4LZ/4d8MQLJXfdXrXxH8Jr/v33h5KSEa8pDFB2dANH/m/qR3mYpijujfcjY43g5HWNLuAj
xU7SPiU8iwJjaO+zwN/MMlCH2U2cTRtQVsIDb5N147DzXd6oteF5IXWSd5ZS45rTNPYX95IZ5XTH
sy7Ai2ucapBZ4ayMAkApe9BlSuvQsJN6DatqPnrURq5NN+Es0NysvNHU0RBl9ndJ4YEma6yfRUmt
+Ux3uNmJt9yc5xP6ICaIdMqeHDpKTCv16RfkQ5XgkzbUWwtf89ErlH0tpTJCH+YaRpatQEYBt2/S
xF51n6LyKL8r0l+2ZI7w1ew++jgqV1VwW+wsLGo7rz+VsginpcPqqLPQzaS4DwJWMQ05qXDJyvLi
CnxdcP9iiCkI/By22i8Z9L+CB5M01TXjqUw3LRNXZZHGNt0BcdXL8bC0PmDXAtiCGrDwle1TUcDV
IGOcLfODhA3/Eo3GL6PBq06n530ycajws+yOjsr4lDuwhqWTngUtn7WmmWPuS+fU+J1/DwGLSxTM
5RInL1aPwjdmynzMehcpbqEs3rBAU5WTMndlQbyy1GnBHQ9MmzFYLECw7uKMqB+xwiyPpGbtq/YB
31bwAakqmDc3vOe59Gx19nAm+vmwcaV2NjDwohN0s5IdHlgrJxZjmHGH2gXWPD8uk30XL7V3r6Zu
3FZd3p/S1GHuzMdtevv/kwVoPSYM1mX2JacwNQw66lzlBJiyTjxuUekgN93cgFrgUPmi6ttuPbWh
Qpe2d5xaEMm6JhKYdPatvyxaXnNb7IxYJl/r3oGwbFKrENIfL9emuNXd5AYX5TBnd2OVl8fvD/A7
WTaUEkl1xAAbDDj//fSHH70MZuGVFC0il3M/tzd5Y0U0iAGvGTMWTWaQbXWhKAF0u+C5aj4kKtuD
vfhXAKHmtlwGMJsTHFFJFmFFkMk5wK8DidhxNmya5LHbL+j5iqL7R/ZiBvWA43YYTOtgwFZF0m9f
F1TuXezzMyceWWyKZGDr1JQFtazFPsbes56XAnSoWR5LVmRhlA+YEG27eoiyoX5wYLI9KBMEaPcc
F1N77LII/6xQb2PvzPdcpI+aMMgfn4No06mwLIHv6sVxwv8751Sjc4eK/v1MCPxafophOJRI6qEb
FU7oMmAdal9hMBbDjr/NAc9pcIpr/frFG4XeLEYwhJMFGLeRORHfFL+fLWpx4TnUc38rp2coheOG
ytl66xruwevZNnJdZZSENtM2EQN1I/mtQtGeuy1/QB2TuPPWad97z66OdpgaCuw2Tvqqlq0AwkPb
rvs7D+ZdMcXV1YxpReEkV4fj5BWcUYwqzAcxh63n0p5d5/ocTRtX+08BYiP1ks6TFbCPalXylcc5
W0BVtqcmwvQyiAe7BpkLQO6poAb7NDIgrdv31qNho/YGE/ofTUUcKdjBLklwQPSk1Jlje6I9NneC
XfY6i4KNUqyOvju1gM6xq4tSsG6kT7bs8lEaTBxxQZOii/hR463zpZYPwUQbytLH1t4ulN5HNRzL
RhvZBdsbWn/b339/JqPm1gsh/F1XwsoGrPllO3rAfgYpUo7xsB/jhcbxoLfW7FfraxPU9dXWv/CG
lg+0RJbnPOZ40y3OScmaD8hMlKXVCkeJ0heJ0ejiZ35/hHtxUfZwFV5LrXaUj89j+vxd1vb9SWk9
1YEhH6DOPDvMx+faKUkrpEvwMXuAx6dWs7JL8l3nNGRpnbn4Z5jtL1m2/zdag8bzdwMk/H1bWuwI
gMEQ1fpbZLLJYt3pCANRgvEF90wnHt2UbKtnJRMU67o/0hiOq9qEASQodA1LcNthFM+UhFHnbUUC
3m5Bu3jWlA5b1WVkjYZnJbZei1TlLCVMj/4tibMQ1jablypivdhaRxbSN8PGFt+95+O297L+zPmk
usDgfyCzpM/fH4wJMaycsNN8fyrSH3WCUF9ITx8j5Yed7jpac3z3iCknvmuTODnCo7Hu5jJtDkX3
6WgeV0PjYjUUQxlv7bR/L8hy9alfXPTtQ9zx3l4syIMJohNWFog/W4vSRwz4OX5lt3zJde/QpOfg
lqk0xtbIfZ0GoJ0Ffcusr7P9wsgBxBb/Kodm6D0l8zx/j/0BuWNvePVNghNHLHwmRMjU3+W66t/K
SRerKsvL+5pSaJZy1bS+FXheBzbEoZ9P3vb7nWclFx9u7xnu4LuMpvQVSYb8xpSrQ2+9TRhrrt8f
fJthjGSN3FbHKs7zeyqnm1MWUyXsGdVT3dNU968dtP/NNOy5uK5tz3OhFDqudP9GsGjKxKuEvu1H
Jg81sU0qRGmr2vzQ2WJ8DG7vrDU2nHAQ/J407cdDEXBzkyRcN9QyzfzA0q2XTTW5CHDLsQ9Gl5tK
cpnBCa+tWLPcsduIuh37BzU5E0cTjBNxhAGuNt8DUKAhPKMF+2J31XlWbyPz1mXWoJCbJr135Abu
/vW3/A3l+ItlmEQigVgTr4YJt+rv37Jo/LGvm74lYF9Rv7u4gOGDObR0JTfRjUBZTpgcO8nx2oyk
OHlEtwVo34eeZ/NDIjC+VaLtD7RxrurA7d6mpDIOVSOyUDFffFCMi+Sh74shwxA/l6wVK/6cit37
uP3SIvpcyrq/NyX1eLyq2Eir6cFicHyL7UEcoqZ48zNxMAukDDIo0dEscHCiWqVHdgJvnIiKp3/9
ktzuEX95RXwhpQe9zuNVIab3t4SPqqWMU8172bA0tP4s/e0Wxp/EZM5vjNuC3sQdoB2wIlxl/xum
7G9EAocQg8Cxzg8CezcdI+Jvb0FK6rsxSQSPt9n+yo3k80ZR1XRgh82Sgq4wjYNEUs3bDSLsSKXN
9GXnfr/W/dDt//0XggWFFKSffa4K+Vc3ObdBI60UinMky19T1zLZJ3eZjh2EtuHoxgKvt70Me1LJ
/7wQ/61U8v8UOf5LSjl8+j/P//Gnav/j/LR9/v8gnCxvgd3/OZx8HYqvv3XPfP+Jf2aTZfAPQseQ
uECswekkWvdf0WQp/kF4ilgagQfLEY5P5O6/umd8fsnhfXVLQ9gUEvFL3Edu3TO29Q/3RqvyoXpY
/EHP+beiyWjTf036EK2XpOIEiSkXuAT/1t8unbhDt4m0kOuMY1zYDX66J7/4wFXu3DVNcSoycxNQ
breGNZysKHs5+o17puU9ZytDRb2vJKFgQledT107wSnyMpxoHRRKmbIgHg04eY3TdLfGFpbyWWdu
GuTzpoi818Rn2VZOb5gW0Yz80d8U2Z6EPkYH+QoCJMbuA/R3UT9nSfxhmfKW7ov8EOS32AoHQhT7
buMK1181WefdUGtnXMQ5ErCuMMcEz5LmYc7+7WaKsIKOWDQKmV8Lr7HPhlmF7MFEODHXGUzeoS5G
OOOuZtfheSwHKP7WHAszi31v2/XbMqs6bnbJIRKwVkklPFEojT0w9uwNyypc1d2+njoXh92t+rET
V2Wl+K0VfiAXQPbASgGJ+AkK/VveJQDTJx7apDuCjZXRYG21RF2UhzN8WFjYL4ClA4EUSyk2AV9+
w5IBEQ78/Icap/6xNqp92QRpGHvp1SzJllcjRa2uqcKJgLZlkdiI3XYjKeA5L9uERqHIo12PLAYe
n8QUWwMPBUezcOj8t5rM8rZwkw3yn092EFtoHM0n4SPzjoeY9ddprvKLmfi0rc/oR255P8XtDzPh
zUPQFQhCZz8NrS1Y5XuowbP+6OUfpwooGLaGR6DzBGjteZ8gBvSYNtreRNwe0c6Wiaoyb6ZPpPkx
Zb2Cv5ovmyD4nbUIxM5Y477yPqaaOlhP5lARneFktw1ONlxmq7kW781E3CcBuFfOdk0UMeq2vfSr
o5isO0UFzXqEL4qLCvfMZFh3gkrdVW8FalsVBDDseJ9kyznFKbfz2/pLgYhYzQi6+55nZdZlX3RH
dHuO/gzDVUysk9WIGH7JIaO43u6BtVIk4WGpO1kmCQMzOPs201hRRoSBJ2oRv21y7HvxZvYfYxRx
qtT+dSzyM3sVRqZce2HXi/ch8WLKf7VaGQR2Q9hB0ZqNsJrkwATj4UGxxzB2HTNccuSgGRpMbrvN
etZY5LWkJ4PiiSSay1DXkgNebO4Gj9X/OJclzxt8n/GUR6EZZ0Skh3ZtdVGx5QAXzimhAPp6AG9F
dcYRPD6ko5QULet3OQxE6AZb4rn9YdIrvEuFn1NTlX/pG53XmPrN7RFIKsPe+RNY5SBb3v0BSFPr
EWPoWutNdBb3Ee8lW2LJub5/qXllY6NQm6nGeUtl5WUam8+ofjfM6QNsHRdU9VBGeGzNW4V5Xhrr
IUErdfPEDB9B7ySh8Zyzc1zn7w2y6HHEeTZktU2yMk/2qnhsgu3cltZrlDPnLLRsg0vFe8uWa4O7
6Z4eHbFFGlrpyjBPrf/VpW6/KxLsenRuUpdEAgGL/0tXB8chowxhqZe7DBOHYVrRtmLDUmM2PXGg
cHsaneQUBhNRdlpBRJr630FUtmzzeiqreo0k9zwaFALkLgKT09jvzGkPy6guIN7cfWpMGMvx1SOk
c89jj7Fum5uBxzO3HBjZc2tcVWhBnoV7ufOcn2rx+UGXVbN21Pg4apo+Svrea+qv1oqMwzrSUGiC
PvC3k6WvZrboPX5upIFcvCaoJWtwK/QTJEzkeTafRd981XYy0TwwPxeZmMKx52gRxxgxKCM4OmmU
PnJqwvaHNS7zO2SKYUDQjZKtMRvFdvQJd6qYvhzO/ayvZwAQvKVsD5t1I35i+rIPhYV7q0iC0I6c
NiQdn+2L4nlBEriUQ/6eW9l5Ghb27X78y21rb+0GBKAj5azopmSfiNy6kSUZ+cg3cAEUddjLZKCS
25T3sY8w2s3QEMYi2NiYJh+r2YJnMVJnYBNV555IrVmqMWl1AC0UFkgI3V7ow+7fzAUvYBoUya7y
1IwXQzzFhAfTqKYhvlbi1BveI9t20pmSYiuj6X44beVSDRhN61oP7wtiw1pFLu5dUmfk2Mx3q8/s
nRdXb5GpaAQanlmvp2iyS+j3ghb6wcarl/A19Q6pFXOM54OtmQhddzbXvhF05wx5PtRlTZWVWQ4X
YnQTJMkjMZWXuLGK56Y0vI1h1Dukfsneta23WaYGpnjJfox3dV/w6LFU5tPQtjwL36rO5sI6ro2C
lWCavrea9i2zZnVeHBJ7QEmePCfWtw40Gqm6N1Gm6kB9bmh5U3zv+snNtfZotre0AoeevT1PaLlu
+uE4WHBxShkXqTDA+dY50a69jRf7Y0wUK925PuD9D3aKUh+aMLsl614sVESRTck9zuowF/cckesv
2yK1nVM8RGZqy7LeCrt6cddTQ8uURY5zTz6bdjV/a1u6eLGX4iSI5WlitdAXhty+o22RLLf7M4on
egcYUfZzn7Vbo536u7EVHm7jNL72XOd7o2Vx2Q/zHTt3eim8prxSzlmtK+lOnx5Rw2FSGywG+kt5
NFM4Dd3qEIDylWXePEqd34YpVRHvVes8sm10jhVcoQ1zyb0uVfpWxhuSOxQxk1052baVnmNrbvBo
vgU5RlQ/OyCSNe/dPOArWqJ9DVA97C0rvjQiPtcuqx6Mw8Wq6+E+fn/aFZiycgN/Z1eJ6ty3TXXG
5IJnrUrjcKzphnUjq974LjetQKvgOI4YcXjqf1DXqU+QDsbT93/ZlbURjsWPTxACJP3Ja+VH0t6V
pcrOsfdjugERsl7UINxoCbvpeokEZUKPmdiyLSORnTaa5ChPCrg324AFn14Z2KE3bePjWI0P1Sjx
sS0Gb42oGu1tHif2meWeSCQNuApzjlEUH8yV0SMh465LkrVVdw9L19t3WFzmzFD32q6qvcP5kd1J
gUi8qL3LDhp5njq0ACF2pQ3cTPnQ3CQPvImMeXfNEuxkkI9H1wrempbOq97bpTb2Ens2WdyavFWr
p36iaG6WWyDWLxTscdu3qMhtICmuJXZt27wZ0tH1pee8Az95iECr3vghH437DnPvIhvi8cj2FsvA
6JYssDtOmZnjPg9qQvOBgEcU3WUX/hA4n5PRIBE1m9IsQQXMIVI4TOcww5m4tAyzBp4o7uYeo1kt
M3qBMPCojNZnaCmGNpGRzR7HL3kV+pl4uXvyLpTRvyHRczE65m+BLXqbNss+KGS/LawIHk0CSMV7
HsuvGKfC6KvzQDqAmJ8+wRQ9zH5+YJA7RVTH1UBlCsT8fBj3RePvmqbbU2yBUdPbk4Hdtcb7ELv7
LgjYmeN8ygzkUWddGI1DbwPW+rg/e0av+am5tyQj35mrL1yK2Hko/FrNC3XfRVUGu4FheIl/ug0b
JOJRDrpHW91i7nloIjYBvV8VcbqOYTTjKktc8oLBBQs/qRnKD0lxuFMVCtozkhGkzKEw1P7WcycJ
799unHYpN6ux5MXpsRAG1IkBfbbdaU9R38pkjZsB2+d+FOL+XdX4/rrWo7eJclZKW9bFwvI+ZfuW
BPDvZG+x2et+OtPP1OxXDkx6zdS+MGkISurIn6+65OKS1kmbVcc81qa8A6m4JbC1qklZFeQVb0HX
QOpzTlSyMqdVXS90sNE+JR+LgPMGJSrMZ+zlTbfHBUlcuatePBgPDLbZXlQvc0kmv195S7+KiAxq
Z1hFhlypGSEMVYUe7xQhqVrFDa8kQTNbsiglQ5Yi3jSY45qWdakXvFJn9Jml1mOaJ8YG9A62FeJ/
7rDsKJGpwqLJmM+pfO6c4HArfdoSdRU2M6D42fBPtCK+t1HEBvmrtwQXwjsUyzDrg5UjB4xTJvdo
a+US+TDaZK3QLYcKXZ8Lc6Yzx1M6nJhtKGxJG3NHS+LOpbqrm2S80dJZt70vsVgeYzuN9pasVsjY
yKU8KDkyTpSWOUcj6I2b3ZP3B8ldJyWGyRZOYG/Dcx3MWHV9Zqsmm09e72yM+K0dgidpL48ehqkV
Xug1C+7VQAlgQiY9fqC9R6wat6AX3snvcG68LPixV7TJ8Jp18inmoIhZkI4uZ76y3f8RRGyCo8xv
OYhGfJt+wVaMgGXdFvjUJ0yjmI9QEupHMc6fIwmsVW3n1K4XV0wfmMIoWHNnBq6B6Rh7dKFVQmZN
EJnsyIAY6sFVvt542fCQC0RJslHzIL9Spz170/KegsrleYJJz4o3QyPfW8Is72BFbneEBcMg7nRz
xhFmyPyzbsS7NAokW6zFBt9iTwciMj3vaZ+U8X+ydF7LjaNHFH4iVCGHWwSCUUwKlG5QojRCzhlP
7w9bvtiyPZ6VSOAP3adPKON+/c3nHMVSUcmjA0shdlTkQzEEA68uMboo8j+aPRYb2zCZOuLMAuUn
aGrdL4vwt2l1X1+XGWwIjCssri/Uwq7VpYT9NMFbSH7bwdKrZ5e33W6K8r+oRimPnxdKn1qiMxO9
BOB4pwqaThYc0Ze5Xh7lLqdCm4v3qRWUvVVNbipV26jThOucWgyICYV0EqaXwOJ8Rl2OGnuaNXmL
gpityAkvD5epb9EbVIULcItNeU5IVAaK7jEg2EwMTdjhuA+bEwi2btiUkKAfenrTw8Y1uok5QaBe
0zi9khY/uLVRborCMDc4QdNwZHBLGJlQIhIgI5lOkXVoIerSDXT1LI1Ab7mWC5skGTsHsjMSrGia
XeSFdMUanjF1vZ/KgqTz1u2Sh0moYoFqDWE0hlgh0/OGvUXSupWDuDDJNYnTrSIEazt5zSqF0R2z
G6TvqHvp44M5Mu33Fv5/q7pP9OSjtUbdxk6lntPwXlY3gksbvUDwROsa/2vr72n+DacrApmmv8zT
Pp0fQ7Gr38rpGmCeam3anKNQv7eEoE3hV7P8yQbC8K5H8mugUAldKkHbEg4h3UqlNw4qebfkuozH
zwR1UnMWuu9sPg9tZjP/I6XzNelnuuAthHu+YpTetPyr1LkI+60pvGzk8DEsH1G/6+DsZw8hfgWe
oOcvWFOdI8B5roPbzJmN9Ra/GW6xaNDI/4tWjiZdaMh+KsrXMP3Ig3sP7bqBJ6OM7XdoPRLzpJVb
M35Pg79A+AnxKRjljxHsxkCdO3H7sFXsOtw1o18vHgmuGdzWdnpC/bILnndZf2jTXhivpNVViMFV
z+r2ZEGO0UMtPjLjdprCA7TKWD2sQehBv/ovwKnH9mF8X8uUCDI8zj8wZLeRsTUYDmpmip78ZV48
LTzkHSxb4jbR/YTJI5ZFeyBNA6Wz3Y0bUdpk6qkVOEO507cJtK/kNU7fseKx+1G1NyJ+ZsIY8e98
52G2mhsRF/M3iMdmGu3G2k36TapbKBFgRsF3rex7ZcP1PtX+oO1bLYVbgWCjgtBc+YSvag0TWFJi
hf6yymvAX+Af7vv5K+y/m7bm8oLALF1N6yWt32eieyGyUlQcwvgEom32x7b7jeVzlxNiy3w1R6fX
OEhLG46Y4jCgKlInOomKiMDxu9NwpbCe8KttGfHfqHceKE7yNgEqrZv5M5JuxC/bM1FaJt6m8XzV
iHynMgIXcebsXUs/s/AYZM8gvuTUSCUGClX9NCavKPxAOSKYXeQHKll70F/maldARWFmw/C5ap9i
jnTWU4k+BF4IrkE6MyJg7K0ytHPgQXM6AhcpwiVstV1FeKKuOJO8F7SDWCAl5+DCVQE59gH/piD1
OT913NESWzkFnLe539M7LMZDT78Syl7VL8N/GjCPKPwJmEPk+qUnPbnY4ABoqb+S+pswjKefhULq
J8wFiMIbNrGwDca9Mfzm6Ytc9buwN68YSrhNc097LFOgzGoRjPmPUbhV459uksc2Qo7vz214pzWv
0xitbWzTuJoUKoEq7FQkSHr9NSg7uTszxFeg5AowzvKcAlD7FuP9JCecQqKdTaZTWb6ZMMcYoAOA
UsY6B+MFtqWj9ZiElZKvDm/8nTw8S9NF6/eQ0LnZLcT5ffnexzuu7GAEiuQm02IYVnzHNZFwLawG
8WUMX638DTIav0O0XgwDUc+XQRiyQJknASGYxY9c36XEj/NrSck+mRejvLUKzBnV7im34cpYdbot
0mFbVx+4ZLLJwpIGnnHwqxy8t8JfNP2zuoMgu0KLrAkEwO3mSxB9CMqtUG//tYG9q2d/rXUhp7yK
L9pwbarjZB3xsbCEd3GmVv9XG1dJvXT9bp63k+JYPeo6hGbXrKVMDd6y+lS0ewHcmszYt3Q+pxna
Xm/MPUmBur1tFCQVIeW8vq+WR5heF/klyF/GZA+COhYHmf6vIjuPsVkeHMXxUw+55rYIPkcc4+Xq
MMu1Dd1eLtzRJCN6w1PmACQPngjxkwlRc4JloJi4Q6tHKThZDf/uDupIXxyEFNLurZEFJFCe3qHS
j7/7+pLrB+ggtDhXglcQnncnKzriHGNVJyR+af3S9ahPrmJ/g7NmSj7fSJ/RKhyH8SLEnx3uq8lP
UjeUMFdVuczV9UMDGwo5h6XNFDiF/F2Fn/1w5aCZ83NmvgzJI48Py3yr1Y+2OgrlbuwweXTGZZdE
b/p4LLnEBqCp/J8R3mbrzhmT5/tcPknRoQuuavVdaki6MHNcj9fQoshDpALshNfWvRLCe8HTbutf
fDTWA9lyo5KWUPww+yckNjus/unLLmNTkzUuzPescKhIA+2FAIJKR5rqgm2kOGGUECh9MApn6ZhT
7OYE45ZnIX0DePHpreYeeqj51BS58DseoBuelM7Qtz/nk2mjyvByPYGi8G8MP/rwDJ81l3ZIy0Dz
exovH9iS4HAaPx5jjvPSANRRYGE08KUSHPnKjcrp4Ish0ma/inEzPUrKzUK9rwhfMcRUimYhAfme
Pvp0jzBVr3/q6W1pX7PYL9Jzm9D1pCu4ZI+ahtsSx82obKv5F3axWPyo4Wucf3QRwfMsnM6a3KB+
YY8Aw5fhFkbojDZrOmOwhplNikL5xKWsjBvWjwvMO4ZYLYQHnrqWHpUGztubRI9fWN99d4PbBHkw
jXCEvXF/8WQ6FdLEnbeyYMImS1s12psDfK/DKhqKf0aJmgfczpqfXTXZJfcz9+Zcv5nTdWVvU43z
lXgFS+nNwz1bvd4RqKunPNyr8z5AJTw+c64c1m/54O5LIDouOM0EdGPbWfjQlH9SiPZtP+XIhz0D
sZy0Mbo/jY5V6l669HVSULIXj+XQtPfeelcNkhbZjiNKtRl695lNFxJcb24DcVfO34O5zeQjRuKp
uemXJ3PySfjJzLNhnVT9wC8VGt8SUagetfkHXSRPFqOQoEC4eybO1eYQTQR+6B3lKogaFTtOm6xX
Bdiv2UygIWvOLqmzwxvHaWY9l/Qt0Y7JurkNv9B9KDooecA7+INhMxH2M9pjDJ+B6zUt7tQbivgc
pz0W6iMLQvRNjPnTSHSGvHPr+K3y5tBVFzRH85b/KVdoSiZaf9rIENjfRAjIVk+dhFkKq4HCGtb1
PJwaFYnKXch1RweSbTLdk2aisAqmS1GDUeHRQgSKXpq/x/sycA40hkuLjiIhtX3YpcgjJk80v/VG
YJx1N4IjrXma+AuF8+hkxleKJ5/BxyIivs9/BuFtRE8nVdc8Qky3sZBFjThEafltnLxGOqqgPJI/
iqeaFGBd+JjH74HXgktuUhGgjDvKpa+YDZFEa9R7bJah1I/jWz65evsjZtuu2+E9pYcOQxDgNIiQ
I+6VItdO/E8z0LagltZ9hoOsYiV4zcptOTr0t5noxw11CBeiUGym9m+JNoRxdiwomcYw4lwrPS3y
Is1T2seQvHEUpwXqrMBpglNvuGxZApxVCQIOIkO3DHd9MG176jdAtB5mPv0s+k4/WHbBcjLNF2aL
RrttWOLirc2RbQ0YXYlu76+AM9Jyn59V1CeLHGiAqRoZsHyK8LLSz0aGVo804m2aenlNI1e/CcWp
n05T+tkYWPurW3FAiugB2xPgc0mUtwT7B7eZD+Le9AlUmDMO+nulPfP4Q29uZXkRsefAbVf0FHNf
Tjs+iF76M2np2o38QnyZnAFG2cYo95BlXHN47YVtqxFpONgdPcgCWJUkn2N6Sdp7KW/4lXRmkOAP
g4CQ11V6X2Uf4C4d3hTju8XCJIc/tMHe05PzXdG5Rb+Dzw6Rxc5Gy1bo6MflPE0feXaX+29NwUbh
q2MqmOKv0GOsVTGXuzT6sW2PmezKf8pyT/R3sWRaJQLfJH+16BBuG6iven0hOD3L3oLqxeyOZUOW
kV3Dmkc/gcHK0exu8XIe1H843te4u9V7Iup16a5Kv0lyj/uTuYNvkfgw+1yzdCy7pr1w5+jUHQMd
xexnJUD7PxKMneGjsPjNSMDaH3xW5k2c1ElqW6ID8jXl3kTdBYMq/vZQb+IX6WfvUkWYrd3Fm2p6
p3WTcYFB11qDMcYg0wI/log89KHvE/8xKh+LFjs0TY4qPtC/8zdcwB7Ggzs9ge/7ElsvJe1ZLO1D
xrHWR5ccrcaNIWxqZ3McbIYjCBUfVrUbrceUH+GcYmqbZddcldjKPwYnZCy8d+VDERbq1q9a8Vnn
mBg2xblOHqFw7Bb6lPRPsU7wSKd5M/R7sIqAVGekevo5XNH5ELYvauwImbHG90K0oNBPbbNpk42+
3BN5vm+Xr97gGXF6FtabIl5M6YRlklDt1vqrVXxIxrQq4PrLGecrfubgDl2NHa/Tr5ZyzCc2erdp
pxOlu3afmYVI+MkNGP/QSMHet2qvUUFc+49eeI+lyp4gQq0B7XPwDzIvoN4rDzwfX+WQbXioUJ47
i63WcObojKt/E35kesohJl1kGW7lqSQvt/RDrJ9V6KOHdB9Mr9pqUyhinnNtsVZmkhfqL2L+bukp
dLV91t3N8C9nwFMkKG3HzxnwOBkvqfbSI7PPWw3LS1zYMkyhEvCjEvp6ZGfZOS32jNvDA9Aufgc4
93x2UeB8afHbTGss+6Hl1KUndIfaPOJJZq/2Swp3B4JajneAC/TBy4PzHwTbf5YO06jZa50yXZcJ
V7aDlCBSfwMdMxGioUZ5v9QngeMovETliZelhttlhmj4KhQMWgeumX+9kDmsO8CCc+TSXpNq6hEu
hR2KU2bUxJnH+Ts7zxZAdNgw9E8+KmOrBHt9rWhbtE5veVuyEBl78k9QQ+Z6px4py1ulncT40AkP
G1ycoftpBa73iXgzkCyDRSNH+KVRhXB9zUdK8OhP5BKYysbLxuJoDeC2+qU0j9yiWGou2MK0L4X4
ZuGp4FlOzkhVTC9weYFjkAtupI3oifVPCMbEYMOB0munw/fQ10yhAeOBOLvpowhO2nTXqk8NZXYP
ekT3lVzy/jMcZi8XftsYRhpKcWM+Mshbl04Tu6NxyMjdzuTL2gGhpIvQBcXWYzUcKrExSrsNllNW
vVeSTzG7mKMnj08teMamCAhcuGRC2NDp/UFn9pHcjOJLrl8G94mpVqN5dMjTow4Q5PuGfpyno1S+
yQArLfYrO/NNFI6Y3WEESglNJVqpu8V8XSQy/b4bzRdLZL4vgn7GPMduJZzkCORCbgByjaKRX6AF
1p51hW3MGG07fS8P16r7S9o/xUDobwFH5EgQmVU3tBvFYYk+SuSE4+/Mq2i5gUX8ZUIvbb5beVcx
WZh4FFtJejeXzwUAjCrClTQQ4/xTMHb4PoXZR8U6KGVcL2QXmqr2XwHNeBAojDAXTXisuJiqzthb
lB7u+tC6kT3Or+wODC67FEq2wq5ni6yTqN8MPNoK9lL12i0bNk9EEWNcMr104ug+Gx+CtSvtJ/ZR
Oa5txqsWvyO2TvV9qZ443zLlPWoRsXxVDd3+QdO3Zk3PszXNT8Q4TtS7DeenFABqANPJd1Og+Rav
Inpoa7vIzzlLgbdGDH6Qwk8O5yhFZHDGBA7Z3pYjizh3O85bu+hGjqILk12ZOwDvG5xc5DdD/SJh
b8sjFad9Ve01Ko7Bxf+UTRUj8y3MLVoRPfsAXJu1V2k5NtUeNzQt1r2O4cVQrzUXvoAgkuxX6Qfs
ZNq0+G/CiOq9sdyHYuYQdppkG50hPmUlJ732qjSnMQDvr/i0sssBoQib+k9M9g1e/4zla9/InoPw
b8bMS51uIeI8g5mAkoi2PLwlGCmo85fGpVK9KKHfVFvKV6CgpMZHsPGbFgiaQR08ZTqHWj4Hsm9o
/1rlU8zvRXPKkrdyxvmG+9HVx58mfXZB5sXRmf5RZys0jia72OlHtviW1FvKUsHatvO1CK5jvm2j
B9EKob6Jkm8LUXgV+dK4OZt4wGeQ4l9jhLsxlODHuu8tho4cVSca7fZP1910dizdC4NDjzNSURyn
xhtwvwj9TEZ1wECHybWcEAfT76XBB5cTwSADZBqYPG8WTNn7XVBeTf2tFA+hj0OAcCNufmy/lMRw
o0zdSBxLgs33Yg1a+9I41NFJC8Vtbgx2qHwW2ZvopUDI6kGdX1eq1H/WUeshjiEkcSCNuRfHE4AT
I6JDwTmSFh8s7BZBTkWf11nbIXuLlruVfuH2pteHVjn/vYvmZ8LVoqyYaHdRJ29qtg2Ncl4DzQN9
pXanvtezshGywBECUMnlKzOempGi97rq1qWrARmH+xh4CZ3sjtXZWsdpeie+yVNzlH7TVQ3/9ZDA
RmzkFLjIPb+EjYroiSn32eBxxvYl0iiqZ47C7i5TpzTmbVruy2Zx1foH4ZpjpBuMXzaj5Y42FRIS
IiNCrWPA6W+5whmryJJpC0zCJuUXS56QXNfKV9RjrW9gJSJwyajCgjpwOsz7M2I5JhuMl6FC7EHe
p0duEygsFGspsnantQ3euze5SX015F/8I5wJuxCnBw+ARTS8ZuvmZrTQTYyv0QhhlIuLjHSp5nso
eqP3rMUtNrcA8iD7fQMNjt5f3iiEUCTbUcGmzkGYWFx6+n7xKYzvQ37KVhBAzyDDvZIeVkWsU4dZ
satGJheOxi2N5WGUO9r0FRMKPFaMHZIPy8HLXz6vXyelA8E1B1ZHrr9IWPaCILqicWilU7te6Pjq
yGg2LcwjWw8y97HM9+330Jyq/sGj0gdwfHUv449gmbeseuAJy0wM+z12hxN33UbBiBlTvnx+qNEB
0pZAG8SvH0TaalsfcZz9XYR735xN7VtLvXj+F0Ym4M6vusHZo7/l1jMXvo2m4e/Tazi8sXmHJWN3
UHf6gP8eT9QCv6bb9rRgN3qSLQTA1gPIl/onTfd0fAuBby1zR401y1ceQ515FgJV2vRhq61YvvQt
sCSKrHa66q4wiEk9lOP+6tqxUzYJHQghIGiVEqdsUWvveGVGfAvrl1Y+ieGDIcAYb0Fbu9WVBYuT
Q0hvMDQHMjhzp7NrutVtsKNipGHnYhS5TXAfn5JgFTM7igqdar5P4TMMGFTXzG+FFxXn6Lh7ixBR
WTEWAFnvtEDSNcIPyGc1opV89UvG+wuQOQ4Fp6NM14e32sMhgDwQv9yq5b7yR2gv/mhdlflVtQxb
a1AlSDcR8CLD1ZNcHmX08QoD3avkF2ixICAkv0Dv+oSRjvGWz32vOCb5G6WL3x4Damam5K4k9ODb
QDia2sPqZ6fFsftVrS7R/LGePkP6JpcH1R89Mfdj44Htkj2lJhZ6KSughhT7SkCnx1apXBW0ysfh
A3dfP94EeOHu9UDA8oI7xPjUEQgY5BlRlmv4QlGjwlbbjQZ9up0MDmPt5mzJXlHt0hSM/VZOr6rw
hx1oELwr81HR93oPVfJv7k5S+aPHX4o0AxwAo3xk2R8yV5JG/hWoGS5ADgBwlnaip6TGCCcwqs+4
eOKrDIvuHzRQO3Ji6MA+4ww+OWl9fpxcLRAWsmW8qo8QRat4mv+BHFHrC+p5FOHc2bhXLPvFZeIe
n3oPR9vqIjKfk/xOxEFhi0uW04PrFHhIOiFD0IlWuQh+wvafOL3V4nlWrlMueHgvgvS2tJYlk62L
pj9T/luuHQA4nHE8Nsw3Wxpe2C0u8CjQnWPhsrLNP0vhNM8farbJsPBrMMFOqr8GV6ch3PTFoylu
2vRYmnPQbUxoCIr0K0N2EuotkHDBwZ50u1Z9rVu+Z3kVoQlGjH0wyD0IRuNzMro4a8xOBKcUIOCo
lhduZBfuoj2dTUrkXeRXmLf0ouoszGMGi5K+OMXltg8OU3nCvJYDGe5EiElSdTcJt9hEfogY2403
46/1b/JwfkAHhZ2JgsC77R8kEgSwpUZfLC6D8iNi1LeQEhQXFzn3OEX7b5MrbAD6b2SscBqckVrZ
bQHIFuEp9Y/OuFHxNjQjkUcKCU0oiMZNENxI2kjmu05XrwyUUpqv8AK76pjqvuKIzLUxTXPZIHhk
1e0jqF7xcS4vOoUKqQJSicPzuALGqdOMLfaM/2LtFMY7iPGsCAnaaX+A82vnxsWCxcxKHe4ctRNX
lmSdTTZtsGU0A9J+SYpbj0bRtJxM9fC0kPj12b1iCt8yjFM/GQFBvcGUnHMMz2qj9BTOqnhXCXju
lTbCc1vsToWy00kucC2ExRsBmaQpFHQRRcBZQtkwCQlr7T65rY16PoFz5ke7vNiBp/gtasj2gCCt
U37U5rkyzURYS33PbSQBhk49L7KzTY6d8ENHFrV+cAn0ZFyxX2Z+Ef6N1Vo/571rNIrT0euGXDUC
vMJkNV5qmn1dLJ6MT0gbvubSV5tKG5BGeBhbyXhmOCGPt7Q6kg6tll8V0il1eulVL4iPtXUaRzhB
txUwEXNr1+W01qg75fqtyR95sQI4m6bZDDRL+Udv/PbGTzU8Rdkd5BMsRwfVUuua3NguTxEUxyVE
DUtGP3FNt08xVIG8obMEWLbxjxq95/319jEkVxVFQupLbuxR6qBG9fR0nxGxkyOvGymlOzBY894p
ZA0YW5qeHIPtFxN4r+C2I13DVpTYQRZIy/mTMuWFncWBi0fdwEvQUP9yFTQ5f4g6GqxHNR140T7E
VsZG0BE4f3snXt+QgaiUZIJzXXXezDiFWG9UZfciBlvfa8zamy2mKGH+wrwDsHqgWeCXOhb1EsM6
9NKMcAQsAx7xzSCoYAT+aD3Rgf9th4COGALEV4PiIhhGV0bAEFPtibFvdRuZqxAexHjMVUS02QUD
sGHxIwOZElvuJdgoDEGO8mdNjRjBfTTg0WfP1Y6H4z1xuQ58yfoEKWBw/hpkP+IUHyck/XNxE7oL
yJcTh1gnzYy+KW65Js3rNOP4j6Sjt2dHkn717j3xOX27FxIxKQw4n1UM5NNNlYHjas86RBTsUG0F
z1o4LN1Zst6LnJ5J5tAQDwGWiG11rwMVXGU1iHEi0AdxUzV+BjEkGSlIMK1AHFp1KOWUR2b8M1rQ
QPHS0YUjBc5HF8Q4fwI428kXFiCQL2yDrdEULim26OVaCNvWovklxPqGSKCcczXiQzX8o4OjzzNf
TVW57B2se8vgTw0V2PfbkWjkeZ2KcbDkPebFsIxNH+cHbECRTS6+qtewcRRn9IHWVpwn+vf/C0Z+
hxOU7HQ/G+//XagMGwsiYX4q1lk5/SgV3vbS3iwOlbULWcT9X6R+hTajjjMt+hqi4/Oh61Nuny1o
Uk34LRlvUCHhrGEMEvKCy21YFzygxcl7TJrp42XhS0v2huXwfejAhjv2VG6ccQHENywF0uVM0AKD
50ee/QPHdgXoGszJGevj6ayeleEqXUTqCNAv+Im4825Cxc9Xa1Sealj+0cVODBrWC2UE03aIR4LS
wG5A1Z0nlk1shCHq3K873KYguOLZDK8ZiVr4z8Qrz8HQDoxzPkz03aymkoVL0TUYuZvbX/N/szqY
NSmzWjzrdgtImZB1noDTboYWqHsajMEjJ/Qsc79SNDOIWZPBzG0zuSFIKwagw7vUVec4tXCZwJOq
/B6rD9gtthJhVQbLlWtQc3tvphMTmQ5tI64ZvQI1RWUDOd0VDNpf0MgFY8jw0cvXeP6qy18Z+Uo/
fenia4NMCUTfcPXmhaotKG4xc9IBUsAKvumYNxZ0dmLxHQok0cA8jo86EuH8b5A+ZxjHeRg4EM0A
rf9alkDuxE5ff4W0MMBZsvjA3NHTlgMMVuiJCk8YAj+gHY45joj/9Agmkw0f2u9cf8i4P7f5bnSq
+WWs3nUFmlqLlW31i0SpsXwtYrJ/GmGf8K7rfsPII5RcNf+szJfYV13DeJ225i5Q70LxkOP90ulQ
elsc8xjhaVCkbhPnMq1QiQYGGN6J2ff9FY3oigjLMXRV7hwtfJcHLGejnyH/NhhAkEfkroG8WfnK
k+JEXhE3THyNfTyfZO0Vj0elOmfzff3RlvBlgjAU0IEmM2URQpKNblaVkEXrUptDqbIz/UaXoKJo
Xs1fD7AjdemhMl5nRJqGf1P8+WRSS47ZBmoezUZO0JEm7jooIBoIUdbvrZbMPheKcKMEnsIRBcOg
7L6aAICO0VEZ3ePRW+QtXrPWinfMjIOndFOAYOGjghLrzSje6QXsPPHwlZy2KXlWPqR25lKUxBi5
OjWSFCjN0FZ9cV/sRsbx1n79KpFBTAJOB9F3D6vxq2VCjXOXkym/PQwxI/pa6MTnYaGI/FgeDA/b
9EPi/eLHDUE7i2hwDoKAvWa5QSCwQCOPs/JcEjHQtC/D9Jxpp0nsoT9S+KQel2F0ImUAGiiTqIKZ
JaOFGcNIsnbxn0fRMf0MUE7WRiirBJBc8GX9sl7d2vDyBT1OZUKejs+0eQ/LSyueab7V9DfCJFhM
3qPlRq8vRZ9Tc8+gLEnAF1h7MZMkj8VGBmR3QcsUDgcpuPZb0jaY1u3p4ZhlC9Em5RJvORK4W+sB
Y9bxR2sGd/0sAKzw1yRgy/681vW4sqDQWWdCfXgqIfOSvIl1yS2USfuKbYmTeXhjwtYsR8R+MGCF
7RO4UqMiYCeOKlExI4kva34Ck5dIhHPmmcTimBBefaF9kSpO9KtqYopBWmLRfZvugG+QzWf02YkS
4HOkvTGLF4kIrSg08xfCfupZxLHxM5j2BYlEyqmbzwG1YvsQxYsonAuavwJb2GzfuzCYrfPgEIlS
XeV+GyyKU9a7DoiHaa6dNH7Lt2T+sWJNHrYpTElz1Eaom7B+NuQ/Ob83GGt91sINZhSujEx6b2mX
c1y+KqTNQF9m5ADcQSJpXb+Q0qMydiqxk4ZyL2MarojUIQvZRPf1fFRzf+3tIlyAXCQ78aFKLobq
ZrNvlDjp1VTyzUGod3Xuy+kWzQqFUI27Dl5+BWwL9p00Af98GDqObHcDymqayk4QE4r92ceKbQBJ
XkLTy1zGiKHDgGitoeCdTelXCkvFnTZ1vMvWjfWQ4hdMCbx6cXuUZU68GZSNZR5D6SlEv518jw3a
GxzevgSEcngJgyiY0IgCMF/YDCHQXv0ZQeDhiAhxKf/C4awHwnA1a1P6fcU8a9MWZ1LOcGoB415n
GMgl1lUGFwvMw8sqdsmuBCmpDkJ2bAbfyDcpE+S0+aULZMUnFss9/kElFkWb3jpLGiQ4ImkoTcqb
qflkIZA7BvwhUma7SGctFVub7WxFm1H9GBkwYQuWvCbTsZtupb7N9SPIEXMmXLNYUYu1Q4xDgsiy
0eVrwp8veKLqfezE6TZV6diTY9duSbufNrPHZ4Fv33q8bZ6nuZusnfCsgLKnfTe8U8XDuLHx+FoL
4RTdvMrZYc0ZGDAF/Cw7uplj4wzOw/nAPFbYMJVGVsIrmJCkmeuqL2iABkqXLkEC6oSY12gHiwNE
QzX1ja4MIe6+z2HTCcAa5ogJM/zEzSSBbi9/WIAy+4+tW8P2asiCtSjBEkIs4hc+YrIZtsn0r70S
YEORrjp027jOJdbK50gnDwf32ZiBENnM9X5hukI3xogJntV9IaAQTNQA0pfyExUDUkM/LgxWAyRW
Blwj7aXHLCY5SsJXUD9n/XOudFqd3jMC2e5awDZINO8pFV8V/WdkDz2BLnIBHUKEaYvSYWb5ztq0
VWvVHoZfQ0TadORwRXrDxh22+m7Q/Jr6xNb9Gbv4uzXTARQverybmb5Knxn1GWNrhc6DaFxY4V+Z
cI5khWtwE+VHRGOK/JbSDC03ZfjFBNPXcORckeLsMAFEjHAwlRhqe0133wIx8/4h2UXpV6OAulmn
mdCukEiOGL3WNHzgK0W2IgymaVWb2WX8g10YOCt2Fq7l6cmhpYhgRLf2FdVC/UNBkmHwMzDPxsS8
3eflxWoea8FV/XLEdfFnYtBkm/R+BVt+heEnl1OYscY04jFU0Y4wKQ8TiGU1Qgi2Hu0dbCKx/WrX
l2L4zzj1uYdgdHmatoPC06Fzm/ZtgOksxWwTXBKBoYWNYTkSnqca/IMggYrSYIz5AhN8vcBXyNp5
GkxJxDqx/0PQ2mOjPxvcVmv5U0kZju8Yd43DjWXQZ/78VfT3Nn8RoaaOJQHFOM7D4W85OBlMYfoB
3uMEbhQdZYdInuS2Do5I/cIwCZT5UhIqgtMJfRfsq6eM5WXmyPrKxCEjtO5rv025HCnN4moD/UWE
CGEFCrwlkO71mGtJymasBsq56p9dNrOkbS3zNxb3UXENuq+Zaftq7bruE4K3KRmbGrOw7IfgGIa/
0I3vGPNuZt7jBrRituEPKKQjVZ4WXwoHuezi4sZMcpCcM1lbj9MFBKhrV2IIHfvcfcVMPLCbWfbr
wLsM3isWhDDDnqqYq/Ld2Taw6LwJ1IcZQtTv8QWtS16VS4qJalwm2D0an2l87eGPWO9s2BZr7GBb
K7e4egWlQgZkCBxgGVLUSzG9yhx9Ufdmqt/fM1B15KjqO3JsJ1T++s0IKkvsp/IS2j81TWpLVuw8
tg4TpFJz22sWrVxkUQL9UxmOvoX9VweVRJ94oJDPLb5Ohj1+Ffwwxl+GS5OfyL/L2r+i+O0DXK0q
6Pb907QwI/VV6jepVZ3uu+AM3insio8Yyj3i0H8SQ6gKe1jDBF1hO7C8hP+RdF67jSNZGH4iAszh
VoHKWbJs3xByYs6ZTz9f9QB7sTs76LYlsuqcP75z5pRErLdrijXoSCqb36jf9vmRpVLbMytwt/5o
9FSRVi1uPyp4T4N8E+x/uJZLH5YB1LC/QGDKTjknPIrSh3TZV4gMjW3MSaLz/y95qHiHhFgDkIns
pXVrvhv+K4UYJNib3xFAAfcvFAoZPZ8lqagiMzPRllK35czTzSNteWDcJ6FtIPuDy+vNUYiQX7KK
dxB53CpThymJv583wk1XNB6pbsgyAVYa0lkQCkMFIKMGnrNmOAX0Uaqd4SBz8D5t5W/K2MdWaDhm
k39AhQbiks6/G301rJt1T+HbtI/xWvfJsQvEAJKFqCLf63ITS6uYI8lcYBRn7S9vIhY1vQjWRcoA
OG0kW/A+T1QBZXEs8QiW3QvAjaaYOnwCqPUR+6buIqbibbYLuK9+JQ75iEhmIbvXSPjTAMqzTTYu
pOycTZuG8Gy+Q/U3aTz+0QhNYs6a7BzKO1K5Z+aHqAntmh1TGy2subIIKqoOKaCskPD7ic2qeuFD
G6J9ueQ2HdcCtfHaN6ppkawLwsRFrBBQkhxgZ4JM8LELonDiFvKtvUNQLwtD+IyR6PY3c4TbW7AG
1B3Lk4duEcJOOP2OXMoTMi6puhMRPLKKeexli25cV0hp1IumrMwW2RTTB1OXmP1Ql/dLyd9Dh4pT
H71rldI+AAbUXYtpZ8X7Wma5Yzgcj11xQL+yAFaWYXeBm6Tki4QJXFtP0fFguziyTKNAAnhDOwzw
r2ITStp3808lbSvZNPZKhm+cCFhccO8puMazdYQE3MLjTJXeXCNpcznN++JAqHVNazSPGFcf5ibD
+hMuCYluZX5+to0aHjwL0ecEUHb2OVG/AvvCIzmoGzIbVjbUmE7GB0UNoBhPa0lkR0/gJb5eyNH4
Is5TLq4OsUL/FxQblWOKRa9bSDxJ8uygQA7XcDOF9iM5L7t6o1OP3Y/+5y5bN0o4N5qXSAgCPg7Y
eI38t3UJ+vA474c50AcqfQ8YEVtA59kc7zZWtW/8lyvYRdaTccm91u6FLq5NVxryhi6sDjX9Zcgi
lBkNQATtfwrIvo3uJn+r16Eev3L0i+62ZpmDT/dgnxgVBAMhXwPqP1K1c2P6pqhu4ieYrDkIXHaU
HRSb4GtGtjGME+0+eIOQ9thCXfcDx8gZbBkbkz8xAzKUhwKlAJes9XAQcwUrYoeqZBeFv75zUZVx
9iKdgnxiZ21OO68+eN/sF+23L+8IsstXhNYbgHkTZx12egIJgVFpxKRYtaDWZFMx5DEx9rG8EFEL
mPYAuf/BfmAp7FpNu2WFmxFIIJbVGiWpU9zr/Hd8q9RzXro95CXPgrI0ifueDgZa//q9QrWpvllz
drzkCopReeiOXulhzF/ZInANDUI/XmDNHOKLgYDc+3ZIJ+whQ+HEcHlwav/a0oZRWeVrihKEKpLN
dgwhKrHWM5/Fuwh5OwMzc4H9b6wy5DNitVPFEyYRx4S8t+OpeNhadbabw3iOV6g69U29ylfAKFz7
WF0OzAyegjU+mEPwdGXH9/ZGDgJhEp/8bjKRhITn264BXpgTYcGyHbyC9qtRPv+h086jQbRGusjM
QzOHWYSHuwzPgevM1d7Zk2vB+XUxeacz5Si6GReMGkNxKhG8MjMxJBjJafCAJSuUjsmduygGGkrp
gg1AgAnPmVVaIgBvCZubkHT1qE4U45B+hg6rPL4LAAykM92C9EJORNdckRCIgYP9e80y4Nr1jsyv
RTjhJvhxCqotPsZoy65MS2GvrEvpKAAl/ptTESnHyNnsoZTzFuhPpwCEqenAdINZeU/kbpN95Nku
X8uIHFbBrxpC/XLmvGxt3XkobqLvsD1K2QOMozTc8TWG7wZjavmRD4+eDVgw1ULXGfYvpBocNxri
NMD88qno3pxsXxHB15VzfWE7P/92fxD5mJivJZEpJhQWDx8KdYYqsO96ObkdHAo2coiKx8jLL11i
+SIVhzFeM+CZCNTIjv2QjE81HaDWx1lge8Th/kTGp5TmN6cn9xqK0JWWXSU45l76E5NhGv7Izan+
ZdiFUqP0k2/t0QFESf2NUPfZZFzRDOsEqZhbLzxq6knudmH6QbwJapphpQdH1aRkAVLFY3cLz7AH
3ANJQ8DHqdc+BHlSZ5wRjN2mtSBVg8Eo3WBSntvxgS7HP1TSzYfvGmj1kWXoB7JfZyXUjs/rVyEa
ovMJnhd4lxVPCOwm+1XLd7YZiyBaedWDOKEJLBbkZPg4hrTubQx+VEVowvHXPEv96GQbMfwM2UWI
wJAbdd12DC4m6uRGejnjLinlWZM+QoMII8xpj256kxjv9Xpc6GA1pbWvu2ctbc3o6iTHZDKARnnz
+ivwIg4BKOG1LrniCGBkdGBtqnI1fOUxFq5tPQBJ0OLyJ/XnoX5qqPv0Uxmf/Ymbb110bpQzluyT
cQk3lDrICbpxniGIa6GQlhotUwAY9T7skdt4rt+cJpkJd2/Z19a8hcFfGL31UAkt8i7gSx6RyoAF
Y8XV+ffglgkax2S55BXiF/fLn65ZwthzYLxqBIptyulcnieJjD/aSC6mdpZk6r60uYU4Xihuk/pm
Mp0HwVFwcmIZcuJHjaIx1i6+Qhz92hrdcslFAkt+iyFW2KibAteBeU60WzMyRMRfYfcTt6jLz7AA
aJ1Y2wbMbwYdaHXwZ0rrrt4piJ7Becu5Gm+c/EOs6XJ99azbz/tgGgtvCVxhfFYhcHP7i5ZtRGdx
wcY4qPuU6z2SXvHwyo+w/CIwkdmrML8FhWSB4UzQXlaGPKAKUaeNM2FbbAk7CJ2dJqQWNA9Bv62t
iqLJ96p4tpgs80fHV6Mpj3MRUL5GnxoYu8qs3f61hiWec4V0qWBlsXeK7WlVM8s0eyCmyqV1A7E2
mlYOJ9/n6baXjv9L8IQLvV2hi0aZjKEQc0vzRwTrTGcAaZwHuxNZ7JLyhWvGaoG0FYQWwihffIpy
WzKQZyUW21E9SuHFKWHuOQsE2EzPfb1t6nMRH2rC/PNt4DKdcgEMK7ANM16O2OcKrhaBkdDxiddB
EOToNgWyovGFKDF+fpRJJEp6gAVCpjHn86pvMqG4U/WSzWVbL2Cj9XOZoSx/JBGzTYLLPQUE3/rD
fcw58jDqCOqnLRnowAbVhRgxoApRJNOJJ2Y2PV9LwRr8yKg+7WpglPhRWG6tr86E+bW+tQaSeqYV
GzC8CCrKpyXRwBE2BUduLweMOUBJA/IWaqhi1qX5NVpfGmCBGhdzVTp1vDNG8QbsyuWInLacM/uW
D7Fcd3AjQ/bp9xrcHFXt/AumydcoGsv1PcxuPeuGc6MzqM9EoZru6uVGiaiJwiARhpgV6j82BKQo
M6VMFxZBoBM/iMEmXNN1UT1tvSO9ZTd98fsL2MHhQmHXlsOe54AjtGKtmBkn1TkTYdK2P7n86Kr3
TNoWzToguQIYE3kf/KhJMoPrtOZMY/4esoPp36EP5go0T8vRUBW8VJA4cgX2jjijwqUoyW+jdzaz
X79i3In3hrRtS6wrSGrwFpJRzDIyF/CFf/O5J4gZ9+tuNXJZRAsCWIYLEeViByZWmOgUfkOIYY/f
OWl/BmCjWFl0/afEdAnjrGgbBNu+5gbJ3F5hCgdZ907/FBbTOWQsJWjGBp9GjCRrHzX4jneHSiWq
GnW1Ce1k5cHc5oiOsmZJWvu8IiKsR5xu2QAn5JtNtrFNJtTeFfoTVeFYfu+a1mWnXJCJU/Eb10TA
/RsDHPpx6M2DOPbNWyST+87XHvewmBlK85OnXYPx5KefhjOPpm0sSQzLHE5zyGpkpPNgWZGEN8Mc
oW7plxsFybEw5X72+10Rot7XpJDItIvNwRZbasRwLMSXZryCjOUgqoF1abVbOPvtmP5xUSMbAjdy
y3WwGcgXLx6lt4udI0pNPnrycDD+xkMngAYh5Z48agySdyu4h/p3o94nZHv6HLAgbNZm4qrfCZvd
AiFLit1lYRIAQss6ZHSBMrS/Wtpe61aE66ITp6uNGK9K26P2RyOPfaexoMu4brVwlbA0hQCvNZJa
LCcQRpnfrFRlwjSI5pVjfFsWb3wVgcOtzflSDXRjIYsdgXOGtxIFEF809MMSookBhlUQyL8H6FPa
q8Mt2lenfoHgJFjEFmTfoofGw5vFLgU5sPZXXffbF4+Q9cM250V6jyzk4cYFcTLe30XExuuL84mp
upJnes6uvGTNJm0CEAukDZEhg3sPL6t9Dvp7DHHUNdqyL+/2+DQJdpRDEll+04CCFhfpwULLf8am
RJjH00rPtsSILcfAA7MnYSulmrtNUK3F82WzioZFvrHtacOztmjVo0r/eHuB8GfQ2tgfKCvEgeaV
fLK3nrVJnU4FIR+B4GaCAjdx8R53J3G+eij/iHOc/0roKfTk5Sm/ccSZFKD8qA98eqC8qPj2lLgY
MEK0xCGCauaDVkAFd6jtu2ViWbNOuWpk9frD1co3mn3BmFBhdfB1shav2QDvBwli3ZDgki7G0R9t
iUwiku19bLi68HAvEoekR4H/O8t/n1ymrXnHaVJEUsTbbldHfICwz1x9wBzwBQIX1Ll1y4O6mlxr
PEuujKNrmVofavIHO29GT+IEfOT6sn6xKYzP91KCgop2L4o6GAA9ro8iVZZjXbrByIyAnLKQH573
E4yZ2+EhRFypSz+68xfmD59IBG5+Plctcgl+m43alqIpHifOzP4Ws6FiJp6UNzE1auFnMmdkqc8/
aMvyihUknMfDlaowohLoHh+OgBctApHmJ59WqHPEF9GUOPV0lRAd0mGoW0sBDr8lD0M2D4WDnqs7
jDiv4wzHPtFNGarlBNP0tMs5AwNOFrjWakn0i5jBsnjdnzhhMDWR9/9BewB6r9krQLnGJboouL1J
AAPstxcOJ3xpO4tOSjkBkvlmENbuimovsHj/Q0G1Gw+kAuYYH9ho1LvubXnLpRdPW8Bw7gw/CbiL
A+AVAOTaRf3tTcDaNfFCvPUBOUvCNkKoVsUegmT0g7oTNADroThOIAFdY838/omCW5pzGUE9CsMK
lHG/FsRBE341lnCY2ulb7Yt8IgcoA2sMr3o9Cdk81CHCOOyQK9PLVp110TPSDfGnkUf9TdAbahtB
WJqXIX4fBFnCWSvg2wp/TLIf+Rbz4cWzzqsL2GHuYGpMWL2KKzwJxOWqlXAXr+zLt8D0mj8uKx6i
cFlHI6O9OqdfZR5j3hwHsA4mVLV+N8fjtPI3tfqUluFqMg4CyCiTlbfi1oXfEyIhhUyfFkUGLWzk
eSBs4eqy7Vsofgju+owoODBTz/WqT1WCZdHQXJK4U2HcOrc+Ohf7L24IaND+qDUf4jcrOvOlLQj0
87gsEH7Ys0flHbu5xz3w0o0vYHt6t3Fx7bwFkmWqKEiTWijKtAx7fhy+P/IP8fetxaERIC2FyGLY
aLRf/hueO7xg8J6atbXD3WAAVfagYurnqJ1TiURj+k56s171aok0blcHyHPOwIYL9uK5YnOUBqgT
FzHdvslGK1DO83B0dkYvGsbs8qG/OvNbOKvN8Jlh9uOTkeH0E3FS8Hq+UZKNNAGREKsZGAcprvyk
DkBvfenQE+X5TpwElUUS0jJB6mKPX2rPJxFji7c+s4qU7BrFkv5FGYBjnCP9KKX7Qv6z8rsm4oyg
O/33uPwZKp9MGZ7dYFen55q9nuWThJJya8T3LMX9uxop+FtVANShzDrK55iiRY95hYFyeN8fZXEo
y0trfNv8wceJQjYUBIkiQK+KXaRBuMAEPHPmrcaQxe3IXyFcU/SsOQmW4F228VZ+cpuCK0E+EULl
Zud1l0QT4Cp5ssFEPgHsYUnAA7IefzNtrRZDEDdAHWis7Sr0Ubzo4cdKOIHoSBk8ySJ0ZdfJ0rJK
DspxZcvSWuR9GSjyTY4LfgUKGRZG77BXMNuTcjXA8TcM8zLDVT7/tgVKzt0WkiAm3h9YsBGtLYKu
Mpm1UIjceHO6XZDXQbS0H5aXkx2IaC+hl5p3ZHKyJbLailb7MVTYRd5IhTOqd0/5aLVtXp0h6vXi
imPGcj7ixOLvl9wxYvHogpkmzx24z8b12S69rMN8Ns5tCCavf+ImBDgGkftkkyXNCoSRifGEf7jE
5szP7GNuDqGBVfVumNI/jbcxAckdqdya55B0sdrNnL3W0i3GxsIaZJY7sQl5E1ahbUEBCZwxJfIH
E2kbHE+trotoH8sbQ3JJ+pXfJmNNXq9ps/0iDeWZ1KdPCyloss42uDnUPcGDYjnCZDwSlYK4swlc
q2s2TnjVa0RjDUz6muYPnqbQxzUL173sxc8ic+Qz3NkdCCiqeJo4MPcuOvuDdU9YD3K+ZTEPU/I2
G6QPqVjHacDYfK+lG/FT/ZvtHXFo9iERmeO8d9B7O9HMMdH6q8VSS9oF2t2lBRIExO8ZjF9YHhaU
quvlq5WolroDh2f5uUPL4QOUG0gFFZhYIAP6ug+ehbD82Ccv1WbiJP6zBrPBrilUVRaDbTX+Mpvy
NbLvQuyaryJj4dIOksEvUXO1dyEQS4nb7+rxfSSfQYRSBiS2c1trn3R/RXlTUXuQj8WzRdYnRQFn
Lm9CmlCvE+zIqAULay5yJB8SxRKLCZUP3z7eIOY0wkvWqlfMU759Iih0mxrCHMfoa8AvOPvqM5pH
AUTKn4o/aewe1ngTX0dlvvXhoYCHiVdOtdJVbGbbbNzHgL6a0J/CNZqyTUsJixhhv1HHhZg/K5KT
JO4ojJHIAbPQ1Z7kTYjjlAh6OGeHHBeis8GR36jKsPNj68F0+njiybUuMcsVGzJNC+Ur1BgrnJ0k
v6ruu9VAH6lI0WkGEZFOBYRBYSEhRRHpB982eWJck0hTbom4jmmxLa+eeigzKqUbJN7Dvwfe56rt
2SuyJSGBaO0M8xeg1S+uABk6N32y1JwjKbDItkTWozGTv0f7xSZJp8Mp9QD8vs3xPVJfhtwsjOqp
wRwQkAMsOe47JySpACAI8aqAPf3iT3ynofQke3I+YPMgeAgT9YbjmS+iobkM+BNHRcoyb6z10KU1
zEvebem9cP5MfcepkEtPD12FVcizMXvyyUiiYp0lLunOeXQ0C775ho0mJpNkFS8jNyKIAUpGQzuP
Mif0aQPaWMZX3rx0ZpciuE4SgANxOAsALnBxCVEixbHJdFXYNLQRcDNC+xjRprfnPzEwUIQesWNi
sLWnGtF4ykijLUiUsgJwmIVlr5V6Q0FnDS5jTce801hiYpTyP2GKchxFB/NDQlEngrOEBhV/S/JP
BugYSR2CkWjeyPwj5jW1uwkZEwc8RbBef9Cau2X8hTAOQXOBZPF8YsGQEtrnsN8H3sWvH1jRALyX
lGNSDCvx97LZeR9k3glFCsgixARXQZy/vO4QmAetPVcAQelPTKbpuK4rxsrGXmi16NH5tRdElno/
CDTnCetmFBYocwj5iQQkgNzZOKGXFBtvV6vYqDD3ZUgzGwTPZ5XorFL61GptVlnvtJ9OU7Wh5BVJ
5bTMbPQhyZ0IbwwBCyDztMS/jpKPjQJNeGZc60DFcFDvkwqsmnz7goicgJchnmgwrX+L8M8x7mp1
l72H8ze6I8XSW4ZIWlCx6Qr4z/F2zOoVDjKOjdm1IxL2C4Cj3EY00rSOAT9wEDEYNHYvIdZEfJjx
06kLU9vikojYpWe6uYeolrx3oV63ujdtuqrGU/j5Jk4stfnGmiUWdvbhKP2Ugq9gfOtHrFo7CoE7
Xg4eShV1cG3T1MFRnWG9d25hjTPpMAwXa4zmad/PH7B14V+NRrR+S8JLVoXkZrz0lLCnWcGIfSMu
HDEIpr418dbeH2pG0kmJVzQhzcZ71tzk6hNggTnMnTTAsFWPxD6X30Mu5/Fh7Br7UnJFa6j2RDP8
Wudilk7NVZWfQf1jx7SJLtHo7vt+FXYCOfSX5kKqboFz4U+RibYo9Rlik5mKAABfo0H5VoHaCGeJ
10ObV1xNG0Xd9iSWo9ElFQu7BvfZXOGufpGxHRzl/kjbHos8z0lTIZBw7f69xrPJRSXuZdACJFqu
nO2ThNxdzjMCPv0f1RoAzzHm8W4M5oUgQX921hHASjvtSVJQ5WH2+qJUVS6ORcG7A7AufVvN++Q8
QE8buBabDWyYjhUYiwfy/5aklx4gsa+wdUyPsdxI47pT7ylmtqiaGRQW0PdLwuuVmWlRf6DzInCT
MK985SyFymNSriOmSmB2tXHmitotHMj+zIAWPtjqDnOzHn8X6pfFMlEifeRvzcgew+avEmETLYkg
lKN9Wm9QMnXFLpKOhGPPKsy0yjpP0KpzWhrUMSAGFN+7FjpzTXeNcONlH3XrzEbHX1ugWELw23h8
VdKSD06MXTmRA8JrjphBegrMCrfDzIZ60L2j+CR89SO1dvlEwCSs/3jIw2pR9x+1Sf4mo5fl0Amz
5+sdgzPeB7TKFUq1CK13Ay9hS0TYxUsNuYVUHKV42Q5vFuoWMtop7Pp4QF1nl3FRzJV4UxanTGXZ
OolfIAqflLOgBYPoVR5QYoQHw2xwZCBssYbvYR0CH7HMI409AyfPY5IaS+lc49lAHU/TsjIVy8CG
X5hRa0jBXgKbcwaD03zubIcHJH1RR+no9VxOP1L9mpIZa5Ae5evfWX3UitukfwZI2FQ0ce2DgQot
iPRO3FvYLxiEwsbVecHLQ7OgXpnaU4+iBI1oTfrMSAlTcfoAbym/hXZt8PVHyww02cOIFCd3BQC3
LrZ2e4a5ehC1OzOMr1o+ZPiJG2r2OK/897F8U9E6CvmTysOYaShsDaTrQNUd3DraBJRxHKYlUu+o
2Fj5yUATHq4opmBogGQmFhD2JthFKU3bt1QGq52/HDsinIiTfKRQHhVW7X060UHizQW2RWu3IO4g
KLe6fhPCFTl8F5+t02M+qu5N+HJS/IFAdhWxMwsSXbnZP8fiS7G2LcE3yVelrodxE4aPsX+m9buU
/UbNV2ZwC8E3jNXG4naKPOQOJ9RUuI92TfnMwafpY/i3LSoqid3UBJNbzHzM3Z6XZ5IP/erHxtOa
NfcJLInlfdQzCJwvXznl5c7QR9DZT7qxOrRNcvsl5zsABy7wLPyoTO/QIRUJtjJ4fETnJuaPOP4t
7eUUYiJ1LcIR1XUgtv9znZ+k/mEby9wmcCC/JOnanrGsFKdY/2tlc25jJfw2kfc9rKWxJM9PkL9e
8NMPF8Sek/hIrW3n3EuMLTQ+gK68eM7KEkmytfJC9kY+hnorwCEDnQSNHSxZWuCipxjF045qoHxG
KMvH5FhnW7MQjHc3PsWLiPVjBMfEwKyQRsUGQhNhYH1FPBCS8lbCtHb6D9/MJB9bFDW+jWpPxSPh
KqW4wXZqftDSVTSdZO2tkOhjn3gWPwPkGLBLrkI4orFM94bxnmcfyXSwtAOGwip+TznCCvuC6obs
1RUTg66uTAuB0blr1sNwLiyUC44bFw8qEDKUEKzlNZnb/1uxIEg47NNkK/D/huNJN1zR+BLTPrJs
m0+bijLiooQMEiVpa7qIpXqKS4h0kk54D0aszkxM1KApt6oneOijrnjshE5UcJEcX8vJYF1hjaij
hsLRn8H8ovxrEQO+LSnJbs9DTkXKbjDXwskXfWq4j3H7EqXrrYQ4OQ4OQ7eSupXTQTSSooGyuPDP
DRIopp9v6z3e+dpOOPopSxV/cVNvbHntq+ten2XVSpO/qMdwmnNIEjaqHQJ2XdmmgeSRw6sgLJ9V
6F+AyiN1/cus32BSEoc0PJ7V/eb+jdx9ILdQhsHhbgjzm20hSIWtqN36zao3ERCbT1fr1TJOODWS
r5wIEhlEHACq9P8hm479v+4AHFI+kXGLTvNtVFeGypDCzuC21WeK/JZY7uEIUdupWxoIYDg2CHSR
MsA7zQtG0weNP3O9XGsag8huaH8Z4RCSguzyw4bZNYmQ/fYAFo8o56LhrjL90AVrIiPjGKbfXA9B
erdI/pH+Za7E/R62FU1VBN6rrCZytO6+fCh4iE3IYWvApfkxgmZYZFwr1QXxVCqvM1nEqUrx3nFZ
YhrrYBHRGHU2q/g01/2/qjsKcQCJEMi1+Zz+XU8ngYFF2YdF94LwNE2E8xrY3tIPoweJwnKN5XM6
pM01K+6eQcDVd1OJAKtjgUjdBLWrdbJ3vuzirCGtlrYW/UHBEVAzjTc4bIKQdLFTo++ZldKaQwhj
Ei7eYiW/ZAqCkG84IvGB8B9qIUAA76QBJMNP4e1sJnEKGSpQJJlrp4H0Gcj1gJ1msstQqRyqkEQi
gYnw+qNVxEfL5+lO5mkgXgjlaWFu8m5vBQS9PRymAlIGCqY4R+UqgOzXqOVbY+5R+y0Af4F+rwUb
0wHOxDqTDPoqpAEwznFHJoupfhIl5qVf4oEuafRINICtJWmJdnJua1LiggyIfyXSBh3gNJHFWo2Y
ROq9XwJDnDWTlrwvXvp5gFkJrpsDskEcqimfVYspYNW2fz4ma4YlaokbFMsoHXDdCjY1828an07g
nAdlM7q66/jY5XO0Q83St95+v2X+fTbDpP/RhVajsuk4//HgwFBJLjqUc728650t6dMRTU4pomrn
p7f+xM9gkmnhlf68ri91Dsy49BgR7+UCzWP+LfbOltCw7h6BVUrqixxludjjTyeLSB3JynF45bTV
qF8G6TER5mxpb2Oy9f0LGkVbPmiacFIDifi7ULRcrHS6mvP9oDya9i1xnrWD+PSWy0ff2xThwQI8
nFdEyG1QsM2a/Cfm+p7qa6kvde3Xyv4yjXgGOnvcpvmMyoeTfKnOXZ4FS7+90NgwH11tHucfMqyC
0Dma6BqsIWPayjGtPtv2oBFeE+4sUVLr4q7zskcHNqBUdG3zGNEzCdMtzX3rrBkYMTZ9QKjmAtHy
guAXTlmsLJO/bMGkwPyDZqszE2jNyviGciWzBo0haUDCMG4ueRGsbyAg0FxUOfQFmAfLvtfpNem/
w/Gcqz99qG6a+tpUGpQycUCU8OjWK+n3U3asYWoTbr0JiqBQ7vLNRP+Qbv5dnTBj/k0kX6Xm00Bv
OKwJkuaRPhJyplU3O993rA+VU7gE3hCSBYws9hS1/dYxbIxPkf3S9Ku6OzXJRSYILN/LQKCAWfbC
wPoR+WB6nJVeJsKXDYYvXsp0xX0ddcdu3E81etuEhGNeKXAzmRisI0eAyQyGsCK8BsYfhwKZKZa+
psLG8385DRDU/U6INAZAXQYVDzuk/tsxM0+ghz3EY6x+kDZgQEPWNZNdv4vjbTttMBfMw7+kRkT0
7Dwore+h3iiQdfjg+2WBPE9/JvzB+nkMv6R0p3JY9EQMDrcOBKWUmWaJWtCR3TrZj+SdC8OtJ+RI
kF974XVVMe2Um07ivrY4s4//ZFTSHfRonpVkb7ptslP9jS29qQY9MSusGpsY15eBmqPlBUouhPxp
LYp5EUp7mcJTDgTMkiAyPPCZCidALxPWt6dHK9uHI6GiK+SRSxInsu7ZY3Wvs52l7ImKq4qDVVza
GZmEaBGIhynuan2F9S+wnFvozRdR6nKHopNq+iP1rCP3i9xSkMPsCFFN2t17y8SYl/e6fh+Z5+ur
VV0dLlFNXZMdmALSxWh0BFBVSldDfdAPZLXHMKjm6fDR6RxY0zc0vwjtblDLIM+3uxon3Jb0dnMD
/N13HzQszHEpZEB9ABO4A1kJtfLi3LwRf8Ga3nZy5S6W92frhwl9dNEj7uPEkoNhFhQnlWJkDXEC
c9daj3ZOe3aGPdmaI8Q7+e2gmXH3jH3Ou/pos8irdEx04ckErS+yBvnQU9M2Ur5N9aNwYE/VSl2m
S2zPQrPgHyW0DpEQFbBfxG6arUhHF74ZbXhawKwxERRzJDE5qDNZx/1uMtf0xpvZWSkPEVIt6Wyy
wRWIzd8M41MZr6m0yZydQX5XDUCq1K4UlKRB2QRsoPnDEtgcGQnnmfmpcApY3ofgy4jrRZ1qZe9h
fyKkY6alh6ncxphKErQ7rN7LXrvYr38f4HjDUruk/y/yDrJz67sXSS9cMZJ3QFqdKcj7kDJnK7Ey
6fFN+JkjXhwZK2ftPRXnFSJ1qYlF5pXgZOxdy8Cjt/ODH5E4V5EMkG8zPJCO9u7X8go9t7OtG5RR
ZJ871rxYtukpqK9FLdxC5rbFyjGqT937ru1fZDOLBkGghdxbnCp6c4IGsSPW2gUzMulVxNhqA2g6
jmWFQERamDwUx9tBgyi/Nrww5j6134rnkJCeauEYYr+Qidjj2w7I0gnoI2kRsHg8loNOWgaGk4z/
ae3tYRsMP71dgk7joGFnxWIGqVKRySks1CnVxceJ5nfEQrUb81R5K7Q/uJL4uzUmBNiNUL35yk5n
4baNs0m5ldDzIZQhHZefNw+INaDYaU73sWJuUwCHDHisBTcrevrJiCM0XT/d5Ljd7L04RmtnqbjQ
M+/N+Izajc16NNzJikwkIu0NaCUNGmAaOR4PzC8p+Bta/6Qisv4C0TDnfJGtfUHbwwLlcWd9eGJR
JwEK+mnpkIYskyu7065q+JbhD7Kw3cEyhmdS+8bwWLRubb+hoUF2z+uIpdUZr0p4J13aATdVA+9Y
qC9R1sIJ1DKqkCXQApYS/pQOF6k9yvEbetVFAM5MzFS8Q1Yamud6HrhYxg0M5nS0e2u/WYDUBW6z
tvVjwNq91u1lFJ+Y2VMiN1rExjJKGHFLdKRrOnjouCL0lvBEHK6Iow07QCJM7OMHpJkWEunANGY/
kaFzR7XJWTeeSc6rZCEHjk9JckdIQaavSgSoRyiBtQ8EcRFDw5NKxZBMmPA/vVDAKx0f28YFsWLL
SxPMBK7vvQ0aobzHsV0TAxWjaOqrtXXQ84O1eLAf2rNpSYk684SFWYb6nFUXgwVvCdXQGNbzbRfc
bSTvkrPoPVqVPhEZRnMAyfAidnk0ZSrArHqsDKDytwbpg7+GtCuGvZjycaJKvG288TycU7eVxh0x
tTyMGpl65KcZ1vrtk6pAch3lHnH2OelWuUjYIpXIeSSpK9x/xbWnrtnfcGt8/fJJTM4dZIhXh8hs
cm3/BfYh1yXUFiLSQj6T0+1OmPJwJm8BK6tv2PMMi39OsL1MobPJzWhoDVUGM+boGaukS24eyzPP
ZOdQO7fu4guUyVMjH5zlGREjeRG+8cx5Q4LpO44o1hM+B1I+ccN5i3w4jME2qdieBSRLklJ3otU+
61baQDAS2SFU1RA9j7ced7XSrvi1SaTp0+cYHexkhwTdI+bAXtsIncwrzpF53cC47X008iSCp9o2
JIDYoKTyCJEBHi+rx6gG6YUToVee4Y0kZX4BEOIElX/PcD8uGuQwAp5EotLHqyl9zwi8c+pdOG6F
AVkpl8LMrNq7or6EGoXMZPkj7iTChse1etT4cykwZ0iXqa8sWRe2jsWehnpgZLOC2ueoUrsLXRzF
eM1bWu99uEgRTAEZIRmcF4jm/5dGK4xE/3F0XsuNI1kQ/SJEoODxKpKgN6KTeUFIagkoeO++fg4m
Ynt3ZjZ6xCaJqmsyT/LpDRBGAakXK+WJS7mr1tMdUmSAyjQbbpUBriQ4yuZ7cNfd7Jhl/xh8Z6kn
irOV7giHwSKJ3xSJ+n0qlvPgxU+XCjW+doyTt56lJqACTawFuZk0e/SKJiiqWcw/intrvs9erOgz
R/XtTK9zN2fLk7KMFqI7BsisAkJBnkG5ncTG8R/DM2PoqpwV/1aVe9s9qOY6irA5A8dsRgQX12RW
c4fMYKK3J2ABNv+D/iPdi8WiObY/onW4hnQ4yX+lwtGWW4tB+Utg+uWbsgXniDC4LnDvuddM3Rs9
2YF0ceB2T+q4ddWlChRinLV+4tg230fehoa6tK4uYA/z8bUky2cwzlFyVJHYGhfEL0nZvDAJmK/f
SN/y8JblJ/k0fNQxC4OAEKoZLxbybe1Xs68yr79SYgc1in5OTXBoOQIDpr0lhWGQrxsa2Fk/qZxr
hB7Kbf4DtpAEUnU9Om8BUaYS66WWImGBihhvEKC3FdrGcWPGnqI9DUYBhKDMg5fyYCMloxGy8TmG
W/LkXhqaQJRnneQu696MECK8f47ytQ7HdXCxQGDbE8jdAAwyT+wSbijnbC0h5RENHscLh0OUweQM
LpgnSdznKXZKOa5ZjXGVMsFZt3JDbrBevWJvHujoneobDt+shHdu01yrdKxJzeusYx7cn7nF7rcl
/I7602j7VYZd85unxH/t2n2XHoX+mG3DTGyDeG8NO80A/7wkd2Vqfo3yvbW+A9QOOWJbUUNgZvRh
lt5orEzrfWSZCvou1NZz2ybN6+xeMsqlEhwr98R6e12jPGatA6ZgrpOF89qLd4b3NtqAABofS2CO
0PKZm16f/Zb9g4IouVHpRg3c01nXK+VfI67Sf6a/U3T+Jom499BtZtNv3tHWzHLWfUR4Q7aNeL9U
4qgYu+ntrkgXtYsLTGVZvQNMBRGSSUTuXCYubdaARG12T7pjZnZWeoY1EgPQRLOjZmcySryEL+lQ
X1X/CN1v1nTBWKOO5rdJxCseE1iyOPiq8VHMpZyu8YgdZzoUY+gCs4yJop2V8lumfDTuHQezyeBB
u2XhRw201bqjM2jnG1jiLEcfvTMcUh4earxt59GAhZq2eU3KXYZ0BmyxQVU9fuc1IlR3yX4p+O3J
W7FBOaLnmaXhIOIoemz+L2JGh4gjhx01FC324/C0Anma6w01/mbhD/sD1Wq/Zci/IuNhZKbVHlJ9
XTJh1ig6f+pwZxRIZdF2JRu2P655BC750pS72a/I9nqeaNPiW68VCA4RAS3Wn3q1bdqZm2wmXpfy
gsgY+auWDvRZbZsEX9aMHwmOFOv8B2K72ZIfuS0Ac/ZsZR+ZmLGaLALse6MB1b3bgcYOjWUc93HA
EDnK84VGR27BEO7dGcCFisuLt7QKPqpFGnp5UfWT1vC4ZVA+Dw4QCEYXoXmcDdNx/Tl/zeMVv73s
VzQ/sJG1nCUGyEXmx9UZjPs83NTllYACuthGv7hAcHOqAB2BAySrebMQ6b9ac017Gh1W2IiWwu2y
OMjsZNpnjItExT4CtnLUM4uupOVS8PzaNCvQryv5VPRT46NN7FmrfxrJOgtYTkmMUAReg2hQDKRI
TOTEYbTYuTD0KrN/HRwk7cBITpeP0Lzm8cbSdqVyq3O0FTsTpQvkSGfnpAh99BVzZdyKnBl1tC+6
35H6N41OSYcSPKMdtb+qmEO63A7EBJFWNndYuviq0gyMzEfC1WcTotWxMIW2ZcgRe4n/rKzySxPs
OonD3qIHY+3S44yM9pUFUqqoeBOXeR/cK9M51Ur011blJ8kl3FVBZixNRVymaXYdUSummfqnG+4l
TKdnqgKgqgSQBub5WoR+LFT2DRdxVWyJez4JezMa+Xc/ffakSTp8uPpALlegnCxY8lNuvdUpeLSw
WzvMc8Iy2Ocw7qM0PVZUklJtWamKB3rxRYuLH0xMf3VQkoJdRVqI/y2Lyd3AZFlCv/CnQx9qXKbY
QEpj47JMaTu+cFXMoTl6tNYe+v+FJvXjMRzaU6e2J9sV66Bwrr2WqixcWs7fVYE2UA8VdDMYQrv4
Gg7TWhEGuFF3rcaUm8pw1thFIslwchcyke11jeUN9Fkza7PnrKnU5p9jRKwa7FfbnXc79BIJ+ecI
31x0Y2Oab22JXxTIHzLzkKmTVVxLDVLsCIvOGoAvDqsohyZjj+t8QudC9qzvIL0CLekH1bqY2ACz
imq0bw5jpes3IiVzUB93vaockzA7FJ0kOGzaJMgEW4QPIuDeZIswpj3Zay4PFdIfLfXaQl+39Jwl
gFdp0Bvn8WVKnUfnYvXoLPNSTP0xjIq1GQD2RY9sJ2I5lHNsTkFDN6E1TBA+KkdL7oyUbwQVVorv
jRbMTd8T3CdDMJwCTEHQNg8mDAE1LleNDVMU7uO8xsgj8Vq7YNjIKCOe2It5jGRYHnq+GhQmAPQ0
Mi3LdZTbGM/AEoG2h1vsdQ4gLdYXkyC5fhYBVWTRCG5Kgefb6Q7C+FLU7wmgSjGfPf+EDcDGJoKg
hqdVs/RkYupTURhcgDGVEktbkI4f/r+5LEmQrZjs9YdLFDItZ7UUoTYMTdoklIGxw6LcZO0HtZG9
hcHc2IhObvJe0FeNLp0zQRvDSWnQPxAMOVnQaUBrNRidTQaqFmvicUIn1sB8TuNl1NLhDOBdWasX
qbHQyKZwwIWN3Nka5Yb75aJdKkkHE0gJewQK888x6LAK98On2G+LdhXG4sXEcMUJHKj0xnSacvL8
aT8mH+VUe7zQFTGbq8REXjdR6Hb/jIaZEmOS6OzYB1/uM1wfDFOplJdIk/Sa3Trnh41fYZi70fAe
mhtbkAHG5pLYeirCz266UnSn8bPA49uSQSZtRHbMJpChSaVfBmG6rkl3cHhHErweCRkALz6DMl91
Ijx2NkKEcWsAcAvSVY2202AQoqTqg4liy7E4v73TzLUhCkGBgW+jrrYN3ja08/OLkzS0Sc75oL91
ZBj1s/ySf2FhUapE9KGzpCUhbZDFGIkmY4DkHbvHSE3VwtsbsV9zXXf5MuiVlSbR2/qDlyHBm/AK
2NmmCFk/1ozXaCoRZhdIFORIVQIaSEPPngmAqZgoUyBQ3Vyp8VWqkGuhF4AggOah4z03so0O1Kvw
44NRiVVajXQbNHAMBleldasK9mDyNwd8bDHD0PiGz3Qvs0mXE+vcfI6AdOmja95ADnfwhdV4lQ2d
MZ2IsBm7ITPNSc5wkToUaNdtKHY2BOOQehn9VfNnpF8OVuKZTlFrzINZVs4VK/t7kbxVHchZfQ/D
6w65vqYTBghEiZj9KJJJMSNy0XOJMdEuakpDGx3YMNarANxe89WkexsA2sC8q2Y3p3Jr57xWHRCJ
rtqbvlNfnKhBWREtMGPhasp5UpoKFe1nJ77DAJZoytv82jukmNJK1ittwBYyEQ7Qa/ukem8sXGGs
Efrmu/ffuuHkho/EPRf6M9eOtXwX5QfQCqd6KMmRL79OeykGqhSThoUxP9KEQqMerMEM0H80tAQD
f58PXlsbXBlIKAZ/53Y+66l/Rg8GuP9tEa3NE9R5JqJGz4R7prD5AuGnfM34UNL4MpRs9LWvzGH2
kIhHEYF3hTmC1WIZQVLwM8wGOaEEyDZyKOKD+jNTLVhmmtZRQJQabWDHI7foIysQ9Uk+u++pv9jW
Z4oaOpn81Wz+cA2JruTbhKjyF2r3thWQLZi5hQxjISY1uByl/JI1U3sioYg2yP76FvGkhdpBfNQY
DQrAIeJXxH8OU6niM0MGGtHM3dX0G5cCVwDpkK9KfBYVTK8Piap6NuFpVxmBXce8J6p8GWuA2dKX
7YQjtPzqjIc13HknerwgrIxBy8UKgVxykZm7QX0NintKkC7wo2hPBKywyBHiCWTrTeJRvh0ZD6nh
OmUzG19EfO4gar202rsqaP8VL2QhmPAZAb+w6eN0HGplvTbRs436IpX+wmET0FCFhiX8aJUQEaWA
I4aBVOW9wFHZsC0wnXf+EUI/rE/WV8opM+RULc5a50v/vxQ7QeuHyVznxm6d0NMDa5/R75p2sQwZ
xfmQbOOkZq8EMXL49LsZDZi8NOyBNYYKNIUIhglFZKHNr2AkicDPN0NebuJqOeeH0IjYbNyRVZwZ
VSkxYSongxg22ox0Q94b1GgQyy92Sv/QH8m5GZFQ9l6+w+c4pR5s5rli1x78TiVflePFig6BvCrg
9dC0t3sV9yKuHiPf5i7cvkdS/ZvAvSpgP1vGFKa4z1/ytPissKUEvOTcHfilkKwLQYR9OBGykqlT
QpcbpdMmQh2ErkKje0pUUPoShbrx0KNyqXcXw889XVwV46GQLqlr38K/W+m3CD5YlU9W9v/RU4c4
wS3KdqRQBbqnZvgqzI+sOrV2AP/IJGiD9vBX5wTJX2VG1NufFp4MEknnxzJLf1X7odnf9bDX/HMB
fMbeZwhhhM508TepCm/UnnF8UKJtyftbBytdOp6lo4kQfx3Db/8N1hlQ2Mrf815K58A0gbUdy5hm
r7oHonjw3dfOvsJumd7K+ZqVXwZ936jfRfGRpohs//gzu+MhN248IeP0nnPNZuNPj5AvLT8B/Sbx
DYXhBBdTPRlOTUA3acna1h4eNXVASvphrRtHh0UKM/9GcCJ+qFw/Ec72yr2oLTOqo19erfYnKzfl
4GDwpW+RmPgIjc8mrn02U2Xx0EKbJ+aR5W/jCA6qv5nNda4QhIoW18uxb4pLFqdLKzxo4tqZt4YZ
SgK3+NpZpJvtHE8LTlF31Sjex31U0sudSEjn95bOtgdtMV1C5iO+dtOdj6oQC5M7NYnPGNrYJ7oq
u8BzxelV3cbwJ02/RLphp9ka1xR9N826OZ21ZosDT9f2KmkhItr76oipdl22b1JF7HhI4ouT72z/
GjJ4g2rX+/uKVWV3KkrPqIEv7FrzqreILNXHZN179AsiO0FBr2gZHcHwpj7nGHZ4433x1mS7ujgm
4kNOJ3W4GRwErXzwlREcA/ifS/dXc82DmBCzcWPOfxydXrTOvjvWunZ8Z2gChl0Gf0r3ZCwvxqOM
WJy+FGARKMkC/WCxrMO8yBIlwHDI7LLP74W4Ey+EAPZsRViQ8B1OFwUs5Ly0uFvOtmEYZBwSvL6R
V7isK8wDu+2xfU/ZyPc4fuhsZ70rdWO89s0zf1HFF9W9W4xiHZMRZcaJjjQhuZjVw7ZOYQVz6DUs
92mIin87TEgiN8D1nPASIl8kMsLVz5HpLH2VKnzNJcda3Eb1O0DL7/tXK/kG7JDwieYtujyyXIaC
WovTs7sRhF1kvwl8zfJfzPWXHsNArloUC05oL4X/9I1NV6FB8UosS+6XUn2PwdcUvVkO3lTl4KYX
uoPlmgokhG1ccZbm+r+Cu8bBgzWgpqlztDx9tJJst/LgyxzIh6bUIw0HbWeenMaQnHo60Jj1Qyi+
4vCZd2+W9ShGFjCrKlthBvLHfdMdtOTTYDufnYPwavLvIGWbgYLWHo3urnKvRD8cjrW51AI8CQvJ
WgqMXnMujCMDlppJMQZCZKYIEr5SFJSOf3VZoNX+NRLUT3A3tJvm/1P5APIH34gyvRotH+hfwawM
ESMfvY5IF8xtuzMQlgd8ay/OsA/8L6PeFYL5WP45Bj+NujZ7xt/FsR9OEXEx3TaKzvCMaeCdfkNG
HeZqDvj4d36a2kvdHgPtoFXv9NgqRM8oelPgb1JGGfpP1z4jdV2immSt4e6TnA3xVmpPvqtJ8VNX
W2R5g0PmaPqSI0EiWAInCanGDE+eErONAGsnXkuckylncQcbEpwtpPaFBec5hR7GKHRJWVg4wSJy
HGZVv/MDNg8PioZZ4TEy95lYc7S1xrMgAwD9opn+VazxJRmTdIALlCigdXhlhdgRhhwoW9Vi2oUi
ldPE6Xd194EPopmYce18cWB46OKqjoJ3jRk3FfBL3WMV5tc0GMs2Shd01GSqbp2WwFH915gDFahp
erR9Mfxa1ZlV9pyotv3qZFeTwUKxC6P73KbxYrvqmy41gOfuMIadC6MOxahdkZfho746ZMmvjiOp
Y/wrMRaa8t6P77R3OeVPdInSV4LaMt8ry9n0kAZstQ9OfDOS31aw3lc/BuOnMH/K/K9E0J8tRE+q
4C7s/1nxsMDgOveHrfJvzjxM6cO66mZob3DBaqoQhWF+eMWwyhj9U1cRbuIlJUsq2frOLm22fg3K
bC0I9LGBV62HiWz4axPfHIdh93vonpJnRe4CVEUVxh0SOyr57C9xby1K3+KHW5Q/fB9cczg4gGpm
xiwk40vBVESyTDzwci3LA2pACKXFE0dh98JDE5ZvPAOJflYwZuXPkblestHMzZgRjnqXwcGGCU2N
Uu0q/qIkS3f1MLDG1keuY+qPCtw4Ilyy0SGT8emUOBLY0LCPemGDB31DIyVIrvmLyL5HDIg4J0Yb
5crWJF8SdVpTAPtQtvqIi4KDMQkK1ig1FwKPzIgUXtrvG6MYV8YYoQdxP7t0enMt7VmoFUMmlpXa
9OX43cw6fHW4BDQUzm2anUZ+JafmGTN1k7Zx7HRso70DNija1brOI5sj5vjxK5MKYtyaMYw4d0i3
qVPurYHaoMgPPir61GFL7ADTUxB9IwUYQFXmSXWxbP9yKNr00Jr27MZahWpmot+xLpFtoJwj34pf
gn4vghTQSE3bJPFGT+v90OuHXonx0L1Mju9NY+EpDCldOwJhiIoyhBASvg8+LYqNGRBtAY7WtWk2
67QjhKIqiK82xbLorhDINpMdnoQfvNZO+9oMEDjckZb70KS3AKh099W406mjOGpCQAKxumopTdti
2JXyU0UxkI7UtfCdWm2dyeSYEsleZmhTTITDhLpZ3dnnrBc062p3wyBQ2OcxGDYpo70mBCKC1Gpk
qaPDAIqaLzV/neW7EhdMTGpcFmsvJUtERbvH1QgHbHyLowznznRo0XCIAdNkc3Cnh0yC5ZQRjZST
yEOeV2yMC7VoUCWP2zr+7nCFMbKJyZTA6rfho/TyBKOKP1vj8p8AGDLtaIF9Jf4zGYaQCQrVSkNe
F6xjflCaE1JLozsCUcdIvDQ0hF2A65Vu9Fzyyywiv0xaQ5NirEDoaGu4lpFV1OTNdCVQfntFNjPn
ER80s1iNutEfQE/45cQOlwCipu9uqoL9r004d2qrv2Jy69KrUk3rXJJU1gYHXYw7p25v+BOnfDgg
zzyoycgDJc5Z1rzSAK8NUupw1uAahRQxkFMPPyGPrirZfqWjvCVjf1Oa38GRm942H+B1TWe8akGy
74pgY5Cj1WDsbRL9UBrVXSmjXyUh7sqa5b11f3Af9lB8lT0xvVb/HdXZrRB8d6hLsfn3TnvpleHU
C3HKrOkUxkiMOSWbkJg9NmGuNduE9fGnhu/Ukmw0a/DVFcKHjBSkpEy+6qrgEGFtMRDJQEHj3FzI
YAMtOpK5zr0KaGKlyZIc1rKdyfemZHV0BHT2xYRgJZT0k6RXzP3LXsb3MVT/El0H/BV3p9r9G0R/
6xzjNTdMSLTd0jKmTU/yd2b2S1cdzjjMUEWo0MZ0AyEe5UXHi047k50CKugcCagp46XPd7q3FPCz
9geKB5w86ZfuH4DLsN0yZwmMARmzdoluEvBKlDdNljdCbWBC64c0KG+ti/ksNbT3fIy7vXaGus9t
WubvQT9V2Kh/BmX8N/QEoyBQ3JZg5w5cmS5TeZfxYdK2L1U5lxuIdJKccLYyduTB96eHLVOyG0b5
SgAiwibFeMlJ9Q0bHHE9J2hWErCrs28V2HKIpFnDobkZ1SaiellMBasaw6x2RfSuE1LlIqwHPEBe
i9w4WrgxJn+nO9W2GiH3QltB8tkU0V6jpW0TVF/oT1KHdbuT7qbQJN2oh9ZnbCzoFK567Eib8nXc
dzBICtYjqKt4h9ZOLbd5Hy2nAqd9U72qI8bxKAR8EixwlmxtvT9YAax8VVn6ofUhgXIlfrqQPc8Z
2bdqX68rqyUyE4dw3dGFRQdJwzbKfAdW5yoIcOfLv5psLMmGQIZ6L412M7ZYn1p1J6K3oePLLSpx
ndrhQw1rcj5otaPwrArxUyLSzfaO76MsBCJcDqsyabezFICxfMubxtyR7DUA8kP8ZQUs1w32HVF1
CYpq18npZyIhgWf84hrWdmi5K2cEm8UNbRTLrOuwK+GNRw0j0ulYK3ze5nQwQnVvBtq+taF7SOj6
FAg2230j+uyhXSUwllJkKuFIjW1B+ukPbRGdykjuepCTg0ByCxoB66BfjMeBYWNoNht9bD0lgNZk
5usIQkDauCe6GvxZ20ApT/PfdoBSuyIiRbhnxSFPZuufG3by1TCtEkdhyDds66hGI9TsJlaADlPP
EhQ+kfEeUCWiSIW1aEDtJ4G4aBVgnXOY75LQ8/UT8cn8d2hs4T907UXLaaOZszQnskArsEdS/hQD
+jxw56P7r9bfqrmNTL9yZW3774X6sM1XvDUivA9SMAQGaOEfKubfVfktGUcFcceQncGW9dFU1jJh
eDBeQs6xENZkKZSFDanDDQWcVRaYkLKwAasCB4V7wT/buruegz2Qn61+meH1ps8MRd0ZuLy67DlP
NgP36tIv6KA1hvrSNfMLMpiMliSv1hX4M/sr4LBtmJ2zYafBDltyDmGZ6PK1wT1GVdSM6NuPpGfh
yacOOoQETwQl4/0SBHHs1conP4TshfDpZPeCi6fAb2sTs9ssXC5Jo3YRkx/S8dUuV626mWhnqXwb
EraN6hmLDR9HnewU/yyCr8r403Tk5Xfb+CqNm6XTu0LvVVHu6jdN/uP7ngYQrz9TsJaB/QbTDd/R
VKMZO3hyJskdc6CEZSiXIPrbgWkZs3nLQzaOCUZlRRzHpwGVlxlCH2dQkGFgUGzSWNqC3D8ecFd5
sVq4hPhRGigcjQ1tHWt2T6rulLxHFhOkP/4gjIBchXHsTnt0oCM1rjHnqCT3nNmx02EIkfjiepDN
9eyPfq8JG9UokLisy3nWxlTYnL51QJgFEzUiewxifBTn044Ro7EvSgMkTn61+I7CgWM5Xoa5tUoI
4qlYz1lKQka1u/Ivg85CLnY3cmwx46EJ581FV0riAk8R+5yhydamn3hRMztnK89ifu109AvjFukH
iWgsiMnmiHHw6v47qGVSH0DCZkCKgx3Y5IEJux/paJGaRWARoIHt3b32zm+YcimqbMMg7xiMks1g
YOn04O2PPIm4rSU+K9+I5FXRHn6UsqP4SqNfVXsXLQ3FxR+2ZOu6XsRR4VinyPksTOBAwY8xXpz0
jO+EFSKF/FRAJZbfM9pNw9LWHof2krGDGVlf/d9v08k56UcgX3rxzID9TXRLHRyEpHxmAa7vd8qo
1PkXqG+WBk/kEXNUi1vbsYVp8PRbKS0SUvP+adkHm48h9Ou9pfxLGuKEn2H8OtE2E5Qx6Q+eDsfZ
h8qrnO4BbGoGKIn2FbN0CKb3IMf+CqearT4nzSKyzAUXKjNzNs/KO2FQiNFvYYq7SYES8j6wlHUQ
9vE4ul9trnpTLPBw3St0MlXyO5DO0gkOXflnpiaLP1bfo4KRc6EYBFUxIy2SOzr4BsWLaX1GCS9t
CoBokmfFULb9jW0I90g7WGdid0FMv5RNsmSH5+WWex2bZD1/ldqwXM0MskasAmqNefRWO8XGDNAw
DhC+REceLCTUGPUpwlhtNWnhiqkSZpkQGw/2Py1buYW2dRVSB9HzDhZXqmiXo+nvQqZNfm/sh7hY
WexTCwWgGTmolstI0ui9iCu4h4hrRANJIPyzerbh70SpHvugfx3YxiUmDwvm55QEzyGMt/TMpBeR
5dQ5rKxvQcR5ORknaRQbgXxD8VHNU2LYIvQcNfV41WSOZ15eUSv35TqLrNXkJAhfxEchYZ2UA8Hh
kO+c9dibp6DCq5WHbEBmAQQrmeARQLVwYoR6jH171B+UB8siiFZNeTPDmFRGUu1CNDfSCye2fNiV
fROFHQLfhAZaVRVog7Gn8UeIBp5w3d+X2Vk62QELNMiRUvGsyX3yW3vonoSK4jm1FpOKKkCDC6JB
xCpj2NfEXEEKMQ2ocIAQUoBMk4YeeOAARh6ZsDDKe1ZtWHCKZAW3aFHDBTPn0XNTLnNKHGqzsDkM
JMBEWX9q5LRKUXlkEeS7gO1/J5Z9M6763t8pTIDQ5grgUhU/b+jtjQThaSbt2hltoJ6s2HX13DJL
m/x05S4q8ksM31gpzrgaXfLV6bItIJU0OCuz6Ddjj+0FRUbjSq8DHakidZW2hnhpwoVztCyU6+y+
c1BvQeOsSyZBjCxG5xGJaJeWzoa+pFXzpd0S/abY73XtLlUGk9Tp/CKogq9JtBmmehc65H8uJuVg
0dBZlFUxy8eRGYgL+EellgwITv/tmQQZKE762aL8p8RvasHUKR6WPb7Y2GY/hFHRldjhuu8SJk1x
hkzrsIPTrUU+r6jjFmEx+10i2sL43S4JKP6ULPdHnKJ2ezbaN4stUe5va+samz+G8tnR88cq1Yx4
reJbhHcXc/7eFLGnv4bBMchjtoRTx2uqT4Wp3GVUbZnP5KuYJOqslse5NSyKaeni1xkIScmvOkCZ
zkuicwdSIZEf2nCvxLedHPXu18w2g3xTFS/S7w4Jntk6Vi9V9ZM623nsPub9VqWT05VD1C9BmPvi
6UMMLl/NNl6lJKuI8idmZyYbBHfOVysOs+koAJeOAlR1vrMeRfjVZaNhojL0jVlyEiyaNl+5NqHr
H6FuLnpGeTG7ud78UWdvJgYmz0jbnVTwzUkKyqerPmpFLPgfgPewIsy14aJZwpZgvpYZHsR0bwmy
F1DH0QZa0CcpSSyBQ1CtCS8iKbwiwpgt2Pxj0hTzhD2ynnRpMOaJ90ZK9Od6R876TXcvYwRjn+Ky
AfaNA5ENBFIs1Ur/tezGhV5vG45QJTZZzUsvYRvZ4TVSTrVA49c3u6AihSWCbRAEDHDh7sOKzCFj
VFqzrPDvGQPrMOuRcR/Wbsv+vV6LbFoPrr7qBxVt6uAVRX1T9E+fY9pm8AqmXLr9Qncj1F/12i11
r7P8pe5LTzTGsosdrytKNNmf+khbAhfHdU+1fPha+DK5lyS3kerbUD4Hr8J7oDo+h6qO7yH5aVoM
bzEvn1XeUFMHglY3esJ8iKVOznlsXBgNq2PCGz6XGtg9yNjrXYJTUBGXyEjZ5IKbhFVPNgmNdYbO
JQ3HdeoztA8+MuROEbKKwHjT0AqjsipJP5vKfDM2LngUczXE8JlQW8iJfMdxILAd8T1m16Ik24xE
DXJ6Uw3RVoZhnc1Vzhre5XjsVCbTDSqUv4EKtCf1aD5PIrjVA7tf/G/zmr3qRm7hZ8OGKHNYs5jT
qh79xVDUxP5hpOTFNZgtWjImE7bOEkWLttcSHmXKa2URavwDrjpa0XUsn0WE+g0jB+Vdo+y7DpzQ
v4INWa5hvEn/tIbSW3xMbUt4UrBEaTYPVAuvq+wXgw58GoiuU+SmsKcVdxa5QIcGbrdF0mgRtIeq
d/ZOjcVCa9eS4IwxBR1qFILlBnuY5NDFIUlQbcclMJ1Bzn0gBUmZOpujtstFdtTs+ix54XTEVUSv
Z5v1JTGMrzEtjwVQsEmcDQEbxubReNFKfBHzRW8mije1XDM1o5JqOCV9uy5acpUScQrc8FZ24jk7
j3SJyFGL5N5JeCjUAlsIEfXaaX4CRKRtulH9R3730c8DcGbOplJHHrQGxpcFZk2eLAH1Li93/WRd
JuPou+H3FOc3n8FUqtRvzOuYPOeQ+BuQEn77D2Rj2NS3JDdQUACc46cqYvyZB4Nt055iF75SNPMC
qlNAfHXycFsgWy665eSRutHKxhYVR8OzzWswJ1Qr/XsCtKVWjG0ysiNHEYWsCnNhPHp5UJ+1sECk
ntR7HqBDJyx0JgZnGpJkU3wIhBizzUCpPlSb3ZXZQ7qd9qKItwxSUWAhWneri7ToNU1usLGqjhWN
qIzIsrOS986oEGcE+r/aKT0zCN6MwHz6or/67OJc9U4AwDXhTRoVUFsu87QXudYszhWH5pGA158e
TUNjMCVLrL054gOL4rVa8arz6mSK+XtA2ZmJe+4ihhHjw1WIcxk02qZCJm/2FK0dg8rYMv76IN+q
SemJXnpV71+H3H7yY2+xEZx0FFFBiViwR7upJLDqUop9y+rProtNr6WUZ+P1WsmaUwfVb4DhsCog
LyLlDvWfsCY5rCI3yFYOReJ4TvEKw3/pkAcR87BF7Dnrsj7YULHo1OetWXENUI+PbNH0tsRLfNWn
4TJFWMWw8ykVKvIZbxoSJo+AiGF8lAA7YUXZccMJTR7zbnpHCkd9Ph755qNNfFexOyeMN1lbrkZS
5FuTZm6ybzECClWLwLnGR3zUngNQ0cpuaZCucZYrwfjeIFKIQsND48qil1x5v7pPjPHbgOhLTTuM
sXs0GyZxLVPifO9PBIb3MEyhK1pgRa0B4Y/OsVjq3xPNnMCc5ffqX6UmK9Gbm6jT92OsP5JA9czW
3BYFW08yWgH9ozzwUhncRdOc0EH8Bbmx1MNm28CNt3uv4+vWEaEOoz1pwm2JUiREmxWRLhZriTeZ
zXfYOF5vX5H4LbsyOVXUNjI/jG7GgoiFB1NZmOVbGyvXaAaMQ9NL3pFNUPqPcciUJQXJubcOwhVE
xkvAP4KmjemVarWUzGRJo4vWh/TkRPXrkG+IkYUjOfj/MXZmu5EjWbb9lUQ+X1aTNBrNeNFVQId8
0hSaI6R4IRQKBefZSBr59XdRmV2VmQ1UXyRSCB/kktxJo51z9l7b+VzVQEIFgpTvWtuT4PxdK5yG
wDcypsaaaNyCi329InFZvatuxhY3ugh55SU+7K9yVD/tT0Wwqa/pRwXXTEY96Bd0+M4CfdPP4f2y
2TeNfN+6a34RX/rMF7q0u+1WdeXG7ufGXbBiLkdjAXGFJGM30+0mHuioqmZnhQld3+oaul4NkirQ
zkGEw8lrh9tkBsqAOduLSnOgGPk0AAzwkhhIoYLKKA4GNIG3TJfghEe17qZAf216rKAx85umGM7o
SaB8W/f6c10ju9bsVxPMCfhWigBdlGkfIpRqWYXaAG2heJZTf7BkHnC1YtyXh2eFHi8mZtAw7L2l
AFsTEXqOi6OImIiP8f3YUUXk47zrquXKMhIi8f21M+TEDZe6rk4yGq6Enc5LAZ2ZnuUk86s+RZo5
EuaurzuLR+/KS9En1cyvZklATntuHKi+XHScDNVPSB/f+GfkqVf4+hougmQetIwLzGg+x19KBIv5
8ja21aFdojNQcsKaU7U2hwLt1JIFRF1p2AICzIR/NvXhwXWnQwt+vZF88BWzrng4ugHil8buKgj8
lT1STJ4PpO4aevwhMd8DFTk+zKuOYCqXqqzDsNAULwp04oABCIyp/tZpKO7PTt5QSaGN8FAkJ+mO
j/iQlSHdv2oXb8ZJFH/dYMAtvFiyGeId0fMRfj0DpXYBM77tulsamyRHzRSikq6C3IgLuOoy+iRi
k6whwu5eTY8qC/lWRlErSGetMxwbLWzHlTYYk/kMg61HcVSRX72mOKin/PBVCbg6LhdsE8G86bAO
Il9FJMmegciUt6m/qhl06/Tbkn8f1udpaxFVYAxDjD7w/PgzX2tn3DVscrl04dJrmDc2By2wdYaX
LmOorNf0Z2i4uxJ19qOfpSfHu/NDkvr6zEDTZoOYCo+UndEn97nawgaJaGjGFR9CRAXmBbC+Wqed
zusBR1+UIQOSIxDrENa+bZ5Vr9NdINivp1+rNfwucvNSgoTZeW62UyuGX+N3/Pw8+Sb8nK1X7d1k
PRk/ShcoSjX8k9nhtwV85BeIOYbAvws7IGeVplnTAJrr+BOaQrINVAiya7eARFO1n73O3A6QIJMu
Q7Q71upgzJUTcwnzA6vPVIXK0yFQdVq3qUrJQZYG8FLWTLeHmvgRUXr+KQN3EnUtq5qH6FsX6DDz
oM6ZF7PttNJLTyEXH9JQ2UxC+I2TgrhFpFU2nBWt7WI3qHi4ajAX+ioguRMrs6OC792sQLVaghzj
8tFTZFY4xfgGtG83leGh8Py99jEr02A60xQIdYZsIPwRThscJMuuOJM2CnII0LaNT34Kj4v9L9Zm
Mul1hBg2+2ZUfVO0zmMRSEA7CTV/c5XO5iqX3amcW3bRIUKCYV2uNP6ttJzOeWO9Q16x5wnsrTbq
Ia9jCB1+PIGiyx+iNL1TXrUvKrz6aygo1Y3LuARxAJ5/QJMIAWcHOYOnCYuzG3qU4IEshB+SZOo8
wdPsezg2OqOvqwIclgFl7xK4Mfu0rX2ZogrcvtR1zshUAShILNcQF1GvzPVFPzJWTdsH38qfIrwj
kQM4oyOJ/kluVxfueB5+nYix9UPo/vzm+YPxK3hM9tVWRCYwSW6OdQAZTaQcJEn3KPIWG4q0x6Dk
5BLDfOmoSRyj+jIzeXVZjfFRK9rIlaLGSkp3Ptkquepa0CtZFiMb32mum2c2gfOZu0Dx65JAsLUs
D96SAvrIBOD3eNqbHp+iplN9JpZgPPacRd2WeCT778moin2SrpsGvToVcqPXQH+0/rrulhWPZrip
nMjl8sZsPpjasXvd2h9zV70Zn0iO0Bso0eni+7Tp3fypJ/X7vFw1gVyleI/BUnYhw+oxZmYrhurC
7RCJKfqHne6uvaJjqD5Cw80KAF2FMtDCcFJoBgJn4gtb6B+JaXCwFCvyBu+1npFoz+0ur+m99Yl8
G9p23vcgIV3J2zTC15ohlXgrmYsV8RRDVfpwbwq0oxHz9zB/wZ38uKrRx6heUT8RhOaujLkXL36R
CAGaNXnrKxSthSCpLke8HVXVczvl4Ulk8VXdMEgLgWd1C+DFXoWnmBHLbqop6EQQPLgQ5pj1HT2y
RVsFWJ822npqjfuOcmMtH7sV4dCSgF+02SrYD6+f9UxPZ5hm3LUeeyEiharsVZYwWuf4cfJh5qaM
N70GkeXkJXubEurhcN4HJvye+9Nl3pNEUK+SKEWME373c47jn4tHP8CyL8haxHNdQVmKcqBOMljJ
6vNAqbVTLnL8yP0W0+2xFklP7vu7YNnU1D7G5UxEF50Ad+456iWCmzdBpBmCh0JTTAgZv7PWVFyw
aFQM9xKviTctPzzROaBNiBeEmuUrUBFcwMrYXZmIlOxJoqd54Myo7bc8xGacr+TCeoG6btrHgvZU
mE8ekm8+jkDR/nOODbviT1qFZ6JJAPG7RAs7PSFrnlPHVwk2NQFRTm8strWpGPmU8/MUdXsJzCqu
HAo2tNNj4rOzaQze26lFUzF07Bbuo6K5VAGg64EY7rzIQNlMqGfjRqFFmg+2DhhoLjngiVVcWQ3d
wm/TGxm8ZAIcQByDHI03XbcmNgJCQg6K2gt4NzoIGErZeyPaKxH47q5bCTNlujUoKDY+I2BN0V+W
3VfGtDeVboACx865D1I7GoPLhneclZOe01DGDxMHD8xPqKyOwMEhh263qp2N2cGHDvOzOrv2nWAl
UuWu+3gnuiDf+724KEb6RkNPWNpoEHlI57ZDVley7aJ/imdhrLB3WWobpeWIHvS+o8dQIp7BwjYS
9CLxHs4d3vdtJ1QY+SUaEHdG07mXtPhOkb/3CV0vrzf3pYfZZ/DZrFT9CpMJXA+iKy9oXoI0YYpm
E0x1RUYZ1UP9InRoWc25yAaxqx1W9g5XnVxiErFpvTg10ptZf8sHRIrWrRnVy6BDA3I9rQSC+Dqi
Le9AnEOCnEy4EF1o3dv7SAj9LkQFNoT9/YDeB84Sk6Ugap7ruGcKJmjQpbe9ct8ZDjzovidgMToQ
7Yt4P5or9KC46MKQ1V15KAdjlZwyJjnNQA5ZURHtkPXjBeclZsUUQ9qwEXWsDwUDLuCS16ibp0jv
UAA8la658owEW0QkCGv1RYD4l2LtueY0ZTpWnKUZWR/t4PZ71yVm2GQ/5ERqweJ31HzgeJm+dWc9
/eLOkSfOOCZllkM9tmDIJ+b+ZZ4wdsDQ5DfOvikUjwceGj50b91CnFHUvyGrpbM6wHEsIOWmTfFl
8unSOiEeQ0n9pJIYSS+9oYnThx7NfVDW5W7C/MoGvDmbZ4xFUT4mTCO8BzCijcrcM9lHJQHF9BVr
smlRLKKkzmnUd35LvKUXAZBYpz0ewyWu3J0Zf8g6ZhMYTM+SVaob4NiMzHlkHzzUiPwnUQMqX6Zw
v5gGFoK+S6zaAsZXaAMT0+oSyUY6uM+5YGcUeHOBEBpl3oiiln33uvdr84xxrghyqA9hcifaIWAh
Q75UpOoyHJn+xozGxrXozzhIMWVPn3OXlrYvJb5tX4LZKi+IYcBsyEBrcoZr68sf8cr8YZLvzjK4
zFst3f+SNlkQylNbnlczBHkzvLUOApU12hj7VCqj+4z4dWUOKKPy6IT6KxsGqHEZR2JQEZbrZE9e
sUQ095AzLW30OevvSrfbMkAAQ6UjvqF5so8t7IGgYNKNi5zYIT9fz+5XU5R4PmNshAEyWpmlT1KL
5BQKepbZFIXHfCgZak14IKIuOI+5pF45UOPKKn8Rtbxdepe46+5HOnDJdAqf1zDfs6aVHGkr1JHs
qa295aqvb5Mm5tNw6dOMFraa0hClKFmnpMFc5SdEZGKTcDMGImud0Q8EhWmbhFhfuALe0rEcEJup
VxpsxXA5+8HTEFeAeAK8vVnt1ttekeOGCXw+Di3+RYsnfWm+qXwLYayYM/h4KCDu0k53k3vht1+Z
uywh2zknh8Mz9ZKGYnxXahHjGvAe/Zh+Z1fYz+mkiZWJRbCf5uK66A1tK53d+IXFi8W+K8mYO5T9
ADxjHAmCoT/dut/IosjOmtBvOS8trqq5/4F5EXXsitXIjcW+UKm5iMvwrjXmtZkKOm2o944DsoZp
DKnKbHirFBLiuWmwRVGGRKX2jvHIDs6l29ayqAcNGb4mT7behkP4qtHbZRTwnY2yL3JMfyhhloPb
X60FFqGRjfKnkAEzFQ6gKSM5I2kGVCPFZG+unbW9sY7C3SoKvfNzAtli6CIDFWIeV/SIZkxNYqDD
UERocJeLUBgSe7yIfot2bwqXDbxI4K3WFNB9iToSc2Cc1Yz2kvFEGs6uEA4kF4+6d/SJVZ7zsxaZ
9plnxXcrRsakGA2ilTLTycW+HaYLcO2vfhphtO4ZQRU1nDWXCwrWoUBQfppNCteTPRAkrQs8MHyM
A/TdWao/6UFjCWzXauc7+1otz1P63emql9rpXkxOsyCOcLI02fCs0wRzm+HjT4bgyZOPeQ3dG9or
cYGK9Wg2e6/wf65sXTmNuSLkTn+WknZqLAzDwogIKU11LLPmVA0DpENcBlg/GwcPnBt5h4UsaSyP
n4YU+kZ83c493FbYnNvjc8M2EZkhoR1X8xaMZwI65QXCvB1o6TiC5ju0znm+KS3STZucxrh15La/
Xukqt5vBfRyGb0Suvyk0TO6qL72p3M2j7NGrsRmhvbIbJyIsdcMOeZm9B5swICfFnd7BWyC1B1yL
366KvoeVJZZwIZQyzZAA0ZCEi0G0bbZteekjMmQid0B5N4MW31BSfm/X7iF0x0NOf+msnO8cMW3q
yAE0YPO1tiAMUuZaQ7IiGyi3OtBikBYeed0GZkpmjiPgBtQlwwxusspxkoTzIUpgeSyZQ2z4yABW
gVoa/SuS3GYQlV1O6ZdOlNB+yrh4yA20NQ+pSXDu563CiVJX+9rh7VU5vuZCByfP4Soyz74lfTY5
6VEjuHYFPimtD2uLMw7R17Ot6u9pQ79p7RmSIJn8qpsBy1lwdGxO2KeOGHnQc8zq+PTxPJMle2Ke
75vKfRSJ/8gE4w2D+uUo2Vn7grKwqj+qpFOa1rzNzCKnLd/dh1Hp5j+TMbwZuoecRgGAGg6yZZ2e
O2d9rwWqGBeLYlw82ZnaJ+jNUyNwdNdsy4aVWVBx53cB6YDlt4ZkR901u2iFCVDTIRgriaYkkkcD
Ubbi1T+F208WDnQol6vJwjSEcIyVZtFGWimKXes51Lf+fNQOMQNCYMHLIzQHrstqxXfRr/o+pMFb
hZo1y9LntIog1z7IGR9nEJbhLpLI7poM92SLzJALF8Nfhp0sBf2ok12XDt9C7GV1in+4E8gy03B6
m1vnaYjy9Nh8HePckr12hRfgNUxXSswBSEvH2CBtaEEl6QxTMSreSfHwN9WMn1H70EP/Qs16KhBA
InEqArZ/Z+OItROAxmUwTckewCtYIBUQEO82JPdeYSd8n0x6lwXuhSlGzN1sYBoJrcAfhwAnMqKh
wkbJvgq5tKR7E5J6qTAjtHF06iIKl3bW1V5KLtxqO6SMfMS3e+PH87CrJj6zSJsnMSEgW9Wb60if
6RbEcdYquXwzCV5SiV3vLDH8SK4+JSio6rMoKC6X0asuu9k8V9FTlQQXRV2flejUljDnamdL2oCY
whtmoGXdLPu1oxIvbftz7NWzl5z6WNzyG10WCQZFGyJsg1BM/zo7NItl6zHSopkL712QRhob5ntr
1Fxk0bJ1IcGhOZM6CYU4qpihpq9sBkeR2J2K2SSLic12msTMo+yug2saqPC5nwNoqiJodlyRLON9
nzkmly7meqy5w7ScCX4l+sNJsieK/lG6NDGZdT4l0HyIQlmYc2xKPlk+G01zpLfNzHy6j86qKeOI
N4uz66jZ19aLkS/MP3yHta5PKIbsupzCFuRjrzjaxpbKPwgZcY7ppSzZe9hMd58St2z567cdmHdo
U+eLG7EPrNOWUsYTJyPnjdKBqiMmnobRTH5GZxnnstf8XHvEHFXlUczL4TEskBMhGDg1VlxHLOo4
Jnlnuph3LhQlVr9qvxLfAkJ0htDZahrnJRifio5o12X62MLAtC3OqVIeLDQHkbq3dYBQvI0deEmW
sMrRwElpYcm2LrMXI5e97UmLZS/oZfVepW2MsPBbOTytkm1/UQgccz7QA4FlFTco55pkhlpXQPUH
KBp13yBY4Jxug+bCs4Q8mwTtkTOoc0rrXVJxOJYBvZA5h1eUJnSMZsO0iFYcnogN+ZZoBIz1Mn/R
vlIXLcW+yulP0yLPV5SuIVb6Yazz62Fy7g3r2LGw3avoGLd5iteV4dhcWsb5Qy74vNyGHau3PCSq
ac4jqy67sdkE1jd146qLjAHmmWy8yyVlrWrTpD+xPzw5PZnQSU2T140dSgVSoMoEOq1cAnVYB5Yv
UdqXyEXbGqou/RQ1WtPAx4aG8Hcvc06PzId23IywO2aOTEZe7g28g3xnawxnfUSERTP/WFu2eibu
bkcHU1PBWLPRZD02xM3UBXq8bDTDRTDKO71MzUONGI0h/sgI6zO1DmR9FxxynOLyMEdW/GXv1oSK
re0LvS22WULTs2GLvqzYPN0SPyMXfKIL+08obvhE2wfaUJp6Vr/I2PssF74rlR6Fcq/OGkQKZ9hn
TrQkcbQeppTQDOt2I7ISmkVra9FxSVItCwp0m6YnX4YA+jz3ZUiFg7JgvFjj/r3etAv5ucqpNOsS
1K/KNlDnzC5JfIobn93MEkMlaKd9zFkpivMi5Lb2YYnD5Oj36PlZv8gS7Yrgq4dSc3Q4zdxMLsxr
x5/0c1Y0XGAfWWprRNFRdWXI1tWzd6ja5mQq8WNtVmIBK1b4yNknhbp3K1JcAruhGlP3bTaAkppZ
XM8ecl+vfo+Tdj6zFj6ywHToA3qUXsbgZ0EMm1IRd15TknXbHlupkcYWA0PPOrsswYCAUcZR0yr1
KGXTHYvA7uCUJKeBHTKCkehnwZm2X5MXkff1KZmK7VemTKbUumsTwWh0DvJjYwT54AQ8IO1y/N2Q
VuTUCqc6iRCxW2dsedYCYNO0jUn2Zau86DeMVfXkQc3R5RtHFYiwdWLtr9ezJQmAz0tMcAnVnjfP
KO6HipN+YHHpBxT8nNlEAU34PSwFsyMtSluKFRjWaNziCnRHQTflk+7Zw4h6IRAgLQZs3+0hLsw3
d6Q2yqb0y5pO/SkjlkvSOxkUTdosbq8rfHRph0w2WZEVLMsyn80diTmF81haujd66MSJaw/zQK/e
J0SH91W+XmeBh2s+WS/gvexxU5CLWkdvuf5iOwjUoYt2o02K2ySbHqtFQ7FqfMYvqHlrxbq01ps8
s6xeW6+/njImMl7FYdP5OTiU+i4t0bT70WalT8WTCfOjFcuXsQ7fKo96KS5QZAaWmT0sppGwmjnn
wGQGUq1g6yTD3BTJAOqnn24MKb0SJLAoJB1RZDer3ZjtcgZ1xyR6Yck0Zx6lF1YamlNjXZxFun+R
luu3kCz1gxc+p8b1LjuFHs8fUMxn/ivXqoMNAHjKAIZAkbZoqZDMlU760iXsvIrpIPTQ7JpoN0vk
kyFlbNOz0SYcV3Mli2bib1LoWwlwRadnXpBq4O3btQVHzCFgjE8S6mVWjstppQo749nnskaEWbGe
wPaQP5EhlhMglrlGCW4N+uXlqQvj8Zhzrn7SY3deyJheYET1i1vytlbhk1eGZi/XgpljGuzTBG7M
6BC+qhCum2TN9xF8DpvG4B/DgOleMt4XJSpULBi2WaBiqh9W0IIdoubQS0wbSxI/2lSStFRyoQnG
9L31B0m/0rmYk5gY+hyDDLGGaR9ztV5ofhSW6E2fnTW0ekq5fqTtGN37FWVpbEre/RSlzxQu3bGz
V3GkZq7oLgj8QBPEVun92G1TvL6Mj8tK42yp8VTooupOsbufmuV6ifD0NXVwHvrjfA7o5GZyv5i1
JgV9qhHiN1xAMGPRAlDNAVSQbDmjeoI6B8KpQB68WQC2Xdn9ZMCY70XinOTswwCO6K1SDwUnagec
2TSLs0zeqQHyQosJAH89esrlJg268AIV5XS+Lv17juoDlmnp7JaZ2i71nujA9igsDSsCe+HJSLIM
3V28ZCRehOm+nQ36dXKIhaNinlPero2ZDhnKbgW4yUS8n4jHiLSY671Iva9V2tZ7po6OCiOC/IZ7
S8TaAGGGVAySsRUq1LU07xm7ngtPTXcOKR27voyeizj+ngx9fiUMWRGJSuPzzGkhoCCUKwMC0fDT
oeJrWOFTn95n6CWHtWxoDU0U6EP5hnYBPKnvg28IbHcKdfSjmMPznNORdWm4mcmqGd0SnKeDjp4R
h9qN0WUV8DN8LS9TDdVELplgwqiAHjku+Le1d/ZpVTzqxQdWv4CkbtK3fkLWVxcT2DHO9tKVERBx
ex72l2kwJ7d2xZ29sptFiFdynSInKCmYNyc4Yaqmvglmt9rZlMZljB/gorcG/yBXMJ9OFla+BWgC
6rUZRsJRTUC9TRuclJ6qnUTBVQbwH3w/BjpU06SmNxEqKK1h22MqZSCKI6p4CT02EcHoz7tQDfYg
qua5f8vW6JgIPCwDLt1pavfVcr9GWbbXCMt3Pu+mLmAqJBl5cUmd7dYW+RIX5FfO+1eCwwp21fZ9
CQLymxz8QSvz5chz2qvUYZPqQIQoGAAV/vq57tXOvPWlFAcZDo9BXl+t+DvXkdE6dibmgySLBd89
bKJ7PRRQuR17v6zXeqBebLoV+F2JmMmit/YAMDaJJx4iqvogJdRB5vKqGCkws2C+Ng5EXLFJsheJ
jJqy0pDxzF5xRNJGC1P5Zxs3xPF/VFtnG6MemJ3ye44bHLEDODou/JvyGKVoijYzMnRh6hz51RCK
8ESlkUa4u6KhWy9Y5U+5YqRKf5SOmKzvBl9cd6tg+zmjxNhqmBIFJhY5Svmm89ddCks18Owt3quX
QKqGNTDFWy5byHc9msEZtnvEG9MM03kVewvn9G05InlfHQw0Jg7gpsbI1A0w000m5uZ9DCzQHroi
NAhI0ws0ruCc44aGuqdxDcw9uHcU3FFCWE+A5H2Med8qr6hxyvcwQ3MP9CIkwUKyPKCYI4wma4ZD
3rN8zOtAZ0JXLBcx8098dgfRo5/qOjqeJmUjCpsW4SdldGtn8gNRiSmvT45La56KDkITds9pV/X8
ax78p565SToM9X5S9WcHYNyuz/cdErUdsuoMsQWXoyyqhis3PZA/nFxN0KVZuXoUjSOUtJ7WjpMd
24TVJwqr+ZSn5iaYFMtUHaKcDPVjnFSI2A2tkbED27L09qrw1XoKXYa7OJGdT7/+8h//+M//eLP/
N3lvbpuSQWM9/OM/uf2GmbDPEmSHf775j69ZkbXvP7LXj2/759P+8qzdw389/vKz6X+5fjg8/vWZ
28/75zfy+r///N2ref3TjT3XCrPcje8Aqt6HsTQfP4TfdHvm/++Dv7x/vMrj0r7//de3rX7YXi3J
mvrX3x86//H3Xz3/45347Y3YXv73xz6/Vnzbf42D6V/L7PWv3/L+Ohi+Weq/RQLat+fKINRK/vrL
/P7xgOf/LQoinyFv5PmeGwW//sIFzaR//9Xx3L+FuE5FtO1IfBkp9esvQzN+PCaDvyntBlq54X+/
4n//6X/6kP71of1Sj8jYstoMf/81cH/9pf3ts9z+NF5F+fx2DEiDQAsduPwW7dvrfVYnPNv7P3qe
2szKwF6u9G4vitjcR6zG7zUyAIGS5hXJSXVWuKl7F7GbPqZDHJznQVSfR2jLaZkPjCYE3gemQCfW
quEuytQ2ruC+viYR2Edw0SKQgClCurqr5/Y2H+hyi6Wv3hCw7kEmbsjmahsNIOaMW5UcdeW3L2bJ
zxNbro9OMaGjLCKi6sqCdm+a0A0RmjSSFZ5k3FlvufzDJ/j7u/THd4UO3l/eFs8XKuK/MBR8OMF2
CPzxbYlrP6712q1wI9UjntX5oGOxPDYCDXLDIvre4ZmP87J863v8SzJwW3IOiulk0Amf0F4md+4M
pIS/S37P8LMX2oFwranNfRHrx9yfu4Mds+QgrLhZaRHdhuVC9IBMbqJFTJcfdyVBzxSgY1w0DYb5
bDJ2u2J7D/ATM9KzZrhJTCHv5gVYjpi9uz5qphgd/XrtF12DwyduPv/2r3qG/9U8O7S+vgYKPLYj
5+rUoR/5SkH/bdVpeqtZYXcgz1CydoCB7Pye0grnmhS2T2uUTnufjv51BoPpYtAQouuEKepco//r
s1y81vhyrLsMP3XmXK7DUn6rcpITKyC4DTKIp6Zpge636e//WrNxerIaBWETdOWjRHOUTcljOYzm
5E5MKT9uZp0b3JoAoKdRyePHXW3UPWOTbq9pgySPS9hADGAnc/h4kKOMGCPXcNNDbLW4UXU0aWGY
rcdudD1603ik+obvr1r23x93crjtvajtLn+7NZeDu6u8etOEs9FHOnMw/pOas/LFsTPZHVHiHwYy
m78N+ZfEdYvf7m63u9cpB2bR0JKyOCOyYfW+tiMuC+MyW1lH6b64UrxqO5g70en0Rrd0qbO59l6i
pnHPpnoYzvO5+oam735paoXad2WsY6fqTvp5/Yi+fYspdZZzz2Uo7Iv0Q3ORXk99+biIJn3wNL3D
dtrm7Pl01eRN9UW369aeHPrjGBvvqyyxSMcm/R4PmU8Zhiz10RRoSZS1+OK7Knq0KFvjgxxzIggF
ZEPrRf1rqNeb2A3UY8S45HwJKHGDYupfe0OcGhgbWKP4bG1nT/6k5Zc8j46R6JN7NZLRoVQ9nXwL
QW3yHOb+FUf72dTy2bGBTa4/voBdTa7BtaS/3QzbvDxX2O4/Hvy4v0h85pgZKrJKBcn1xxeVeRfz
Vj/8667cy9LfHvy4Ly4B/eLqrHZJHOFcDRP6i5rOjfWsfPj4kpNgveDrYqna6cK1V5FKpwdZKnWk
mYge2g3hvSLxsrGfPyTpOD3YmQZUqiFa5IIY2xKzKsnzeH/UhvW1qnrUCX6aKFqeGeS4J4ph6LL/
fFoVj2//ftXSf120ZOj7UaAj6vVI+Fwk/rxogc+oOSiS9KqHWHGVeSWanXKW4SWzRWSnsfOlHWy+
C8rQnn/cXK16b9s0+Pxxq7NYQOe8fDJ1re9MG1422/eUdQ2SOAYIJ8XsfJnWbjr2SU2Wwj9fkYVs
+e0Vucy8+3rfTVl4KvH2sw0ys3OduUiSZcE8la1LugMtAb/x486Ph1dNXbCokKIw0IfO1T6mrhws
c+Hg5wkm/ymZo+m3m4wGOa6QPu/6OlQ37MCOJu9WQNScL58SGRP5Vyj3QQ5NeUqT0gdzzU2ntunD
2lJio7v+7Z5NE6uiJD6tfe09VL6LpHjS9tO/npIU3S5KaufWW4neRI6K6rfHqhk3Aq1IjENMl9lp
SMvqa9ePR5gE62vaoK7L0K5coW+Wt2kDcefff85R9OeLk/Zc4Xuh9j1f+pEn/b98zmk50vMelHON
wFpDF4AOZdnm+U1FMhU3wCK+d4YhHlMYQeBZSK9/9u6FNOLJ4ZYymlup6zNzV394jCkHJjlywexM
XSK6Idv1y4zKebvMf1zXIcD8ft/HTYIMle1qsJNjWcWfMCO2l2knqscyZ3DkdIpg4W3VigWojrDT
5eHj0bAezhspCOno4qW8S8Mmn3H7jebcYbrxNY5vSj1Xr/kMo3X2mvgiH1Zzl/aItvIiHL9jYyFs
eYgenSr3jmqGW6nqY9j7xVcgYgi0eI4aF6xSQE9vIuRSaI59QvS2B/7nq0vlO8SoxrF8XmeRXjdN
w9Hjyru4yePbSobPNKGWZ+tbl5wVZCcfJ/H2rG7YDHRLCkFHkGMy6WK5/NeXwK4F1ikHpnguEGv0
itFvwbowiLF67GS2K8ZguUu3uzqPDblryXYKi7D4X7Yzatut/GGTpz3Pk650ldpEZAH//3lhsLQj
7Ijt93NuvAQ3rjvvw3ZZPqdojPECa+KPKIQB13FfsH35+BfiptNQeLeJFBPg84iZRmlehDMWh3nq
FOEG0InnfmFEuD2jHfsfI+PwB38y9rydygFgxKH8eF9FPdv7tar3PnOQ26rjXIQwVR+TsMh2zXZT
tmX6wJrGB27jm9iEP7EG1/sxXo++Cecva+RMn0sR/KAHNGNkCpLLIW3RGG0P5s2cYZ1IQaY2qnga
vCvZmQWDZY/rNRA4fpzJNJAMaMFThofZNbVs01L1KeE/MV1Xz4uZ1jMGgMudlEKD+iCMvWBvd9m6
QALo4xc9hwjAowL24KqhnHTZsG/GYffvT24v/OvZrfgBPmaqkCI/CkMV/vnDojmq+8mU1f9j7Ly2
G2W2tX1FjAEUFHBqS5aV5RxOGO7wkXPm6vdDuVe7V6+91/+fMKiAHCRB1Zzzfd4H3TKguJnWdGiW
Q03VzkE11ZnqExYhDBb426+urxlmY5BgUCO10yy4gWBaf72ekQ5rV5/be5dAFVE6jFE6PQlejDF6
6ts5u6gWxtJO7j1XSVxfSj9/1GqBdUiNSZIvO0oNl2a5hOm5EQMcWZpyeb0ko7JQNZfX6zo/u6gW
qcPfr6eVA2Zeu1SPLpI71MnQ4pAvR4mOwoi8G6GaLpXqI7ESMD0ieFQHmazTHnSSNYbObTxR8wAg
ODqpAwGL+NRYaMOrecYE8N8HVNMU1IK0nZGexpAPb9nO40sgO22j2wFgzaVZujPL0tzO96ppxwMs
vaJ/iKtR3pmiOqnuLMUawXH9YJVqWQWzriq3fRdcwrZFML0ktB1vegdPRukNEMmL7wsYq4PEtm8o
HRC9Hk7ek91/mFB6y2jAyW2SJHhy6pdTz3kM0qY9uoE1PUxpAnGzwakqXQYjPh93fITwS44oCmmC
DquryXO3IbnVs04QlYrZ56oPjDeX8u91uFRZ53YyvBreiTiQ/iZKDUMxPwxvkjSbd9QdobxoTQdA
YOMc2ylwj7qLrMptgr3q570oiXmYoNb1wDvrORosUTl3ZqzJu3QO432oz98+W0t/Y2rZhoUKRqWV
yTSErUfK44/2jOjw2mmbN2rzon00lKCFlmaa1dG+IFd7JSj0OzS13+E0M054wtnmwc8pMJwtb/7w
ZXprTIX/bIVedhvXoAb++zdQ/OcX0DOEK1zKRU3bMKX7719AvastyuDl+KClE7LbGWyJ0xD50dvg
/vPQHQJiNWDH6eH/nh5yZ3gssgKAyLAEj8uKEnc11WqRXKemVdwGViMu7XiQ7Izu2oQb/0ic8NSm
M3p0So1xxw5mYz4QVpz5c92uw2CGdukCMytEuBO8NcTH/easzsjTPvtzj0zBm9G7LgfWufL/8c+w
/4oPELDwJPxQz7R5erAX/mutgSagszrD1R8Co/zp6Nr4gAJtepgn1l+6517cpVWIAWIGT/EbNai3
MxrKXFy05bOruuqmpmzGrw6qJXzSnESxyBs3ORAWh88AgVvtXh0ioISt3ZZHG5XNQzk37XYkRkFN
k5ZshyHSr0SjdfusztHRT2PBZtmmuk23yPGqpr70FQBvwVQASp1zghQiFOcmM82npTVMjTiX7Fmf
/Kz6HPvdcikB/O8fKNMkXPNvz1/XkEJ4LNts19VNS/x9S9czWGlUJtx7OL5fdxI5fleX432je+aG
4hoIuL4Azph5mLfZif4xy3nl1nH2E0kdBbqF8dQmFL7VWaPv4ylujllEtkq03fAU2K/UvOKEN6dL
FXfPrcAml3e2JqM5kHtbO0sL5kN8Vv3qLJ7rtTDq/qC6khwxRoIKGdRU5mMOB+tfHzx4uCQ2Tqrv
80De9dRbl2F2XUjx1WkWA3oFx+juEcQBjjDa+IcEX1+lpfmezfqyrpi6Y1hRPRMIqvOpATKpnbTD
TbKselC2xbsknRyqb4FnXRFZ7q+km0L4JY7xefBn69cZxBPkoBMhkRRPvGPahTXhdgR5WjaLLW73
x4qiMur4HBKmY2mee9M3zt1y1iEjW5EDi9d/DdQJKalEo3haDRCfvdWr9GSUAZ6DlsueQ8/mjxGZ
DNnObyyn4dwmZrKfav/QYK4mtTCFe/OvQx3U6T4ovTW1JmibwK27o2Uc0qASlwJT+0tew3NPfMg1
oUlS3+rqCH6Imz4iCLpp/Br0jjPkO62Q0Uo1rUX4BUpv2pGAt9ZpR5y7mjr8AyY/KfC/mDFWsKvy
lPcBh9goT6o5DIVBvJ2sW5vFmQH8Zpq3TTdhJBJIHUMS1ryTLsM3XeRbam2qH5pj/6RQX3/Uyw47
QGHpVP1n5sWDno3eIQO44kS3KSZSlBzliyOzPuIo1I1ILCjc3BphYW0/m2ok8mIf2AnFQrUToqUr
5YA/VRTu4tnzcd6YUYUmApHm57BeRO6JYhXtKPJLwf/4qqmm7Ej4NDuPEcaUSyrFHeQpExoyMHPp
NwJozkTE9zw2VqO94LXsWpwpvk03kw6PxbIbuU0GO+MXa3x4uRklPF4yXoocQXYkxPzYx4V2xVY+
fWv85FumeaxCg/zGSj2X7D2lQju9K8QOZbugumsHe86jegGHjd0fUz5P1cSvS35NreEgpyFf6+MQ
hfXBqUrrRDqh3qQldduwQcVpKEz7aOLrxD+h3ZkEoDYsE5y7evaQLGoIrTNcw9G1lv84xNZ8JIvv
qPkQYWEicf3f71ZL3Pnfb1YuxBDpUhFumtSLun9tFpqUguNCRMVjkCMokUNnvBUGcbBAhMURMevw
gP7hXC6Li8kxBAnS1L61lmkJWM28yx+zPh59cCAW9m7NcU5dHQOj1DhkXkmJbbMUpo18YqCMUYLV
lP7PJErf0TC5zykeLisvmk38GNhQuVob8IhY8Et1BJXC6ooXd6EJd4M/7TqZH/VS/Agiic2Z1VIH
C/FC8jy8ECJyHxxRRCs7pL5aDSbtYOxIxMEEXeZ2Gl6hy+aVYFkGalPUR6tu8rtUC/K7DN7RaQrC
GwRsbGb1k4fK9Exss99RYGHcjEVhPU46ZSgiDJ0bx+pd1qw98Zaho6RLM7HwjJDhXKVLoNad0olv
bmK9lSFWvZ2YHsAYBkfRONis1aZ483sY70meYiWtadSNxc1bonXZe6tZw1UcsphL+Vxd17XTIyfE
Xyn184G4hZuv23lYW1prP/QitB9Y8yfEqGJjj3lN+fDfPxqEEPXlUfXnVtIzpG5JzzKWRxoBp78+
HbY2tU0pnAluHAtL0+vJxNZWuxNu15zsVFJCQPXkK+XMZ72zx59xXew6PjnXmTMvS05vpPB96PDy
KA3IF8385Loj1NG5rrYWhRw3TjCbb15vXmkim5C3t9JCvB5TkpE8A3ZLf7ojNUxajEnYPOjRuh7R
qeWjtNAJjcmtU0OKjRNWiyBZhmdyCiPK/S4gKK6HDyGV/vcJioql4Q92jRA08rdJhMmIgaXVtqrK
4IUAM3vaOZ5Odojds8hm0neeR2VwHN/LiJIDu9OeC6fPD4le4mEpAAk3oGx7Oc6HcTlQaDsfVFOd
DcO0CUUltqpVYSAUEjzfTW4+3kvqxBu7iR7R0ESPgSR3rGl9fFB9rSAD2LVmv1bNSm+1QwCOdZpD
uGVCn454QrkrwjvmXuqyvWQlSsF2sKOTSQnHoklxAH0P1iG5zazcOagOdeYsQ5/jKVoJsvvI5WPr
jQ0Nq5O8/GZVLIX63HQPvdm0MPTJ0A7LgD3VB7ZO7XNZSbnpGiBEtREMz42rQQ3Bo8tps+hac83q
LGcJjaRE1qYGSky9TZ39h5sb2Q1uZMYW+/LhwYmzb2pCHS1kuSQI7tkZY/Ee9+3a9fXug/Da50sH
HpifuLX2tT6alyZBWq4GzFh/oCTdffR6iBbeBI8b6Vb8yp958/nScoYOXPQgyAmWn7yJ2ojPAb7B
gHCCV8sH6Mtux7ytTc9/1PP84fNnptTy6VA7L14n5L5NR7Gqksh7jcEj2SmmDm6O76hfzmzXlgPy
6/aomuosJ1awqnQDg7FlQB3C0vtz3kwlI3hCAHzCcq0e8e+/Xqsvqc8xG0iAHikZnjz/uu6Pl0Hx
EeDTvneEY996y7JaRPbek11SX0XU4QyTBPqOgiVc/TGiTofCjfEXChqQ7ctFLA4+IphcN+nSUl2f
/Z1t7b+m/dHXhqDlgmWYvER4bZNlXamJqk9NVM1iJkNI0uM2yzS5V4dkOcOoqOatsn9+9fdB1WAK
toxWjaAO/GuoHArn82JCyNQ9QMRefb2WOnNhNd2yJHtIHLN6IJp7aJMQb0onGjYGG4sbAELydZb9
Mw5p/Z1A8XdxevNDVrimR56jrQnaAM9fZvkN5ZZudlcQWN3bQ+Ch/8/669h3puMcDPNRneWh1G/q
ujAQSEXGobQc4kbmj7a19IPdJB1m8mNu79363o569EJd+xHGUUVq3zR3DcVUfdVA1o7t6dZrNHM3
utK+LtMZtRcOcuu4NpJjFpf2niijt+41XTylwviOvh+vbzfrNrMzvtfkFw6OhOBtxXMB4IJieklY
sLjOy+QgAgh2kWdnD2nUzhtbo4ZLTf68YtKv0w5etGr58wSdlHdzpZqm00a31Vh7mCxa/Qkkt4/Z
u1bAIJcC/RsF+wLyHkEVCz+G9ee4mqoDsjjhgXTJ8ha7kDYaTvXkQUTwvCo9NpRPfV5ch63cGBo4
0K/L1GykUuQN5hv+P+z/9GbaGIQNL35u5BcxZHKv8Rj96qolSKxSi1Dl6TXKm9nKsDvxY7yqu6R/
p2qZSkjIBCg+qZSvRf7Dm4GKkWMcnzQ5BWvftnCl7bISa1zuIqyuXzzQQ9eEH6qzOrRjXJ3PWhdQ
hqI6Zt+qzrPzQ9Oy6OSGNc8D1TWZcuW6szyEfJptxONkuFu33QMj6JEYuvoJ5zPv0KKFW1mGI79p
hFbGqP7mmBIjxmYEWxMJVL85CfjSauS3qsPPkUQICGwHZtE8xLtolCFc17jCYmmZkdt3WR7YF1sX
eyOdxSYpCZc07NN2YrCfEbqPR83Q7oQols+Fu5TeW0GM3fGcPeCn1e49UjeLVl6i7BTF98g32WSU
pHuek8ptDwRvig3lveRGjd58qFOEYdUcfLbUoBu7/zhmmhzUwU16zmr2R0P0+tXt/Z6g+kyZp8nq
6wI7uZcB1j3I86m/+rpMnYnWJb2qTvO4vSlyXIq9yH8KyH6u4PgSLfC76XloDNy/zFEeVFOvqnM7
hPKiWrF9P1K2/KRFoXYvOlLxyyVyHMxT5k3fVYuURrB3OvKjqpnWhot01IzWqhlR+b3WguDolOaw
1QODWntAss6u+n2odU3u+gZstlGATb9SI6qtT9AsepnC3Vxm/zFHXWPzsc2v1KkaB7ZPreU46LcV
SSfwhraJV7lj389LyL3X7Q+/DjsUlba89EZRHGarAOewDMQQe4qq715jQpQb6vayWyNOKbKsXKzq
mJCEEWVSszYdDVvwLzKxjlMDlu+yE4q6R/Lf45b7VoTXlGe/B4SJlws9vuxLGPbXr9KAxlD96lcB
1yMvLCuLgznDAI2TWH6E/Cpkpv7jV8mk98evUk3GdCwp1DlXuvazLuLLZGXxwTH0EV1y9lT3o322
l5YgZZvUevg4jX3zmICeVN2RAWEa4diDuiQ1bahCIc9vNdjAed1WLVJyNSpHEB+N1eMdgVrhbhyH
R2sAq+UnpfM05KSpTa9JTk0ym1tqxPLbrMSNKJYC5KWZVq9R7jzVsWX9Y6UPI/iCn8bIvlVd3Y8s
j51U/LqavGh2W5fDr6vBa5Wv+YA+CK7bP7Z9jytQ+VOf8Do0clc+jcvV9u+r1c/OyW19/uwZB8Bf
t7kp7vxTXrr+rY29wIbNZfhoVmiL9bnDMKYot1mfu69TPWRrzegXfrrlHjFSLMiLhDVefhjTLVMt
AyHUyK39Tpa6fwspWf98tbQFb6imzGb1x6tFCDoOlPJ7x1yXlDfHONj7rXWHN7R1hy4awFqk89GO
rLuZAqM7Lag2BSqBk5o1mJp3EdNeDalJfDLcQ+Vh39uzS7oGud9uQzG04BN4wc8pE+mO3JMB66gp
YI4nieoIN7v5epmRgOpVyGMByvnyiywX1zzl9QyT+c+X1quftZc0hOMZK+bUAYTOs2L5JdWP8WYr
YvsUfvv65QWGHPAl+Bpa2O5RmQcErora/Th3EAkCH5e8iXqmmSVeY/n+W6ljQvl/zdCSRzPOVm1c
6ztbS6S4km1P2K02cEDwwQB7mg1+azmoAY/Q1i704uNX1zyQ9ICD120jB4h/WAzZIdVy+Tha/Heo
wQbxvzSj2NRvMmGX64RgzyMQh3A3YyxyXTSO/djkvB29rj+pSwGf1A9F/UMNsVAD3xq59a7EfmUM
XnS4VBcnsZ9UVogCUn2nRcZwrZqwBdlLt/p8o5rjAuCeE5ggtVmJO+An1HI7+qr0+nHVjB1+XEHS
ntVZx62TkuoKwlRhN2d7Ofw1oCbbGpvtZBwsfsQs9qHnCohkeFdkbQagVHWm1fgyJsK/+aNPzVGz
vy7RnNmvUB386yUoek42NUjVz5c2sN8mjIv6ccDtmXqF/LbOBARYPEIvQwm/CDXoqtGy5CLqdrqo
fpPE4JUrsIz/NcMH+d1Y7E7UsDr4gzWxFPq81BP+P7mbRfd6vvFM7iFjJV5NYhkvlNjkq8wazLMV
NMNtiiJx6w9YwIajLjF5w4essUK5Loa22sd8K/dG5JRUUf9ue9zn1sVogyZc+tShKdrq15xZTZf5
C+os/CmWjI9rBeO1Q6EdFTAlljFF2XYEh7GWXJJCzgw0cHQcFkh1al1QAj7EyVC+SE0kO38OKRlv
jUX8aVdrwiP+Ro22CRAPEYfOUadAZJVR9bG25TxSm5bi4Ch0ZIdzL4eVbWvDUR3GtEYFT5kJSM6S
pcqIaXQYGs+qrKFKA3/f5sjJDYqar4K6wQfbeA2IuDwOU3lNbKK+H93KeNQ8CGVT04qDGpSSmti+
JV2kRvlJ6cYORqi1y6WaaTf7KAZXr0ZDSvCuKhat1ylb/SfIsmyfnPKti3VrI4Xb3qgmpTZH5FFs
XakQPBIgY33atMi0ytZfJ7Z9jDBIfKxdW9ulaQTSZh6m96V/TrXpEfNpbRdX/bnophdvcIOjOthh
lAxX6hRnyGRbIwtGpt0WL5Q2y8+zJgTIpfrUWaBNIfhbgaaPFf5hWg5G6/UH8KTD2m7t+SooZJ9D
ORp+jag5WWkFhKcqC36pYW8/+2AuITjB/I6pOb6u1FX/flEtdSgAlLg0qblfA39PjMeq3jhZ8LDo
JnWjsQBOc0B08utQZ8hQgeTk66++NhihFS0eoQ6If75SPAzSsLkV/dhe1EH1UwQKdSUB/vg1YBEs
ua17bvtffcXsthfXRtoUyPik+ok+YTlZzvPFyhEkmC17vQphRmcXyYFHmH80HC1bxTgNfNhQspzc
jH/o3J2u3BjXsKAIgu0gzAmiOmUGrdM/Tn29JSgi7k0nah4iI9hYVlS+6H6XHpIZ91C5NHGItm5i
lig3kxTjXQIko4ckz3fTzevw6LVJ0axYdBR7iFvXUdBBDQbEli2ZGEgrK98bjMOc56MHBDUD7D7Z
KFyW0bwd/ZM6m5LexTC0+fbZL21cDpLuaAx9ehubot5klq2/iJI0IxzRb7lE3WXWmInPmi4xVi8y
KI6E4wa/P/Coz57/lyvVBBEF5jXKW/PoEaW46Sb0sdTo6tb112rVikS/64mQLEvbr261yAXDMG50
s3UBfTTdtidj0MoKJSvvrnWo2hFr9OWgmkU+prhEoX6dmhLMXRJ0zd6Mor3HAnhFti99Ch3T2PIl
aa5Lk8I16n1iKoV5HtRLc4YCceqi8lENOoAFHMICFz8rwFRW0dNIAhyHzNs6bavHwKNnSOKd307T
RQ0l0vpplHp+HCfB7CFBJE9J2E4NpoYY4KkZ1kaNUotM2T/rAjM105dldW/lL92QVefRtL8hnite
rHpAB5zgOKEGx4KwjVaiYFHNYQk6ZkUFl//KlnxcUCKRXe5nQmG9/a5XBsuNpUUI3r8DbTVE6E4y
xyj3jpQfo6zC+9Bp3o2AymQs3ptNqtUTtvBe95awO5Kh9156BWslAZUY2VL8MnvOWvV3SbSVMrCb
G0/iRm2bCyRQdOHD2Pj2iWK7Xev48I6oZzAAXem4RjoGIeZYDnhzIhQrx7D/BrDo7EnhP/V16G0q
0H+bnnfkmTKwE387NUTmCALd0IGORumiKhrlwpN87bWMOm6rjp9bSiTnJtHfrASnsyjDcEE1beB7
hAIb1IX4sVU1Lz3rMPV64EBUWLneN0Q6EEk7/Wc46d9CW2bPbLs7OC+GoBKSWkYjmEJgW4P2mPuI
icPW13+W3ckWRfMjNxFT2jYaJr+bASDMnnsy0MxcTUu5ZmT1HerJbLwtY+E/ajoQ1xEZ/3UtzSN4
gYi6JJdEdcHOYerg82tJHT84lH3pS/2dH2vRg4Vw1x49JKNpmr7Zy0NVPVljWbq3oqsfVUvPTMRj
6oGs2iRFwytnJF7TdGC0psbWjpTdik3Dvn8DqHx6r4Z1WltojskgEyGdw00jfHQnBmrDdPSH+64s
nyW2YwfkwQMIWQIv3AUv1dJSXZol3JVBzG+tmp8XRRZvYGodIoQsg2XKnToQEvp19tVU3/Ah7Kr8
6ms4BFI4WkkOUEMT0yEuie53NqrDIelNnMOgedeoiYS3R8Ds7blbdhtf18HK0fXVjxn2sybI8oN6
aZxVaBogsFDDjJ5unkotlbtCdK9V6qaronCLM3npZmsFdXxrOWZ0J9uFLGJExUfTkxCkkvDnmGI+
V1n2ZcZXAw13LlDcW0iDtDQFl2BDJRuSMceUBLRVQAHtq92WIMwrS+xad5xeM2RWvte9qFk9RYDX
AdXYr6GuaddZGlq7mQSHMAtWZkFoHMLfB7fThxsNljlp8so4DFDTDnFngNOr8IosLKBkBSWrD8Ei
4/3rjORw8f8zT73KvLweCeP/eJWvV/6aF2JuWvOc9iczu7A7zy8ZkYyLLbp7bncBRT10JU4Q7SY0
B1diLB5mvE4uZS/s5ynYJkWqUZw7iLs+EHv+bPt5QToezIpYtWqaTjrfBrxjK3VN3ot6TSJf33Bm
P3/edcQwkZJW2UF1Oi0pw1mlDN0yvKnl/M2F/yJq7IPKlNV/DzYOSGf6ox4M2d8HYbKeKbp5GVsD
R/ZJBC8sSN2rcelTZ6pPjf6f84KhOWS5C3SkHXgKw45p25Xt8n9EGcqablnAYUkBlaCE3dkqSBMr
WvQz0zsRMqBA5p/9ar7ZjudS6Nmup3TxjyWQ7rfNBu1eg//Rv9ZGaS7FNvS7k2kPI1gtiHYvRUIk
XgJFKLn3NhOk1/BJFe4O8BOyvvYfVFHv0srTJXW93HDy9FhFsN2xJKIOgt3W1ESsbkqIC793V2qz
FeeWBy0fKmxJpj2PrfUoEesPU2EuqYT8lQ8rH2xMmAg77T30QNd+xQI1bvP05C9846+pUKfD5esS
z1a4JXlB1m4gaQeFAy/HBZZOHgJDiHwKEFPY7SuFtrcS6vP3rxmILbpd6dbMiPX4ZQDMnRa7vtdi
dyMWWRzVLPZKmHMAHTsJ280i87j2KF2QbiPv6nRMjgbqfmQFvCWTbH5MpmHf1UB5jw1yenTZvIXL
/LkM5Z0MnP97fprCMPq8wbb5Dzep3Y3WwL+ynYztjMty+nccmjVQhjUEdeF251IaO1jRruwQxxYR
ru8rlikfWQ+CRNf9Sp4Iyt63Sx1S7wL0hy7s7VWT3f+I9/JdJ/XkyTXGfmX1OLyrN1RrsC5UTfVu
l5H8IaV+G5BPf8ub6slwLLaR8xQDIYohrkR29Tb1UwoDs/R2gbB6zAAwLdD4L30mVI125mGPMg2D
Wd6Xc1h5e9PtkJvEZrOdcNo6fxbosGhCbzGZt6pp9t10Y5E5darp3EZOvnUH8R0NC25TmIzO5wT5
9U1lo0r8nALoC9ZFiPqgy7rzCC5zNKxzHffLR4OA+ZZEIauesKG8Xq+zcZWzDpcWq2+/kyvQCf2Z
eD2yM/an+6SiHDexkbG0hh1dSnIhsO9mc1dbkqWKN+tIRmHm1CIKH1qyXxu39z7GYvTOMpk/kmow
t25u6g4qb1PfJsLaybZZ+whezl8Hg7X0uumABX71xW053XBbOFBFXRybuirw0+KsixwKUGVz+ez3
h24LItm7NYjq3XWaFWzDCBi0aqqDa2rpDWW42LAUfO87B+Vnxx0M2ejs/mMZCGW+mjP/1105TPUd
OXmB6euAC49O7dFyUGd1WJP0C71kr87+t76vAXVZNMKs6xzMCtQA2Wto04aTbeuq9/WLnHqADeww
r+H3jNrtFCR8ROK+1LBQzfjQguNFvl7CIbYaCnuSunoDKYxGGBHvOc3s4k7g66P6rZjqBKLzOYKm
JFghIbT7e4/17l7L9QCkXZKfwF3Nl3lENay+mx3E3muTiOVp8iJxq0dkLf3Z36sDjHkJNs1PQ/Iy
8pT7AU1Zer+GUdoC1UCxexwDshNOVnyXrUUlmDUmj1lgyjWcFnkYZOjszBrTLa3N9bsiNNprgjjp
O7e4I2o9658uLleWFPl3R6OQrE/8X5cHvm0fiLY4OzZSiIZDHMKGukL0LLQdwAptF6Tpr7Ovvriz
XYzt/n0OuzNtberGXR9pV3WWS758nv15UE1Ac++RjOZuVbPcREnpDsfITR+yerCwkKSlDnnCBmoO
2ohiSjJCyTA+j6PunrzR+GiXFo4U5X4cmxDKIk3HBxQGO9xeqVERZZBzLNaMajSt2cdZrXC2YJ7G
Z2BCkLvAUh7VKCXrR0pmojs/sQDmuW17E7l2fIxR6hxzESdHqhy1tT/DG1J9alQN/NVEDAKZHwfO
VRLM3FaNNJ6v4lLjpmrJGhoJTuMa+4i9OoQOZ1Hv8GZ/tcei1PddiSMuoZXACeJt3Nf9S2M6L76M
soudReNTlaIXWbqrJIiPhatRE86u9cVLAvcGj7f6Ro36QeUuBRj1QTWXnOrcZNNjM1XhXR7U9ybx
cYKY7l49TNWT0wPJzxOS7O7yRMU4bYJwSR8L25nqX/+cLDTGxsFMrvO9+m5YDqovTTQCSkszj86o
cKOtYULTEXGABwEhmUsMBgAUgFM+aThBX3Fndt6tILhLywHHTZHeFWKewqvRwT/MTMfvjQZjJAFr
8RJ02nQdEg651yltQeDZaUBKa+N26AnT6SCs+azmGsJIo72Ey49xk6L668c0RcCPScY/fkw9m8N3
A47uVZelyc1IXdg12BZ/D/JC22cpX9DSJBQ8dEQD/hpQTXUY625FlMM8jQaQ9M5FEdSWaYOPU01B
10Rh6O1nG0LOOSKzcsiWOnK/dO27d7FUmcu5iA8jDKRrpzQy0Bp1/w5l6EGzcT5xwiw6pK7rg/+k
v0val6C2xH3YhSixxpKIU2P3725dfGRG1e8/lyiJ6HGoTjag7+yHLuv7x9zofzhIsg/D0nJTHeu8
Qscfc2k2LUX9U5A612o07fCKAdnyZGfzufDa9JocKRonDdFy37omq2Pq5bvOnh71MIYRXw/neBmc
/Wi61TFEWQpQUvIgHFwHPPEEH2r91ZdhEnGp3hMv1yjeXY2kzg8qOkj2P29WuXHVmaF1EH2LORa8
qzTzHOg/pXjKWPCsvppT4YWrqjB+jZa4N3yOUnUe682SmPPcu9hgQ45K17sLf58FycIhW/rU6Nid
hJu4z5rePRMCnC9aViPGKrt1OpsC+VVW7CfyjdeqOdvBjeyDcR8P8hUYdHpr5dl4lMtB3cDA6v3T
wee97oTT3U1F8wYDs3pLjLRew62Nt+pJIhNiXUH+GoFn2Pk2K1uitc62kAB5MAJy14lPTEytUOwi
8veui2sy5rD5YytQWnmneA7Dz/Nao8rSGCSrlxzcmGX4+KpZ7apJnepbaW9GaEnPDDnW7Vyad714
cqku/la2JgaD0rBOaUq0WEy6uSbsYL44jX5UkcLJmT78IY6fspntd2U1Ou4enX2EuQyHI5524zy6
F50So6s2SrLvwmw3MrYHPjco8jzjsaw05+5TwStlfEMIwV+1TWZgukph82gaJ3w9qqt4kaLZxVyt
p4plmWqymtrE07SF+LoKLYHkpO4ogkV452JCsW8I86+KrmRNXAx/9I/oRr76tb7HMK0PWXQb9biz
JwOIDo/hcdc5E+5HeUL6QOuM9iYFOAKjjsdGn7mAAwYxYffbTqdKlO2OAhfYilBaCOqIl7Rp6u08
RtPa0IvivZ3922F0+qcyMe1dTyXkCkBB8T4m/X2iE0Vt87I5WJRLX7utzN+N3vkZj3p9F7pU+bkZ
pEL1OnNYnfTC+oijUm6mJmBzWPrcGFQbrwgWVJ3LMnLCMPnXuC0JFal2rMaH3+NuHGx76GH73oF8
iJwDW0XiWNx70yg7qcMUAgrkOUoWQ410rkhJzjUQH/3GWU/uYkywzP4aUM2h5endw/7YDymrmtIl
0hoiLf+YdOdFIyLx4HVztE+KAB5IbmUfemqvuSu3L6QJiKGFbUqsdAayFLvZpcGg3BlFcwpG38Ft
JMYWoqk7D3NF+AEFbj/TaC3Eadd8jMr8rZtl9r2XzvswGN2jD3QWwaF9GQn4HAi/X0Jtgl0ASE7e
1G6pUYYUJaj0uuQ+E7w+RckzFkf0oYodb0jZOTiV6jWmq1N0Jk1Y3wQjT7G/zxI2HTYYpV4VxBqy
WmSE2PgQkp2u9Mxdxb7nnQJA0cEGExTzYGiBbd1+3pFrJOyl/tKFBlhGirzzcx4trmzExsfKKI8t
ieNfA50VXipRjbvPvrqNi7M7CiDl/0PYeS7HzWPr+opYxUzwb+fcSi3J/sOSHJhz5tWfh2jPpxmf
2XuXq1BEasktEgTWekPjxrt7I6JU7V4PvPHcNMpArk15hBvu32teUoanWjjveKdw4k2T12RGY4+p
EoHvU80V2sCms3IjEV0cHeg7ncmUTGtlUot1X9eRy202VMf7pS4MBY9vksF+mwo8GFFfuQa1tipN
9pbJGOx1XzV2M+6IrKWfH3mEBE/6fBkiKceJ/uuS1acnn2jh3z43yklmGqRiKS+Jq8WrBDLYtk8S
/BBRAX4wEcDDfs7O99Bumqsa+dgAtmrwrUn8K8d85VdnVRyljPQjVYmMtSH7GiIx4S4VWrNHzhSk
PW7T6OS/WTOiWEwtC6XZg+5mQV7q9fgz0nk+Obtbzw4aNht0642VHNsYkX3tGDsEbVotPa/+6QMv
OowD7i3y7m3DIX1A7yTcsNQQ05/vWdkR5ZguoyAFDFYxwussJ4fWI8sVvvao+yJyfPWzJvqvHckU
RlclZgaeKMHBwygT23dXXG1iKwQbywvxBRfACIXvCbTxCI2wq2WEyf/KQWK0RzuNSCr+taQeK4Uz
bTVo56h1/hR9n+jnosb1RymEuS4LlVywbJRjnEQ39qg1Hpo5yokE9TgetdwZwepRyCvZdi+6eDrK
q1bXkbCzs0w99MW76SD3nSIbOpkiAzkfl28kgONlV0fqcRBeibyHhY1mJ54moQfPIzge2VyVI3nw
SglxiWBSiTXDhjUPL9l+KN+iIre4DePuJHt9c7awqZVns3Z42QnjkKfVo48m1VsnSAo0Fg+nrBo+
suLEgoCrjQX3oTuhKBJaS6iM0U1P7RHmdv/TMkznzZjcYZtw6l3LmcqIW0pXIfcnq1q5zCq1fkNw
2jxnAkiWnOQoAyZgYR1u5ahJx0mqCEBi2KOp3DIb39T5tzIDKzjhBc0TNVdz1s91EY8VD7drv6VF
+GrrivGQGpP1HGXV/cPIy3eHbEQmyQG5gkIu+TVlMvxzTtDuLJogOIdlhjBnaMIf+qdDsdCT1x2+
IsuZNdvh4D6ghR4+DBYy5jILgVJdtFKLPjsqvpa/1ni5wLqBBtEnuIVzyNjCMq/PpYZg7TQ042Pu
cXom7h1+sib/QPEiBJMapAcLIfm1S67gQ+d2EwIyJ4kgrPi8/Fi5AMnxX2y+ewNQLMTzPnVX7Zci
x2QSWxH9ZGpdt6r6Fhv03ybIqlts5O+upWOooxT2tzR1PrEnwRJ8Ks9+bze/PfBCNjJ/APuKBrTy
XK+h1P4O+G0tZId+OIOJV59pfyPiMsBbgvajzMLtMO7yS1t0+YV3Zn6R1aR88jOzPN8rk/WnWVaV
4Lmt4vIsR8t5spm1LVnhhTqCmCP7qTYxPzeOrvOm+kk25VWEoCGpfqxYaXPnYW2j7IdIlBdZ662s
Ora9/lMOGJ20f5oU+PWdCjPkPn6eKTBGj/AqePAwZNpAVMA31iu1aOWbdndU3d29BpM9PEXGINT9
nAjdR/V4j++LHhGxyCM+IMP9edI9EV30HiEjWA+9Zn6TzXIUwQIY7HPQM/3XKEHqQHV652C3pXU2
54IHyFkUoLrXYdvPOpCAK+89mVoV5I/WX2Nl31eVFBLmdLGXIVjHJ8mOr+lGiuxICzl2NSiKTUS+
sB/8GgX1oCmwDZ+rsiP2an8DAwBGhKHavDEprLhgabbD77ImxyYuac8KEfp5ItSNQmGZnF7ZkSoH
2SaHtjXIZK/C9lR+tkfGZNEig3QoKpQXEi+HZi44bi1RvzuIqA2uRVnUz6kquk1TmuZKVq3Iz540
5VlWKjmAHdAyQo9kSzSuenZ1FhBRha+yUw7TzeZ3jET2UdZwrEOEro2z5aTqPTjwhGinQSJr7IUg
N2rAp+k5m1zIiOWrrkdsOwPCfLn3FPMleXoOP1A6Nr0TzvQbjTylnJN6ze8iDqKdHCfnyXZZ1IIl
Kcubg1m22qEwzWOox9nDCD5D8YrmUhhd9iCbYBlY68FyXBTZGeH7vNETvk88m4zslOh+fsrmQl4V
KTvIdJgOX+1fw+SVnWCQ99XW9yCq0hEs11fHV2/rzjqj4Jgxvk3RowKq4JZ1fI0dzgimUtTvcaY+
tVD/f1ceZkl60n8iDoTW66w85OGEtcVRYTxEOfLVTjI8hHEXHspZ+8EgXv2OsM8G7IDzOeD9japr
ql/RaHSPlSdIDlc6OijqNTcq57PXevwQmoZjnwFYEGE5hAznDtv6qcVu+BHXLc7w0IiPtdeGD1Ff
oiQyD9BGG/mDKn0nDl9tgl5HeUxnBW7sFqWBmtUNjVK8nIXK0ZgNIgvX3JhjAH0OGq44JdisIOWh
0tQi2X51+EX9lKs+EYcY/8SwdvRLFcAMbBz9Y2xwYs2yXj0NeF08ZBN+tzqyJR9Wmf/IkX59Mkh+
4naFsZw6t8cqtO6s/Y7VFBbHWZLts0wPbkNSPMgP5P2RLp2O76XIAKaXlSEubVu7F6xD2NiNBgSD
wL3AsibIe+9FMdItEEmRtXtHaNf4L5QwlhzNTt1V0SsDyPcQ1G82eug5+chd5PhK9i6sUxM34KRz
w4dcM5aN44gzfr+VILMPyVetc0IFcy/i3uBru5Fv3TJeQ1erWLhokp2K4qeHLM3ezW5yMqwV8fu0
CXZjUDN/lF5l+lkBujHYRroJQMcSPjVX4CzLtwFQ1Am1fIOQXVm+qcgucVSwso3sVbQWNqEOR01W
s27aOYr2C230+ADY3cL01430U5kbvOty3t4lVKulNjb6SXZM89VXVXPrc2j50J7zyn8LFWy6utht
75pGSW9jCaZaL6qw0icNopoUMVKyvjw5PU4DUsQoMzRtO2keersh4JHRT23cJn1HrCtdUdZR0sWH
gL8s9P/ZYWIMtc9Q026mlTovQ6fW0I0a+Emu3722ULLkgF4DOmS3jvmA9nW5a7CoSwleXQCaOxcN
iWE1T+KzrCmQMS6Bjw38iJcsjEC0JPGTtEnLIzFxhL2yl1NF0rR4Us4DhY26/dB1O/kBsklesS/i
SNCjz3of/PUjTZPtjXBD9NvmT67yxscUZvBWbWUD/eu9lECXJg4NItaHSekDC4ljLmWhsqXBTHzu
D5S224053suAFVYoeCfvmZm0Bwcd+hUg39kFoDSX2jS6B9k7oPcw5JF1s6OqIlzGF2xmvEw5C0Or
xj5AoM15HdimPfl5laEBEf7KK7gygY0steIa3f2EUQX+r2GIqlOaE6yTx4/W9vR7Z+iY1pWVYCcP
I3IEGoo/kkRvT/k8PvEE7u0D52zZieTb0tERDrVEJ04+Ko4nT6WQV7KQHTj8YLWBbgGJ4H+Nk71t
WU7dfXKlWwDDmxaFhPkDTFM/Wnp0bHNH22iZnsLg1VjRwhRH5wIZnEo4xR72hr6wYzE8WV3/YSjV
APIsy28izz8gt7vnHuOcGzYUpHBFhEvw3Jmaarnkh9h72UuStF75HaRsxO4HPNqFszJ815qWVmcW
B+JqoAf9OCgPsu5FXH1V7yNlXekMjERINHDags22z3G9L4MEMo0TfDPLNPrtDu233gYLI7wB0XiU
oZ4UO6ixx6zUE3EMaNjINu/8WsTXRnFxefHC6Db65DTzqos+x8DYQ1pHFMoi/pZ4yviLtOynzRH1
vYoKnXNPjUdqLUgvumZ5cvWyP5CGgoWF28MVXzrU81R/3NZmnGIvK7w9VEVuv3n3VWmk+nVjisj+
9mzLB/wjZ6hGkKoMU0NItfMwEyb9fZhdafWtVhYGjnULtTbbXW7b6dVP+uwqr0ZVhfWBNCx6fglt
qSVMGEW5sVI71iM58N4zz8uJUG3gD3uLuErFnvNBsdIBYJGctJzXTnXEBlvSYDOVtfOqCxy7GvS9
9tpc9RBjX2ijUVxGQtyvLY9UnQrx3KWheUULutGa9hjbens0bHVYA/RMF7JNFpM7c+xld9+FXHIu
iY5ieEl6JDZbrzTedNTo0Ni0dbT/qJaCP2bhFtcscq2bA8tOdxPzzTZJf/w1aQATsg1agnj/TLKQ
N7/WVlzjqmvGL6aGPmDcKtH9SrGq+AUqgrOUvSJEy+avcXmofpQN3qtzjDozyezWRWyjbqkbt7Bx
jC13i42wCAJwKoaRWaVYmxCY49JECO2lrXLvFLTGL32uVSD9n2Jyyp3ga8NxTtmlyEg8yKFlGOIX
iyLcMUsG7cUck2RZOcDVkxpdHbd7R+w7/aHH1odlD+ULnGd2SaErttmo2F8D3EH/MDMjQKbIcRdW
GRxlPEwWsaF1W9Bf+N3MITPZBrynWIrUE9t7bE0rih0y9s2FUzKS6pZ3MCGmvaoj7vaQlt6j2uRR
U7p+yYEnfBeDWizH8LEykvEgi5qM+/3qrzb8AvIUd5Z/daMSgEdhlIYHjvuwnZsk4MGsslOnlGLt
qbH3UuuopyNP7P1ytgRzs4uX8krGz+GpnUn4VdWsdVt4H6VSQwppJ/Wxwdhsq5WVhQBLn17u2NWw
J/MdDCMQ7NJEIyEfGm8DfXU4Yzr0NI6gwQsbbQL5DOJxPGErk2GlhMnG+wuqje4B8HOHN2X+Xdeh
13djEc6J5mCHIuf04tjetyCa0h9xXX1v0unfB5TD2LLSxPbawTAR6VBobbMqTuq5xSmbDH1t1bCk
8PkoH3IBodkpu/y7UiI/qSBqmxKQ8cmffFPsCpklDwoA24ZGD9Mc/9X4qWq16gyJIHjGaEotLjlQ
W0wRa+XaI+6DI4SnbGFQ2o8KVO0lVL/qRzryR+hF88vIinCRW0V0q1Gs2ggvVI8qxILzxGt+3bRV
+lYF1k1tY3fXJw7x7RyxOFkkXfPnygqd4d7mD0p/RLV6HoRgNplYOapDXWjdDT2buqbWkL5X8NlD
EOY7RKyXph3cJw783snukgYUjB+TOMNkOvXM8KGtm/7KGbplE8cEoNf4i3d9d64LUTwNU/4uJwyu
KDmqI3HS6k15g6O5X70ULAXH0BtzfEwdHqzSTIuzrFshphz25EzLRjU0LGHC7zHv4pcydXAsZ6X5
tVci/F/LiY1T5tv2y5jb7lp0YKSDpCdUq2FdBWn/1QsxhQSV+B3JhHyttIa3zxwzenVNLAL+afdc
xdtPjhe+AuDcjpwaFyXen9yamHR0FUoRRJ6NN9OKMUTBZ+2ECo75RvoM1Y3pVRCKQWBnECsUYfFX
qavwc/KmzdhO4s1sZ5s0wMi7vqiUm9nWZzkAUDoCv26xtcLcvpoqPr1Kb1tP8iqe2v//SmATZ8P5
uyP5ZcIut8d6qfaFvpLVe6HUyraGkkeO7DElV/hkWob1XCEti9hGBMCnUMxnr0Qjhz8+hk5a0W4a
iFmLSEp7isaMOOpiYetZ8DpDfJX3kQQN+Gr22fVpc+4dXztnTYGk+MxPCg/1lAY/WPpSzsT/rX8c
6z+BeEwU4iux53A/EJzZxsAoX8vIfMAALXmsPFzdU60r35A2RpTCeEvB+55NHz4wAgbG25i13cbq
CrEp5l63hkrCchNeFHDW8yQ56n+cJHvhVP6Pk5KBo1QS29ajPuNywraz+Xv7xtazcPtdNLkV7Xxt
dhLpCuruZHGEVVkvVeuAQem0NZK0sM6ehmZUBNlthdCIR1T1edK6yDwlBDvG4533Ok092paqAr5R
OAkksrnQSgGv8J9Ctg11Z+78aTJfFE2ftgDmp3Wc4p1XFabKTncYDrI6sqDAry0eXTcWL+MUL0dM
iB7hDR1lPJwHKN20jkFWdA6ZF5OK3JLHc5b7wXi0qkofjx7Uk6WWocitVplxG4G0QjExzC3HMuPW
/2f1q1eDwHpDwsda8fYIwdV32ioqsBatMxNEAiCIR6LxJK7TLIXk1JFHyyf7T72cx8iBsVsQMpvn
ySmTFtWPX21/fZYqJnIeNuGCBoEnQOWyUEwSIzWE6I1Ebzm2Uz5OqP9r5DPyZemiE9Ujq//aQDS4
Fcrz2NbBWzmZ/jWv8GOba35ijPtQoC0hO+t2gKAyNup2wpjuDRgD3rDF1jGK8uLH2sGGC3tgA0JK
YG4q/7kKRYaAd9qdZLuJFOdCzYbikIzjbAiWu5u4dqJb3iB53YXY6dUYQdxEEFV73yb6q2FQpbWG
epDbTEt9KiDPvZWahbWqYeEFrzb5esqsALRyj/a+ESvoSnguZu1FuytFFz9bJu63U5SbP1oFMk5Q
N+/qaE7rzujKo2+l+dVBiRWoRIgQthhasqwNG1rksnWd0E6aKUD3/Sr/FsLsiIo6+xzthhQ/atvn
xtKLa4gB91L0bvrZV+NJmCOWYTFuYRNpsgv3lX+tdc84d9nPdK5MhlBAnM2dDRYXiRkC9a3VBmFw
X8U1VHSXdIp3kdamT6Ybpk/Qd8CjDOOw7Gv7T9vm5Ez9iV8rem97h8RvZborb972aAMZH1P1y5Os
Cm0Vgmx6cz0Ds3fbKR66IcB6FzjQkwrPdlvxBwWAXIjLpBQ4F3Z9/a3qXYR+p+5XS3oG2L73rk2o
cVYomlxI3paHCLGpLUo26XPl4hJL9Gof8tJ4N+2Y3WIAloQj6/Ra8XClBDnf3QkWRBFjAof0Ug0D
v2s2BJHRP+edPRsaGjc918guaqI7KgGme2BgyjcrBnyeivYF0OnwOLXupcnr6k0oRJTVGlSoHAWs
qlubqT57OdIbC1GgDTTY5+CnOj7kRUpEZhY1Q/x6OOPGOJzvGmdzm5ngDJbUIZHdvPrT0XZlRBZq
HmjP3V+fIIB57k3gkp2jd/zyjjcdurkwQ30invOzccS4j5u8T0GK0iSLr2GDnCYb21a7hJzmznBU
+72HwB0J9Ea7oTILklLlJJiUtnZrQ93Z40imAuLg3cwuuwnU6DVQvGHXmVGzktUS61hIlmmzroMg
frUmotKaSrBd9iqVzr0BTGQre6c8U5ZhA3ZQ9hrojeEjVZoH2Wubs7Wn3jUn2Tt6Dsov6xCxbpgE
iOyQTF3J2tTFAtIMxVfVNEE7kpuDiWJXz0S2rGdtLhIteEh9t7jIJlfLhnU6kNt3jAY6ZJw5m3rE
7922+uSozsuorEZIjOy9GOA2kjsLCV5BOUJbmRNMokGPzfdqtukDqFsnerOH3xCtJabFNdVPpc39
x0rVooe2FZiUz8O+Zuvd+DXb8JpmL2wRrfM6TXctJzqkogpl0xeetWlGZ3hXWo6TkZU+JkHbPzpB
tb2/Knx/i0oDaFaX17JWK0cLOZ6lfMO6JFjXnonYiXxLF/H0mYMLu3YNWs5Ke4jCQN/YcW686Bph
NTx7nJ91YK+y1E4+8Ikjsh2veRP72IkXFRENwxYE3gSqZdqshS0q87EoIGSysZ9ge0GNjDq3/cBd
YJbyxMPIJr8RWXst7ZsXPwqf2yLv1hY2kmum+GdZqCSsez8at3rukhDWzBA/32zIDhiJniz0Mb6p
kyOWOjT4q6NM7m4CFLDTbNSQ1LEDxKKG8byMGfxVALGBPjdmPXG2+kNM/HR+sJs2q/+tKnvNNgPx
luEDk9XdePHb3l+TPUaMc4YoIdqEy5HyjsuLt9ftzlzJZrTAselKYUgYav7BSuEswmmET5+BMY6j
AN+kGT1c52p+vteFD23IJ9e3kT2yEGy5Dm2kbIwOYX3o0ZOK0F7yEXhasXUzVz25itZjK1kl6yL3
v1vD7K3md8oPD7r+afKr6rmoQmunZlOGZ7BXPsu2nAhGGg/DQxsb1fM4NcY6YjXEQo8Jgd8BB8AQ
SnbKSRZveJR/uwbHcTY7O7sk4LsgA4bFDFHoZaM33ZGHpD22IHjuV3+13afURblRCp+cRNj/5gWv
vBocePddgsJU32jKa2uYw1oFa7CVveacTrH6OiZxzWAlrY+ZJaC96VV38AwHWfnRAxuhavibAjcf
1/e6b/b20u4wEjcN32e/UU0YLJkN9qOVI7KTrAc1ruNaxaHbqJ5kMyRaRz0jp1azpgfr0rWiJ1mM
9vTdxFvg6ODS9OQ4nfIQiRfZJVus2jL3nKTqhWwTGDuv/mzQ1Mo+uG7hE5jgiNAr/bBJgRUftWly
jqjOtqhjF96Tk+DQXBW6+TGmwM/8JN3bBaB70U/aURZ9YBhI4c11zRTaMQFdP5lWePgaIttl1crX
/lQvtCb3wRbaxXOop+Vzi0h+RfzoKpvMMe03JfSblTWPKILa24wIFAIUq40HEV4qRbevoYalEW9j
2FeYCns7bI6MB6yggp1L6HgNrVTAFpyyiz96YpOTpbzUdv/vV74a6xuiQw8uQs2nuM7/FBipwKGM
yuVf7co8TLZFiqUS8vGzVRkZBHDnQulhpFem4m9hcXzKdtn0VfzVVqSeij8DslheWTRnkbj6bkrt
J1lDkgyFrrkdHzWEuOYCCQzzlDp710nJpcsm1+x+11YbrOBUhFd7LgKv6/Hs5RdMuja8ymLQQXfq
uOTuMyW+ySZNwZ7DqfN8E5CuP6t6vWkDlSfvn8IX6ceIzebhqwlpUXetgDrC+6RWt5DNc/Y+vnNp
5sIKlBt+jd0ehHSNvWGq25ewDPUNWqMYwX81yikeT1CR67NhDCihNPbx0GlMdC7Qi7thffIbHT/v
VxY/IP8+/bRCzCmR2zD2WKFiXEg6clFVRfRDzUJiVkUfLND2Ap3BAsqJYxt1XfgzKabP0UVD1PYS
fxkhsPiCEik7S1iC0VRkNyf2k22VOShQz1XXIf9eWCV6+HN1zFGISNT41WA7+hR2M+mkE1fJbyJA
o1zFZF4l48WyLPiZlZHvY15Zj4Cl43UfRO4KdgHMornNq6t4q9txtfxqM71k2CuDCT1hHiI74MVV
pxZS+FeTp3XDNcC5XX7QV3tiKAs8SGLElZl9/8lN89D3rXKUTfIDAbqylau6YFEqWQJzOc0vvnCJ
FqKuutEmNVa3iWcB5fCDcGOVfbXD9jiHIIN+Uz4Mzd4fidU1bWEC4jSji66LfIPCQfOQlBUSXOQ4
n9h4OsvOtvtbCnYcnG9QvWsFBvIVVx9pa70gZDz8NLQRbezWxfuXaJSYzSaNIjPWhO9j0OKgMKPG
KF4LjTUf4nCxlVVsjvxVGDj53mvj8jXXSU4lmQZqdx5cVfZvw1Yguc41TQdJ50fuQ0tm/pVt3lIB
cA5hq1KPbuVpa29Q441dhNqLXdfYAARKzmqlqS9h6g0XMXlPslM2zaDhYXhB1tuHRmeAAfyzl4hV
dGtBQHq7RFf8pTpqROhyMTxwsgrPU4zvTqt4z37s2T9Flp9609De+bKwtlAQKQ27Tl1lvndFgtg6
fhXGTLLQ5qI2jbSClYHrXpSRdv0a42QF8jiFegG0K06AGjC0Mzv9FqW2c69Wc+za8h38QVvER+2x
WbkxWrNFo7cPqaIiFRiqwecg/Nc2T4uX0pqqfVXb5QaegnvL6xE8dQyckn+L/3YFgft/6c3b1YDf
4QAGvc3UX0CnXtpRb78HkGRISGnWrWPvuSq8cnrEswmBd8dyzpyW8OLKzemQ4qR9xMrc3mZNalyG
mI0uVs/jUz1U+hLfPfGKE0a5GMxA+wDYeB0NHHJ9s3lru9Y76mnA3S/pGJKZITkZsmAN0jRfP8rm
XHM/esuInqEi3FyFyCdfj8tu1RrAdIfjoxHE2hyYNH7kbChBuXpbux4NCO0oG7Sz7vRkej8MYRo7
TqamsZBqB4rb2usK/cn7OEzdLXLmrDcnjAHubfpgwXmz8gMRe1J0MilXok540LHRKprI/bcc31/V
ehLBbup6I8N525zeYmJaq1RRYo7gVfUCHvYicYnVRPwaNef4yHdZvRiDc2+X4+GKBlve059oQXeE
JxoB5syt4af29UtaAyvO2R9/uiHuNAYZ60Wtc/xtzelHbRPvCm17vGkFksudYXcnuRh6NdJJloWK
/rxXxeL3T20WMiBd0SwsVFEuzmCFuynK4O/P1d4dzIu8GuerzHVvmhibPYAO/GnmcGlQ5eWZ/wYS
NXOQlP0mjJi+8be8/ow3BRHBRRfkxcVoelS1Iz3HMnzcdzOcTUsw6AU0ll361shxtbSwjJ87AAju
XV0Rr2mmmlsAT+a2QeDrNQxRk/7PmZUZFJcYDf2vme00Jcs0bVVWZ9JkasmRyS6hGjQdFCGjJPmL
EgbMg3S4xXBOrrLTLbSVMSnNs8C689alj8COule1H8tHI4tP5vwBmWZaiAW3+NTPnW5V63ghzwKS
c6+K1C9J1Aphj7kXNqK1hqmqbGRvS055ATNpAWwpBNqmB/fiq8q3viz8EiWGecRX+9dY03m18aqO
evCYRYf9e6Fnt+GkzXo4SyC7i07N1ede1+KNVnpQBupoOhENHk+F30wnkn+EOzuFBMfchtNcuQpI
Di9TEmYnp9PnYHF5DsmJkh6nadICQJ+uLxo0JajLHs2wqgM5sYbTOqmTMYv/FNNcDQid7rgr4mg3
FkIEi9Bf9vyuwSLCBAKGvv4ZpQ4SB2o+vvWA2ZB4Et5TpNo1YU7F3/iIY2xUMGBnCHXRgHgCl72A
sxlo3DfzkccJ8+Isr+Q4eVXohrbWRGstvtpaIwJ70VfDNuoHf9dG07S2vdR/d6qSwP7kkut1dfut
Ot9bwW6dokAFoDIPwpW7XVc2aGg9jNYdCUectC02Qan3OrL1eS7thvXOPMnK0JbdvE3GeF1Hs0lW
LVAwp9xzfsoROrGGZx9/mjGu0cmbmm+5UaoL1BoAi7q18WSZBv4D6dS+Rp3o+eLs7nvd1a9Wr4qf
FgizWqnRmc/POlZRYFJRI/B1rf2JR/x7XXbh94G3EFAHL3gtZoh3UQNQqpWsAzMIwH4a+marRHXE
/3FItog/dEcjjPOzLIIIlTdDr+812aQqTX4eJ90fFvdxmp5z3xXqpuXXIu3l4DTMSwM4AJn0XKBb
JK9IOLQHMMHeXl75/mju+zMmTeMDUTNtV2ZlvSgiMv/rTEE4qeiudcyhZwE3FFtzX0PwJ5jch3g0
yXYUQYvsSPfnSraxtDa3v67McMIlqee7RE1hBbULWegMD61eN+zTOBrmNSqgC6uzck1e6o+t6gY3
dB7hMqXGCqwuLig4D3qTEqLdYvZX0L0GOm3kdhuSj5rW2j9VEyhE2aQ7q+jDo1QWkBoDX2oDZdri
nd0Uj7JpbcGTvfD9lcYKWdXvnZutzECo77jOEsCtg89I6BVkkKmEElqVD2Lw4Iu0TvCJVM1NVFrz
otlYtlRD+WwVzi8PY/mfqG4SJJtREOrQbf2iF58IKs28Rs2+RWyXVg2+aVdbn1fNHH4SYR3CNYGL
f33hqguz9KtVLdOVInWWbqxOdy+lQR+dTQGFacVLg61SPFjLQWjVRbRlQEISuQl8v37i6vcMfT58
m1IH0fBk4B6vbAsmAz7SCF1pCyIqw6ZybKBLQalEO1Hx9Xqxny3gNqenvK/ZaTroKnHcLXcCi3JU
qzPMDDRw00FkWS9TpwYHdBfg/4RUOVKQR83Um5w6dHr5nFs/ZNdYx+5eLYseoon9XPd2CLzOfvZ7
M/rh9uZz1HP8+I+u/xwzd8VwkS+VC1/DCCZjqSd1/67o+ptmIM256D/xjKzBnIT6i6p24be4bYal
NaZIAtYq7AXOBpBug35VmJgqJylQRuLLwaVua/BJUZcsuhSfDQQwk02mVRzLMlB9YhyjXW06Fk9O
6F80ADrrCsjILVbgSWm6F/xSpvex9ZzL3Zw0UPxiq0GPHFY8AMgw9Ir6kCkm0qZx5SDtrkdoRWXh
TzvRV43GbmzRc8iMJ6H9sBF9IugYDK9CQyLET5T6ISuQdKqi8nOw8k/bJio5GZrzfcAAIq+QR1xg
vTXOAZAF9q8vhTM2SPO33BZx6TyhgOKusWAozhGKolAUG2s3lWG26cbY3WTR25CmKSp1c+7HAU2T
kYJqe/I3BEUwag2dndq1xmtRTOUu7RTopFOafjNim3gYsE90vZHCB/V9bOsWqLc5/MpENn2UDanB
Mp+58tn0A9mk/pDX2rmcoR5ZY1UPc01urf+p6QLk6J9MnDWrDc/6e8ALsm0GwBDtz9mQq0Ju/erH
T1pFHGOd2r+t0DM4sT77vrBQnheK/xl1WB6PNuLenm35S7Oqg2/1CAKsRAD/CMwoevMMlBAAzX9D
GDnds9eK17LqN3awIK3pz7hp45Gd7Ks+T8dDONzAzvF3KjGfTUtYeKuPE/ZtGWknVvmYEGvrGxud
Vym7arQlZRGSF151HBc2vdJG0TIV+MOXrpeReUis+5gy9S9JKoC6yI8htx5MHSIAY1bstQJmnevE
qOYhUJzt07RgvcC+pKsqeKJalT5mosbqvJ/yN6fErlvUlX02HL94U5DowY8T8l1mmw9654Djb4u3
RmQzfNtwlk1fDtu0QHJ3jFv3OlQmz0Mr7E0AWuiqzm2yoze/x5GmX76aJxd3zzbjS2z8dhn4OqiK
/zM0KAOHf42r5ziimqruPsHNo7D0ecusbQvYB9a5bTux6aOJkJ/lJ5jJBwF4b616V5WeLIRv/fbN
Z2gq2S8jQZNgSv4fYee13LiupeEnYhVzuFXOtmW30w2rI3MOIPn08xHq3eqz50zNDYpYACF3S6KA
tf4QWV9EGkfrCCfGjdFE73znxkdXg36q8RYAZeAz47bj10gtM4QMKRKjzoz6V4XDaCdPpI45lpsY
ukhkAZPludJcKWa1B7ehMiS7srGyxl42/ZSBEgjEElBTg0RByP7zqzpWP/hPbI7N3Ezm8LupIdT9
1ZUD91hBErAEx8YtiHai5psbuv/o6sN00XMr2seOo6R7L6mDNapQszx9Vm5AKlHijzleoSyJVvxg
ZWgZu/sRlfK3/3/GYCrFxs6rv9fgAP9qNznCa23mvWjBXholoah771hBq6wbb/xWcAWATqnRosMn
uanq5iE06jcEOciktLm2DqjcAEwJEbOr/HA6BVW3Ko04VZDzsr4KlHl3gzb6x6JzweOV+og3sOm+
TByKlkPSuC9FA8ddxu6j9ys5T44O8x0FxIAJswhZ0QlEGW5TJEtBHlHu8c0yf0TVDFN4xySToFrP
3oweLbxjYUWwLRoQXLtZs7CtB+fsZ7lzjoTz+0rGOBkuiwER0X/FC7cZFqJyyEQPL8aEzqbWus1J
bdx0KeV02KVEqxmpcasY1/5tVuKOzUkCHGUhWWm8v2dF9Re/aH+vhUEbRFJJPWmi+D/Xus+y0WED
APoI9Dr+iCG+LIY2Tz6K0akWMvbfrthm1YuiqdKFGQvvlDq1c8q95tnyM+3qzE05YeeNYrS/EZGj
3mIgKjqMXp9kBI9U5MPYvEC9YT673HaVFAqGQ66K+sicd5SNYww5nMfWfgFGOSssOcnJS8bkhArS
Ars02HRD/NxZFgcxe8wBQjfwqcDPguqzQEvoc1Be/SvWy4lWj6p8ARRjH2pJ9BRmkzhS13y2EXMP
MGHiqwSz1gRok6Dr9paPVbXRi9zfi6lxn7QKu9Ecitr3IocvGvf+qz41wBj6HOPzojavQ4LBhpzh
ZMOTXfj+F9TW623j+pBFa+eLpqE446C0d1bjOj53Q97imKy7CMSr8VkOmDEIlEXQl9myJiu4pYQ9
nU21C6E6lE+B0KczYkWUr3XklBFhQ2nZxn5nDYJUf+uSWCxhAccQiEv9LbTgZPST/zyb5T1Bu3uW
YQHza6dCTl3Jm5S2MdhO6tqhMRGmzKN0JWoVSCo0/EUv2yxO9FOP4S+KC+MP/oMPfDv9d0wkQKS7
sGcDrxlPml4l63Ho6ndORScjt4Yfleu9OltU0coPS+T+sp2i5mjqYnztIA+GntF8mBH2vTZcxY3s
5gqHQq/RntmtjufMJLkp413W1kuS/dOpSyf3JcnLXSc4pWDvvalbtPDIDWT6IrSz4RLlw3AZ+QFc
GlM7rW8jMiiHYySQ02hUjzJ0byzHcvd9oz7eFympR9+WA/zWr6AFlSt5g+5Aq+AyeM5Dquf3efJe
3cX4pC7hJv653z72jVsj91TwH83TzFrm6KS+84MMvt/sxUFHK/rd9LJVh3L2Fy2A+1hNYbZIix7E
iGM6uNsjgBUKVYF6kNdfjCLba3meffpFOa1bNS049FnBuw/Wvwmt9FP1aw8JEQUmwzxNb9ZKEQ0f
oDyaXdFCL5R3Vx0Sv5ZqvlpWHKIij8b5bdU+xvVMpC+9FjhHP+TvvK06iG+hzdYnxHboXDWghuR8
1VD4jkZt/2A0mv+g6+Su5OuGLWY/hm3W50aExbXs/Xe5ELz9bJVVVXBA+rXcJk6iPMkmmkt9tRIi
2u4qTyrFrnNf2Sc5FgueKSp0Fc6k1NkBIOHbEqERPl9pIqv3bWo+R37TXOw+rinCZnoBNhKX8STp
Lo3ouktYacpusrs3GZLNMA/KK+gazbrsHARpBsPUSC1s5s/FWQ4K9pkL1zbKjWla7cVJbcVcBbF1
znuBpNufReRyjdEa59gk4Y7pSgz46x3/jYi62LfAauFW5El+DgL04DOzMZdyQDd/ULWgrNuawXoE
kXhsdGHgasbGUE7IVdQAojj4CEM27db8qNCj1FtOVdm/N+mmL4z0Iwf8smdNb9XOXZzFwlkrKn3s
UsAAQ8LpdY5zLsHcNFGdHdaD6QeEf+y1kvytVbPyaBuzikCaZh+aIaCtFFTMjb7on01oPXLZVqn0
TYRfG19vVlP0fCf60HgJeyM+AzCMljJu8UBYWqWJNHyme1/00VjhwwibwVEv6LR419hMUrwMch66
lvCuRtybF3bWe9mTjdcKnKvbvtrKGxAC0x6zuMEgctDzpaHZzgpN1mQjJ2eupV+tpxpX9OttCRP3
vYkUxVp25UAqEC0erPBJhoKwJ7maz6y3Id7Fo8X2GBURsrS9fbbn5nYVmMlSC/hP+9eAnEzJeTqp
2s/7/H+tARw2XjkeDxA58K+XkTF9pMJj+af7nfepnYgLDtTAweWr3wfukwWVPx7S1bq0RbGAzXjI
U7M4puxboA8h3LQsB6XEem7ud7lPlaaPFYSWnPAhcmzYvfgYCZQIUpRKPBKgWvQy5qb/K2vqQ9YW
8Tc2uuBsiq77kpFrWBUoejwUvqltw1hTDiIYqFBPZgJoPyIR0SOcRNWufcXSFvcKK8y/txleqLWY
bdI4qsVNWPxM6+lbDKLtvYNwiqFfGV+tBs47qGDv1NfN0arqWdsbO+pbaX6+IhNenO4xRbPCdhGo
5XYKrG4vB2Qj5yF9aGGTO8BldOOqXfSeU51M1JxOCTJmC7iQyop3JzHPsVv8HumBxK6KSPSYYw+g
QeU9FOTTZY9W+rbVe2uWbbGeQBVqOw6joEtbd7pilTeA+rGHH2ELBEYZh29Nj5F0OiXTgxWpxSFw
FH1TpEPwJcMRSE7NM2+LOJb+UVA8QtYTaqSKWvfJhka87qceFclReZBTnVa/UtgL3oraeNeiiWcq
9kezsvJRXmVl39bSd+SYz25JMhhPQUNlz31u2j5ZBwq6x/fB+73/LSbvtwK3gXEMfhAu3hYkE+Z/
th52WzixEx8qL7vWc9NRSQb4qGu73DWmndfn4VpXx2mlqMJej0K3njSvsp4qF4DkJCxnJ7ttOM04
QvcNbP90KdN8uhhjeWB77x36SmlRE55jWA8X6Ktlr7In5yZ/bshgli0dV92IEKMMOLXhs6FZ1pMt
3mRHzbPy0sfhfhIg6G/6aVJ1yG+oJ7ZKAMgIvQ2O3K9aEpDd5AB7MbHyWqL9NHzyZckXZlmPj/Y8
oM8DviDDh0pHdJCYV+h9z7E6Ouw/Ac1KyCulHrLhhO5AWbzMqXeWvFszdlbG/4+QvLH1dPMUi+bS
YWhOMiBfOmEHowS1KW2JMrEPvNkqntHZ78+9P1xlLzTa4lkkAUTstNcPnpuWz1Ne1qD+yn4hp8iY
1ngPbWK4ZxmaUL/YdqgqLOWgjGnpLEqu9RfOjKjhlwpWRnPOZZgbnS074JBbBD7XQCqGZipRuImd
IdrpsxdCjoibWlG1rkxof5ESCx4bkbH+q1/NfflfodT8oKU9KkSQYsJHLe++5eoQvaeWKNgjVhxo
565w8Wgq1aa/aK2wv9i2vZBxLXWA4gkS97I7lvCA07TDTQb4mTvWWx9xLFjsXhEiKj2iny77swTy
LrByY+E5rodLTeE/dlWRnvhj2QKZ3KKOg/dobDMvsB/vk9CQxYzSdbfRfDGZ6iP2whqJK347J4di
v+zKgSJ0wn3SKfliQjIJEvE/k+t1gK3p7UYZjU2S5hr5uJ2cKZfwhxwVMYDXS9mVA57QcH8XxiEJ
SZuahW0sx8kfNnarZy8dYHYwDk37k8O+1wftD0dgAyhqHlGplvUkzCx7HxoNLqoRwmCaliofejvt
65m6ooYKwJ7UvoCheIrMMcROsQgR6KmhtjfFIVbc36H7YBFV6TLuzHEt58qBZL5VXvHnqJvI8SmF
zLH7gJxcCc7McZKt3O8edlzxIrCvzj8XaslGeY64NYnJNNBBrI2hf+GHHIu0sniQvXuTJo1/CTL1
qJumf8jnngzJGc4YVSsjK36whwMThSuCtDZIUgNzHVTNb9YFd2eEv/p5WFZrvY2Nm93B/WYT4PPm
puVagItYwCEcB0qudbZu0cNf3vp+2DdnPumAjOYrtwqmvQc8pBA6s2UMLmqDhxxN4faUiPTAfxXY
AmSTUb5XrYu+gY9vJQ65zWcpbHirInhLg37CaRdXRFt1m89MdDu0180vtm60B09hb9TFTgqRRHka
S63b9NQLFy3WFSbiKF2/0M00opY797WMVBFZjbAIOduYvRPuyg4YyxA0w6XpkbtcZbWOkUvDu6y3
+nCRI2Fj/eB7xFGz4LwMutM8hyYkHqNNqJNP+CbbJe9c09nUSm3N3GQ+eogDklxrCyu25z7L1KVI
qum1KoRYNHicfIpBe9ODrvuR9cPWUZz2Z8CjixLD2uh048kcOQKWTfy9deJvuipMivKzSSWqb6vc
HaKTbKK+iKjoOX93G9uF5okn7dLju3O2TGRwRZZSUA4U9VA5ebUkedW9av2obAPgOU7XHGweJxBl
eqwmxDBLn/3va1TAHCwUIP8BK6CRt9y7OZXL20D65+q/xULLafe+Ya8xgLWwmXetn4EfiFcM6WzM
SbrmwqNm2ltjme1KHJEeyy7wON5E3rveKk8ppYJPMWL90KWH+Ql78d1GuwbkRg4IldYL2e0tU7ui
n2YtosbP9jJmlzzCEiNfc5LXrjJUu8qwznUdbwSHDOkyr8JtrbbZw4SE+VUUpboHNDAtZFfegfQD
mDEK61jQs4oXJQrPT28rB+U0eLMAtQqUnuvqKe/1F4p71uXe4DVsXRLL+YmMJ/CUyoS11cxK2Zpl
DLs4MH/IucCLAepE2vSlioN+f+t2nj9ufdMv+aGON7U6Qg+JvGIVJaOLSKLqXBos2pawQrRvkB5R
nkmd98AZ802JxO7eyWz16sV2vJAzRNe8D1rcvmQFJPKAjPxMZDiOtm08WmFmPpb9CHLDwENGxmQD
7CHFQtjENmWeImMVzAxYxpBkz2mkfkbNtI2QBfyqCEQRbU8oj/2kA/3wo2rfVnmDZn2ZrHxrCj+y
2r1Eren/DME68/Mef7X9qVt6agddPx61g2ppm9i0vMcWpZsXzJDgXs1x2R0i1Ea6EYh1gMPIS6Sq
aCW2Ft/+eTKsuOmx03kKzIO3EBtTuVpgRP1Lmas6wkDl36s5+CStQe1g62s9I0T694JjXalywSmx
x+MoKKyJ2olqsYzqrtu3fnMZZmHsEFkFJNPRKgHPlT3KWN0EOd4II880VPiPxdzIK63Sg6OXF+FR
XjVJHsPh+dOXc/51S9ulEZ8ALbtYWc322R+MY6DwzWkpdayUiPIP4uaLBomsHzw0cOnxRPNU5vF3
Y0i+u9TI0dYr8ayuO7GtOjR9ESbDNyzH1UIKO+Ywy1J7GL9ylkixsIo6vN9sZ2HO5P1mBKGZu6WD
9SVd2QCe+Rbx340BQDFeiyqdzkJPLvcJaQ3QRM80l2TgPzeRUNw0fVE98ETG3tpHxiwrNXONc1F9
iNQpg6HJ8yhO7O6b6fUfRRJFL2rrhvu+7s2NVbBPsrtoC0DXeY5rkSLlPnh7krlzna38fYUQ88AG
XvB3Fy2ShA0lBtIjxqG3TqLSGxB/PqG2U5qj7NfzVT+lhwTZjF2XkdMGfJV9F2KnwKz7FmTA0YwE
udQS92qMfgabfSqqg/97QuC6yYXd/X2CAO/x2avX+yJyjnwVSVf8j0WioDHXBRx8xImC76oYlDeq
N4C+ilZ9ypN22nj8cJ4s/tBDrevKNlKM7iGDBbOq7BF5Z/KZuqcMC1NLpleUxeJ9UFT5ikPw+OoJ
uwTDbPUbOYoOT0TeAulKADlQhEIHoQjHtpDeogsS4SFRK+dRDiKq02iF+ILhn3XF0RNNBOZoOAte
FL39KZfX/dE8jKKolrIbF4O6HQqlWMv13KJPwL50j0VQYhdQZBSR4qw6cXRR92gD9Ps4HPsTnn3R
NlV1A0n0kR/T2m6eSxsNDSX3urdOJ5c+FQqC50H0oLWB/autuoVDYXqlpnF7aCzR10dlKMALu0aE
kUINoMVryZKxHZO9vjI4R6XkWhLbLXcyRiXOjZCNOffW/v5xxbn+mTob/yHzJ9jBduNk2enrRFYy
W1ZxNz+Go03T5P5KzpBfBX640QnX1EcZyoYh2cO4BBClFNi52L5HLoIdgVFG6lMU1cGBnTuWBKnu
PQFkBgbeKK++kUaw9RKTGuDQ+dsBC7irXsfeo4MaroK6G0isEllr0EZQUwLfvCI0lh2qyhqW/uj7
i6oq2qsm3ObaepOLLodv7WQ3LZFv9AMyNvwr2C4irrMzZ3a5bBBUaB4UP/l7QMbUDk972NiASJ2S
Ao+DG1WHAMhVNuxOttM46hfZSyBfnGE7nyaoZydLrRqMjweQ1hDytuMUeOe+013wqzmGlfrYm1uj
d5+rqFbfwskutgPSjFsTs8APGMaTEeqf4BntTUu9YBdXYfTRp9+6SOifSVi2VAO1aGvazo4fZFSp
oxjXYHJuq65zMJTJ8CCQ3SlF3rieR/2UB5MclZN7rJaEFXzlgRm92U2LRIiNYQPZyZ0oFHBhTfKi
wpD7pQOBGioK0C3VLlxqfAzO8BpfaaiMPZTIHG0zLXsxB35KfDeJqbiDDfRwW3vAVFBZRV6NhLDV
eByvk/CzdooX3Rv6X2H0I/R6Bb1z1CvawSnxJ0/QzKpi5bWMY84W0KvYRbt7IxlH6FC68R5SzlmI
MfPPHs6TL43ibpJ5WmYEglyfO1ALpmv4MH/KzDAehp59gJEPDzJOUS7f6jybb3e5nvviRZH+BG8z
hOJFOS3Ve7jQqtosR5E99jAQL9WIo2Nk9/WqH+N+O+CRhwMde4wKmXdeZUpeFDXEWNNGIFreiinG
B3RKjKXmuU7eR+vMhAonV9JLWznwbveL2+jk9vh63MbkhBohL2yEAuUo167qyF3nTqev5WiFks8p
qsDvWa4zNci7XqyCj6jwxI/cx1VJxGP1AcZ4h8CyA0o7sk4ROjdSQPJDGZpkmaRBeI6VbHgBI743
eBYsyHVPOzLbS6hmUbMuDNhuLmRAwLwz/otP2rgpVTCBZd325zopD0De9MeqBICozlSwsnHBYNR6
evULi6KQbSGmMg8kfrc00Jx7TwUPviyNkl2FMt1bw2eEImq5V/Te31VQ3WoqTiB72KmLCgxsAp79
3er9Zd2701cf/1LUGDMI0qXhP2HDDnnLbXlhpITms7FHGmM6+ST5VkpYah+9vUTUIfmIWh7z2gj8
TMSG9uFGw3Ocjdo1cbGicIzRWYjAUT98NBVIbOvZWUvT8dk2zQtVSlJsjbXNcPI7FHMjr8pYLbSl
vKzr0E05yIz94Xc0hWBlc1Dcdmqs7OPOaxaRwMBo2VWiWjba7LyFw/hVNp1PBkAE17wb0UnMJ3U3
DnGwdNOCOqQtvE2qU2PSh+rV4LdmL1kit9DMDdGmHLhEPWkLiKdMm5sJHpexMLp8pbvleBpkVw5H
Oqcpp3UytiZMlMvIBYcxFOdEjfjo1/algm6/coIqWJmYcJ/Zy/xurKBMd5k7vd5D8kpOq8nKY2yo
Y6uTB/G4QamC/i2az0sYsTMePNTl7Arfve1t3BcDKqSC854gXT0c5HrD2Y8opt7u/WtxI58cqtqI
xgQ9BnnBOD3VfTY9NZPKBwx5za3sygE1KPidwahoL2NkAJmH3DQYnPR4D6kQ1qLKac89R8ZoyfF3
gVqM/yDX0Ct4dG34fJ/u87A6A77fmeDM0JnwbPXI4edVTpevodjqLxInCHFxXljzUc7eHFVXl6GW
DgfZ9Sr1SViJ/wi2qP9SqPECg5T8LQkqGCvsDG5d7CzqHYlqZSVHZ57QytOzbi+7Tud/uhpbianz
krcRlAqvg69x98CR6Wsxr2dFabNvQtTbbq/aUCJQcsTtZTfSeNY7ZZZdZDcOgdCR4v/SjWx6cMC+
ypcZM6M76D6EcxJP+Vut8wSyGh6ActQEs7sQ3XwWm0eHKIJlmCnPSeZUV6vXDpODiyhWX2tOJeaD
2avVOjaBfTZztx5jC0Y6V2jjFYsiVltoAP8xUHafNgCAyz1M2T0/9G2CGF2tIa7reudBcRvkCc0e
ySG7vza+Oj0NbTk9mV7q781cPWZ9Ypxi4JvnTs99sjWuz9vtNbup0z9kaKZ04NIyj/JJ3Y3WZB5M
i5r7rOVeKH17NOPBuISjZy/rYBq+edUrVPT4R9mjZNi7tfKIhZi6ryOESofUCL/klfU1jMInPgXh
pqsThB6UWH/pEdU5+2bzmXKyexFamz37w085JBtLULMPmuRR9iK9mhbocIRH2R0RKcWPZQi2stvb
fbXzHVu5LW2YgTkLnAULPZnfdC3DwMQqHkD16me8ArwryuzDHtsvnUc9dOul5hU//KYE3NI5pLU1
fzY084EWRr2aL/tUAC0W5Frx4+4psaDkq6qZcqJ4p5ycuRkCsFW951JxmQeAsyoneXXvIu2wUBw9
41tVmW+UcqiGhGhWqgiFvmWD8+D0nv4UZEPwPPBzKmfZeZEfbCByK9nVNKzoVZ7n+4RkHbXV9LnN
hHnwBChAiGpsu+dGXslGDsgp0A2dpR+V2tpQFLEBrjxu2LzxVemAngVhPR0rW2RvlLcPSuPkV7M2
45c61UBt+gg05mF09g1FLORNRZ6QSq9CDVomdq52UXfr0JltjqpsdvnsYoF+FJeyL+cgo1avW4dN
hey6iQjPt6t5BZh2WG2RMKUOaBfKbc5fi93vcVRowIWHO+XtZeQk+VpyjuyaYRWtnajCbkOue/8r
5BwlUHuetN2Hjcb8D5/96NXt8aeyOhsEtGOE3wtFT59CkPAnt6DYa5XlCOMKo+KgMhGYCyErp0j4
IdzTs+U2qMCDkg6O/F7R5VxyCtIC2Wp6Yc+MyG+NpaGbA+r8Dl1SoE/G+C7H5KwIcMvGGHV7lWgF
m3qj7bdRkKWwqLHG1Bv9Kc7zHzk4s192ekZwU/nhhZhfDZbavSQVqo1s77NTD170aIRKtmmdLnwh
E822qgd679Wf8uYiqL+GJfSMWsQol8LfuIzplB3SQZkh2qUFbohsGChK9SvyoJsRb4pfWpdcbJiJ
Hx6a4svGGUPAiDFGK5gV7rRM0x6GNIngSAfKO1TKR3kToIG1xiH2oUY6ZNGXbXpS7e670xf1s2ws
q/sEDDFbsKrwtyvEQQanxtpjngH4rXomRbckwxE8ydBIfW+t9jnWF/OgmRTqo9Pw6zzPD6KkXCuq
YS4xUONMj4xBc5TNpHCmD0b1kvEE2SIDWGYb3eHwL0f/mo0zQ3PMoAHH+7TVKb7E80Z+7vJwf0AN
UDm5lDF3QTojHkcXPV+wsE/4La1uvTnEy/4IbW842W4RvOSA+9bh0A9rOUNofnbmE/cuB2WI2scG
XpP6KHt6aVnA/QT1rZ5P1JA8YAsQP8pG9ePksax4GrldamzuA7GYwSEoe9VuEQLKsWx91dslQv6h
uwg4T5PNKMujYEfQ+DmWUki1HO+NLkg4rXRnKgCD683B0JFT5xupIxoFSjBtA+/B9vAEL0pE8S03
+ykE3k1xaxys2Y0qmR2r8rg2jg3yG2PlsyP9JyzHZKx2fPwFKh1wMDzrpxzHFA/t/RqrlyeU09IT
AKoXOSSb2KnrrbDcAYyT8J9kbIyR3/NRd93Iu/isavubdQmExRmBGJLWSpL8CUjOujba/MXw1Owl
wgehC93iIkOp5dSor6g9m2rmG1U2YWrMc+J2g2FmT0WLY1HpYA4Xuv21rCmtyrm24oLcQUs8TCeg
dADFd56JKplR+pBB0ePfon5pojlGJYHNLqcJM3cX/dgHn0MdfZkmL/kV5nwfkxrt/1yDTOO33Y/a
1L5rRVs/4rdAWtCfZVQ5riFqlqzsrEzVrezmTfq7y740Pwya9SE1/cyye9EjdfgCUIRHBl+K3TAq
6rOfil830T8mgEL7PcFoAIlqSvirSozxSqYIfiCVVd3ppqsMZVPVrqDyYt5J7ezqzY3WeaioNdNj
QynpgrsGBvSk1SJoI/zwkUA8tnmW4muhvpiTiFaBq1evnEObhdr5wbemak9AZDhB5/vbPx4J+GPh
RfU3QTqYqsOgvqZQNnDtKsanUtdJTtlZdhZI+ezVEF6hbcQH6jICZx3fOA9Vmm4jy0sXBVVi/Lfm
oGzC+SqqwPSEYZhtNGRH/EMBC3aqlJ2ua8fS5dcTRc4S5MjcYMn1++q/de+x7D/nja7/c2oNjKx1
NL7zVo1WHgTOYxR6s3HXfJnLqKKPAMWyVFvDZMfiax4Zs7LuN7dLT4AfH/1oVaBuhhk0ja46sPFM
DcxzmNxC6Xx172p+B63p3h+7/tkZanUr75dxecd9zaSsfy9Vk8lbwxrGj3Z2ni7/NLaOJTWiUTTz
Fc7ZlMaQgpAz7nPloGq5GFT7YH62tZn9kFNQ4s22NxRgZYFqaEw/2rEdhSPV9B0qUn/6wwjZYl3n
xu9xCZzmrV84LmqnUHezF3fC3DLsrE9ExfgiangTa2MjrnKwSjjjdVM3HIzWRB9wliSiwjNeUjPz
N9gkomZQidQGAOqOHAHNOS9Y4no1zzECo0K4pdHbi31GdknbRL5TLlCL8MCfzyj+nK+Iv5SXrZT5
QCHo6NykQOY+f1A2a8svFacAMnt7m//1vso32+s7dZXiGLtQSURXZ/kJKZ242SjQv1Z5hnGvogzj
6V9XeZFiqhy70U5e/WtUiVNvRe78G9ANgwJgvLe6rn28N5DTElR0p/SvgRAc5FaMtrrwIMP/NVlN
pyUguYKsjvV7kZgZsC22Y1pH2yJkm1LmzpPmpdG1bwb9cUzFZzWHHfBSm3AIq63cHv2ZZaeZ/tgj
bQgQ+hl7Mg+PACDoXpM+25Vrn0UT2M8CHPQ68Wo8EmJ+ZngU1guYsPg/O4646p2akU+yjUUQCnH1
5liZRmTb8jjayxjeqjFmHj9lx9Xz4aqEfrZtTdVZ1qOmwIur7WWbpftSEYApQYucFMRpWzAKod8u
ZKBSTXijSNNyn/GOq3d/usfvXXk12s5Fya2c0lpVwqNXEDCtvWmJPEN6vHVJDYVGaX1pgnq4GDOj
WMYnzKQ2hYreYjrfVWJHAgsygDeI1LWnTFcTPa/HycQU2kTmvJwhGrJBqzLH0zYt97LrzgAOP1TT
VTwKd20HvfaYFgvf0eqHGQVF6vZX3GDQXbg2CK5bHFPHmKPbWfb472dgLOulomsIPs433W9Ph2KV
jA7JsDl+H3SHat25vYEW4D+vVM1khynoN8hYNBCl/1lHxg111l8pcZz4s044X3Vuvfeixjze15Hx
0guOlVF2x9vfXfd44eQ6jko2ybI8dq1X4UHWouIdbNK52yao4FlN2O1HiLSvljFlC2oG1cFTq6Mv
2ug5y8YPnQctm10/XKq5N11CfCEfLMV3F+o8IDqT4no/XQsfoDy+ScNKxl2ySJUxwhqEELAjMa9v
JrcTn3mwleN9FQUbvc/rPQAw/UutonETmcXXsuOQZmquOKVFhAUimxpy2ryQqQL70UiMPYqxGc6U
qFC2mwfqwnmKIIy8uPhKHTzdqtdypdwb0XqMyF8E8YuhGM5ZmxuKPFBlM/5OPqZWu+3MJj+r0V7O
qAYNfNfsElw2jbpEZqdYp7Y+XWSTFaF6uyIHuvA8hLtlqAZGyZO6MvqtW4AZkcFinnwbyVN+J7C/
abb3teTVNMAKt4thcZt3X18tqnqtejlslHmZaFCu+KyQI5ohjbemDZpVX5hwVTiS32Jep6UqpAfm
yKAdt+HJg4n25y4ZVirAkTLm3yCR+gyMtBzIuNk0TatJa6J2cZ8lb9IHr05XdWmoe6scNvdRS+Ac
oPTeRgWj9FhoQUt6KXa/6G7TghXVy29xkR5Q1UMbRkwPoDntX9GYvtip6nwk4Gmg6LARLPkSgGnQ
Lrg9dgeLd7gDt+HMBizapfSQjfJRWV3fgpbp+efYP2C+pV8U/vP1hZzXC4VfRNew0S0LXWgcg79R
UKs8xraJxW9eCo1NaMquNdHZfLkxQUw+4k1EAWVZtSXoXsQLtuxzyL6nVn6AqolAhexmkX5Nre/T
3JERtXB+JYnenMzcj1+wgtPXquBvlF1UIJHUgp6KbD2j8i6bpxPqIc8yUlE1X0zUjw+3sTQMt76v
aiu5Nn6VyaVxfs+VIaNF9S5LtEdV0SmheB7W1EK1MEdkfQEAcdeOk7qUq8H1XJJtFUc14znUpHm9
LoLRWwBniHBcJWaSzBF/9ZW2b2dtOH6P/8yRE2Vzj6HOO8HtVfGYrWxWuK1zn1QNtruoqFGt7zF5
9dcLjiPotRCBLeqm//lXyJmy4YDx1TcpcOGWAblKfPaDI47Uc8RRXuH88fvq/4wpUW/vKRss7zdk
RjIc77fKq3vMqtJ116E5oTmGdxQkqm6NV8cG7KbYx1rL8urVfaSDq1NDm2TmX5eyL9cAHKKu9Wio
FsafJf/rRHz7oHTLG+vahy+XJrv7y8i17ivIAaAo2LeXvXb+H8bOZDluZcuyv5L2xgUrOHqkVdYg
+pYRjCBFihOYKEro+x5fXwtO1eXLm1nPagILbwBRJAJwP2eftYeq3gZqPX4fBmFjQTdaJ3cMcCmf
KAzW4Pq8Yd67mUaWmE2LyDqxpvrelCG6UHIX6JLLjKc3+umWHOhHExXL1LNqDAW+gbrIHouZazZ2
474M84ivIi34pDEio24/wSGIly4F9ls7s2DXz8AzOSVusmbGZFCFOZ8hB/4fF5ET5OHrQqoZYGT2
/3mRIWr38h9QVR7BbHfxU3/B/bYPFwoBNQG77hdvwkebJNkPhy/qovbz6jVWyIqgeAa+7VObBl8p
vmlR2a5Hw6kumE8F21Ir7VMzQg3IWnM8JI7lHrIwHXd6W1DikJnGpnMD80JoJ1tbYzre2rGGb5i2
03NllniGB77zWkcKIVDChVAQ4njn5TZQ2xyPnYXfRuka4hhSizTPm5NfzEMD1VjRZJvbkeI+tOD9
qlQbBSl8DCopT5N8lQ6WryAI7L0DAd9veBgeHBR805zp/qEU8GBwW8UJvL62WX4fgtH51hqYrPIL
SpZycBiKZGv4ESjFee7Mk1y1sQJ7Zm72EZm6oTLTh24+tzarlRgr727ohIwGoazlJRU/186dY2Wf
/x4ltuGe2AuRgfka+Yh+Kgicfvv5D1r8D5CI2QvkOaTHQt5Nul1CZamKrUEVuPcehn28jVTvpTOx
0N23TQLbznF/uZES3vUA0x6zIRsdYohmODbBZp/scziFd6yGF6mxz9AsvSda6SxnzOg5YZX6APYW
7uM8oCYW+VKyf2rqDxvRAuIdG1Ml1pS9WxQ4v2cJQmUsTNSbh1/4LkUxXA/NSFq0Y1FDaPaddZS0
Vks9M1llrQaSsbDCh3AW3vDo9N6T9r1nsfkjRX28Km2WMvj1/c4rrUPsPViUpdVnE7z8Yzl3BXmm
H+3EfPrq8kZVHPwClnGGTeU8SY65GVGagBfSQl7LNKpsFQ1Ju62b3ic9VjX17k/+Ikra09QSd0wj
d+dpM9Ggjsw1Zd/mu6IaVAJSTvkUlJHAzD3LzynEo2WDXn9TF/54/DpMXfGnOSYkz5dfIzO3LfCx
92BLaQ5A3lJKlcZq9IisRj9sT7FfqzBFUsET+G6YWblOnNJ4UKE37WK71Q/cS9PR6OGTBDGhTYc/
9CrFf4ZKEsUCqNZSiOa6dyMVE7/zABef8NQ2jXb9LCOm5VmRfpVqhHkMZap29ZrhwUTBTtp9V+dJ
+joFwjkmhDGXspkhC1jVJAr3sjnAZdbLOH3q63K62EL9Xfc+bsFpp20GTQVB7oxco80+gPSfmknz
FhpeD3eeuGhX/fyp8lr3LruiapiXy/lFtrIy1VaGDrzZySucXpP6QrJ7P6mBQBnd1xfZ9Vd/6pTi
+NUlZwSoE2Cj8b3y1P4xULJvqVka7y5eR1TmZuONkJiJBJTibb3P1VdSWJvGsfV3VYUcHaLjv2gF
oFtddYYVZF/9nWqG0tfe4zsoqvyIBrM8ElyrkUGmNvnJvKAoM4sr6mia6hjrVlWwR6T9OamxJ2Pf
emDdagg2cFy7uzxAPNr4iESvskW2YoDCiqmybII20i5p6e++5vcxnJvOMeqD7NO8Cb/jcX4kzJek
bKO/Y8lEwKFA/T53JVGQroNqCDfQATCNQpzMIgnHURR4ULWpI5YH36mqNSnGbsb9iM++wsMyjarm
i5zR88Xfmy4yD9k0q0TdRRoRC9QO8cmaDymQMGy7tL1sffXL5mcfIq2FkkfFUeXvLaKXMJzqiz92
7yOGBBTWFjH5Ou4y3QiLF6doiFvYvruTzbjEwqKkTv0oAh3algWBtTHbZ4KT3i8yJotEBya8GHEN
8lNMi5QeU4RiSL5PoYtbG/GPO4mgYJ1ryD+zGm1Orabt0TaEeajc+ZvVN+pDkfH+Cjp/V5jjdsDZ
5FQmvb4Wnlc+FZAAeWf4/U9KK5cWS+LfeU6dSmq71P+F/dITWfNoelO1TWwhDgJyTa7xRk3zybxh
+aptAva8q0Ht+HKndXboUcE+RKli3pIsoaTKT1EJTNpDSX7vW1WG38OkjV/dfnCXecQXtnejYdtG
nX6oh3w8jcmYbNzUIKNb4cXMZst9c2PlGAkf9IZXgLhvnezWq2RjSdWcgyFCeOlghBiP7W/Sjq/8
PtVXHisjChLfeyzDqd8USlWdCKCOLN5HZ5uXKknkUrU3LiZ5F3mI+V4sFTWf1l99YijGM08nmPkR
EJMMcd8yE/a4aYRF209ANfy3bd+c5/dC/Bm3Dae/jHnrEPh2MkgZRr8vp8YydrkIlJ3VlPEJjWzM
ewUSsfwk+8CEfi/aOtrK/lGr2h2o9peWKOMyERgjSvsb2TTdHnu6GYIim3WRlwfCbfqz0N0Moq9Q
V32MNbtvFOxeEgsMR9Bpp9Ij+t3OPDXHRX0skuA7RACxqTSYiZNHjdMngcJQguRCCOItoJjtNaSk
Y+lhlnKzoGehENXcs1phSGK2NS50BApPvYoxK1WexqODAzBpr7Z56Sp8VMFqOD91xVnbOHVxc6vK
oi0pHnGt5o3EPJKqEnVQkZYexWEYsXxdXJ8vXmMwfwqiajaPDoxHo9VNAPBddG1F8ACmM1yXYgIO
GlJOTuZqb1SOdm8TS1wimGoLQ7er17Gqap6ShNfktFRTnu0yTB/DaQhvmmPwTuFsrGOcbaqze/uc
lWo8fEVkP6CqEU9aF26s+WIuC4s9tCV1JadZeuAvOx6sJxZl7UvVHOQ/WSpJc1S0ibtyvnZlVh4b
Uuz/qB/kQazx9UQsYZzlwVGS30lmi21n6H+6ZL9sxl07Hl0PYeRf8yc2+bsEr70li1Hw321rfxRa
vtI80f7gm2YtVaPOL0i3C0A2ibXRimTceIMTbCKSWtB5igRQaAFA2NEFDywbTlOX1ma9tqZ1ogzx
9XM0zBDqizZvdtZoyxyhek3Tytzg2lsD8EzFVQ50lGucnVaQxtAm6iusqH3IlXaVGrjrpMp4ijXf
f0xqgaIhLgj11hW1B3NfVxm/rWiyCBRhROF3xHAmrFoWmm9X34lAfk8wnfgoKMwkmY/jFbrPRZGa
429AcTfPN623iXTKwhaB9qzB51j1wgkf22ybuIG6NozAv0IeFetgFMM1dpVqXfdT9GgoDjdO2ItH
inAuxPBvfhCYK5fSFBJjc8rdmVPuPC7hhrtzVj1CcPo5bsUTVl6p1kXHynDzC2Go5tQL/RbOZegE
WZXHOleKLeJcIsKjhq236k8QMi1wugWYn8+JxdA86XWXoKHjNE3ri8dk2H1dg0VhcEx75ac8RV52
MhEbezk6DFnxLufCDaew3tfSnZxCjf/ax1WAKGyi33zFbA8BQrtFa5vabfCoCjWAhC0E37e9bGbC
Ly5V4vBcd6blWHXdtq0H+1BQKnqYcFKZuRt/tQesxJwAjVITa/nzYCwiCtCeZMPFaU0hcnjznbB4
zoLgocX+hMJBJiJ/+Tl6LDeJ2FEbTb6LIqGQksDiavS2ikooVk8m0v9334edNWXl9KJO4ISrIivu
GiZz64TdwqU26mqrGBogURseQB3XwZ4nVYzTAT7zpkK03BzVfuXjJPPExhS+HHje71Xr/WiqKvlI
RIRxBTXnbIChkZN+x3mNxaDV5j+tnAVXFAPU6gAC93nrX+Uh16Pw4tSPvQv0lSSF6V+V2HPXYzuA
7mMbnK0Hsga2AU1DYQHiLGokMOCJ/RcU+Um2zgKvWFrBOGzkyZNbo5kPtXXdGDlLWg4u32KC6W5L
6bIb8JVpqR4jzpasDauP/ozI6fKQW3udANcZGx3/VECPSCw11xZK248PmQqIQvOVedvVNMs+SMcH
OSA/yUM+Ke/lpAw7ObeAAmzhVjqUNwiE/sW3MZBbqEXqX3QFuq+fg8mzQ/LFQluE/C4e4vmgdCbl
efOnymtA/A4jMZUsOxhg59V/mufBfmIXKYC0zJM1OSw/xgObMa9sAKr856tGpJJ2Q578HsLuB/aS
3RXYWXsbtfziKmWHBLdA3lwDqMXYtXvN6iJY8FZTL3YYNPfSsw4FMp3XygirHUZ6w/rzrDAqAPn1
kFi9qnpy02or++0+Vnahiq4d4mq3GLWG0rKCVH87H3BYm1nJxBH+fGw8s12waHV2Q+0OSNDtYNwh
RKLmK75EcQtpIwjQG08T4KIK8sYk2H0TaIlOgZ3+dEY7wymILruOfoNkJq974nbJnzyF0lXwnOOK
zUD+ZDaOeu5GqD3zYGEExVPgQzJ1jeomJ1jEeRexBZ8+Eo25t4KwJtZooBD/PMRLo0+0w1e/r5bj
oQ3ItHZqQoDGxslzaC7cf8mtbRCPFH56F6mf3uQEgH6gxtS6/ZwvB3g91wvbH4x96dj+tamcPdbc
SFustMSNMf3ACYtvjVJ0uJX72ETTHVmOs4O+Eq5lU69SYxGofnF2CTB8M5UfU2IWr32YwMQ1cE1T
5UmpYlM+WFsHOaqzP2FrU35jz6We05H/+edZDUVnlG6pu8+zgORPVhje29Ssrk1f/+hRp2+CKUG5
mw4gP/Psz8FApLMYOzfb/G1ATpF9qpphA07EhBLNqBkWESiTygmDoyFG50q51U5T7PSsZoV7lV2d
Dr0pwdB+B+Rq5M8f1pQFmL6y8klhKLz0J57vWQHf1Oiys+201knVRX0N+4rNAAVm+4Gg6VUdlOra
jUOxiwytW4guTE9l4N07z1Guvtb2BE6q6r3UzHseK+4TsAt115d41mRCFS/CCnZyglkITD9BbTzg
HtChCCjjZZLl8Yn6tHpdR4350oFM1pJw+MBd5ckNEvFNw/xm3XtBdcTxqnoofUqXxkJz3xD3reRU
biOA501tYsfkNVQWqPVeTwbzyq0TLzW9Lj78i5xJCM1fVghJHv3OiPeaoavbsYmzW9x50baI8JQ6
IadgiZ944zLuSvPQlJN5yLgTqaJPwPAZeH9mC9RLdFTzmJwlD3L8qylH24qIf4bKQbb6FrHs8vNq
8sKTTrkCchIP1MIq7yf7kkTUs0ZNqVNko8WnONAplBMAsLOae1Hr1fi1b4cfc93rL/ZKaYL0fdEN
ysGugVzjuojEBGLDU1Uo0Zpnpfowubq600fAJLor8jMeYLwqrEC5VYQ0lhmE0e/Y2t3C3hqheW76
UYCkLpRXXl5BtO96mw24/BjYarJOU2UDSDDCTkRvHistbB9z3ev2id6QY5/75KHxqXZo1LJfTEb1
p88wMfltEJhy43EaLibKuWBtoiuxcmKVrB+onIAuOWqz1LlteNdieQh3Ba/kXP9Ninul4SrwPvgO
eE8nNe9VGoYbIh7NicwmGjFvPPHcxY5kPmA3ehdELnZfXS4XPFtoiEhuWVlBGnz4/dnMIfqQOp7I
ubLpyxpDeZmo/VnEShH86Lr6m5soGUq7ao+gSPiLtqoWaAX4PXj10Q1tO0DZU2wIGtW/4qCk9tyP
3r2pJM+FdOw11yuD12kSfYurBhsXU1T3FvHgykgm6yo6A/FsOHQPJoxhDC2tRwIz2R6XPgfX9dy8
8T4ul4bNldhSvhYuUsEs/tkBiyDOZRDy7szqPUxJgIPLZQPmBANWK7Z3ycGhE7G14yPWM6QqQONv
/Vqtr0ValSsnt4nTggXhO1177/EE66wzYJyUKuASOxh+wR/6EXVR96qEVERYlHreiMp9GBGCML6P
zYum9+fMg32u+ADAEx1DMA2TlW2tj82uTOr0LufKKZWSHFR/KF4B2Ghr4ZjpEQl1vrCagEU9WFZn
yeI9P8KirfQrTxl/kZpNf04iy1umKtFfM+zto4OdziIqw7hcpmF8UUPtV+S7d1UvlHVVuMMrnjU+
1byTxfIsVG4ZIGvNr8ZXsvnOVk4z5mYRsKGX00ChoLfF02AaPBMXkeExK2eNAynKVaEaw5HqH/Ne
h9OjVqg9FSe49DotxYOT+lrmuvURsvfBvrwP7ogO1W2RDrjC1ES1tTiD9N9lV+i1/c5Gq8O/aKbX
r4HIsZ4QaWsH2QXcQNvGddOuyvrupFPyEQm+MOwODDYEao5x0JAcAsMg55179cqFa/zajNZDjF3Q
ryZw9x7GQG9W6HswrZWRKJ/L07BN8VWPNPGYlkmEV15uvpv4EqTzScqYvUdFCTNhGMWisuO3nNzU
fMvCwQ4LfyebDmuXqA2bp/mNClWBkBsV7vZrRIZgVRP/O8hpfOuNLPFfa8ED22GHsoRnd00K6ut8
f2CZGQlE7K5tvooGvWk4TeERjujwGr25UWu+GmypD2wrQ8CrTNJMyFOd3Sb8Aann1WaPNkpWEeI7
F7+BDCAPvWJO294W9TIJE//m6hSUK2DOqGSlukQ25UDWaS9J51FVO5+KYxqUlZtX/9/LCF3Hm1iL
3yJ2S9EyN7tp000N8q/5gvIKfh7ly4yv+1b2yetotnfWK4qkZYvgdnwNIx5Q878hLy46qKSlXWF3
3HjqFjhWtcBb0TzABzNnlx7zgAdCtY4B4C8VpL5b0yB3lbDU+y6ymz2o5psyYeFm46W7I6zvvLBi
X8p+0QqxTitSJLZSVLgL6VvVDa03fJ6VVasY3YHaGJu8dnPW1NzaEXz0qCp0x8sAO3Zrjq1YqN1I
bdvcx7dnvGCOE6xbVoQk1ml+DQQN0KowauuNHEgA7m0J+QVQdM1jVmnGtas1/fmvlgwNFTFcmV53
1xW+uhPcXCv0DmwHxEV3gpXiaHhGeoY97XoD97o2cONbPR+SsYHiagUUAczNqRzimx82Zx6ToCbm
VoqhwEOHllq2KrlqRFG27UOlWH6dhHN2jWABP005rxvwf+t8nnFTHjinqnY9IOeGvZuqZjNYtTrb
ZmYAEQWYUK/CftVQDr5B8boIhuoliCxtPc1wWTnaOKw/s6YDpT6PllqCzmwan60QA42oqp9ldzU4
CBR8nErlSRi4mfjVWxrLMk5yVPXD0ezkQpF/9FK/y06WzNAe9DqmfLzKz6wayQKRLX92xziE9ei/
42qMc4AIXUSb2rMcswS7AP58MGG0LF2b0xS8KXGx4mlQ/+wzKviqvqivNdCpQ+JiWOZkyvjq9/5O
zshARFBBHrExIFO7nHKMIpHI3uWBHCo5QNILh6bS5z7HP3bIybFXUZLPKWPmfrenkurW+SybzfZe
1W3vc4Y8y9e1IyFklCvzSSHi0C04NOKw8wmyb4KxjpLmt67iBqhHylGPGuUYZ122qVvduk8qHg/m
WFs/IxPtBK+P3zhBPLMfhLVjjCVcTi27oNSO96If2VFizXDt2bMtm2KMvntpQQyfk1RdXdVOSvKh
VmcnPNe9ZT0UARH0xTFvSqCRkKDWTd2YLGcBApZtoXyoLHfJaP2G4/SDXJD/Yukz1CULW0Q1jYFq
yMdWOXOcqxLB8ukiN35DBgvQin/S5fvWGgWEXnKI+I3p/k2Fvbyts246DNbYnnl0F+vIao3nXCOK
xpOV1/we+n+3EnbNYjxSu7uIVXI+1P1Mc8sBDLwaDcQvhO77e+brzUOVOmc52HpZd895asw2l+Vx
DELrT0a2q8Z6kw0gKjER4l0VBMky0ULrObNmyL0dxs9OBtzEa4T+qKIPAzMn2jRY9UPkrcZB0c9j
nJYLaQJb18KhIo1IFt/x4iUnb4Bwrt+ye98oiV9uMBZWv48uTPvOUZ/CiVD4kENZCPtMfC/KcsD4
eLIfLK2P1jW/8VUGEkUHv/w8ICC8eO74s5ytd+PJcrejU45r2SRHRiQAE86TNhfdzCd14QCDAWBj
aKjBPanVfj1Ueb/OJrKKS6pr9HSLV739KePVlEA5fml3pWpXKcliChZGi8hPqU/0a/HN9/GPkJ+S
uW+yPfVb07yqnXaZioWHwOXEwm8iSu+k4jTl6iYyKWgTqhPdQmRfl5QwfZtnRJp4ONo7lTDMQitY
z2ao9o+ZRVJN8Y3hu6/oRHg1XGYNxJufhgfqbIBgD1gjs4LDCQ0Z+Kc9ghyYCNXjXTYYS7LDycJz
IQgAI7COiqJ2KxLY0w9FAy3TgKmzJ/4otdqaW76aO5JHCK2xFL7HQAWRoyKxkM1UDfJ7Vek85VPz
gty7fGT7aW4L0rbLjkwkhk+KeTQa0ixVlCX3SmT6VplI3xihLig1CLVV5WX1VY6KyOzJeQUC8Mc8
eT4UwyFw4uoWJ1Nyp2SrWZejpq7lWAhj5zEuX75mY0TRrjKlNDaf85GTX6wCjaSOrqMeLxnhsRsZ
vrNSWSVAy7nlx9BYiCFiRjOyyazLYMeTAZu/Nqge0SouO63wCSRMLBdixb9FqYc8OdRYJs198oDx
z7HMJpCPc1c4YBHRZMVqGidxMlJXu+oFxH8wg+q3iX9n6VZWcnczkLZkAlCABtAssFePzvZMESqm
9Bdl/g8s6oxDGxuIjTBgvyusgu+RZn2zgxA6sR66Gx77zdru5+RTEnmnDC7zc6C1K8K89qtTmtYO
6FW1duamO2jhAqIFzhK8rW5e2j7KaRgrmhsVRPJWNgHVo46+c+s/U4eWvg38T7FDNikoail9N72S
0FmevvUq6m1VE8EBK1rjmz0gwZ7nBxEEM6Ux6h3Fk3CLE4O35tTUSzcBs284Ybso0659a4z2dXDA
/6PI2g8t1DGU5O+N4SI58zqW85ThPsStP9vHqMu2VhVea9/hnuBZULUGebqQTWhGHseuW/WjGsp7
mE7Oj84PeWFrcf7dRr6zKGt0QDpFrEsVONamCdV024rylxgGyL2Dsa2L0iCNpI8E/BFdNIQsTj6F
WmshWu3FqKpLoirl6h//9j//9//6Ofy7/ysHnjb6efZvWZte8zBr6v/4h2v949+Kz+79x3/8w3Fc
w9F128TBxrEc3dQMxn/+uMHSZbb4H4lLxhw6bfLsaqV6HCroaGVajUT/8leWMhSbU8QP16Q11lmN
R0elUXe8GbIey7K63RsElLylnrTkmLTqIYeTTF6auu9UAYOf+qp6xT9KPZF6ClZyoA6VLfoh/8Vm
iUzBa4ijihix4tPxQytM9Vt97pqg+9b2vf7oqtGxbFPxTUdEcY4powOgyRxK9sd9HNfKMpGnGJig
sdsreReKj6QqMOse+g+Bpv/Zcgz7zPLhw8RP+RmwsXOex/A2MrcOxKOtajQpCGhT+/63T0GfxNcK
Y5MVC77kXJIyWPtllnzzXfWjmTHahfkSYdi3N2eEQFw4yQOsvrssCtBIdTxliP41MsmPsmukjAb5
cLIs0FluvnZT4ZiqB0RfbIHrkrJ2zE7HOAHwhf084SN8hRzuHEhid4M/zaVUeKHURQw6e3D2cQ/a
a5nVKVoshZvlX98elvpfbw+b9YDGbaLO98d8+/zT7dG0uuEAxcif+xBnQeC75lMpChPBsZGs8T00
n8IC2oBHjd/nqGo404PPDqkUacSio1iHWen8wrP7YgxGt+P/T1R9Vm/0uYEfOGbO0dwa+p5AcDt4
BzxyukPWYpKIA22nj/rCFCTUvgxp5afYcP0zHDMOKpRDO0Xq46PbPeo8eMGJqnuK1tGmfvbFhjja
GCetMrUuz/3kWfEiI16LndLn59xUF1iB8v9g+z6Ib3NFI5n91Dr4wkoe/vVv1bbNv/9aLVW4lhDz
XtB2UI/8519rloQuAwGLbqQ7GT5RNxNrp4Gy6UfZCuYXnQcGcCWbnl07N/LiBwzxzIWLDRQ25G1m
rUbYBSuDnfLSmotJ5IHl2p9PmjXcHIuAdwfP4oYNpNzdkAFPnsdsLdPe09xgRDZiTZON2Mq0K+Wc
j6ye1AMygHGjDJ731Cvit0yTaoQ+FadfdiDyDa1Mbuiy7VNVNNMSyNP4Bvvjx9/69aJ0X6vGMO/N
5Cp71+qyddy545utBZibDgHmyULZ50LwkyUo7usg2uVtHHyT81Vg2iv0ASCd8eCOLKqY2gQkMvJD
kC6ZZu5Zk4PWHrDSyaNwWtSFap3kwU30svuntuwkfbedHEHonT2/n/Nrzy3z3vFFflASblWy73d5
iGP1iWcMVPi5S0stb12Y+Dd2emDes9HpHkqShaFwHOC1FWbwqiB7XQTc+EYXGrvWGcZX4bKy7PX6
CQTD9KB2HbDQuV9OI5s34HkbbQdyrMe4a/4cTIERnk5d7FIOGFpe4CAwz7Fatt+OR9KjB+5/GKPY
3lDNpN8tM2sW4RC1v5JyoaKm+FUN1KNNDk6AlP/D97D75IDhiNjXvQlWwm1+ukE6vXlTQUF3pJIC
hLgTuahx2I5gWeNn+Ub2DdH4u0iFvyYKfxVh552JH3b3oggQrBd1t4JE0N5jra9uAfv/eQyRgcCQ
pFJ2A1TJqzLHxVNWCHXupP+11avcxWUIZlQv9H6RRGXzQ5nMBycAzbgwTIqU5jpF1433Jb5M70BR
oSTkVfoyTtY50Azr5JWpe5GHrAgfraD1DpR3CJstJDUX1dhAmqFQumcrtK/UimSVLUXpGvZiBhxz
SjYAAIT9XZQi2QYZZTVi9h4DkSBucQr+3n6ubTc4ZgIH+UUVNNmytPnRbLN3YfEqvU2wyNgi2FL2
+LLhIzSXFpm956xTFrJrWXfE3sne4OR1oby131BcTRhNMc0H3dDZq9R1eoyboFoGhl4AmGst9Jf5
cxA140NMMhbo/vwxsM3T4BJbU3TxY/BwXVzIv1pKmn6pt4q5qSvFvVVdGx9dpyYzUlYevGT6ept0
l5PpMGLm5ojt40kh3Tgkj1ZuPPpV676Hpf9qhXiE21nya64EefNL3OytDieLp2EPb+6Kz49+trWW
x0sShAgu5nZGOfkS9ceABLY2zl8D3RNkXhAjtaId9CG2uNaoQcud2/KTxjJojbIeAEI1JDcKQbnZ
49Td564Zw/VNkpua7Mh2dY+yYRKfOYxT/1uOtwroQhHn8d52fFJp7MK3CguHt5vqGdlbbE7lJrG+
jVYiqPrmID+xkhE4n/YjVDroOXgUMTIljorWK+7XGD94a2QL9jKvRX2jXqpbexOGcIPgqc0XJToR
J9fY7BLK0nVRoXyDX5QKdGVOAdGmihv9VtmY07WOq9w972PEfuKgAyjDGc+4Dgz9OXQfRkgeUXZn
3TBdyfnrgDgTVzmCbCm/O4WSrzAM0R6wz0EwVpbxtsrSlBK2YFxAgxvxAv5VeDX5ib8OisryZUGV
+IpszHSUA9iLK2ccCtx1zcNslWN1uLequkHUgsBd03+NI9ZtfQfQPsyi9NgFRnzTI3zzgmwyfzhw
0Baa4zaP1MoTlQSfsRo7EBH2oB0mMl0Hdmsl8SYFlGc0APBE/qPXB9mWh9AJJ9QJfxv/PIs16jlT
BTtcx34NKUc75Wnc3xQ3a/GHh/KBPOOm+BwqRZ/3LDaP+3mGHEjMbod7G85I87TBsJwDmRyCEvMM
x7Y51WnVpbCaYSunyAHKS7Q0Eo+yUVWQzU28CYU/fVTsoXYK0CR14eVd8AApLngg6MEmNQXPHYQJ
4qm/BuSnPG3FLjDHF9nKEABtmwSSA3TW9kCtL+70uo0MMSVCv7Vdo1wWItQf+6zVHyMUnOssijGV
n/vkQVftapkEab9VxpjzkHqBiNW96iBPaefzSE/sm7Q1zl9dt15RxOcVDPjXZ6NN9nKuvOjXD/N1
RkB6cNtP6r/4geRksvp/fqCv68kfiuqv+vD5Q/43P9Avu1H//gNRbiXQsyHQXg2KGS5r1t+UipG9
PUTqyB+q1w1c7uoiXSD7G5d1jErGIkhwmpokIp9Zmcs+a7wDYpx04/WqusOKbnxVEJeSGcGTdwq0
jUmh6M41w+l7HexMv5+7G8LVJXlWxATWDWKwtxhmTowAPIXBquNtdEo0nt0yfeumIfgInfiSqVH5
YiUEhT0lCI68zVPywEAN7RYjuSgQ0EuIN96kEX3q9Le4KYeTbLW6b16a3gBZRqCxjvwi+o2q8eZE
aRphI8huBWtAd/3ZFriuALsHnh7V1rbsSVql2N6t9Uxrn2yFYFFb1Jihzs1hGmYuSryUg4TU2qcQ
p4yRIt+L7DLKvFlCKKb2dp7fOlOwpVbOXMnRtO3Lkz0g1pejDl+zu+Y9yet8XizxgIa0+YOcnnUC
tSvAmZ0c7PNMbF2DTBDqSJ7aIwKEOUqhJoEFrMYvX0uW0FVrvpRDOJwo0A8wjWNW1Lnqyjf7fi+b
DUq4KaxYHJlZeklTF5PY+eyMosSNqWPVKKfhcEJkWs8eCYkv097Md3mG9NUYcHau6ra8BaxKl2On
Zd9bPKvcnrItLAjx1yXz1lsl8RH21zYKb/zceuNWBgnc2ib0TkogIsL7drZjc4ifmxrpq8qpqaMc
UBHVYXaIlTI7yE9fh68+Hda38FTsXLS8PTtdl6xi3wl+dmuNjchPFH3hShWGui/RNa0HNnHYxaMU
v4hhqTal++BoCQsrrVcg7OnhOa7F/2HvzHYjR7It+yuFfGc2ZyOBWxdoDj7INY8hvRAKScGZRtI4
f30vV2VVdeZtXHS/94tDEXJN7qSZnXP2Xrv64xlbql1AFVKn7+dn89beEDGE1IwselMbgIqf/4tw
R6LMCuFSEkIb07fu6fuh+8nwPH9q6oXDyTS5F+62hTNpnvffn9ay6QKbdneoVq07qA0w1pY0JAqi
2r+x+sy40cxev6Fxf99a9gUC0wkj4D8/9/3RTLe0TfIbyscJ8OSW7b6/biUTg460e/r30/W089hs
5KdqkBOFAx7gC5fB1kUrawA/RNvuiO5LQ232+5M2peWxAWn414++P4shvjj+l+dJBPDZdBAdp2m6
ltNrVcnYPNNSnRp+jz5L/4C5r9shT7udmpK9QWzGzfeDb1bdTdLTL22Nm4qx94Ki4qbqoA5qTVru
vYWZc9PuHBEh0r6WutV8VnzAMtW/tTgxA01Xw3229jYU+mw6DZRol7ly5M7JnfaBEC+g+XPtXPpW
+4t0Rnk9tQ4VnmsTspWwwbBLmM/NSEsc2r53N2MjOgIiFCeXtsLp+yM5TGagU5dGy7T+8X9bXcx9
8O/n/PXfmfahjQNjiHX6NbVohkF6fjAnWoLcEtkjs9psZ1tTd2mOw7j/76tc589Frm+Yhu44Om0D
27Md3XH/0loasVhWlY7qpe6G7NMoshuBSjzqYQxeaSaCIGKyNa0crp0srqjhtxF9lgkW7S7lGDGo
yJKOuhGsmsfG8eml6XK4W00tWM+Rwa3ld5H0xXxYJrXPCVW8r3lF//HaTvI62ew7ZlvZZ0seDhl0
NevgnHxpkORmvYsYIzfXhtw7/WIwlsinuy4l0shT95rumECqWwJcikxdYnMzo2qzyI/Hz4xQKsUO
MpnWVdEVn6NXXKkysW+ywrLixhkFMDlG5ZVeHr5fzf/xp06d+u7cfch27fM0G/7yz//cf8nr9/pL
/cf5q/71rD9/zX9GD//z8W84of529bB7/Osz//SFfPs/fnz0Prz/6R9xM+TDejd+9ev9lxqr4Z8t
xfMz/28/+bev7+/yuLZff//tQ47NcP5ujIea3/741LkFadj0lP7Vsjx//z8+ef5T//7b5ZeSg/wv
X/D1roa//2b6v9uuIxzfFILy6Nxmmb++PyF+102HgZiB01n3LJ8GSyP7Ifv7b5rp/e64AjSBLmjM
nBkFv/1NSfJU+Jyl/+66Hn5z10UEqNvWb//8w//opf7jLfk/91YNQ/ylfWZ4tuHq/vd9YPu+ZZl/
7vPkZHKkDrMXRCAbsQp1a+KOpH9MiAZIMZ2ov26QU4QNjonnsNxigXgtgAcfWycLExGZmaHvtk68
b0ZeBYj6wHxl2YPZmUBjbCl2ZZbS3h6pidVZNdUdvTNCvknO/sbOB4A0jyn6GvtSaVN+nNziRkmQ
tUB+SRawEV5NihZITRmkzy86VS3qjGyJ19W9MknZDo0893Y5oLFdSiEQrXo1B7qRojEf1e1qFrh5
fWBHyeAvuDQq+8IsGetPUFz7BYfJK7eaF6ZFfj6i+Bc6qNqgMiorzC3/3m+Mh6HBIJgD+cY5Pphh
ed7jPewTlTEFBUlUsR7a30M9NRu72TWXnQn+lkoe3C4SyDN7tmnDQQ5aUKKai/Q2LwPiyewgyUl1
WOvJjWr9bW0H9zb3emRcJVkdwmJsyoyp2XlafVF75XSZMz32J/SWpTb83DSp9qtxVylviseijDJ3
uwd9V6Nt3tvzWCIi017nvnSiRPduKfaenIGA5l6iQceen3tupPULQ88tu/Y740XwvsFOIvfKUwEK
/vGwbu3LTJRWxWvPGMINOgHTL4UcjNiCimWIHbJVaFNwinH8iZ9MAqU2phVqZBMlZkFAJJl35D6Q
N1YxtAiraYQk1n7QjEli166baIhc78ErCprQk06pp2GFlu4Yqtn0YgsBlV7oO5W1TeBPbgyb2o06
4hgiV8duyeJHek0y40e2+lMNCAx4K7FTE03ucYaYHY4Tz+3J1wjXxH43UwgZS5nTxJmKn36lowJb
y2cOMgDkrlpmJpot2XZa7VFZC21FgTinXk5QgS9TsiFv28KByUwQzNTXRSDTKSq2ZLiaBVYPd9wI
OBetfZv5BEUAI3MsyK418sWwNYcTAWqxjihmZ3foo4zV2OLJVV/ZsKpINQQojUyg5DJtARONF4sO
tb8N+Jhw7yj093apNRfgXX6VlZ8cPbnudKX/WoUfTT1e9bKdUdAgtBYmZM6eE/qZ/8uF4DWRY6Qf
msWUFHupH5eN5hMHOl5rFDB7V0PA6k2puZeop6iHrbXqA9wUxt5eqUMbbwgNIy/oexBz7I7axZj4
wHQ0awrEUKVRWzqvwnUeOajvCpqx4ZpjpwGLt2s12Kw0ep3AykbvSgEL0g1n25UDEROiBKZevKq8
o5UIRpsd2o02lP9S0aiYW+bL8yejIBV6W/vke24RY/x1AHWS1qqbMF5sb3nt+T4ohFeAEURhMyvL
3pp5u99siztzey4qWONM2bNQM2G61MpoAmdD/b/Ybw2zU2pB8BPjRZe+bEaVxshBwF9as7t3LftB
Wutj2qpTL/1retpTMItl3XnOD3TzxqHSykBmrht5q0OspG0/ERoE6WhC5z6I6cNMJwZ6eC+geIWe
oMjuTTdApDsHQ0bMd7stWsQdsMTKbl8gkRDSJA5971+QY3PY+IogX+UrVrJ533fmg6tfZWX9jF7O
3Bpnx41rDYmF7W9TfIRfxsvcyAE+PjVnZwgsDvqa+eXg4Rbqh5fKm5l2Mx3yc6cPem+u9rpukpg2
dYcCAqeJPPHYmxAi+6z4YcyMexw3fyPxE7yynD5dQ+z0M7yxGE4ko3yIFiflhMl8s0/Eol4ITS9x
G/tf6Bj06eD39nW72mFXwrE3ci3jbXRYiaAjh/qWvo2tDS1JMWRthbjUuY4WZqcRf1G6W7zlrlbz
y4yNOXJlfSAgcwyLriyPC1pdL/V++rZWBZY0lku/GO/03LFw8jUU0pu1RNOwRYj4mhBuzW41rU/b
shCbOVVJhKl/S69jvk36OSq6NIlU1tl4H9ZDn5IDQ9Zcf95rbpnezmGDtzIu2K0C/FzYqPKBNU3s
xVKjlRnG57LBpaPMgexQFFvkK0RUe1/m6N3BXbxJGu/OAhb6w0aFwS3sZ4e0neNRlCnKqLE9Ct61
RUEesikKXaRUoeiAUqI0n63PHtV8BHQOO5tp0ROq0UMpVyIjLq/6jYNwP4h6T8JnChIV6nb3qq+E
0nXrHM9jNFkNQ3Wn/JlwUZSiqX9i32aWsM/75qc2r0lYZMyQXWj6F2n50WYWdqk1b89v0GvV+lak
6D0EpvLfNR8kbJMtzPiTUysbn/EqHt4BbGW41Vl7XQvuIQc8ku1pTZQX2KGkFXWuMrB7alfjE2or
MpC6rscTVabXubsBh2mzdpdXH3hzy8hghGUa3o22aF1MlADi5m0ZDxI7sEdCQ1hsoHprY3kYigQy
Bx1pRkJb6NDHzQanjdXyYK/yh6hVHyloMfAuqm+NIoCP8YdlzA+S3engE4dBkRh7aXPrVeT6Wurc
/pZeGQxkmhhhaheI6tcjiyeTSjTOAd2deVf9TLC1BE5CkKI+m/vUO2qLZ5IjMcaihg2VuRUd5VV/
BjN1D+rECID4m5FaeJMHAnskY4qYiAEZthsbqF3kdSC9FPlpfxSL2GLLKgCNtIR122hzSZqUUYNW
CK1jujdSV2HqlyepsstOjQdvXvjrkjFhVi2/cFXBYF2wcJhbN4WgGsgjHE6GHrve6gYiqepwkZRt
HsHGRANLBkNR1xVvw7ACUfJ+DnL+4hj2Kc9+aWxxR2dGzwZ9AKgodjJbjEXYjeq9LbsziFm8Z/pr
68ujjwwjttB+iUVue9uqIwdUlZW4US7MeIYPvFTFp4ZNYy+bwsYUt+261J3Cwg/FgBexrWYSXrCo
ISntT7NRxZayYsUxxDZ9I6bF+stzjIhVUeeFMj4N0KLj5oCQ4zDneiTZWs2A97eSmNnyDWkMq4kN
hxVhkGNmkGByzBDDVr3renugFUtaSy+ue2+4TwamDX2BzqIeuwdH+a9O0d2ps8LPVODckfK3AT22
S9gL5c3ofJgjSi1REqJJO+6SXAKCbT28HCLBWlxBZXdr/y1FmHXhMTaQ+r1VC6j2bYuQornOSJY5
rMP6S27MvJxJGpcYEp8gEi67voAf1tIfSQb7JMbhWRlD2NXWAYkK6878mPUzHePmLBd31tjDGIh4
AbNOi2zBHux7v5qvLNxnIfnXInJ7+xn3Gl3DDsmhffT3HZFHUV8zYar6X3SqTpmW+GGZT9dVVz6t
BVIbGrFjMFLT4/wVO7nLBO02qfK7orVDQxBbqfTWpTAvj3rfXxDGUHMkc0hMHZmSYsBru+Qy9Ws3
BC7hF5ckZDy2K/72wW0vJtXuTK11DjovSzM5SVDjfxyzH7l3wbtowEbprpbcv2W3+0HWgR2InBOM
zEx8TQQl2Zv53q3lh90NV0OPrBa9IQxoXcUGBl2my/rVkLR4IvLdqF+TjHiFgNDerYv5ZVawUEeO
X2wGl5tKLvGAnEx0jYFpdC9aI+9aq35znMTca7WHe6Ptb8dsJFpU/nKXlz5Jlmjzy2HXyYUGX8Hr
AHqALrmiPOdfwmhKdiFW5qC2UDY7eWbQcPWe9XL58HRDXRhJ+WsarIA0JdZ5nSYb5SDXTtd/+mnt
nWbfPdUepMalIM0shSF7jvp1feAn7Qcxn5+V/NlhIcQ4Qyywm+r7/Oy6G1HKHcZpeBOCNMVtQm40
0aaX7Fp7WndfiboYBYOgQfxEQ3uBIPSNpJp8Z5XqdfFIctEPQ+28m8qZwjw/A9ZHS6fgK651Y0aA
budOnNUFicM+zlI7j+Fw9pHMHCzD851UK+N6Yr8hIbMy0Yg0F+Jkm9rjrdVe+0K/FuRAYh8KKaqi
MsvsfYaVDQUIYVt6U4SJWXi7c0kTkcHKNjN2gW+3nJuk9Yp7jRfcJoTNawRmKWhWnj6ist5u+87i
dC5RjUrMog4NrJDz7+PU+W2IgSrf2cRLTgshV3ATTkIaB1ddtClzCRxmTGuzLXLtIsigEe/XIhPk
6D1YKJPTsdaCbJR96FvAqpKCAwbKeAMJuA5FIFnmR3Rdr7PjXwwemE4r8V5WyOyB5XFuG2odR0rP
xlbE1ZhsIfNNTqcrRqZpYGm02HzC6tlr0o9EwjfxPPbqqWJqKIo34WRXmzX90nVGZQlST+AMbKdL
gdRz1K+4nWXI2fMpTRQutpRt0J+mnd6QFuNjxmglw/E6fysMtUbVDQk/FmPTDA+YNl/Psn2wE62F
enry9Hs8pD/qVaZnxGWxM10oLpR0I8WypuNUKCr7VnM5IjhVshs2suua0qbSTkmv9R1WD83/ajK2
mMEQTWxnr4zrJLal9EbWZKolvnmBw9BECBTQvUduYOe4QFAWXmFXmBkc6KwDo3bpssLvV0EUUZ8L
CSkvq4kwZy/4jiZpxu1S9M1IQFd3Wavu55oIeeaXrY/wfgOFSizWcaVEQupH7PrNbY6lvJ3pPs/c
RrM1rXtvoCuBJ+u5yTQNZehXy0XHBbtdclQZLnOy4I+rna3HiQxzsJC4OHHVnBNrDvWcyxjkc37T
hp0+Tre4+buwpC+xn64crbo5U3M0TCNHdyA30vczNyj6Il7MQlytLCFDPbzPuHMCujo0kJcnPFjM
FZ3iAvjrunZH+FuPEEEPitQxrcBq0/T+MeV00hRKBEY63luy+Jz9bUUx2Vy7Ga45C9Rw2NgViejj
EAknXYBllZc6tDwSN3wD8T/Lu5shW/wyRXHbWC7ZVBOpI4AFC0u8pMyLgyjzLznvvedW+pktHFIc
vRoCq7H3SevedSghiRJjejcOKWEtqomnzH2p8BiEtDG93WRAk1vsRovT8RyckrIRrTl465YJOher
ce9Zh01Xn3pHWTLrg7eDSH09lNMhSV0cUnobLHW5BUmZXVRZ9zDqQxmqhCOdOapgzKuvsvQqknqF
durnK0OevKy5Sy3vqTGn67Ho7FOdTsHQgEAqV+djMBjptL720fm2E2hVTY2K8wBnk0cF7R+Xbbgx
bIMyPBHxJG3ejvYRwRUjO1O/EHPjh1ne75oEEaDl2f6paIFecWZuEGfVDM4LbaOrKteXJU3fOGF9
DB7zCSrWCKMPQSxSRmSEd+FswFw3Sdjt3TSLk5lAjh4F/mIytBdIClDASIlz0qaL4yIH8rcPHKJ8
/3V+0ke4yxtKJ5RBSXSFcL2MGMXd97070l8g+chqcmTcwP3MVkGg9C9oa+3pJB+xt1sR8+ZJKGNP
d4bjYsENXY1Dv1t1RdTLSKWAON6arYQrC7KCRuqWptb+mLT7RKczNFnFErnMwqM0OVuo/Pq9JUhy
Nmx+qNV+mnV68ny4IhMhjpG0Ujv8/y3j9btl7Bn/Xcv4YexzyGB/6hmfv+IfPWPNsX73hbBRvgrD
thzHFv/sGmuO97tO59f2ddN3bHy+tKb/aBu7v9NL1g3qdkcHqMLF/a+usfG7ZxnGub8L2tNE1GT8
v3SNTdM4D0b+rcl1WFDgv3jIagR9aOAH/IL/u+iSvDFYX2SnBh3yNkwMegWrh/Q2C8ZM6GgeYVHF
GiNPv83L+piuSQW0ZLtuSOc7TVh0lAmhUoz5uK9Toh5dnCBzIS5qTT8QO5RGJIRtnP0xt0Nru8Ti
f7tY9hn2kXAcqMzQN7ohVPR2W/bhxqQL7NF9RuGs79wepLFFXJW0rDkcgToUfk2RVeR3eIKdfSKa
566iynR875c1KrnzSnUrzM2P67W/Wlo7Ja40tuZCizTzDIdLw2XCpSm89WE0JPt+TlwXzUnXZxJd
a+3BpEoJExLld2qpd4Wp4K2onAmWQX879ysc3taCqFwexg6/p2anz2nZJY8cMT/a8WvwTUbpDacb
TkDTHjAapZG7flnE81LWvaXGDa4sscuV7oe60WlXNFOA02LlxdXwADU53ydT8m6tvPj0pACkOpym
pikJVrJDZo9aEtCkfTRX84RaM5CzKNAqQEAgNYVW+xmewGJH3fwwt7XFSTMdQ6GAd6xjnCx8BZFM
xh4ifjeYYBHo/h0peM9AGn5TSIlhSr8E03zC9LXQYnmNl3pLZBl60/CS+Kqjt17shr5R0TY4wSJ0
9PAdoAlnfqlLVOois/uDobkvQzKAJYRd5GMgjwo81pmvmh/jnNxkSn1YNVldm5nWRw1JKV0dDkhy
ePcqOl+gq/zYNl0C3fSfmsF+Pprd40xEzFVSUCBNZEbYG70qEsjobWwHfbX02FCkLJ5Pzh5lCgfv
VUYueuOoTpuHtuNYD76dX2K1110luzpcO2uXPzts5iefaU5oWsKL3MpuozaZy2imgd92tsuO9WDo
ZwOut9CqLgw2So52ZmJXwZLxzZQYhoPUh5/SbC+tRTiH7FKz1/a0JAZX8kCgXeE6vPBqVyHvp4fM
SY30rAip3Gk2ATyOrW+HsjyXEIC6KvOxgB5Ba9iL5ixBfpGW973/lnca7MmOoi8b1x84dbDCFNxy
OTKkGClGu9Od3qCB2l4VLY2Q1MPBRQ4BvND2KDM2JN9sudLklDKRFGA/MWWXJBHuvfNe5xRDDUpN
m2LU3zBVzOp9cI2cZqnqImLgKme76Q2DEYlzp8AoBiTi8hsPtX2wNzHEFppKmoBNssulf5fxJnEA
+yEAu8TfsKKOaA67TO44TL1Wzkvl4MuznxOCjXdkjJTxkqLN4T4XNl2VVsctr/OL4g2+Ify9jBjk
LtHqtqEjyRqvVT4h6mZz02JTIZ1fLMJBshnJolV3837ukMwUckwC5c7XZtZwUQv7yU2RLRCdvaMm
4gZUFoYSNVFS1gcj324bHfB0WmVPel797ImNAZLwbjb155QaE9j7RuxWmDNSdPYPWvDx3NWvguwZ
tAb1FE7OGbwyr2OUo9qNp7kjPd6wr21Z7tdMbyL8KO1tX2ZFSAbPbTos/pWXkj4sNeeD1th4IETo
qZAlKXLbGhfyvu4MWL2+s+xax/yZeZtBw7HcpxP38TxNjOXc7LmdmNPkKEfpdbgMfQym7OSCEtnH
W9wAG/EOHQRQ1ga3R6erTpPdv4yZfUgsx0ca3NPG+XQz4q5m0EfhMKO5KifAD2niPxTkiq7TdrvA
HlY49tyZgI9xWW/pQLu4zGYutflHJYrjrJYp0uzhlhHdrdTpxSHyp5mjFU/VW914mNsqi+QN/6J1
x4dK3huDaQSWI7PQLvwvTqan/h8mnuUhk8DkTRINzkOhKyw00dKk666RG33rcTnHMI2nZfaKaF4g
4BoF6cYOF8vSU4kOWgXPykyroDVJisDacre1GXhxZ71mPFWGcm7gnlV3TiG/MNveekB88RQ9uNNI
q2c03rrlJtU5Rckzd5ghEgqg9oyMybPQYrEY5bzrUzGFam3oMVRcba6IRTPAGQWqHnVC++KA+Stt
0Xbld4wVzMtxkkR4m+K8kX71ugYmxXNfbLpScW2e302GipEtXulA2rh3yPPCJHYULNu4yBUNfzML
IXKo3Rk3AXmgvVhX0hrodenAzEY/U6dVea/ukrISVPcz5esVyHTnhBaIFDRrCaU/E2nbIbtp+59O
qx2KErFEufSnzaeWBuFJbPPqP8Hhex6vNMbFSMzTG3c09kYWVWBLz9cvqkjltIwO+x9K0rLI8xKn
v02SwexZ1z68tnox62NFDnboGKhcMGSQw5raxCRkX1DrY4sWSsDNXJ/65YEJ3pWs9XerP4CUWCjb
rXt9XO+J0rihxjvqpvYmNe3JzssvrWYX1CR7hn1fZJwOkrPzxtguJ11lIYlv/L2ksy4GSGRfcDDI
HlE03ZnTGEwJhTzbxNro76kGQ41WPMgjyrS2igcJFcKExs5RY2/p2mdTTiQG4oLeUtiCbDGX01ye
ZH7VjWBZa++lrVMVmEt2S0wkZpjn/LmnnxkwjyBKJ5E8Z6ZE7tMnXUGO4LpA8je7t8vK1rRtVxsY
GFRmF2q8Ern/WrsaCAGzWSP6CFE5K4qNVDVMKAhqUF0Lp4/5ZtW0SHKR/mFQ0bFhMO4LiOw++3IY
J5PWvdU3pV/4cbFoN8qpd2XPBN3q+qh0ZIGh5c6QbcLggqaZvfo/5ABneWQZylLxy8rdHubGdO/U
9iPd993YLE+zyZzQ8Z44v/kopQaEBPKdwg0DNVFmXHqGl7xqyYSjePg5lwnW/EI4ceIbRuQNEJ6q
jfcly0baVNkt++bBN0Y8raZ1bZrZfTb7K6YXMCRQ6NW4fdgJoMu6zVH9l4uxM4efGNN5Z6CJk47c
72YHcmAx0EPTKi8wa2vgONjdJo14ljbEwGK8kcRzBFx6R7EWSQwmM0cavsRAm4h10Mb2oh9wGAxA
+DJBvnIzMEXkdRzkHTEF6tByUuf9XSM/oTXlN1Dq1lR1p4FTWVNRBG79Nse+gGVFo4ljsIqx1XyV
wq73aYEzdUa/HZ0FiEGGoXKvlf49lMcknHTchH3akUyf2C7nTxHng3+nbQM3O7yPHXL62DSHFzU1
y6FikJABESgHg/HgBPZY2Vo8KZAjvivg06Wf1rzoV5MOy0+fnx1Fvir5TCz1etVHYEgft6yzDqNL
xd/V4pSamBpKY94piarLRf4WzTidYOZVT21u7r16qq6MNSXda/rlWZ1+0xYdbmqlAQYgiFGbxFFL
faB4M0c7azL2Y82rRfkdrZp21yvjOKRtDE2RnnC6CZyMax5Y3RjZnkHisjK/1t6JsY8rioOOI4VL
u8Gu74tWbuCszq2u9IcQGlzuHIoFhiMhw2nSIB8ARd4VlveoDzSKa/IHZZ1xZNQJ8OyckgOB68fw
DA5N0xwx6bsXA6D9oJhK52LyfEbfbcE6Nl5qCFcnLA17zRwCrxwbriD7a0KDYpQEh002ewLjwNum
CawluSugAIVqsx8Y8T95Je21xmyYAekE67BCt4lh8i2dJ697ZgoggF+848iQ8ZCy0lCQ6wFNkSHI
evMNip4ZZgUD2dXWCgb25sm0EVrkfnPt9bMTezULX1uqCODGL/jwrFf6Uu9nm008r+aLCX9YPN4L
fRlPP5WeoOOU9Y2aR44IC9vzwq23gBzEcGrBVbSqr7FP78pRSy6mvNul7WaAvcbWkqU/ypKZXc8F
HWXppZ2aKiYVgOkSAnmWnx6Tu+/T1NTNYBn8Nq6cBMRPNg0hXvjnImu4q1eDGUhKTCYBmEjUMqEu
ZM/tXmvTgpKAMxIGzp+GxTK/GnW8sjmGTmEbu8XghtKcvo5n64q9tsHErZ60ZOmQ6TB8NS1S+boz
+brxvQud4i2ZMWXr9n1pY2JKUHZM64iz2PMBCXhBrtono3GedM5Rw8LyRAPvME8wJfr8fmu9l0R3
b73JtJmfq3w3i5ZJupk4V/2sHSfdU1E/0fxv8Q2c+LG7Oq+r0zYza9Dylt096XCTowiMUW6wQTMi
MXxCYmV9yvKW5ro2fhHnMEU0CCZmunV9UdQhX87cyJCvCIaXuHebS7EtVdzULTt53wGf0i2Gqqlx
hNp3NFoAA1gMrwrVf6A7f7W0wdolmxh3Z3FMvIKJjHKPV2ogBBuvR3kct7DQJPEqbS7AkyDx0SvZ
xLztVaSq4tIV6Z1S9sNgLON+JQA23JAixlZOLlRLWEUHjyTrXYJKaP8HwgcXIXpv2s01mURk5Whh
O+HVFtY5x0VfQurcl+4MGDTNx8zAXyV7980jZwr2vfsGII2CXQNlCZU9ltmCTmuVYb6s+b1vDhNI
tX7vOdODpU2oYSWuI5FOdE9zytv8BWvk+1zS0y+Gagy5bUgUGiTxH1TdtrbTppUkXt89+K4HgAhq
pt8zeZG6+WPV4ch1a5DXqCMp0Zvdyll3czMb4yrxJOdSfcIPHbsds6+lIBj0+4Ec2fqQ2sSVR13G
1t74/LHDYg6xq7lvafLDRsD2kDDpDVEGhduK99XS6JOKHDdP3tAuPywupa1WMDdjICgufTO/dZwK
P2FyPm9uZRHamWKonjB3HIU6EjJ4xF/FJKJWdSwmBAGj0OSDRIwgc7JEhTG1//BhyI4JjE0oLIkQ
P7WaCtjsEYuZOPNuzKbQQ1MmKfYDg03RsVFa98P1CDD5qqhHeasSA8NJmhyLjbVnbkSsNha04pxS
qMMB3ue6uB2l7VxOy8iDlrmX2JK5fA33XGS49ZH27pUPXxjkdtVhQEkNPuQ1CWfbD+wxQVtSK5YO
rszL74++H0qng2XeFF9pu1gX+fmhW1NwUSpD71+a+rWZV8l+dSE5xluN5IjWs3/x/TDMSGW+PzL6
7LoffP/kpEZzPwn30KkGb23DKHZBrHWijwrMR1Qo65rais16WYJawG0kAyYjea+4WTmt3GpTeU3a
iggB8PR7k71Vbco8OJk+cALwZajrP2z8dfcAUc596FLfz5zb0BkWnHR1BWOksNJoOMM1bVD8J08S
27TkR9drnHt3WVDKNOUSqqwZfzQvVorWbZ3PQRGZ295+P4DAbQLXqte9Pyryr0pM+bJKbz0swPvF
nrGUrjlFnmSpp9XmFdcWnNVrB/T05WLS9/5O97EQ5qDsIfin9ZuPzBIzTWdsx1Q4adTBygtze0ih
5Rs5qSIO3bS52Ao3WGskmZiooc7OlOF1hVALfAKM3mJOH72SiVlheqelccdnDvkvcNGMS09nUVts
uhqdu9QnQB46QYIcFzvpw602DcW4iu2gm0QT6ihD4FKA+S7VtFNYBW+4hl8XrvJb19iVLr+WVGl3
qt3DOAIj8jljhiR9oZSp0XIB363v88kkvR17wWNqrGXcn6yqRm4zQ+L2Kq8nKSs5UY1C05o+e4W4
PRj6/AdGObkvcpD5No0KblX0OHmWANIi+uJhSkdO9o3JvDyZl2gYrYGJJpqEeutB0acYjV3Hrq/1
fo4tGjChjlX/JHHEjAbpWGVpA0hCZmCfPXPO9Tob+UlDWxVv5TqH81yM99AKY1CoI36UmbGTPYi7
xL5VZk/EGWsPp5+qvnHGqYo1DzUNK6DkfrOumPEth9lqx8t2bhvu5IWKyxE+rCsLYRski63BHleY
9cWKTudKIBPC5yBGeErWem204p5jq37Mz57M7wecPPDzuv9F3pk0R6qkWfQXUcbkOGwDgpik0Dyk
NpiUkpjBmYdf34eqsrbqTZv1undVL1++TEWA+zfce25d3TvkLTltsrxh4IAcl3nDhWGDz20yYdHL
jNuO5BFFDcIdLsGX918S/hxcgES8zhzd/kjYNNgS1PJtBUKnHR4qbhS2XHSg0EGG216VB50BTiKf
+Ux/52KSISXJNi2dm7CfeR0d/K65yyNSGPpOc7PPeat03c38pLFjDKOirfafiIvHM3CJC0AcTuzW
fEVKzPQE+kTYT2bhkxmRnlxQB7sVnlfoEpZAV9Etz1zwf7xu0OhGtsuh8EB7G1tiA/Q7usPkAWpg
OPbV+OLkyZdamrthATayslvaW6/9kDqI0wayNMa6uJYUb66z3HX9sWi84dgOo7yV0Cj2RQcyMaru
rXQIdVk4fum6NaQAxnZOQeZuw4e+9iMLYUNnxJhF39vHiOrfXcJZDs8crffJEmBGnm5ovU9tBsaV
3TOapppqImqalxSmnI9BXoEFBspTxOl+LgyPlmn6aUCT7WITdoeRi4QSmiBAIWdnRxcDysaKzlFU
NA+uWgPV8x27xUOklZh7c0wvMY0sPEc6xGrWwcfpYxs0Ud7QKyKk6T3ErLKWNCNyNH2rrn0353PO
Gno2x1EHh0Jp78HdKS0Y1Y7q7FDPvptVFyd9Eh9Otz7xnURYOp1PrdxaQttasOHwn4iBNC3LBMCM
j1BBQD+PJmLmwYGPO88vctHGN4NndW9Yyj1NWatOiEO9yRDBqhygi6hp99LLAp2ouiBmwR4IxYBS
U7D+YkVpp1zj3ir0N8eIIGF09wp+MMcPEeSOvoNmx6M2ehPhPZAMNHc8zxYfkS7jHnML4oN1GPx4
4BOVPIC+Zw8+DGdsvbFZs7qoUb2L6uhEVr7LUzP+AHO0szDGbbCOve7GP2681xKPdCGrMBCJJdF1
jQgeUO6aIuKs1c7Lbeuk+urcGthoUNvwmADzYbSSo6+eHzqT3wcobyFfL8LiB97dolSIRv0IWNI4
dMNBIjR+l+NLwb4OCCiyrVJl5GPMinIC3qkfN3hL6u2Mmswj7E3t7JgbG0F6bxIpUJDF3S8vcedz
CIGyzRk98DivTDJwALYmy/zWOfQeSFTbrB45t9EosVDwmWQZN9z/d4QDUUrV1UyjRD2f2mrPsh//
+UBf14GEONWQ+R2KIcuxZRCN7XowSveQeaO3W8gI2mcVbOXox+EevIBirjCmwbauXAexYWNnIUkt
zcQhPVhZ8Sdi9ZGK4Zq1aUfNiYpeIFBMBrwt0Jr1fa2vpp+iFkKLZCAkWNovsoWOXib6T1hAeVDm
oKFI7zjSObc7A5DUhalks8EWu8AtJIYz83YQZvY4mRN9ULG+1e6mxE0085Jp+Rua15o/EInFmqCJ
GmH17LxIswJ96K19WRcFHBZI/X2jkyhdTsNhxWHs2ot1UOMKyOM1HavUL2b0DrKgz07mQ+/mnxVV
WUCowYAMHQ1sZxuBQvT1EXfkEg1IbNxMM49w5NL3qEjuppK/YmMBLWbnf+ig1+yURg5MnS4J5chy
yG1MpSmK2HxTj9q8t/dEEbfsEI+VIkc7tsdrZUzXyAMQ2TfVcZ2Q0VUtKzhHlS5+UIAtfZ5V4E0B
Pgn5ZsOXgZmVLvs4HxaOl/h1QcJ6NyfMoogyv8Jcy4m+ZqYG0mqW9kRNqbwznyjQYhDv4VqkS2g2
1XRIQMnbaLgvGgNlRs/iaREoQJIMatQ6lfah2pC0Ba+n17R0WksWNpm1ogJ3F8QlmROydvnnl11q
JguOreGDKZg+EOz3WlXed5TN/aErgRLPUXpoRqpSnVXQstRMj+z17Ih8eYbvT/FWVggHRB8jbmnI
KEmJrC/5Pnu2Wmg8zACK3EuKbiQA+2D5du8AkjVBOqZd9MA1mbw5tdHv8mZ9XOKBssRqnL3uEf/N
7BakTh7YzVDtBa9S0HJ6BMZMSrrTyEAvG3lINr1+4ovG/O1p83il48OkWdQGov/RauPRBil2cob7
Me+dO+EtP5ne3UxqJcVe0M73sxgD6eJpgTLgSUs/udl0JfT5uoBf30lZfifNh32de935qgl+r3Pz
veMqoj00bmlTUT1GOpf+JwL2b71EYI+tpYuHMK7EZa1G3/YYE9AJGBRASATSlECGNGhzykee9pYj
W/3lQrhnLGPZ+BAoc4IxJt95ARVsxy/owD7EwBR4LXp8Ro4I08/FaMZ9YRC9IEQGpEElx6jEayTG
s2oN3Dcekckm5tgYgHqvHHBxc/oRJSi/TE4QXAafqVc+LRFJo2qz0A1VjgvCDqplRBYqhrvc1V7B
ps+BLbwvuSH/xmx6xTvgBiJpil3HR5HX60tuVkAeOlZ30y27LTwGC/KnMRXf4pe1yjmbREOADLis
CJ1ZUr8joC6QVHfs+SZrZ1LYSg1M5drrcE6XxxRw+Ca8hHO2bw3Gc3Z/shJ8z1n743C9Q3Pqr1WC
IWE0HAaDN4imGGhg7MkjzJ1sTtvYfFm17Fy09+awbQLJ5Fn3k8mgmG8TOV4MatCJEAhXf5G+3mfT
cq4Xtgm0+/hoFoRsld6yqdOCPJoQUk1n9BufhQszZ0LBLg3z3Ync+cAwwt1l1MM7RzHuakeFkpBm
cMw6vm8ChFc4aKjqqUlJpMfyXTDSRLCcTmuALZdnvtPxnsys3jKejLgplk0FyRgifZ7z7sXKyx89
mZlPRCfovX2wLO3z1DoXN3YwpHrrO1TRkHn2w2Te57r9OyY8fUvHFe8xaJs0on8tgDpJzDuU28/u
+AqIi0j2ijCzXEPK25c4GIoO0VMlxx3f7SNNzyt9/L0TIUPNxa3egi+e1lOpkBJ6X07DJHHsPmIr
vc5L96hPw3pyPexgnNk/dZH/7QpWcwMmsZkZ1M0MJoflUHNaU/6kerpoHrZglkdqZzZU56N2a72U
/HwFPLnaKSihFVqbhAFJWnXjTp/RRMHZ/wsM/KSi4TLBjZzy9CVu5x9XzLdlSZFtWYsvEkvdHmX0
CswwC4AhvzTSO4uIMlneYYG/TVqc/HVyWFYkCS6lxVXloVeXcLMHuX1sTKdjPf52++4uH3Cb1MTT
+31Mw9C6GFszPDQLskVtIQ2wWbj8jJ4ihzUOM1auy+ZkcZXKVfoD66a51A48i1wVpGdxiPmIUm9N
Wd2Z6w3s7AulyHhGQ7Hscvp0HrHMjrd0+kadhYEcbhSPZDHXB9dJkqBVduAaPUpGirmdWvhvknnw
Mzni6CpBxLqD9LyPELUN4NydnNte0wp1GOB31O10TBuEwVXVHdOYB7L9iSwySeuq/Fu5Fnmag/Wv
C5n4+KCKvPfIWQErpvUPv/zHMJj6ZRDybffFcxYEtQklOfF5jlJ7dzIfLEu9q+ncC0z+NekOiB53
bE5zCPjt0Tas5bSa3bEv7vWSEi9thofOaU7xiiIAh/Vzbxc32Kh2LPNPU46oqy95szamaFc8547+
1A3jvi9GrEIZ2TXVjOq6fjBreZPx4KcKpKKcrutIN9uat6rigxrE3osVhpxRv2dFT53QHOs0foan
fxgy9Y4J6iOVnR6A8ns0C7XgrLEM39SxHBuPmQt2uL2xOa1MouOQDpZB3vSnBClgyrm6r0b3bDf6
wWOX1zYC+t94xc6wbf87M2jIdB/4W2hlcxT8JGW372FLHsoqWdCaOLhFUw/HfuOx3HVhe9DBzouL
u0JYPdWIwP9luH4rYuVHS017kHT38zDGJ3dGC1Fn07Bz4jnbqbJ/XEfnCHcIYXBvYYVZGJFVNrEf
a/cyd/pGu2XO1Y/naUaGv47q0sZPWWs/FMwoN/sovE/nlWUJB5CicOHvSQkzeJ+YH/5aJhBvMf8a
hYZLYTbeV4c88HZAT7F8joL/fK46lKnOsneMLDsaKxsuDJhIdjoREq9eBd6UfjnbgswZw5g9Pyu7
mjmofTuWCVmo8LHNUbyBB+EemCsvXIZvHYPj2VL9k7CcPwuODCjJ3i2iyXNBanG/aPcmgpalbivf
Ivs9mN7iqnmphMIel4wzlAcDF2qu31dI/9FSFL+rNLc5i1GxVKU8B4y6m4kb9ageqAlnEkKsMJ67
OZA8uFA9rR2bMnvfdNRoXsJ43I7Xr9LR/bEwyovt9eEo3I8GT0hYWWsQ4fPZMaxGDFSi1BTj8qmb
LbQSZb+nqxHqA7xmToALYLp45xnZGhiT/K7AoeyHiZUqyWn39nyXJNUc4Lm+qYQeHUg2sM5WPxL9
0qPYTF8pLvugELjXhqI1z2UzYo60FRcRaRuxu/ea7LHXibooxBKMMMl2iR3foWRSWOPZVdSTox8N
c3qRkPng9mKG4Afk8kizIzS43s/LNrtpDQvTB4AqldXVThnJXWsOH4W3rHdIPaiO5w5Hlm0f0cyp
x9rWr7kX80aYxrOpOepfgMJ/+9L/h+n6vw3v/y9s8QgJ/3eNY7p+/qfC8Z///r8Ujob+D9vDVu+R
X2Ra7D5RMf7LFi/+gZqcYswz0RUK09x+5d/6Rlv+w9WFhabD4DeZtolV/d+ueFv8wzWFQz0gTGF5
uvN/csXDRvufrniJrBLcqM5fg0xFbPj/hE7+B1TSSplC4gAzdyuZxyJGW+j2DAjEyv8qhuFKtFLf
tybZUpFBVPBobTgfh+E9i5GREHf7OY7r9dpEmJXSCn2VgXeRRSwuTPORtUUJz6YMWmHIfWMTd0FK
4Tev8esq6f/t9AltfkQ20t+ENEOOaguNck/BPq71qVUDoQN1ttNmru9OET1RgDgP8L0T4eXG6PNa
hx0mJzGd7XAU9rBy9Kw4GN08EAVjAKijB61lgYiNQ/hlpYl9Om/GdQ0l5ehMvqo0svIicVwNVoCg
oY+Ng60MV+ABquwtHUoesmjVArGQk1s3fUOdRuifYZYv1diRp9RlZGgtxeor2eH+o3tNkrjdXUwz
p3fP+iGE9vdlElc4xdF8iJ0Zuc5qE11m/uAnKthlcwEu9vPglMyccnZCWJ4Cc3Z65mnZz2iPf2Fm
9efU/qPlNwCzqPQ6yYXbu+cRJfsTAXEaI6WJNJCYzRQKJebjZXxWWv41NMo4uuP0PjsEuLXRcnJj
CCxe1971ZcbfDV29jzkxbIbudYZtlsQWFm8+9I4NxXnKqWInJ/GJGDvrCUHutRld5zxjP2ZPlY8F
Fa8quptkZEw/yBshP9FaWZdlTZ+YC0S40AlWlEyZ3TTVfadDk2QUVejgmSYDFZGU504vA72nb6sI
UOIEEA9z6475ZvfIi4VQ0WW7iLguN0d29jWTd4r6hZXXfkm+7LZc9rkBQkiwmCRU6FKidvLYfqRA
CkqEiUERV1aYKCjmQP1eIqNJj0U58YWnxrXv++e2I7oM1WQo4phe/70RAvip1RGJWLqh27bjriHe
yu3mD9ypa4AhUKK+zM9aUYNhXfQYO5nesVZhFFAYCNg1BCF1Kg7jDFiskRjyutK7qLliVwpR1tIT
JGcRluDJSggeNHHYt26Cfr2ykcW9qUEaOz2CxNIbGcthF9ux15lPFJPVtVH6tUuc0MhsForOBoKd
7BHXPEDlIi9Zrk9pYFZaFDbt+JYuWzS2ZEHL9XLtxLu056eVxcClr72XvCzmBxHLv+W2I8IRdlhs
dvFWaQTIXwUO8ar147XKQws+9WWW1oOuJR8NqqEVj17f6a8mgUtEHk1PBOWFnaqmS7L2k1+0znWq
SHAR/ViyrJzJi3vXiwqz4uRRZkvknWLQlk026x4nPAwTG8+SLGGUiz4joCTsAZ5TgdtHo8xDKTc/
qxRMukl0iCq1PJRV5/FTGWjgTHzQ7aPGk2N0GSKZ2TN8R0SE2TWgfpB+HGqQY5FuZQdNNX/G1bmg
FRtpVdWDzLqfuewrplizdaPEqkKjz9lu2Ym7bzW+yna5MTS7uudJY0LUxZe1I2EajQ25l2KHvT0Y
TBr2CpVJ5AzmIUImZblx2LI7DQzrWykTQkOU1JcOsSWwPTrNpuAM6WNG5oyhORRj8GnNxCDUheM8
y+iLYinwRnppiAAvmV0zj9eWY2+sVxFlSAJ7EEs6Cy6sw0LDQS8CElXmTzWg93RZzEvKrr3gyIoJ
IDmCXti1NjDXtqeIYiy+W9HthbYxvJWZ+kr4LacE51Ud3yUsonntPffgCBKJCYcOEqP/qGO8uhw9
FukKhU/oNAesu2kd+dqW9lEgCEqr3PKbFMOTNmZHfTBfm/xcsgg5w6F1GL26EByXmeko9TNNJlUe
jq89lieF0JyzYeJrQ/WYHUnT/pawGDj/gAO5615G08YwYLGwzUvreossKPQAR+4bO9eHOJeTb8ru
1mjmM6k/NAH8MK3ntdgIEeYT2x0m7BZ2HX1J4KFFK2Z537ZGckjgNGb8e7Mhmp0p109Px1DI6uTs
lsm4h6qPonyc36poW+GXQYMaIViwdFZSpnejo93LtmacrIDn41Y/O8yL+PCJlZJFHu1tBMKJRsaI
2MAshboI/oHHw7BfOpsQIqIGdxKgssU/rgX2+RqqeAHEnWM8i6ihL32FY26pqP+1ItN2tQ4BKZJ2
u0+iiIc7LRS+4j7wnMK3BK5NUcSSbU8rDnq3DCT0kJwcQ/zI4bSyyHC8P07zd9EWBvvjbelV2mNU
TR/s6QX2pwFFTWv1Tzm7yR0qkxuxeniliRtxs+5sQyQ7RPjOTExzjEP7Lbq69bOuf6e1P3EswnyJ
uH+7Qnscjel7e9/hlRZHUlb8yIqSQ56ngZYSjzkb9nPpdkXIGvxWavkUoLqzw2zskl2MORtXHfqY
DrtXVFuv+Fp5hQBth7FBxoOzVog5LPgWzJ0XxDIlMvqiYaxJP73p1cgh6gze5hqyh5m7qNJV59tO
StQi0zQojkMu3xis6SgfcP3SPzLmt9wrW3s85tsPthkQiGqrTmBvc5468bm2U1jZ1XpIJv0nx20u
c8ROkTsFKJKh/GCoFK5rHvQ0ZoQKMic1p9ekds3zYs6ofc32RzB6P04AVaJU/GZt/0BE3nHk/3sw
eYPtF2rBBNsgzgbNBQptAw6w73FJkUw/qIB/Ff+izcx51Y5ma0VX3PUXWg/qEasBBDRXD7PBxAo6
Ez1r3x+UVg0wBPt1p68a1KwFR73keR3mMwvL6NakInMNu9znU+wcBq8kAnAaQ86aDlaMQMOijQTi
rE9LPP8Z+biaLscMTwARNzE4CxY0BYsDZtuN8OdJNw4mILuGJmiXyc9pCz/Cixsy7pCFhi1sYs/k
6i8dkUwoqdMzPOEB1EZdcO8hx3OyKTmUhXG/Mskif46LvblphDH6rjJv3dK99xZWieQqWJ3rHqbO
W/hz6ogjyrb24yKPw5q4O2e7IMse5RsnE5jjC1GC6M/WmsBtJAwSrQNe1sLF1N6u3MNFW1MhyE9R
bXhClbNgHKxrOuvzGRf1DaSj+egu6qgnGButCWClmbJTskITr9rFmBhVlfFsgInQ0FSQF+Bo9U2j
HWn3oZUqdOXAITdJOuc9ZqgERSHSH0/HVRDH+KHnG/7ke95FjljFCpLSyr5b+5mBfh/k6Lj8xfRw
vKEMwAcpT47s00fC3p/RAH4NkT2d+lUj6rYsIl9UWO/tkfXfankceA4ffvObDdJ9lGxMQgiMxHng
SWLuUDxsKpRdaxHmQiRAz7bllvTuxHCTU1ojtEPl+50g/Cc5/XuRK3Ch2X0bWFod9GoIQfGQaaa6
E6KbXRQXb7Zaq7dUG58wMFnJwdje0iLRzjpmVSdyNL7P/q8hUDnK8szc6U/jAg4acVaXlnlFs+D6
nYtOpHQsJAQVs2OPqAwHJ8HC24Amo2oDJ6rVQTrnektlYdouUA8Fk8PvQg2CuruyjqpIySHjqrSj
DwewWGCYjAtoffaLvhZ+PiOxbBIzCzTkDwh3+Gfjavs565yLa5cDdRv73JgNs6X4RhfkwcIWB4rR
EsRDjX89cj+7GjutYejVxTMqc18bto0Lwat3KHQTplH16rMNc47OCotctkuACStBJVF3j41iWKiK
4VIOfEIOmTZAgER8a03rpcdk9KBde1GeNgHnBSERJVM9HGYxPSTGEsSFlJdZEdTHjmcfWetyBFT5
V6dQRHjy7jrajyeLgyhbxVFUfzK5Qp3SVaRDFcvFJuGwSaov2TjDIdO9+zbG27HOzac7MPQxbNEf
5mF57oXGbH3AMbLq+34Y1nOTakec7+cVG9t900AVpip5QPH3seYsQmu1cC8BiIhUdoUY9jQWNYJ9
Ml1YTNJ5TWI5sxpngmN0J292MFujFj9yo6XS/t7axaGtLw1z06WaHmxZ6jRJAx2NEWlH3Vhu2XNj
nrWs74bop6tjUANF5r2BgfuSFSmK3bRHyTIRSpeYxp9yA43KpNbZeRO8WrogJgyPU3jghy2Oiabk
Tax3iO0QMi0Tf/cpzUO3QIY0TPl9W+vHmrylXbINriJjRktQrC8tj1E8ogcddRgoABUD9jEIqrmc
Bppm3LWQnBkom54cz2M8oUVummNTRB+tYLncQXmoxPgFxcMJSVujx6lG2j/s+jkx8RRW/HeIl8PV
5vnEJVoHY1zZ9Yu96DqG9FX2m2BkdjMoCPnNuCUfFjOL0H5EoWa6gugnnHVJTFtHmHRAkG13aNvp
PFDJncnpyqChIb6GECDnt0GfzpI8woJjDyk8IlFvxysKer4glz2WG3UoDruyvisdCcfK6i9C6vwt
+NQx1kfhwIQLGq7TkvaFxJwnOZ06Vu3cM77KJ8JBBM8F4el/GjapNz2DR7zpWE8aZpJrxCneqzvg
YwkbSwH8x3kEyfyWlmCj6NxD1Q4u86v+rLMjsWgmiwTLPqmzW6gNQI1J7kbN/TtrusZNQtjRWvEk
qOJbi0dWI6LJ/L7tTwv+4gNh4EeX1Alu7pdYUiGM3Khj22HU7rAMT9MCDZcPR4FU8d1eNNDOyNOr
a47JZkMA6y2LEnhRYZ2dFvFjYJbLzP6uYtynVSzulvkgBBI7C4QmJ+GK0LfILkNr39WNsHduqr+3
5fDMEp+s8IQNhTc4vxoI651XOM0em9K7tim0KqKfUBqeJ6RwKGCGWXduncpLggHOrj0aglIl8Ao8
/GrSLR7pS2EV5IfW8iMvHzvABQ6ay246Od3AiZfSaZADke1xBn2zzqpPpL3agcDNtxts4dL0j6dB
f/FG67tztzBYWIErDLtWz3/tnBV+BstNS4h57SiNOA1mX6HacZUeVoQahV7r7HSNjdcCymPqvWc+
bvRDjqHhBmy6YJTFrW2m876OCP2OZ0sC8c/uXDkfa0VK0owuQvS3ZmOfq1H7XmwDha/7PIgV11JL
SObEvGfXLdEZRmfIBP3vopef2PR8jI1VBsqIqM6PQtj3tZGlBxfVnzDva0X4RKKFZtdeFjDLO0dD
RZh6v3TS6a4H6ehXEUP9FcS3Pagn3svfvsPNoafIlTW3DysclriIHHBrKQxQ3fk7wV8HFPFWtHzD
42KxQYiB5JpNqLVbbcplbaGUC5ka/xrR8rcrsw9kHCSkOs+V6LCL4lfKneREnahwKWHLallvYDDN
/ThGjrheO8XPmjvcBsNQ3CVLcSxSjmA8olTCWgKyZ0pucpu59kzTW6XA4tIK3a2GQrIsXkfEN/t5
gmAWr0WwAk6iDvoANTQFhdnczOWAHSAWG5+ZuBpD1/aZdtMMjnPDPKxm5MivGi+j1ny0tov7rroF
4K18sAoZpn9pBhk5iHDFN1edKcLc/svuU4UlK10bITme0/p2qTgTYs9sQ3uXj4V915jfxaKeZ+Sm
zPtRG/eLfbOoJVjrjkEL7mMkr7sKTL+fJsNzt9fL9dwWdEWoRvcTvih2qEw3ioTrtMVFh9nHNzdn
rNs8rwWwsDwn2g+c433hyA+u3Z8C2CVzJoB6k4jvVG/CgkoMvH4t2wTBJrw8JelEJZvTcmvaDWUX
m6WabWFsFaGEwTnHdTDrvsZO1ccy8jrYLU3WsH5CYNyNpWXcMI86aB3KZyW9AzmfJnGI43nRI3XO
oWfsVZxdpGj6M6RxbVet5b6W/QfO3+UgcSHsoDiyl7bYms1m9LUm0f2wHOxVDU8tXhPfmsE7VaLe
UPWFc8xTUgtGIJNjZEz+ii9LM3EDs+v4nbn+keWfETc9Jt3gop21d4VLe2C36ynhzg9Q0HACjYyU
TL19RD99HxlDhMyasRPU91+L2/qQfTWFuZ4Z+9U90h50UUFuYNUwEbfeAKPgQ/LuynW88Yrhj1zs
PEw1yZkrjYNTPWdNv549DnsoPbd5dnHQDO8TlvE+WNh3uOgsLeei8LlMIdlM02+vyY8VSHCi46g2
h6eKeWvAXAeT6VuJBjZXLLYA/KAvVCCSevfRixq2Wt50v82Gdu1skYDJSh/19XibV1w+E2ayQBvJ
sZvZhxABzUvD66aEawDoWjwEf+gaRvanyB2LwCri50JDhc4IPj5Xk/6UuC5TSyr0CHd3EKV1RrPZ
AtzITOPYa/ZDOr2xsw7qXhUIIwB8/aHrRyEoa1QdPFdGlzdBn0NV1S184gV6fLkkV6NwspuqkUyJ
MxbZjLXw66MBqV2MzV6ClzKn2YZwJXbThv8sQSujUGVnbFhyDAQQI7+QWomxb6jAP5nmftwGhKY9
7dsJEXmZsyIboMOpqAiVLqLQmxEr1DJFktPh9EieDS+9mA0L87TSIF3FhFVnKg1I3b03LIjNbowf
0cvaQzexglaxenWj5m8JF2XFFjUvk9h1CT36AqSQVcKtbBjem4irUXfYOBSh0rrvjH9YGTSPaEPR
2iBZaBpMHW6X/HEYqO3McSXMkNhrQi/MvXtHrYLDzrLDZDI+0CxSFFSwHKkcAgkWj+p5BDGUWO95
80CHe1utVv4sNzplTbkzjRbXpfydZ5hIJvtB5MlPBJ5YQaHhdVl1XCZQEdtW7pVCSIzuiooTfq/X
ndEBxZ1D9uJc3sT1pskZwX+UnSBAwnvBGl6TMi5/88UI9IYDzQG0Q09GojdKlAjb5o42NT2W7TvR
ch92V30qdPLjiJlQ18Y/zeCFpldmIQ5crmP4DXSH8oya/KfuBYrIFpTeiGM+TNMXqVbqs+FK215v
Fp4zE0/o2AL4J/a3LFhX4jqMptuv3Mc7WyRlaOkbfneCYEvWOBNbTp4R771PnaQKu/LjxNs8gMUm
SBgvwNoec6xLwTRQqkx2xFkz83ezcSgtqPpw0JwNlbwbvbyxGtIxvPpsVVuqJQ/s5F60xVredaff
j1DumtaVTzpuKPxeSFlbpkc5/pOA75bxV2ZCBuunLwZoA4lkkjsjQkN2Qzo5MX7aZk1BWXGQk0QT
SGYUNHefKHb4k+tHNregHZbpLm4U6GFjeHV0FvjjMqdcHLzyVowHs86YKOnaUOxoFte7UWFjVdNh
MpPXLtv8/rLLH0Uev3QVQshfHZREq4r4qKcvsB7Lm0qSQLIaELiW0q2hx7SPhpF1D63nJKHQUbnE
Xn/xhuGt7a30rNEM7iHYsHadtLeFuId4xsZjx7UdViRP+FZnox/HFlZbqNIiQSymnFdBmBZOSUNj
hG7HA4Icga0+TT/rSiOmuPjBbcEEDL753RhpwGCbj7I2AkZf5Y2CJkmKJl7LUhwaA+ZucTXoPpE0
dONDVKL1LuJIuy3iHn0yH0mWR66fW5OzaxljYbFYm+NYWK/tOIWLaG47xDrExPzk3hzRmPFcTV7k
BmVrII+YABEiek5PMrtGEh6S1kzOuWp7Jj1pvodeFDGmL+xTV2Furz4RtNt3akoZAX3OcAZCOFpf
AhEE7yN5peBHWBsBssyb3PDbdtZpSbqjM2HWpMOymdYoQC+4kpdfZjfajuSIc0Qr7pPQh31iI6nJ
ghlzagxO6JjakeFJcwsA7qlIGPNJCgdrSaBCxe2rXbd/c1XZwVDXKMCzTdPkEjbW5NQp+ayuKuLM
nZ0chsLyZI2VOImMEaMzcQalkUKZXz4oe7yTqnpuN4CFh61px9ZBnS0iHO9svVpCtSFZ0958yYtj
C2ckWMoV7ouSfF3cwVWCY8tT0R+8QuVeG4Gx1mPZ7KFK2hUv00yVlhpwLXX7O93eYCtDqTQQJua5
KAsGCAYc7ifSsciVzaxns1zQ08/rG0qQxm9+c0s9JqK5Ei6E0ZCCBtG7/JrUd7YN/jSi1DZuhdSr
Rwk1WkTVVSeijPRhsy4e1Vz+jA7iub5m/zNEf4zaNtgGsfq0oJfpzmQQ7KueB9CKmCOHHn+5SxIt
0xNUAq+dIyAYVLfOHxoQUz+2kfszGEwVaJSX6nFsxN/GqSnWo1DH7obY6ITuEPtzNKOrtSGY7FML
OR/oi5XioLNLkovtdx5pVKl8sC3jJXHt4QTu07H+jMgxCtraxcixh0ER8L5fh379MpYkUHp2rSu0
wmU5/SKGEdzt9/Na3XfOyoHqcfxaVX5ytdi4TpJ2me1MlyOsKUaVHnNBnky0/ZC9OxwsoEQQXLwt
d0Wtr/K/2DuT5LqRLItuqJDm6IHp7/uOncgJjJRINI7O0QN7qlXUxupAmYOsSZnVvCayGERIoU98
+PP77j03OAwdhDkdwCkSNlvvoRQjsNjmvSvVasIdeGiA3Y1IlZSHd8VWZMmeBeJ+zFyoD179jvk1
PURcMep+9DeaE/mrht0QN/sYjm3UrUKrx66Lj3HX+QFjfG0jjfApCfSyY1V5+bGWEKdckjtLzSyd
g9kV5cqlF5mrC/lRJyHpYtkYamulaOx0niIM+TTmQRo11XNCZyAsCetig8PaWJRXcSsoGY0NWW+B
p/Hg48QrpHVmXIXjlpjadoKPzEAU2QJEgycP1ThcYS/eLcFsLJjF94Q+br3TvU9ANhsH/klUO8g8
AxOQyRejtncdlvtFamMBa8grgtoBWktcbmXYPYv68GIN03osNNLaps6mzza7TSW4ehLYuuQCt2EB
mRgFFK7uqNU5owLTFvrBriyEsxQRx3ztPArgk5huGn0dkrgy/KQ5JGbzIqLgwDAlNkLDClsPHnb+
Cj9R52rYGFLwKwPBQAKxR4wPIy8jvk8jR8ORYRAMZZuDPBPmMul5wiXu4kUQBe7CTaglHciTkajH
6deHMGG4QKphIGZqyFNodOwXIK2kgqWr6ilZBKtLgsxjqM8gVooeOHpHecrFb3nrDwYVLl72FJM8
X1QOd3zsvuFadzxAkrb4Guy8oE2IHSlrexc75LAzU40jTwvOgWaEB40XCVP2DsyivpnNBQRVyrVO
7mhRt+o1Hd2nKG6eJ81tV7YdfcWEURu2rCYdMOOAxz8U3LlT+WUZLIfcEnaMHxnvdl1BFVRrmnIW
rHzr8oAtwvmjaz8SNsmqqzCue+Mfw/bf2BdIdkDTR1sT8XBNh0h1uY3akJUOgZtIL1a27Oy7hQHd
bIeKjvpE42kY1nEcqg/yP5g1UlNnndn/GbOfQslvJx1edA71yepgEgefJfPFJFk1Osrhggu2kXGz
2qYdjtWAD7rGsLZnB/SaOeWnPRElNuvs23G6Q9Ha48JojXEVaebE34e/jTCLl2DmWpgJKmys3pBl
uOWa4Wsl8ldpu8+ahDo+St1ZBDAS3Yp8mRHC2IcN6QKQcMO9SDQOdIykoN+za07+VXc4vgLd/Go9
9yCl800y1lrLxloBr/Z2tLYi/VDmh39sZc1y/8jnlpNtFjaGbW4tK1/CDeoHS+wmW7BsnSSJX7CV
GmInkQgkyg7itDs5z7YkfmNObrLWKagY6Q/fIUEBoxzYi6iM4noNFh79B8XIulxBrbTykN2/aiSq
VbBnbPZ2fOgfnclXVEtIQtCVwp2dJXxPqI+Sg2JhGn96Vvqkssl9D+OP5quvAsV2UeGbxdEusMv3
NpVx7XdWGB8K8Di6CZqrb+UsBxcK0Nisv3y1OUAAIHxaILPtWNZodSz+ywBRzWhbvOrLBKbizhUh
Czo/2IRckohZ8S8HDgjIDFNd5sa/Q5fqnUHPQZHP8FKRp6e/vzB3paeaVu7lYAsLKYnsj9tW9TFp
om8jYn9DdDHhomQN6yZuPww73OtGYp5i31gZsf7tG3q6EUFuL+yWf9HqWPlpvS5PsmErS7ODWLMn
a2A5s66ZpLEPPmKG5ZPKclbmwSfTDNT5LqCb1P4UrblwVQCDhwaFHEZLGoWX0uT7Gg+r3pavSWPw
/hjbd+W4m6lDX+rG19bN2iVo+qfcsJJ7zQ+c28+tSfTp0Zf042QEtK10bhQxvQdoKM4cA1ZTOvI2
Nt3wy3PslptzBcuGeWk1KQBcqp+6FXk9yh9y92J3XXj0Z8CTRAIAlhXfjBB1urPBe/vg7dexh+Wh
UvJoEOvBVZQcBkyT69KZWM67XMb8SRJUs4BJjRXQJlHNNPmAcdJO7w0ZKTYk5p++dVBMM/ISTZ9s
2FEjsA/nYmwX7PZ50UEkr2LM6VXGp9a1XIec8U3nKFoEkwx3OJKN2Bw2Sm95Kfv2m3QzDhNLPKWm
YAPPjEV9CsKH3cEsImiTsk+CNEvEWdMrTKhxuPukMzy5VtmbNtwL9OIuENUqysY/gUBHwh4PYIDZ
pVXZ72TULkpT2OKjdt3pESCwYroRSAKCDi1+QUfToh2RdzAhw2KJr3zJ0485WlJ75OzLVNzBWpE1
gp+WVVRLFh1aDM8o32jRw4hqw0/KQLSlZTyAWeMWtuIaYZpC3am0AsKf1c4Rqnsj/35spIsRXISg
nfVBHkdFfcGoblxPfxT8sa0f04qOzo1ERcqH90P05tWNsenz6ZgNLXFFkDdrA7OWm2wbiEQzJv21
U6NYtZjsMIUPX2BfcFi56QceOHMXTMVLM1wyfazuUrXxtrWEYArKP9tmFFwsx88Jg+0pCUZYKJhM
IeOXSmsPsZHULMERjJe0eaJtjGpHMP+DlYrcgKZAs/MhKHGmCmMAqlGyMo2CltBIk+2SkuB+3IjX
dvS+h6qxDrrpG2uKoRPyJpmGJyvTWzbRmbW3qyQ618X0bmU2ckDgwvPo4ZXAptFWXfdszQpynJ80
jCPLgNrY7dDwBpGKxgT+9LAueNFVbMsCZAZaWwB0HAs9ij+4pCHw2h+wmwOcGU67gWSjRIqfJ0qu
tc/dE9P+j23oZy1tcBlV6Wlyc+5otjgCsbYSwg0CUWjlq3Sl9OZeU8yysNNx1wYkO3Ej1sv/KOwM
LIXPeqlR2HI0y/+Ts+w02/6J9S4+J+ctkh71BR3qXa8VS1NslGs+Jz6g7nBCPe942MmPBQtZvZMC
9hf/0bqE1CcHPSh0cHEMNF523Gd5zONly/iX9GjpmgjfWyQcu2ep5Ggx4JPkKfPSm+G54wJg+Oyp
yQ4k7jDqcENs2aqTWgFrh4EKQXi4G1BxDzJ/h+Gd/j/stPkn7NT9X43Al//6z/C7+ncnsD7/B/9y
AmP49W2qrDyhi9m7C7T0n05g8Q/dcQyYpT7DuIm71wNC+i8rsGH+A6OvgHZqOvq/yrP+ZQXW9X84
vuNjczcMV9jC9f4vqFPb1P9nR5xreJYldDCnnm+aGJYturj+HXU62Wz82hJuiNavyllkKcIWv6jw
3qyJh2aqsvTmGO+M7iQQdbe8NJB3sKtn33ZWPArgDxu8v9o+DbVrtvNr+mmgcjO/BhWXcUw4wz6X
LqaPngwCV4Y74QWfqpsobgXLKnoEacjd6Z4xHRX334Vmgit3xBgvm5OB6NC2KokXQb9qCCNWpv/b
8QhryOBQg8pfT0X047JVunNp4Trox3KXVzaOd4A3QO0QF7aRnSb4k7XqltReiU8XfTW3QFXphcCw
otEnIwryHb2dVDvZD5wxyS/FUL4HqUKqO9AYE80XkGA5y1D+7g4dHmuIZ2E96Yeg4hfZp0cVJ/bs
MEl2oa7RfTfbPVH7dNwjx1prprXCHVS0xWuBP39hyKin/JoXqCEENBtiiAvboaRnXp82o/RYhUbj
Ymbn25r2bbWQnoF9yFuTVTd6iFr2C8F7ofv7QDE3hBSGhAkIhpbsu6lH2JeFA9/TS/C6zeG6pk1W
qTu25yoYDCbz6Lnzpfk9pOxb7Ki6BlNNSN3KmN/LP3KwQblkSX3jcF/XVZByq3xP9R5DdGVYB9WC
Ke8z75fbtUyzYewufSgDxDvZrXpZu3HDcBt1VgXtpn82gQDuwClw4ce8Wnp+veZnZW36sI3eqT+8
RgNmhDz11qLBEMWNVa1otv2yROYstNr4gyo9NwG61qUov8Vkjmv+87Wbpv7WIWOyJjpHFxGRG7ra
u/YZH+Kz5WCB8ag6XxdYazh4LPjOaqguCbt+g9U1bJP0baQ9EZJ4gzswH8d1riPvt9XgnqPshdj6
/HBYYpXgmDi4BWYDOiB2rU0FwwjEME29/BC4ZrERnvHoLWLTC+FV6YqvNeMYa8y6ZBVd+vG4BCTO
sTJZw4Ga6OFQdhAJcxtrQ26GO0vSukJ0c93Tu9S526CSPV7MMdqPZOqdXEPfg9QDyofAK8GPvjsj
qJLmp+qEltPuj4jSH9Vp33VmuxdfBuWqtVzzigvNRMqpDwMhrX3ifXGcGWc+/dAdD02C6oXPw3hF
fidVz0UlbmPry7Q1Bu4g+oFL+Rw6KDhWqXebxkZMMgO6ntiqRQdin9+hEOHOKIFEEBogOQC/3qTu
Yy2oJ2P/AvI7E5vBCceFqCt5kVnwC6tSsQtpSBEZBqQQF8oqrdqdlLRbBGGFhYsWBzfq1NaOkme3
pzvEriCGBxDyktJvGBmifINozG6eao+DCO3DkKr0YjrTjiGWTOHWGaJLppxHlzvG3hDFqxHyu1Pp
siPlQBXcXBY9+ewFmkQVK1eX25rWy60+uhg8eEbxB+48021+B+3NToyVnbcIn24IJqV3qyNLG+Vn
1lEnfQ+Agvt3xHdqSimZiMA1B3jubF9Th9omoCpcdTQ+kEimU5XYAgkZJzBWOVa3ST6uhxwrQap5
eB8jOHWOgvlV2iFFfP3vJMLs04YWmWQjfE3N307KBKT3wc0NyetWrnXSYm7kUEfLXabMd8pwfVZx
A7sBFAk23MEpQ+Xh7l88PCCoS83XL7AG5bsruA7h2UHJam5lmR6yCKSC7xiQXvClFYvRMACjUnmj
D150CMgaLzA4Nv7v2mzuQO5J+kVJjzA6wabmr1C0vbFWgiyfhQdgRTQa61Y7IMg1/Q2InXiC/r6t
bFaYzaCSnZb45yRFmJoqHAWeaPaESVChI8d7wrXoPc077aKs/RvjpnvzkD6YW+2lTf82V5PqNqmZ
nRM0wa2KX2N5x6hd3HofX/cd0kR274tDyGm376PsDLHiINtW3iOh+kUfg3D1QrgkFkbMv7/kVM4y
6eII4WRwSHdfs74JV7nZmRAsIuSBMHIPTJKMn/a+N1XCNtgtrvQsrXGqEWtrqcxOguFUuG64DBui
oB78HpzN7kc7+bshsZ8pzF30Y2nif/vk5VVdWMlHAreG27PZQ4/uZ3roE1WsnH1xau/RLpZzqquE
VG07DdWBUDUSzOqU5cR8VnRAjNb0rE/RU8V3f4chHcgxlhDU3AzbgyO911rnfWxBcjtX/KifzbCB
TB29SwdRh7S927MvjAwpNm5POZJMkwmfIDBAXWv9E4YzNHzV6FhuSWzHsjD3XWt5+2DMalh9Elkz
a9Nz0+sZ9O3CR0tWBzIiuBkLWEhe64ZrukHkvR6dmuSbVt8mD7BfLi+pjIybZsDNcwf7ocbUXqHm
m3Bh23JRpfGT3xXemgf+w+lFdZ/TzSQrHa4oYGO4o9bS/8ESHQM0TjlTNe2PlUhjG8WDv8h1PyBd
CmpYlu0tTUz9uTEIP2rqQTsy+9zYMW9KfzRGdSaEdVTKrJ9tP3nr0QShX4NtqIzN0NnJc+NwWNiR
7nxRkLQGXOP/cLDB9YvFKQ34v/dpUA46XOgJ1Q5LR+OzaxTQjUKjDH2M9ZUbzSufkWWCmVQH22ic
bWLwT/g0Zkov5II4v7BO0vYgGQ9M/3RyWU7OktvDAuERn1CDy3vC46WM9w0Ei7nCuneyPS5IVck1
Fl2fGhM9/ePMCAZwD7AEk1/SJ2mrYnpIYVjzhiMBsNIjcaXC5wpNB+9zLXk31LXPzx5TsO2T9qbv
yloaOqC6aBLvVsIxPKTvrBzFWtrOt3Aa8EntvdaC8GSAAGXTCekgayl05hsFnjmuq11qIaQYXPOc
ggpLYH5Wkek705dP3SC9W9kcCtvId2r04rXMwHLmT7lfffcYZA7SNV5DszvzwwesN7D+cvwLraAJ
r2nMzhM6I6c1ye3BeOlFOVz4vKprzt16oUYE1cD27xaRLE6JB5dBoqSZtpcuJiqfosuYWQgSPW/V
Mt7403DwC3NZOwMQ+Z/AUHLtz21d43ROy+Ggh2rbhuU2J7W5CpXzUTYAZH2h/eqTyIJaH/Fw22LP
zsHBKtp1R1NqfCGiDNIPZ0QK3J2N2QF89823/WdC8dlJ07G7k0+xXJ4RRo9HrWsvJuwmiFTq3Keo
snoWbUJrtFiln8yKDpLSNhEuCApjlgTaBpvAi1mERJX+VfQ+H7fA/ZqU73W5TYFgNKLSN5PM6w1a
H+HuApyuJLvKDlXyfNCLoXHZdFnHrauy3jFlX0rFH5MHPQOu+ZRr+xBvxWATlYKtuqiM9GAOCaNb
Fjosibm7hhlE0pz4k8cBfY2C7sYSFhIUiJGQ3pAgdBF3qU1EagNol6Fw4DLn/1o7D1YVbQLfYb8N
ygvHRQ5UDSDsGG5DN/a2sc67tWSvcx0SzdsVvE94g+MAppisbb3+QHjCIVbd0F2vKrUwBVDuMBPV
xo9vkTNDI2sSOQxMq26cRfepDZbS37CRgSDeptvYh0AcwMYpwBdchiA/l7XzGo94qYKq4FqO54Rv
1OfgQV8VBAITH3WKl2D20N7RCj8QUiDA6t1rQ/TrMDjKWCoWa3jLx3ti+Qw/kXMXPi2PNZMLSPCA
fgTh09fj6O/w1k4+Ots1TJB304LFV+FF0M7EWC47DRZD1gD/babjJOSj0YldELJJsO+zvvUBCK/z
ZIiXoT3//HUI1RnlB/HU0W4p3V+lHkKX8OIVDQG/eKcR5tJYzZSsWYOuZK4ZH2HIh0br7T3R0KD+
Zg7d4dVUOeah2N54jW5cIl1vsX0iryoLG+n4WSbs2hyz0vBEUk81zA/UgN/GMfpd6rHl1nQc7zLe
OHOGqxhyRL75yasqUtwuTl+TZCC2cyc+uPQLrxFjZ7YGv0NBnYyfRdCcquHk9uwogtBEUsFmsRoV
YovVGK+CMoFV6hW7nvKPZd0ynubxxbDLFy8GIZj1BAyihAIksE/NKpp/fhpLnGGkzdyYrN2Yuo9G
Tr/klDOGlxbqGGEOh3J721Fwwl36Qyn8rZz+WjsH4ZR7cGQuSbbuJXKs9uDB5FtpbvFjOeVR5A7z
WmavSn/isyjfSL6B9UziaYPjjBoCN8OnlkYsKM211kDVGmxFLC7xxiWLb3uJLaBe9Cxn8O7lP71R
30AOZ7vKw+NKrKvhPYmAiVIWzB9fSJKupacDI2rKpqR26rOky/4wleEWjMnHIFIFLosvUeJvlGff
C35W7BNzCEjheEpNBz9WS3XJmGHOYtUoarKvna/AeirW/nXYqiMy6JnvbLPWOIeWU2Hvm3EcnkE/
/tGRDvV5D0eDZ7dLLNi16GM73mX5s61nIJR4vzyRmaxWnp+zxkFJYKWBdz/BoqCFNlYVsz4LbXjk
RE3ZTnBGVpAUQzJBqQs5uGfItVhor2hEwy4ujGJTVyLA+9Y+0tL8ppytQCJunsDFflMHsVX9KC6K
/Y5W1tcotIC9di5mqKR8EWb5lpA4xhySqIWuDAanOmXSSoyjhvMyWrBbDX6sjE8MQA5mZJ0hhzrb
ssHUYtDYG0CJ6ArO6cjwz9mQXVs1hXvKPfC4OkvdhW0oCWuULVgyiiP3VtxvOUi6m+U43d6jYXRZ
27W3TNyElWYwXcMwetZyG7VcOrOaPKZrX1TrgQ4okoax++RA9NIF1UUcLelSofUd69EUy7y3OJ5x
7uqxz8WgMkM044U+qXvpdzWuN1IOSlDT1WroA0nLOoPtMkkOKLw6KTF64LJFhrWcuBJso47Jd6o7
a0vQ6jEDOhTu7pXybexcYDpRTGegaFzeZIpJyegdAqnohI8QsBxoA9HBW93ohv6V/P0rsD1dpJxY
zNjTDmvhwwaMvxIdlFzNMW6i894wDmtHn+Xqhbo4CB5dth5idAhYzNgKe3whg1L71Alg5BoVVz3a
CSa7Zr6yQR36c+FoYg5HBT0S3XnaWTPGMwuoowJcKjaVl72lU/RZFSraAH8+a5WAtmZP2yJiqRvP
yxDfCRGvqb6V4VQcWQAMPKUtxgTjQqN3c9BV22xq7W7Zzgto5xtdb9FWTN1P0gvwrLZ2M0X1/Pcy
/vcXOP+IUT2Br2AqT1Os2VvbyW8Q+jEo9MQ5bbzIZVoWh0QnK6h++L0ztx4pguFP+/tLNH8n8ILg
qQ4alqX8R6KN7FUmQpiWbQ69IpIQJcY244Es2rUMI7kGrWdSdNOU51qIjHIBUiuVOewEm511nyk+
9Og6GG+Eo3GAtcmvqPf+RH5inFIoHaHR34nJCm4fG1N5V0ZE7xyZnPkR261jrQt3LVOLvcty7Hhd
u20A6mc+liQiEl70TVtnLhYh3rEAVHVeZPxvxwX++8C8615+ScU4bdOIF3nieNFuMIOZUe2/1aX2
OUbmj0moFvuVdqv49i8J7VFkkrwikMfkAReJTm3AkI3BWo3YQWGa8JrMaeUu+xZTCL9wsfWWmdr6
xPPg3336rraHzzq9KM6hfj5dcUdSZWm5R/6AHzvpy1tGdqaaiu43ndeoaHhu1wn2UbY+6uD6WrhP
3PbHxDyN2s4ZzdRPPyuJYzZc7Z6vUyCeYslduw+qk8N1q2JyYXVNslQrrBPQu9duFPTpUWKaVP6L
a2hPfjz9InYXeNEjq603qlQ+WhcSlpvzvFY5JSVECb1xnXGpi1KqZyFx8m7EJAfsAHsBpZSGg5cr
GkJKG469CD+9mkCFUY4wBCOC1kPY7lDmDl06feQtfxtLpNS6cnmf+/M0+FrK+7I0k17F4UK3yGdF
7XrWkSQN+ulAqyvW0PHCnn5nctVdG4H5mrvjd2AV49LqU6zxlOEk4U8bOnSsB9rN1scnlOhLRsSq
VoCdne4TcEmYOacxMo6li6cib0AE9Yr3OD1AaYWZPdZdlsn3rtJfisBlbqjJpxBupOaW1YOn78rc
++rC6kf68SXKvtQ0HZ2MUg5EKtOGnC37KyZTcAZ5/C4D+zjoTO0RSiHBF2Od1eNegDSj/3Y9ujG/
C6ckeZyGFFY8VA6tTvHJc6c3DGjXqmPdhzK4m00LqcOyhQdWCtwro+kVS1vXcPmJD85t1jgGvhTW
hiTJJOEbFf12/ertbOaoiy2qJ5C2ixybqwcBtfS/HIGHIJ6jXHQA6Jnae5b9otNLgOZMYYKsD32I
NCH6I31DdLqqDis18EEvCzZV+hlSuYQhq0eiK6Hyw4lMQ6zqJrbpVTtb3AW7adfIPgtdPY+T+uoB
VXV8l7kJ1ZNagyDSQFusBXRv8lX2ESbtuIjJB5EV4hLNpYh1KK+mkvw0GaBj4mgzYxKVnB6S7Whj
CWaofNAAtjYbdbAK86vrRLv0UYolYYmssT5HdnBWXjTLkbs02/ylCNstuO/nceDD6wNrlWBmRr5i
YUYC2mjjVVxPX0mJ+yPp/GOVDZtWDrce9B1C2aFwPVQMwrss+YbDiLN7XQfaIqz1G74ZciQvXHgf
eciaj+RfZ+IklkgiFB6UZ0xIVEFDWOMxbTG1oNVMZT5tpkxcnRboemfuw9L8CLmcTyUvUKxmSTJc
zUSebTz30pF3tO8rOWGWoZ32qjEaFwmEhtE8QtLlnqPbp36oz1TSRktemJAl+unLHIe3CJd5oLIT
LebQpcmu064z7WXRvhVps40yIoxj94W4shwyrMPUXlEVMJCdKXCjo/jFl86ba6Xy8Ui2dR+PFAob
sOvLQpEGUeguNpzORFaA9DmPy0owtRMCZnG0ZTNyK2wShjT/ILMKKCXOqaYIc6Fz2wwcsbH8Jyq8
E474kGcjUOParfqriuRbT5+Br2GR84qLxylgvwrNPJItvySjedWZe+q6fGHzyvJjClcGayBP024R
AedVEg+biIszHgLTovdBl9ZHzpSBpkBZQ1iNOz2qd7UGFqo3pj+9Ke9lJbHW+8lv8kNmgU88ibst
N5A1dcoFx/oJrWjTuc2PRDBZDgh/SUnHzRxNgQbgxUgdbJ2DpFyNg0PCcHZooIaO+scwAVliCABP
jYleMdiKMb1ErXaOVfkDsPAeVtYNchydG/4pSklCABBpkqbftgz+pJXfVek9813YeYIfn4UDaM04
f06LqlglStvBREZbSYxHO7afTDjGyjMxy5ZINWhKZLvo25rpm8m73lQHl/EgSJ8hzN3CDEtw4i+I
rnAXcMjOZPa7z8++6+Q5Usa2XaN93cGk4MbRzacCgdqw/sJxt3HRvcm0fGD8OvTCO5SEGjCpWGu7
d7lRV1fDHPYj+8VV2vhkFEp2wZWDXYH1QRpQ7go5mPAaNQKQOQM6CmYUSGqcamFDr8foZkjEwn7I
WD1rJzMCghVTZq1rxQfO0Wqt6mjijs5bn+MzNg5tDVDE0st7aLG5i5pHKzvsne2Wt6G1ZLmOw9y9
YWt9q8yJ+3r8m74CNnasBrvY2NBme+qpZF7FPueeFf4qPG6aDc8rDrRvW+Ej4c7v8ciqfOt1OIYL
61aV8U9IsJqvaKD7Z0srLhqB3W2vB6RKlkDcMYSW3q6aQpSE/GRI/5jiO06I7xFoIm3ZXOnXYLoA
ioB8RZx0jrGrb4fVPc7AkB2IJCCJ2pOHHE+dIOrmKffZdinCyImyFMPMenFP87uawPoJS9oLBjYm
2vSHQoOf0rReilKGay5jW70Wh072j6TO99KDF43ZBLuYOXuXeAGnIjvz5D+XTA/Mv/eeh5mYMZ7Y
ewp/feGOosNrdrP7AuZoTSqIzOrKNPxnGHyLqBG/vXA30X4LwjsJ01MTD5LmtAE03ZstnHdzwhI8
jdNumASVvHNDBbpQPpujorbjRR/+Jjr17XbbdHgaBrXHfkYpSSIeelWvxoBhYWzZrRXji5vivqys
iHYOhpDUc5Eqk2JmpKDTj7RzUXnkE7py1Pg8mI+2xkE8SeyVFROcV6s3Py6oA+siYtdcl8s2VyvJ
aOwa8gmOHPhPgq2B6BlTnBOlNh9tpOJNbMviEIOXPmgTKR83xMAfpMSMUhg7J6c3riTi5JbGBTh/
01ulVZ9T6xhk4SrIo9HvdMrZ7tkfhD9ZCoFIoP1Dx9NxHFR2T1pZLKnIHZed9+F/jYPubQKuxws3
uxtD3RzSwN3FWP0uf3/JixB2pAX1zSG4orloyLqGZbMsZbod5kg9PrNuXcPaWcYjmlbb8T4GZqz7
l7+/BKa5K9jyw6X1bnGnj+sW0ywccWktnvsuwM7u2VSYt7mzapuWkK/p1BmgBYgnNVcUVm4wWeAJ
G/EPeoZ7DlqbN3XKmjL0Ll32nI7KOytXeZfQt+JVZoUV7Yf7sszaA+V4L63JFJ1pI/uzHO5DXdHq
0QlF+sX91XTZG/RUcgI45SHBa5vQi7/GzgPxXDIeZFqRLzM9mSNT48YpSLgVUpyKEeOihlS3GO2Z
wZkiA4458w1TCQjSFrMzdEl+tANw4qjWuMNAoKCTmD1AJ/UKZYvaS6O9WomHkDGmNEwbxZcnJH1E
cbkzDJUxSU67ZJqzrjPhemQvbYTcJysT7pEd7qBvN5uyYPlSY0Bk86k9vOo7jKbvxG/Ivgn6eljz
rlyWF9L204PN7ZPuCBO8V4TYbzbcpsFOzObb8qAgXO2iQNNoWEZWqgcXWajkZErqR1Awt8DPQtSm
90jhcq2nNT0WXL/7/G2E0e1Vur1N9xyfP72rmq0CH4l0j06cxDRBMwLbM5rRaGoN8W78Iw0iglGG
NJiEaEKp5LbHym3j0Ao3o3Y06MMM/+zUo4bre0j2Hu707ywJ6DrnfpjTcvnc9E16ZQV7ZlZ7r0qJ
zqMDPYrZ4B4D0/otI/VIWnuvT8y3Hh3p6zni67Z5/NCIzTHQ+3n86UpS8J5BQbSf1NouTTJGZx7G
s4FI0ZSwldto0zpJfBPlRarxJe5bSiz6egvFrNsVdnws5YuWlwZUTrxMnoSC3of6m+lpFnKlQQ30
3EvbETkfRo4/vs2Qn+Up4zJ2yBXsBdPfk9b4sLryO06VubZMtWPcXDl0taim7a/JwBTj1bX3afuc
JXGmd1srJcWGplmQNFj5BfSiOifA5pJFy4zqyaeeC7wtHx5gCnDl4weWBtBx8hNLVbrpkq7c26Qc
9FKIB7mZZ+Wy9/AsIalLx1dVi1rd6HaMjuTJFjBAY4zdGrXTw2BvFLeBML+7UQR3DcuBPQ4ae9fa
39kh8CSPv5Dty63dVH+aiF7fRpPpc40axlds2IEiodTM9pxjIWaCOgXagIGvhu4DEh2mM0/4vWV2
2+Q52FOK66jndAKaZoMpuQ+EjdGCg7e+pmySPcIyK29sJrVnvspYF7vpHKFIXzCNw6oxnCddeoyC
gXakhx5UeZL5D3Q59KH5n+ouqleYGK4QmMY91sKzJpj5B52wV1tqd3YeXMT78DfWcbkjmcvWsA4h
W5tBfhtL+gqmgbPKFI0F7p8E5aRpGxiT3T6OpmMOLLXyg5yszghvhIIKLShmIzxzad6TwRsy2Hyj
0vxDkHjsPSO4qUaPysf0PBy6sYGKnrfFzgKLfh4nPkMNhADJDlI4hsI3bpjaU0LyYcmGO8HQTvYO
dPjSGHGF5GP1RWRV3V3ZYU5C0I6iP/okiLIWnGVifowhNYDYWaRBYb9Q8m1xg7TWBkPn73gGGzfQ
FF785qCIr65KQ+UPlBiwfA5/+0B5OdJQeZJpwL3AY8b3lTBOydjpO2cw5FHRGnIIBOnurGFqYMn1
0QBsA33uxGc1auTdnN68aE4bb/TOa29WS99g3Qv1oHJ97l6U2Djd/DnoYTzE/ThukPwS6jtM+OZ6
Er7Hf+91tpoBL/aNwjUaFPjMSX40P+5k0wyZON//zdSZLUeqLFn0izBjJnjNeVCmlJqlF6xKJTEG
Y0AAX98L3ba+/ZKmUunoZCUQEe6+99p+NPAuRudMw+tpXrh5jvOK93BMFqXmTrkBbaZI2g+kczx0
ST//RaL+zxlT8RHnnHpAptVveTwQ+4scYiMiF6gpaIoNA3nzcTZRZeu+GR9yPFWOU6mTcOLyDMd1
4Z/kfNEBevQm+r/oa4DkEtSiu23fRvrYeuOyFKBTihYVr1PNJ63H+WSN1U/ttSH9wBq43PLiW4cG
5s068OSzqtjrm6FGZg0eiZqmwqLF2YSuMV7MM9AT82zZ6zE0k31tllci6YozXZ3///Lf7zU+0u1a
F7vfn1DTOO/tqr6EaBoYlIMCwvQI3xusEzxMuRFxrs/wBvS5XF6gn7UgteE9ZSYTcMfSG5E41Tkw
VHW20G0Ae5ecKEu/sHc0ulPuWzxyjAb8mripPuXe9YBwcNd/GS1SEbsJDr8fHuz+bVxJcaiXjxJn
U4cj2TPXOo8992B4HhDoSO1Tp8J8uLyk5I6fQvNpdmRIoeqGYFX4isNkeOpYD3e+af6xbEeef6/Q
71e/v/s3DYAf+u/fRcslzIyQBp5JNGdhluk5taLk3EPjO5vUVjTPB48Cu2f467m0uJPvzm/Ja3I6
2gi2lZx/v2qrcl6LrEWooJ4RSsV32sBdyK630upLDBCphjIyOY9B1UL2FNxJl1O26L1+b1v+S2QC
skhGcGm582IGIRBQBoBU9Q6KvDKzAQbllEJxLbK73xe5NBYzwnWUzbrppTnTC5Oeu8irs88oXXjZ
xXTcYuUZUJrKpfDHNLuNuna+A/XUWRShVQVAOmiBwgRtrDjfcvz1FySHZoC2t/z0Jw1i/66vObP+
fpW2qOlxaGBKxkKRxsY75DTOiaVYmlJE0J58ZkBMDNHng97YOGaQXksuJPLjLId6p2604pgoiZlb
TTFFXCS9yJV0dLFkADXMxpheGPGXyMH8qQF7B+gjA93lOsPqS3CSuiNchcaRG4k9gRcJYxjDfwyU
h8G+YajS+cM5SdoGUoXieO/Nf2E6FDQ9WlTUGmBF38UnGhD9nWJSvR+76A2QwklSE27jVPyQbuIc
yXhYV8raq9nnPSV1wbTLbPeu1Xi7gH34o/Sbc27l8fNgOuNlTOhY9RpIlUGiKH/REzgyOnS33fQ8
+bJ5n/q/oc6818DrqksQKJcqAR8vOG3v7OMk30pdM9+egTQwYNXvKh6o7wyMbYNPvHhtI3203eG9
CrN5O6cyPwQVUAB+suvi3ewNQJ9jDmwmLInvrE/eQmJFPhScmLUjYBjN1XjvJsV8mOMC6/4Y79GA
2Pf5wFA4oKe0yGHvHHuEVW2aNCjn6k+b+TShpvZM39lGnzZ+pAzHd1kRd6cWNQ7uuYAR/mC/udGr
Jwf7b9pwKk+1JppJ07YF33kSPqYP8hYgZnCSvos4vR1Ehk2ozNpsK3NR3XdFp9amavovd363W/81
EYH7mknGwq18BwLZsWp5HBzcnJzQnh6aaLPFiJpvBsAEz7USA/KAfRnHfzs8UzQ9iPnDxAvIwbKc
Y/mQgsxdJyAC1ynWpK2tpIAM1Fza3hwfk5zl1ESU+zqyfRL6d1hyA6fZ/ImxOj44mWGdq8JfcPrI
kmKdfhb3ViD031zV9EjyImZcOycPJKAwCGqt8IboqcaHG5xbf7KeZgxrYB3RXIx88jN0ezKqmC8R
/xMrRtaiPsBB6m4MBhC8ObVe91VOTpylBEiB0CYLofTWQP/V3yJE7J7N1YduvHLHE2AdEScRg9op
SuC2+A5E1v/1RyJm4nGOtlhY+s1AYNYKDJLa9rZdY9AWmthum3BATCf0OaFp0Cm56cQ8soVUL5kZ
p2cMOWoTNL387HvrRUTtLfWn4hj3cNV9qC/gP/9orBlzRKzwMJOFQfeUDXH5sxMsbgnv9/X3u+wV
DZVu/O4CI4s6NqCiGfXp90U2KT7uUO6lkdv08gXy4f/76vd7fTu8DwkOzF6NL0xSwosx0hLgNl6P
dhldhuXl9/u/X5HSalL4Y7dO05QhgNvE+9+/CDOrxEZxAumT3VF8rvN5imB3Nt061CK+ROTs0nTm
PiW+gnRO+rUFiErirq4AdMLNTPsPcV9xjjxQPYnLXNY2DZhZwOuwvrsm57BRQrAp5bXQCn5m+jgM
mdr/frtY/s7DqUe3dUSHp0bqVuq23++nQcB/s/xEvnxV1u3bPPQPuVd3W7fuMGIsL7NMUWCRmj6x
bnOkw2HI1G7T2PwDqvatgvN/9fxpuOq++t+vRKz8TW2F/VokMCSSmxmAvIrohx06YV8Hs6ONw5F5
lyQ8Eso29nmNE6LF8LfHkm9g1fKKM+ft7axs2iM/jE/cY2P1D+BP9ogm8LFL70ozdFpjuNmB8h5u
nLWiB2VO+15GtGUd7ZxTFzGRGmxUD56Z7T2rxrU1cGbP8iy7AtMmj8Z9UDQF3aENiTpmIm1Prn5W
1mILdMybWYXjUw2nurI+I6bSYR1bx55ZMqriJ3S3Ygsl291iqsRqP4/XyNBnupmfsd2VJChSlnEu
sJ4L3bo3D9SZY9QkhSdZfKySSGBubChtswej9R+ljxW01Ea0aU1ErKTHwzEAT7UtckxbrS6yZ0hB
8owZkvkU3d59YOiSaMkxe4Y8NgyksqHIWZW1rM9xFv1QLrSER/D4hMk/X9fuqdCEJBTG2qzZfgXO
bRn1Ac1wZok9oKnYGKmcDPcNmv20gRc9X9PI9I9ua7rU6dmOrjI62wYfclLm0zV10BTlRBx4yrJu
ZkIegLTsu9nj+VWW8Scsxyu/u7/1pkNfRNo3zh5im6MjQ1dIE99i3DUoQ2xE27SvfeqjAYubDQ5Z
sMcD/gUsgl5W/zQCMA3KUvGSd3m51UEwXkpwbowymAa6+lYYefOUqfQzNdJijcFoRnYgrb0RrUU7
Dd8DWSxEtOD8kgMMMk9CWFDopJitO6eha8rbUENyqTjXA+wDitjR8ln7UegRd+M17yHq1Lx21auE
LHQw8TXks7m3vPpcJ+hAEE6ALDOakSiGY92Pehu2WOuZntu3olX9MXU4SFlMgfZJQgpa039MIuHM
OjnVNi7ynTswmnSKytxXCxcHZjMUAZlfLYcZ5hT2R62C7r7wVYffmXeGF5+N3/DHbWwEt87TRKEs
bIVmSZIrvexpFACXZW/oFRnSwGP6isixpnaZukfuotR2r4zBpmvxZuaE00HxOKN4qPE/b1uTVFoL
NJfup4u2W/OqLbIziEj6/P1TltdwHiPzj/Tt+dovPzB4pkDPJonPWr6HesKGNOWusnpUBz2VqOTW
qrfCtRrRxkwIjof+1V1E1lPOGs5QLGSEK2rnCvIKht9ofHhFma4C0eIE7jNzLeTE7Ic35KbOPwe4
IAVpuNh3D9DHXJbyfsDLYpP+rgt0x2V7KeSorpyB1NUfA8WDSe2OHb+L6uiY2uV0n0YccymeQMw6
LciaGYBB6vTxcRz9d4tzqU/3G29KjWkTiU+Vms01cOrmKoW0d5AGXnKCOv2IUUAMaazrhj0iZLkZ
GV5WVlc+VB3Teg5H/h5XdHsN5lpRNdELxXZydkCj2k1NdR4aH+lAQs/MzLjP/bcQmLyR0ZNOLC+7
i6BJrgqN/mqmo9gDC8M3AogfsHXAY0MwUZcRKD8UaA9H9JsrV7YFoOplK/SkdUXNQ0iuP+m7iUDt
eWjePtrRT65FTxRUFpfhQ6T0s5nSLLBH8s/GggXXNzyevF43u1FBmu/NPDxakeYAmJtvon6Wad28
YvTw2/w+K81vbRTj2yia4kAesYUm0dhNtR7efIEQFCmwe6K4blDGzppkIvjHZTA/GuTkPnLTYJvx
xrvexNuQ6F6e6pJBbZcy7KkBw7ED+JiYK1Z6N8Lg4wDFeZj74BUQ4togQvgldt3pHrQTjnlzfOUZ
5Jebe38AP4TiXLzVkIHJwBbJhWZTxX7RuWdM56pR6i2kI3IxRzRVYW8mz5qgEtOB8zMj8NkbUM/e
jYyOt0B8Y5HPubZQqj4BJtrjlnS23SQ8ms40N+F2xBvMgdbJMmWwBkQdrXsic05tnxTvtN7JUKXF
W2hXnCsGB9eB8FsmEKJ4zzU+ITEzKyBbhFChuhWoP82PzHXah7KNvCc92uj2p03jx81L0rDf9UkC
LdUmxM/SlPVpJ89OXJ/J4GMK4GbZBZNUMpnua2vtf6+NBPwK0lycpYsXsXYq7xz7aJLyqNcbDnsS
E/sA9hPo3Zsc27vMoK/PXJ7kx7Edbk1TP02jlz5Dcdi3ApJnUNrGxui4NFEr+zvUAj8iwh5TLlcr
TCP56AT+XRzCh0jZDvCQd/4hqaEI2BCMfH/O34mjF6thmdlPAuVzkxZvg/08YxV6T2ztIVQczn3T
AdlvQ+fND9jK+fgB6gjk792kIUA1axe++UsXlzbQ2+wfXr+l9i2Td8Yq1pZyJ9rPMz57V7VELqfm
kwdGa9ON5FIJyy8pi0DYuy+zcAzeeibQKEflNqzyV78hpHIkw+B9qRjWA161u9/fnNgnWwqUiy2K
uzBkxMK1RLsbwFGw4W8dggA0X192LbBuHrcYAZVsXw0ZFzcHnCEBCCgPgVBeLMVTbTHlONosKHjh
7F1t9EQqDn31Th4VWTmkZY4G+gJrJiQdIetHXlf6wfa+YqI+7omsfLeYLl9MRiIrt6uDt8TiB2uD
dcDQNWlZztS813n9YDauQGtLIM/MJNvpjE9dO9Z7Pdd643jeDnOS2sfpULx7DE+7QJ0RdE03KqKe
wAvYSjIQn0BUShwZN2ho30UVY7LKMTJ5VviVY4NLC+Ef0jz9GQ39EDBoeIQOxJsd7D9u28YX+iLA
N/NU74Ie2OVy6H2ndnopWp5BhRobf/lws2gItlMwvoce12Tui+dItiiqpIdzyXbuu6xxHwNvIAvY
VWeI9d+/77od/vTs28RScCt0wnyOZ7O/VdN4yQMWHZD11kpUTQ25Rn0RxzW9o0YeAK5sPbclfBw4
23sKSNKFqLuZEdvtJcgkdj7g+nXmdO8JiZrYDfUS7hutgmb2+PCYvndz9VyFFH4ujKG9xf7L2I63
n3net1jApjSWx6NJmB4wh0Zfc25amxSHIRjsexLE3It2c4h0JguA9uF1txTCG5cz7JFd1Nq5XlXt
6UnQaZ/eUpGEZ5pf/bqbXVYBHb84k1mDI8yGO4Qrck88qMlpFDnvgs1q45Jg6AQRJmA7uTGYOjOV
qe+6IIORsbw7LD/GfZXY4o5J2wNmx8dsrK13vN2QspMMPbIbmO/IY19Y7FG2UCMf5myqFqfnq5HF
4zv8brHL2uSBhjqRwP5kv0dJQfb1GN1+txAZsQkkQ/XPkpgVGcXhi0JJtWZzYLca0DPTz2b2Uzrc
Sy20DY3an4NCvJ+UQiXHJkpZRILIctW8mTG8KYz2OBFXgmaAp4fQ8w0ds+bFU9K/xFSUK4zggPF5
OrcYStjR7TklNg8wWp4UhOym06sVw4kcWvzlpXJ2Pr2Vp7H8dlvKECtJPjsvQNKx/GNWZdxAQemF
eaX6bI9eRYGEB+L37eTmyH48kT6eeHcNJMsXp/vLKkZbw32vjCCD7mXMG4JuHI5sH1NirmkAX7Lc
jW8yax+8fMm3y8THHD4VNX5Pj9yTTU3zYovB1jtkpncP2FE++JZ6Uq7d3c3KRXbQwrogQufFgDsN
Ftm4Hz10qlxR/xbOw7zKwvrZSOPilZ7ChtCG6dNJmkVNWEZ30y7MJ8QAHu4Jm9DZ92xmfjNmyWEQ
c3KcI/Ew9fF4MmX7lfZxuSqwtY6d8a1yTJ9ezk43olKofIs02VcYjlRR0oROyy19FFG8iN9IHbKK
5j0ygHUkbfuDMJFREopOkcnoacZ9s8rHQL4UIddk8nVy9Tt7OpJ/8OXPZMM3+cwxUicoq0inMBQQ
Kci7AzTJZK9SN3xug+GJ9OngR+SfbbBwRkEBPPVF8ZQ6kJ9yoqkPAL3QOfkFmgJ40StRMN5lcM2k
LhWIiEAc5oOugXIlzb7o6/pG/Qr8H4/kTYjwNWmKh94U8seb6ctA4/obGEDAzBDCbpN26dGpGdT4
jEovVSLCQ0AZiS3F3eeAsQkcGvx107SnJpiyZztoH23XQQbiFU+cgRHK9dVXxQMEz8O6CEaT5PMV
5Dra2XTfI6xg/jNgBAviE539/KJBmG87ZfibybLr3ZhlIHHjIf/EufiA18KhP1qw8lSo51qr43B/
YwUYPyzHQBjoj/GT2xr+FolYf6k1F6o30PjSQ/dZB2L3Imo3wI2ghsfUdbmWcNX2TSQwGWqILTWg
RYYWiPioomEn462Za6LFm+Hba81vIkzkWyOU3GBeeJkbqU+TSqM9ujp5Uq6UF7m4YAOsEk/MDgB8
zF0CtrU0mW7hHFA2c27+axiPy7+jb+6L0Uj+gOBDMFbmLfuRS0JfQfaINjqF5DwI995oWafG41iZ
TBzrGgkYsJ0I1aGuQXLjsJUFc/7H8axirW3A48BNGTtaNJW2rY2r6z9/LsG5AJ0nrDLnoHoxqz4+
0wfes9zzp4mAEDhvaDadOLe3Odida25FD1CqB9key2GOD6Ob/uMph8y5vHAfRReNtXYrcLhTrs5M
xFWIXCqZjEsZlDhwyIukK5HOW4uguiRQwaVwwVlh+cwCjm6gdsfMPXUswvxYy7neqOTVtVzzDvvb
qmlysFgh3i8+bogjcnnf//lmZj3n9G3vLNvNcB4Ihq+Ff0lCtqtNosuSAo+VJTHIW+9nSSjt8u9h
yp9ee0ni1tC/AFDAGWgkEIptOhWDSZcJuKqPQzRBiIWOACaizChpfJSgQ9tCTM/ZtdBIohCKx+r6
+1Wh+WD6WP24DG23Er094iwjv/7n1y9fRR0upyg0L6hQrB1RyTiUExoog1n970uZ8onLlg1YmfYH
0rN4O8+Yt5tavnRctV2fJs2JSAsJJ8kDQDsXjLB6H6lFByTFrT2O8G12yiqF5ERZ99VszTtNVXQq
u7T8zwueT2jAnAfX8wjWusZmZ2UcoagDKSNTdOS0sYAiagORMm2Z0++LpZ1XVzTGNl2+5U7YGrhv
8NsKhQnUidZVbcRnO4sAU7fR3u1FcwAIus0Kh6Q1MRgPcVExGUx8ffLhFTY1mPfxSo4IZhWQAitP
ZP/cMsnwoRwAnJWn1GjwuUcIwX7F8gK8Kg6c0VUKvZbsN0XjMzKiXceA0ilCjrDNG6Pi6eQtFELE
sc+d3+xKBuoMmbG/dELpDcdmBxC+9yLV+A9Ad792oT8inaNMiLnYuiGBgWt3Guv6X+HTXESN3mKM
3SM32to1DmusbzbQGcp7w1+SsuLXKE5izgNEoqBWJxwOnyOpzM3RKjO82uSibeSsifhRRrCpuSp2
Oe5io1G7hBaf5MOI7Ai3jp0PLHAS8EGHSsa0ZHn6/QoufL5F97hceYbMbpKH694fd0YJkQ+U7g3l
ZXMSFbaCQYhbp1sc6ije8bL7B+53IJODPKJsVwv6gTzIFQ3TeD1bBIkaCP/WDIAxii6Xv0sNoh/H
eN60LnIpqDh/MJVbKNmm6TQmaY0laARlQ1VaNHG2I8Lo5fc66S7Ykc0Z7VWQP5QuCeKCqTBBlf7B
cUxA43YKwhMj8HCbAtKX1bitg56K27UQRTrxOVZLyq3hEhaXYibOYhkdWDwWo2KABkP5Fu0rr0uf
xxhiZxDo9tApjlSeYdkHpn3uIe5Yxbl/ifcVnk81PLuXEI3bbGYnbUPr0qFrQ29goEkKDXSr04Sb
gQepEI8TXYxtLkJoD810ArNC4Uawll+X/clbOu2/XzWGxUB3iPZZoOB3qfibLn25cZuJmkqsmjig
suA3Y+ErjJVXoYP8/e8AdDSg38g5G32eDTJKdiT29Jiia5qBaXRsgxHBQ40jA/3tENtYxZ35WAb9
f67vGKNfy1L1Ulh2c7K98b1y7WLXkvhXy1Bu4Uw+66h+ynMG126tzY0XK/rXcsy3QbktQ/ViSJ+i
zGxf/bFDla8hRbY1bjCHAbsdwU5jMYRGFjiKXFwci71j3GjOVnd9Tq7LbDMxYx7YroO0rW+I0875
WJm4wqBXFAUEyDyuKFFCuSl8tFA83BxeKPmaENW+WQBp7DogBaUPyKMxnp1seMLNbW7N3LnPUthx
BRYdmP/ITXPYI/jkdZQHl9iI7+1+YmNJonjttMAbPDuQ2wJTEUkq8MO0dtTBMNgNTY6sLHnB2TQL
MC19fO8V9aXEw3Hi9t5mIQ9rtSFhjs5qcakl7TtyJyAtO6xwWJOoY7pL7FYIkoiPggVYHBaFhENN
Sv01oOP0RuiZFGeEAUPtcokTcGIs20K6j2xe1ioBX7DuSbZFkpK4XH9Mylp6p8m3wpU23ZGxdOqe
R3nuB0sdfMt9QQ587VOdb7HSYIHx+y2qFABkQaEfjQSl8CwdesNmcHCC8MuCSgOAvvnWs36ewqHf
BC6hZ3mBcIJUQcL/wGWsvBZVlnbQNEWmrQ7L/8Kjzseu7sdHz4VG3ABJfOA6fbT6z4jigO0ODUAQ
F485Aig8DBebom7feS/t3G6ivNlHTvCVxdBLfFWhyOjtbE/vrkVYw0VU80fWz9m+N2eq1mooT/99
mQXb1OyTHEAjCgm/U96Kzt0bo0d6PbNl12//2LGstqgasHJXMGXWDk3PNeG21QlTXE7aTvi7C087
FcgnxEU8X96NITMhN4NbI/NhT1RFCMvQYUXLvEiuKU8J4XQqvTDmPeUYJw7FyUGxpNYdfyqXl8Yi
0itum71o70M/wGYp+McF2ZIemdUDN1LPIbTL9m0XHmWfGnviGbh4E172HDrhMKBHndDL4dMO9syy
Ypra9hf8cr1VcQPqcs5MhiWEDlV9MJyRmvveVJ85gvtr4dvtEvcgz2iDoSRrSB46W0x3JSwTah91
LuYiXbGwRhjxuW9k2KLOUiz+6QRkb+4IsqlgoCWF/WJN05fqaWDRPf6YOfbumF3e+sax9iJDpxWM
LGsSN97vb7IRM6JGbNIt2vLnKSOJMUzS7q4IJYL4UMU7TV7hvgn9W+Qj3wwy9RJm5ByU2DEo1UZ/
Z4f6T9fRA8g8pbdZPfuHLtfHQGAU9ga0x/PEOWBFwRudfUxSOrNTDDLGl44qegbt9KxKlHI5zo9V
FSYvtLmYyiwvcWlGuywPnk2ny7aRN4MiM5+FTLtTUn1F6Hp3CHtwXC5O7NSepvPvCxGH3CWKQ6gq
YD/56Q5T9aeWkb3rSu+jUsMLA69yP0AoY2E1j2WGz0+GajxbZhueNHqWVCCvQRZ/DirE2xkwgMBM
UG/TQDhOIPFrJx/PZT0i6py6k91hRXJzMBq41pKVdoy7jmiAXRTEB6j801BgJ07ih4LoTmN8FTB5
fLMRB8OEzlKQMLbTI4x0G1DeurUCD1FguGHr9fecefRppO5IAJGu+Je/oUpGG8S8dK2R0XFzmvcQ
KJpjNaWouxJmOaWWW+5cZJzE1W/kQqMPCWrHsXRvazlybTla0h/7kXZOc6ZzaT9UFLe11Yk7mx7A
eSY+YOOHxmWedfEc2s95gJwrz4SHHsRp7+tyn0XxLcsawr4H6iHAe8mrAOfLkZVlajCHkuQGHWGN
95ByQL3YoG4CK6nhjM/WfkZvlfgQFPscI6evxKfft/nZSnw+LcItoT4Tt1PiS04b/AJ18WXyge7g
yj5BaIA7FImbX+h/tsE20hreCiJyfldW9Z9J2+EpHoePL7gf2bqPyfsmB5Usq5Qoe7QFAG/D81x4
xt6S+T9KU7ZdixZnTmoSTIIHejIf0u7aQxx/iwZocGFkyb6VZBSz4HHLcxtk1pButCDwzfAJCQmt
sbnPE68E+v3h+iBp5tT0Djowy11MRNK6iOznHtLoMVUwU3Tc3M/FjwM95IA+9N+Mbf1usjiK1+h2
t1P4Y7hTtR8mwu4sw5vWLAMs4+jVwq3iBEWaRcDGUDOpyAsGKrm4RwJQnWhmGaimafHU6YUNmH4D
EpZtbmTDOa9tBDpsZ+d2+CzjglV1GhAW+xWKf7MPEFZhpi7aPDxEoa13dfOg3dcZhvK1LlGMjb67
k1x57QULx5SZeRujLibYq8mmPwzF/sJKRCNbFeIIvH3dSfEvUgF5BHmKQIY4Tb0dSkykrG44CzAY
AV/lKEu5Sgdncbf5OfxXkhZXRg1yw4kAiY01pdqQnooUp/U0AXXwB3mJZY9bIQEz3E/ek+N4DaU7
11YlFYYwJySb0KJYKwr72Q8G9awl2oQ6pzVlJYTEg/d0KyDEqvARwLXyIR/Mr0JV/aFclu04ZbXu
1XdII2XDHL49eNkGtsDaywPEbo5kW4mcf2US9sySrVcKhEufzfmVwmVtCpzncdi+LJlhix+fnKwu
sp8CknGNdvA3Hs4RsuDGUwSsH+upHe86r/1HVFO1p9uxMcbMWZE95SACNfdxowpOw7a/HmT5Fae2
ufIxYa5Bg4PlF2ZCcEV1wUqQX4B40a7hzSVqdraiXFJS5xDYRyKgFOfFN4TP4mzEzpcbzTDgre4O
6y49GCfcdsZ8JsO6c79pyWcrm/Az2lprKKAuLjzM4l3K1i74iMG40VGVoCwhO1ZAtZ5HXYO6rSzM
M9Ow7xp0MRCaPCwhsCzcGddu6t4P8fc4jvU9ny3/a5wApAu3e8WCZvTWIw8TTSNX7jDVtmxo5D5L
O1lBiHI2Yy1uOjW+IGfzBGeYxd0ojNZJ1l1JdfDWqrNeJtUNXCkfgCjjJ0wA5ioxqic1DD/u0J+Q
OK2aKCnX/gChglhtsqEwJyYhAo7JaW7Gbxil5XI+hwoGNwOQpxsRT+38nTLRcIAhUSj1XerYaZ+P
6bCKGtfZzAV8jgQcFClplEeKmdnO1MnNMbAGu+UVcPN5YDq6Gpw+2Hphe5uE5K7MsC2IOGEeHsfl
GvD/xc0UKm0e9nUQEUQOS3uDhcS7dXjQD8r3fgK4zp1M0TjqMFl3EV7J4aMuibRCYrPHKC32PUMX
8EMb3idgjhLziWA4tp+k/g7hB1+c0HuJG8c4xGX5rqr8Wk8KaIODrWrALJhxW276IKLHHxDuBaJi
LckiQXZCJqglELC09RH51XpsLRD+RBFigdXzLqVsa5X/k3vuXTakqL79H9J9svvUgquROPmhn+ur
Vr55EB1nxXn64FACKg8oLOXmSjqIBUqSqGhUjtGGdWkdIFJeE26B8ovaGhytYi1BYQkFHzcOo7Wt
IOdwRYgSIUCjb22wRVR2zR6JBTMHSdV7hryoOCXdAp5BHJCnZPlzxzOMJSLH3Ix1+C1Nuz91rTxu
Po5NcoaK0JbyGVIHZMUYYavWR2mWM1o4RGVJiG+/jDmjZNmGu+19yiAChtkjY+QW68kSOyKxnI3B
uHb8zIHMDpMQ4m4lznnbvXptfCAoCmf54r/OzXbJFs7vBWWDCPRxoFW7EiWTJ0Cty7T6JkPxmSfz
Z2CbiETnykaqQrx0OGfcKRsd15Thbg94pvEBzzRPBiSGHS3iah1N/UY36n5uxgpPBJKAhqcXtt5g
oH/lmGWEEIhtWA8nZvDLghSjxcexVHmRfygNqzqRyMsIAecUsNZqQsLjFXupEm//3+YRpq73BEIL
jg+OyRFl/DohyejUlt53QgcGbz52DNfs6RTY8w07nrExk/i+nGsePax1dGDAnARJiPx1JujVapsn
ks82/hzWZ9USbasiE0yc3bO/9Ol3QMAUKbpr03XJECWG7CRk8W059cGpMMsUOKPIoiiO+dR3W6ft
UHYK8YOqKbqiomABT4f0s3YMNrxTB77hNSzi994r/vgqOOrBm25RfmMx5UH7a46NdckgWcvaOyB7
wQu3LAhTUoBNStJ2Ta+Jw1DY1I/xTgGU03X4EaJ5fgU8ziEOTa7Xa/cR38MXxVsEE9dJznUH1RwK
JTcopqR7gLl/LDIsnG5hMQ+DwP1OEGo19ztzaLBBhIZ1P1XuMyPHv3UbvocSBih+Raq6KAmLMzDi
bJ/3xuOsFc6bhGJ58uLthLMZ7DrI4mmqj/mvxy1kzkvwMy7xLM4PfJwIcvya8zSQmsDV99aMIhez
9iWo23ifYaNQeI1rS35YefYwypIGinmkIdBdMpJrcY4TsdrYnnwXMWJWjvk52OH71PTxhYUPSWX8
MOs+hLkbrmqfxxms/kPYL9WzgnJP1KC/iS0sXalN7rYhjrOYwd/gPvZICdoF2GKgMSDxwVG1FEEh
1oe2P+O4UXs4D2xMLbB3YjZpgd2rMUS6pZ0XxRmB5Gq9EiYQFCvN3xBhjI/QEGm1aDgPcRIdirCz
2SFa+hsdedfmuHB28HxUQUHjNAYEHZAFfiTd18Xv00qqOILAKam2XeGwy5hRcSgHDCQDZ2+TsmPt
VfExrZz2ENb9ru85/swYq5tcnhClE4Fzr2xdMx0xx12dDxY+XnRlTjF+cE52VxIt2hrBxm2Mmd0n
Mtt3uQXrUWNSWu7kvMPpk9bs8+0mQN9OIQsShaYW75P1s8hDd0u37zA4FhKiZubmPTfGoyx0foyt
/hZzJF/1mThMiMOxxgWfdkR2CgXYEADhcv6HufNqbhtL1/Vf6ep7zEZYSLt2T9URs0iKlChZsm5Q
CjZyzvj15wGoNmV3z5w9d6dcBWMlQCQR1vq+N0Di9yqT3Pr4cFQgJ3XklxZIPh6UcHjvZATycyhy
njxwm8fp9xItOSUaxTLAtLs9gD3dJy5EysqBKZOwvkORMNWGpeqZR6XIOuzymmsNcHha2d81g0Su
fuv34k4n/jG3GuTdhuRVrmDGm7vC+1b5QH5jICyrona9TWWld7Vr8rGT0gCPECbrSVfCRtxAkQFW
SdkGqYV57TUNFs5mtgEL8J650OD4LW/A3Okg/dzg3ooKcMlY5czztPRuNPDVJW6BjzJY7WXvg62u
Q1s/4vJkwknk9pbaMtk6NXyAIb3Tel28DrIFtBz2/SHKsOsFs2YjF9JmC1VTmCRGkHSK1lk7PpO3
IQILlnBKW0vyQ0LuUalljF1dzOASXSxJKqNyo93JaBSlVXoCNk42sohuoXrvOuJ6Gr9wIyAPpQER
U4DK6YzLXEegDEW2kw5F0GEegf3LSXUIeMU9jlVod992I6w6KImnACYzxBhEbh+gqYLnlNQXeTH6
CQksc0J0Vq7kBj4MafOF6wGHF9HdMk0sVmOESlwBXiccaibIHdxxWNuEgvMvg2ERcSl1bgvoCizb
iE07GOZV4x/YQItfmvE+GvxjoDcmH2YgSIdA6jJFi/0qEcNXdyi7nS1LNmBoPEWHqDY2lh7uQ5Ky
s8zweyacnrLLqnwWxSJfu325lRVnZ2asKUwDxZemSdFg9gdUETOvv0oz3Mv0nnADyoBEPnxLrC2I
z1eu1AIDEIQ6XHScKnffhcrXMstRjSL9aZkP4GVZ22VwJ/1XVyng1ZggYCK/eO2tU6vEz2akfyeK
yjRX7699helOpIfPjgLFEJX5UFV4n2sj4mZc7LYO1pdc7yvhy/ZVWr56WX0dS6ecKSYR665fG6X5
DDZ/69pRxS/ncsP1PONAzYPrRsjVy0S9gO1a4UCvflWz+CAKGPSw6hYEKrCmzlnGRFbwYHneDuW2
jWV2d7GZXT/XkiIDeW07Ll0eqKUChs3Oy3YMJbRALe401yZPOOTLEGj7las5+4LZ4cIJIZs5Iko2
XmHflJVuwBcC+kvEz1vofQwhhneGq24NLrqZnWHsw2zhxsjFhjs6WzuiXVmoNEBONW/D9j21ma2A
riMAkhbY3SR9vKwN+Z23YUB0zS4WiEAVKznK1Nko4DWP0f3e1Yr8OhhGSXy1kFbEe9G6AlfE4waD
ZD+Ej9Am0k42sfeRa74QErD2Kuutlauw4jJt8KNyGKBNZXdbUwuIBohk6bkO1j01ij1B35JPP8Ra
+YzEJMpnTA23BbcVnknlqSQrUwAXXKSeHjMtapYFntezEkopim+AVvwKXYxk6+s71bl19PJpwDcH
PZ3Y3gr3K7FQsrlMm9PYdrdmVb5ZVbMAW5xtuj6vlzNH5l0em3L16DSInaF6lmJ4wtobQV8lR9bB
DIHV8ewYEmRHZVtW71RPfGnlikU2QVChFg9RW7abpPXXedoeilo8WXGerpUUc+t8cNaBooh5YsfJ
DGaZKfpuHqCNE7ko3oUFuFAigXHslBtAAFA79CBd6wVmlTpy6W1P1qxK+r1XdddkwK7y1NzIIeKI
hbRsfULYmi16LKWwopbkCo1RB9ISugrcsuoGgiJxbpYRcpXptwrCGUJfoQ48GnA25Dxa516FGrwM
zHrP9Oup7d6KhpduFkXDym1bVF6qpYwUygwIhgEOW2wHEAbAGLO1AXfcCGAeuboKK95PkBLMq5vO
w7otSUNMWkdZRchXPmCGIRzuRbNyyGQtgeO9cn1hPBKE33MiskjZOsdIMuDJwVDlO3QCsqDPdRVn
BxRx/SslKRe///Zf//yf/3rr/tv9lh7TqHfTpPzn/1B+w10cA2Cv+qX4z9W39OYFg95p1I9eP4/5
5/z0f+5/+54Wv+1Py/tfe46n+zGQw3+cfv5SvfxUWCSVX/W39beiv/tW1lE1nYQ/dOz5v2387dt0
lPs++/bH729pnVTj0Vw/TT57CljW9EWcv4fx8B/Dxk/6x+98ZLIuL78OOHsQCOMfGDRZhm0pqqwo
poLE/9mDQMj/kGVbKJawTF2ARuUkHxYEAgsCyxCaqaq6JhTTNn//rSR36f3xu1D+IetCl2XdZPqM
tYH4TywITG10GDj/kJv3P343wUGoeKOrQhWGkG1VVX92IPASA9vasgIcUcYwW9GPcN/qpuWmVVmY
MY2BdTZXMXlEyw8uFlZWeb7ICb2gjoj/OSpB34rSZ40WeVa7ZZks7hsHGQCrA1YXQl+ck4KVZz1U
5TWvEma4DkxnfOsN+1A5vTzzMgs+FqGtDUpE2mzAroF3a+5d65oJNbZBBA3z9GKDQKm/MJEUWBI1
w2M1V5P3Xi2lTWpZSByrhg1N30RhoDLdFYhWoOJ4L5KLNL4No+INnq3atkVfcle6hBy8BOv5KxBR
8TzvFGdWuKAsscu5y3v5Ba2LcM4dTZypgGsxKua8ByFT0QxxCZyLAa9VRTgK8zew7JU0WKeoMN/V
IJaugr5OuLtle62WAxOGLB62Sq35W5Dw0k3M8hKdYonJImm1pdERAlHq1EXWnptYmGS5RVJYi6zu
K+wLXG2RtVU8iruzHpcTEzNpDdEmMwCkbaVFdwswFP+shse2Dft6N3RmcCDxhf6nBYmJpVV4DfQf
CzKZhXBht8qpJ4xzpfJX8tTT8aXW3fCJCCIGFOHoo6UOJm8fHmaB1QFOznIVsWskHQolJpShV/gt
erXtIgqXCWRqQpKbfoekPxc/qC2DyI1upYQ8DfNbDgjhXRiKdlRtJ9xnkMRuNUtJK0LkRbtlIY15
ZFeZ2lYadP1O2I6tXSdoYLGsU4y1JES0KwDRvA5OYq89WX8nsIhQaGdoLRwzJLJSrGxs3S2ealDS
XINaGOCZhGXW0uLpdcTo6JnJIOtysMKolkZ2642Sof2yIao8J/AVPOe1GI52GPfHRpIid1ZGNUTO
Wg3zY9W0rHqirN4Eqlfs/M6tmPxFRDDqBNAz1hjRrqt11CDkot/blVqAMhuEtw7ton0VJLW+Yf+o
HVDicu5BEbYnYnIolJS5+iTDhYX6W1veBhs1sTZAeRNbNp2XNnVwCMtBkSMAA2mx9NIHSIf596HQ
miNsCZ7dkS6DPvBs5bq2pfTY65mxMYZ82GBO792TTZFXpqkrX9qmD6GayI60KRLXvG0jJWD63EoI
s0ZKs4cHhV1HBxfbiHQdASxXO6hxXW0hBtSHptWLpR6UpFFD7qN35j0NuQa9/wpsnGdDxvR3r9oh
DN/AqVcBNFiULw21/+47o4awmcboQeZDjAFQaqzJStr3tmGxFoQXQAYEQ3VkcBwUU7QmeKsSxUIK
KS4yA/hX5t8EuDN91dM+B5xWAKFUzMCMr5hzYSKn9aPuB6zdHD6KFj5ZSEXcN3rRbZgfJNyZnacc
4WrnN7ZT5iTKYfkVc2H52r7OpQpiIx8ISZA28u8s4tJYsQeZijZA3Rv3hWG0m5T06DEWmodzrU5a
ghhPnGLj4WJllLg2BA41egbJl7Ge4LDviYbywLxgFkNSht91WSHeiTmrU3FJKjyUGtDMWX1rOgZI
1VxS4TbjwgE4UuRwwK56kSfb1NAGVB88FCKMWt34kqWAq5Tc6xJjmMdES9xdrgmxbLoSnkyPgvax
MUNWnWqC+rLHNAJhObAMyoqrpLtui0pSrmJ8bwFiEUGBFuQl0jzXMIIDlikxJ9fBxdett0FoDuA0
RkjIQ9SCLMpIjwOONzBRysr2qxqoxp61n2suTdBTsJUkolBXaowTO8m3/ICuKK4WPH7MJbbUpDNI
FPKEdtzye58C/cRFHd2h0YYxwxbMVMiOBiRjpS6GAGxpMOMXVdkR65EUNKaDFLmUyMEA72pojGiF
apa7wYgx33tlnXszLzYNNHzqrrlXgwEfVhh0s6KLsTLQcwcfGrt3vsmtqc60DDWnSMsmO4k+H0C/
mfLIKXAf2r4mDIMwQAVW0q0gRfsoTSaZsuvw875z0bHdSEYpZ9BLKwKCTc8TXB7sfFbrAH+tINHe
7UweEOVARVp2q+QNFb5ub3tGdgRhAYnAjtK5FZfDOxbO/iNgm+EtjOsnYsbdHGlu7XtQVHxXnatG
XFbqcNJNM/rKJyZQrgOEvFN1C5gSaevvqOT2a5Ii0rNc2+qr6yD0JsgJ6QTwQwlUEXJX61Ryh+8A
OJn/ebVrLXpFIILnIfN9KKJQXtlyKX3VWCkFKBFmvgynmXh9atv1zqlTeCaNHB+l0pJuFJT43nwS
XXO1q8oHs0pQrYS3tdRaOz16vWa8W0YZrtoKwHIOmAF2ouuWxZWkltpdJGAL1oppwIsg5dGYsj0v
cla34H3dRdcadTXDe6BFfbgfxtxJYxlfIjRibwgP2d96BxUPQ0oHgmpIePIM4L4gLwhWTfXHj4xC
A+JWlgMl1pcI0foG1gYuidhvrVvptybf5W3PpOe7QSxkrzim/M3UB5P44gD7t4t1YIyxHUYwS4cY
cZYEq2yjT9W9WYhu23ppRlzBq9t1W6rW90EDgwug06gegctVXIOBPYLWzZWXFvYtXC7WBmS++hx5
PCEdrEDVMAVuhYCrJAqE2kW9jJJBz/hreYpu1JyU1SrIshRzic7JMFELAv+6dIoEKEbTavi51CJ5
zes21JYIL5N9SXGsdtYDwPtiroiEPzAOSDAsbQy9u6smr028a5Pe1b50Zda9m26Ill6sDfu+axSe
TMAMzGvLtpyKp5jebVLwaHc9GuD7pI+s18Q2G5kHdShxoUOAThcZ3q1gm21UjrBV1zehIvfEIYzG
5oUtDHtDjNBQ35EQVFaOi3zSSEctg+u8EdomRwIRTwydx1Rl2PpzZhr6CdtfpCVNM3/vCO3MhtIq
Huo8g+dqtK0w4cgUBTQMBcvrqI+w2MFzFCW6UkoGAUIu4ZEfYnq1GTpyAFIsRuyej1mFAjKVr8Qy
VqqjEBFrk7K5rn07XqoiM/YGkKCtalUecl2V6RwSW+SvzNc7gHZMW2cGUNZ9SvzqO5zDBGzBEDkY
yTnu2nH8/qnJfP+hUAEwy6oCeaHKZEsGM6mXBAdCVbtDYKU+kBEjY18KkuWzFijCAPFIAyHQelK+
gFcYPjVxFB1VCZ77rLJBDYM3C3UcSmo+Foh/bRlnLjSUVkdSOOiz5A6Kr/OkSz18/DbV3wB8Ve8k
vgllWO6AHoudSw/ousq7MNZ0xAddMKP4QxJ/8QBBsIgIsIRCAv5aN3ssTzreI5YKaayvjRxNS6nx
T3lbefMIiiXoFzNHmSCPAuKCTEMH9DiwCKoiHFR5Wmn08jPeAOTbm0JSumU38uzZFadcipHTj3Bo
AbhCgg/Vt5ce48QVl461yqoK2RBUxWAfg14ebpzeLp9ip6qwHCTTp2Z+tzDJpiOuzlLlngx69AiW
11jaoNVrota8jEaNHGspZXCAiTMjmX2FCBJMIUJnFf6Crkd6wS9QTkkya9imQaneGoaVnzwLZrZR
yRLJAVWIjLh/oVeIrhVknAyUbpulLjB7XfmI5OFm70ZI/CHnPqC2qAByx33Dg8zlJsEpDVCvVlUv
XfW4Wn5NNNU/cKwILyCv3Ze84JsrCy2q5zzN60engnSeD0EtIQgeY9vqIP1BcCAZrVDVIlBPMN6K
ndkXPe+YwLutKi0m7SZDi8ARh1i5E1nWvemX0THlBXIUXALeXIFSza/UBs6tqcs+Ui1M2HmJYr+Y
yUF8zZQtmhPKZs2mtdgU4Bkwwy8iOCVRQX4/QVf/3mxgigHLA+hNchHQlEEUFjyr0kFgxTXSq0S9
k1OPpLCH63yvCWvvGAACGtJuOskrxAaJoKfSbmDuLWZZi6bQ1QB/58S8WHvwdV0BJRKEiL23qcGc
rY8r/5AEvnrnlTZubFXaqry2XFfaCe7nlROb0o1qixoKi8wfhoCaHdyiF5aDMFNaUBkC8wDeFIm3
aGzvTS4IIM/DJpHjFUqySo1nTMlyrqj7sobT3vc9U/Z8IBFN5iEwenkdYUFC8sNCCrtCiO45RPd7
FqM8N0fOzWMlCP5yZrXkUb3BJOlTpB6qiq59V1vkArfC9NMFQX/oDyXfujPE26hL67fQLcjNl2gj
f/3PYyk3L031Lf81PvI5PPIvwy3/HwZRVPnfOjmiYflzDGXqfw6iSIgb4LyoK7YsVFYIJj6K5yCK
Yo+REsOwcRSeqj8iKJbyDwIqpkWdiZOQOoZdLhEUxbKIyAjTAAyp6fZ/EkFRbEwkP0VQUAEWumHw
n2HK/H2yZfwcQamMUoMm1ZOuiLhgS3+FzNepKvIUxzQ53U97l402+tUmn2p1R/VwHRz7NwopnThO
vfnfDb8cjdeMJcj1j2OcOHK3lVTNh1YUO2uEMCogQMCzFrK9UVNyMmPDuW5qnsqQSXqWBzXPZase
s1CWvZEidWGMB1CDFEGuaRcFiwzl4zRyNjbNoP8KCDvjEc8Dh74g86OqSKIRFGEBrD04eqbuLsU8
stWdEYOamVqhqX20Ko2hPkytl85/N3ZqvXS2xkPJ44myhMeM1I9uXz1atO6A9ZmuDi7khlHyAI+r
YO+oEEDHUmQ6GhF89qaiIrUfI35psLou2KPdwZTH+9pZg3HT9oU4FI4D2K8eZwOu6yxKW7VXTF/7
J7iCOzIU/slUXXFofTJDU/3UTSkcezWNsv7aLbDtz0ebuo1HS8ejEagol2FbOTM/V3S0YRQDrHuG
JhKlYSCdQhJA316K095lM3W5FKfx+VB8/aV+6hFHBBM6A2BMdhdr9a6BBbHvxo2RKiBNBU9WgfjN
vumQHiG43gCdmCpKybqB2+xtzi1T3TRw2tMS0rrIEYJdGkdPm/PgCJ2EPdZ2LSKVcBFd2LrC3Rde
4+5zYuQlwqDXU+lSb9SDz7nHfsD3NyWg8M3U5dIv/nGQqVtX11udYOPfd8Nde/0p6PsR/P4tqeNj
6idV+cfviibLvzwKLFPhuQKFQkMwDp4pEd3Pdq5RowpYDLX0PXAEuod9PO/Vyn70rOApC4T4bgWb
3JPFN7NCuL0t6+QLwBssFCS1vjFYE22EUdXrnFTpYRqdoVU0jS7G0bBfL6NL1QApJduowswCAldX
sVa9kN6N34xePMmIUN8PQAlWgHejtZ46xf1PHSQ90e8hz92Ycc3XiiX4vUT45lqyAABMRcvS4juP
Se9UsqGR3YM6eiIGWe6nKi/sUOfTSms5FdXK/8twvBjOwxUEC3Dnw9xd4IsSmhLs0XFPSlvS8xlu
sa7m8iJN2POyse7v+o1159axXydgksKZfFATpdkVIDfKNNPRoglL54ZMCPYnvvGM8a23maqa0qFV
7SHgtZ1Hcmjsd+ksycX5KFNVn3rSzfl43WA962hwb6ZjGmCudjUiWSZZxR55YQNyUSnDKhJk+7bq
uJn2po1UJ8F2qPWPuqk4NUx1l+L/dlhpIDOW/zjbvzzH353ycg7mZYmFQko4PhP9NIalpkAgHVqF
PLuR+0+e0kQbAxsv0DCDg0SZga09oCgPjFyeM2VOJDxnKpICamWhOZCj1JBriBObAhzPVAw8NE3x
/Kn2U9FBx6NPssdfBgUm+kvTIJXs6iNWZzVUEAAwIrjRauZdbY2fUJFmUQEnx5rpsZrdSiyWTk6P
q4EKvnjVIpx68mtE8yo1zq9kM9FPUxcEF2Z8V/ktaubvkZ6T2RS2C8KJzbQ3bUi/1FtF4jrHF+1T
/dQ41aXO4O5/dMvakKT0ZfxlmEQ8aQsL69x4OU3SNV94ovEtA7TdE5/s9nLfIUXilzW0BurABXb7
oOtxEJzKiYzhoNEF8SKv1fRZiwFfFRB8btVkkFaD43YbfUiCQ0Zccj6wLmFtWR+9UHe+2RgaYM5b
v8DkgoRUVh+DUpWwg25awSHOtdcOzduF38BIjnuEUq6kwUN51VXuiODCzJUpTZuS5Q4OWQRGz/2m
Sot+OZgS3EnV+NwvybOPflMPqRmAmhIGPB/vPHY6VjUey2x8Y9fpBCk7RRymjWJgXIKJIzojQRNA
yhpbHDldxlGJ4cnkX9okEiiCyryWK1c/nOtaw8NICDNWJP1+VJaqbl4NUhSuPlX+ONjlpKSa3tLS
xHbZKR8lEfZHZ9C786aWAS8Vuru/1NeI8qDAhzPC1C12mv5Yto58PQ63mgz26dR5HOr2vMs8/H6I
z46gWR0gu+W1t7ErG2+yVD+bReA9IBSYrgyvg5mIl86tqYJhS4zQeIslb9Hi/vUc54IVCajCXdNp
+l4vAV+omWe/eC1Py7GrEZLTIGnRHpEWgy2pNdWy6ED6jaebelRtdz5dMp4uiPSP0+VR/ul09S+n
8xJ562SSP7RXulPtWG5/mz72+YP6DkDsMJD2l2/M7FgLJjoy1SGhYJi40mCMWNLzsMvXiC4QsQTh
7KcvkJdduAtQBsndhV4e61oPd+Q9E4R3QgBAbgto3goIkU670wZoT7ib9piIdOVVlDifu58rpwOx
tjwaSLj0xkFzrGgeIpEBLLEEgxKXZb4JCNRQRjRkGQR6PSsQiARB0zTDTehgqBcYHupJJSmTIAnz
TXwePnbH+ehu9A6TXe/V05uWlZzzEqK9+wI+8UUiQv4yNrmJd96REye9Ja0aXHVtgD/LiI4NZLS4
gZqlR1lva65VCCikLIetWmKX2TSufow6w597TeA+osdByj5Ik/cGARqJrBmMfxOAtVy3b7KMkL/s
OQVCZTDjffJl52MWtRFte4cU5HTMUCs+jikTIV3FsmeuZeE3AFGq0WO7HlRQt1F4V8nqoROOs8On
LLjL5TY7MB9eTG1TVWdV3ZqQjH01FacGiVXYTOqZEFzq/p8HskddczQxroA4WMdCqOAsvHjAgMQN
0SOQHNRO/2zwhdY/92kYzmqNsOClwR0b5LFhGiEjuLtHUY27VU+GY4qr5uKXvcA1oFkMVn90Xbf9
tfUyYmodxn5eBA0jl6CEn3KcYcLamk+LkgjW4Z1Sm/NpeTOV0Kn6VBrbLj1/jCMcr60sYvKLvn/K
WGTc6mVW3nZQRI6sK1rHLm6naqA00d/UMKoe+0wdm3HUT8dxOpIzwrUXQPHhWUqyeIBvdYOuhvfa
53h+GOiyHFykbvcy6+tZo/v+q1ClBYC04ElVJXQTfb9e+4mpPQCnRuyNDtNI07Wig0jwaerMmCUX
JuYzxUHSzooaIjiV3Zt7Q6Tmnumps9URly7Gqku979sfPVr+zBnh24wgGQOmBhJziCJoqeygloYw
tYdtQCbhDM5LBa4HEesjuc0cRCwQ5HIsTnVTK8vzd2FG6FyM9VMVbChza/Tmtum6j6qpXjdzsAmZ
0qHn9WffaVSgIBqSVT16dn8e+3K+Xw6SlNI76+x6czmGNJ5vSOwtS8F40XiaPJ9+p+ln5CdSrbL2
RnwUujvu1+kXnn7CP39mTw+aj3YzfJquictl8OdP/NMR/3qMXy6evz3OdIifjlwrxqcz/3KMv16S
/C0CR74F4ECdkABoo2ljN/A0JB7vlyrun+AKs7xh0/3opicxKgNBFy6nfi4221ioyuoy4WU3+zTW
s1BLbry3S1WWpOZNAXUUbz+48lPDj7OmiWaf/5DLWaeDT90uZwU0qpPScYAz9Gr2HHbBX87qheGn
s9YEpm581DbPf0ilatKVPACs12t0OM5/yY/PeT46+iYfn/Fc/uXzTX+WX+G0O57p8of/+HyXj/zz
Z5xKwo7fB91WtjbIeQ+wo+TWMMoDAC2w6DEbNr3mVDCxJ71j3UuZb2cArvXXpK/zXRwbzSlPJHfN
Vw5heWrlQJFrmnfTyMuBPI/jtkNxPtBUckiKXZMUeJ7esq0POzqTtS/TOzlSzDScT7ufXtxxH4c7
L4ZoLDLlyzRs6jLV6y4udDgJYekoHnL0uqcIClwpGcpxr8zbMdBCEh7RkVJq9j+6TSGTEvvJjQbt
eY5gztrsYjV/dfX0WnQCc2Aw8ebOGDdjLktXo3RrAsnI55GdmjsCeyA6FFPos47fYC6Dl9uJqG/s
JrpOhg4OYBPLN9AQ5lgsAkYZS41jN6iso1S1jks0Q7qpDHsF4WODyDNeWqyEYs/CJ3SqJNsm76P2
NB2LMP6wC8L4zcaLDkW8gtmbizLkeiqHXVzeInRd3OJCB47EzJmejMVpYxBCveple0AT0XfA0Guw
LFM0OO7KDBrOl1JSmDfkBv4rumdusQjRHnFfQx9Ww4PZd+2D1pYveiRpj2aAprdko+PWK6V4/GWQ
hfPBNEhm8XZoeTvz68RAS9H1AD5oBVZ/ioPmevoB3MxPEZ4A/jP9bJIDrsKKYb1N3ZipXE+RrvHX
kXsRb9FBGmNn1UuRWO1eJDFrojZl6TOVVW+KrH20Znlrb84vXbuH6yspTrppYWCulNyQMJVHlKDh
jO9p9JiGTvqmIJozK1hRHi9d1Tx2T1NXa4BCXNkFgZGPV3lf+s7Ws7xsG/RAz1VPVh90V4b+jGzx
lQpt/mFqLQWwDsV2tYfcybNtPRaHsfjvx+YdartOgFTXqdUdfRfJcMniImmOqaJKq0zTiKtKrbGv
GkSvXLDcD0MDnRb6uv6uad+nqFHfiJMn1drTNDpKcLT4ZXSdEVlhkV6ePOhr9ygZVCvHciE7iEZ9
uBQL1P/ORQiK3iKXrc+t5c/FS+vUeRprFPcl0JM5lNRkj6asv5OSpEMapfAeY4HActcY77I/ooQa
+SkXOYsXUWP1bctoKgABXlQgQqaukhc9Kg73tGwO/gk0PQDtce7cNMhyxa74HgT2mmRL9dIXGAXY
rS7fgXiTl2XEyiStU2kLe75cdpb0eXiaZCsEzcV3YETrHkTei6KZJ5g7KA2EkVxixYeFuhHE1cro
sJcYAglbsywkkOkU6Nn43JotgCdF5OnL3/VovL05EbnaPH5D94xgUgS7T0cUNlWNcEuwIDoqZgKS
7KceGBRacNz4BZprxJMfK9FAwQYe4GxZTDuozXoSODiKSVKNlr5crAjd2axHPNsAkT1tz/tTNxUN
SfDXLBBSpz1WojcPeiITFpfqY9en1mGadI5tU2manpZu9ak0tpWKbR6mtr+Oy+swX6hwMvJqnrUe
Uz0Xgtl0F5BHrhG67BBqHe+CS/HSiuTBXzoDqbAOH1HLyoXSlPmB9hBYyMVrcYD81ljEUgllmRAl
dQxkPxcvrVPn0mk+Wv+jsUrt6qPVKvek1JDjd8VQ7KLMRv40Bm+1nMrTRhfeMjZN2AHMbEeZKPpM
DYVeW2vHQPXIMzCVJXS49sfcAMgpSHWDOCFnHB50O8WBfqxHdxGGqUwK1R+D/mO3BgThKU062JAu
Ri6XbsgFF6hGjW+8n7qdjzYOD1z546RBXo/KB+mNGhUWVqv2sAJtwBI2DBIYQ9C3rroCm8RzJVwI
xdUhto1VdSx1xwo3WKQJGJYyZeBV06CsrCQq4Lyx2cC4GbquZ6yCQjUWWRyo154UiqM1dDwcx2Bz
jcaCxK329Hc95FenZrIha1J5JxxR7Yu+uMmgxNxNVcTA0F4w+5AcAHhGmLvaHRNH7V8OCHLjHmuh
Ct/gpF9aY0g6yFDybk1wpMhlxPeWGog7v33HZQHbxXEDieDVKQuHdy6lotfhHwDyG9U16DGOliry
7qVWx/eZ3EyjIz/p9pUXHqHDmXuWE6xqzDZ7qhJRrz/VQV5nzYKR3TpT4jdvXNVMVeq0gpnKP4ad
69qY1XGmSRhuG8x1a5gocykdIRQWK26iBZu8KwhfjlVuLL+hqdrsNF3TT7/0hxZ07j81Ala9kmRL
v8b+EsXRzE6MrTdmiqYNHh6IoDbl9VQ6d+nH7NFUlse9UC8S8Fs/hkx7qQCdO8SMk2B7//tkiRhT
IelEIJhw54ZuMV/mn0W2xDYN+ZesqZaXLulSO3gBCKMg5YZb+Gl6rHWQSJhtjQpCP56N0975gTk9
K8/Pvx8PzKluGqdCr5tdnqSXB2sgEiL0sjLMa6Pu9ipv3oUREnOU9LDbTxt4UUZLcI2WLOtgt44d
666/Q8bN52fI/QriIYK0+I9h2mWaWUUGxX+ZXhl96H1FIkK719PcWcmS/KkDSaEcmRufG+3q33+L
pLp//hrJOFvQCxQeQgKbRHgGP2ecoDXhNpKIFDPANJgbScvfiICeOeZ2ofbL8jWvP++6khP5vAH6
9rF3qSuJPl7X4+aXuktxap36OY6O+HSGOhtwDFh8Gr6ova0xacnS2LkGt9Pps/Ou3B28BMdlP6+w
wO7C4TpJ/DrGnZfdqXLaoPYw8Eocce7T7rnSiE8pebxljmMPa5wxj+IFBeCcsYy8JSqJptnAu5JR
lLMBssdd+mVgvroWXb7oGrFCnlTegPl252mgHGAEv2CnmK6cCnI2pvGnYSgOpZoTXehLZwdtZ0Fy
Gvys1w8LxKvntuPXCAsYX7IGOG+rAiXh8YS1jGNh54jAnG8o8lrDEshTwn7lNVm7VGWCmzngLy7C
fmkSoNDKuZlYzqrRunCuRbjwRKCN/S+eLeTxFXEAT7qxZYUPkRXvwkVgW7X7R0tTkcwz07coyJ5Q
G4aKIEgJV0GNl1iMxwAywm77pUNmY1ZYcESxg7FIt1UGwLOERU1tX5EbP0DDUlK8mwVa/KHX3aEo
eot8QIsvpropsH4AVIUbHJjkRUTUv5DqCAW/4AZcWXhFhj5fFN7oEprAUIpZ2EDo1ICo1S+uhI9P
OU4/BEo/qVaJBWgv4HvWpi011HXQvoyRtXgxyCbhtopuegbgTq61jWoX7iJskeBX7LLEgTTbtbJx
b4RoS7dGgdqXzXIO3hxBYP/FGXzvCl1hf6ln7tqvvD3gh6WaNjlk56i+drFSACAG2AMAL9ovhVbU
V3h5wjN0oeRhxSaFwFKzAuvHAk1IkUvfnbxVrj2M8xQ37GZVAN1XJiDYmj2SZfrJ1zF+kG243I6E
7HwovUEED/eiR0ShMr7omvQKwu6KWfBjQAKAlLj2Fmr+tWYnOu8CjUsTUWS59b/JTvbktsAJqwh1
fAOBNQRbjVszDjy41M6yzru91ytg8j34fDHAfPKXwVE1BgB80rNwmAkiC3SX17zVtf9L2nkuN44s
2/qFLiLgzV9SEiWScm2n5w+ix2x47/H090NCLbC5x9xzT8SO2lVZWQn2SAKrslaupXgf2bgoZ7D8
S20phftB9MHv4FOHgWOX8yZ41KrG+VKozf0UhE8eUkeFxWUDRFcLwolnEvgeUrAvejkPD01Yf4G1
ghybUr668Pjtigm6rDh24n2gqSCyjfILInAAfOEbPxSLDHwD9JnKFP81UKvwLnWB4RpeqhyN7o9W
/W4ilFFRjvkwUW92qFr1vm8h4jUd94BahElNK0Dj6t5TY/ueMvKSHX78K1eQ97U3mzROuWsaHzrs
idpS7lbd23rOwek3Tk/5Czy9k9HrN4lZH9Wp64+5AUtQ7cIX6RQmXFFNBKKlRJa1gqYH+qkuBRDY
3Xjq8AA/fgjnAtXzqp4DiX6uuMs/qAV4+LnyAqBx5UOOBMkr1F0Hs05dkM3qDvit8tizLQTzuzd1
9Vnx5/Hc6SMvnpDb0haM5W0bLSXRdn/29bh7HU3yyRBLQ42SFDf9kAN6NkbvyQ/dV02rztZSdAhB
FeSt0DmUBmoBPqSQ/HOmx9xFkoIddf+Yw40dNsG9A86bTCzJMrSlvYNBJbuK9DRSeho00E1KjSdV
WfaM2qkR8pfTd6CLI27Meu0Uzjq6N589OwVDjArOTRqQW2uhkzArAMDtTEUmuXEkrCBH0epx16lx
/IFKZmRxUQWJrPihqBF28q3pe29q9TmHc/s2hxolquFc5ddtP0yp+uhwKLfM9kNlFtqDo6GB3lJN
iuCFk9wia4jUfa/duWo4nbx2gJ1xqjSVZ1Ku7Wbemc0Fnzfi98MZT37qhGcql6Oz9JQ2pqhAxkoP
ayqUHPd2nn+zjHH6T+ee3Yzy6aCLR6Qb4JpWoTb6Fluw0/ojpOsIMvevWeT8pi92z+qLGxixkpOn
UA3uwuVlhY33LfX6kuV6fi9uyFdakMR8K3xw7ZZr2rcS1bOaozda1ieKsa1TFy9UQMvqivTHztYS
7cVw6+IZHj4kppcJHQ7+PdxpSD3B/vNRT4xXtYGe2kHkCLS2VR/LMR7AWi9daSYlbNbeX07/lc+1
41UILbsPCqSt28GHD3Eude1Gy7XxZu6TnuMhTWNYiAVHmbdXR5RCLAWqM76zMIbVmFM8gfTgatR7
iy/txDrzRcZLdh7UR61Lky+GVX6aAuirdfg9vkB0+hB75QwHPKNmTvYV/9Uo3K/jL3ux6Y1lfhwi
ivoXm6tV1b3mckIPvOyZ3dXAQTeKfg3NKYHJAyJ/9ofJHS/Z7wZMjoc2Tx4BVVPzAdRbBW+xNADS
O+Bl7+MWnP8f7VzWp7BzlLM01PgoZw/xh9s252/FI0VwCjrLPEkvNSKulhFtCOYLgw8lcL26ioMz
JoxllW60L9x7UPhXcPnYpvAbArpuzz3MmO0O6pZv8WgVh7EFJnxnGEjOWFODJOcElUqvO6eCOplT
n7ZvPT/rb0Fzp7ylFrUYRWnWRl+GVzYvn1q0JXaIwMwH1bJOpp8lJ04M0Mi5gQIH9gKnSXpYFZfG
h7L6pEf5voiskgTa6BylKSb7rVe999jmKny+mMtbFQobafySNMYOyZLpSLVjd4QPP3OAYnAqKk7t
jP4IScq9q0Ltt04UIzKdfsWLEUIvugA64Mx1tYCMC//VfGWO9v+8Ddaud8EgOSmH5XeLIkPPgv70
510wJJURUkKozZeBch8nUOLy1dFyn2lAHWNDuGEqvMqnqrkvIEy7c6KjPbcwfNRmC4+2Brbd27GN
PANs+OdPpgMm/emco9qU3IJAdVzq0lSTU8/PH60wwC9D5hUek2b6BL0rd/XTgHDwe2OUMHdT2HZp
axoo5iwVOsZ3N+mJ74XNjci//F3MCz+J8r+M6Rj9IoiwhJJPm07avtK9/+/PSD4Ufm09eEHjIyWh
iLpOZKrhx8Lwi5cKzTTNDKKPYmLvg+jIu4cfDr/amd1N/ieQ+wp1FvymVQCHdgHUF2tvoWm+ti1+
AXv9c7JQbVljYlQ7d5i1kzSaNc4P5P5vLkymixhjNCGZJMaLJRfdZCgvFmrLmjZwbNJCfQBIDN5L
5xQ5en03qBOHs6kxz9QpQ3cCJOeclw3nBzFC+WGedQQAAaxC3bn5bEukF3G06Hfxf+a+G/8h0sUj
ZcFVFHma2P7qkfJwmU0qtqRDPts3dTarp0Qp35qwRBfPhn9UMYJLu7jVarTsOBdnGUMwzlg8tzBQ
cP2ah6p6p8vsFjqHQeMy7rZkjdtYlQuZXaGtT5CFFzGul28fQ3oVlxrH1qKU6P3jSU+aq48otovQ
2xJPdyCnD7W77Z+/PncLA9kUFJnxIvGGzihypz8aGzKQdLD9h80kvYAb2Au3Sbe1WzhAyMG9L/0r
P7H9j2NePWwbKuME+///It6ghG//jC3o+2c0ivHTP79jTeNnBL7DO9YhoWqbFL+YlunoV0mQOqlm
Q9XN7DhRVbvjoM+fvlMA4enLJ+kBcC6fzBTk5jCOqF/9ZI+XybGxjBOnpNvNX+yyckzV7BQbHVxh
uG528R0DqrCbAcGBZRI67ZiKk6XbQZQNA1T2eBWyNQyEVbJEQ22Ql+mY1hSbqb7PZotvArEVpcuP
YBuny9fDzcUb+KJ7FeRi5rKLMCAnwj8rvQ8RdkciMZjhakmVdHqBhaLkAyy3GfMvDrjiPzIEhneb
qwVp2upKYU2519Xc485RH8iJJQNkBzH7r5cmso4k9TToEBlVemG+8Mam+CiLqElbbAYnvJemtZEo
tfkarNSWNKiij92jAdPaukxsSyh0+95CycQWKhvtQNlR0Dffjl2B6OP96MDw2qKme+KbHOLZTofs
VcYyA+Nf4e83pyAOmlN3tKn5phqsUsCvXvbVuZ0f3u48qlHN7pqqbp79CYVMy3gaAHYBg7LvgRga
T17ujOyWFwdMYZaYTzKQxgp1WbeZxfIjnJjXAMbiGcxrzM3ph3kLoOoDLPt5ffGo2FHKc2Bl8BfD
ErCgiAS3gbhH8aI4n64sXf9pA5TYbiQ+skDQIGL5EYfj6FLrtRDJvDmuyJQfoS9GIfgCeLNAtL49
dkWS/FgnHwKdw2DRl6lv4xYSMrNkdy69cBlKb5tAvamGKtx6zFybdMT7ArFfDbdIMrGF2yZkmQx7
G/6/BF1phGwg/rrbloDZainDdBXoiLaVhdYyfpuznH3o+2QS3j9725R/eJri3VVo0dzZkLXt9MJb
6hQWjLE++inJP7g1OCAkIBgXHPHWpIqTvU0jRd6sa7bpNYREs5YQ8Yj+qxjF5+I5MhafYoljhyCi
0SrnE8hMx9/JulqGMgGZU71PFzn2wYzDk2oiQrpDiSs8ybhcejJsON8+vF3YeRryOdDjUbfauZw1
MpPzmBdzLeiOxR5C4ymEOpx3m538mIaY4m3aKLyO6P7b6lX5RkRwEJJYwGE/4qgKf2LiKHFkVkcE
aPeWhk+sWSEDWEL6CcWuXe3LxvJ3WpnCxyW1TL3ScZWnpA76Mkuhkswby3wixUwynxbKUXH0mBrm
yS1ujGHhvVT6+nYd+7mnnt2lkZ40mw+gxqNi1hEXJkV1CN3G/RB3lvOik3MlE+19EJPlIVVQdpV7
K0OZoNwQurL2g2+b7ocxM5u7oEjUJX39tshok9taq5RnWVOOrnswOHrtFeiwqYU0oudOqYzH9Zm+
R+1oRi2nDGvYGXYpF1FmXdmPg+ZUR74uH2Tk9SrCg3kAhcMyKcN2Zhc8heV4KxNQB6Mpoowglhb6
9yyYi5Nd1JziZFwvxPBqfZ46kvUyEPOFh6yQmZSfZrmT7mbcooyJxU481/ICALj/In5bxG3FZttc
TPlE21h65fLZNtsEY0JQ9sguFtqTnfbDZ911/sjmRH+UkdvZnJ7TyTjLkDzeUj7f26fVlwpzMseT
fww6498Oqtb1SZXqIAuGE48yQdPhoLpUEP3+/UOUB0tF0f8ZRjf0+rBSjr1H6f76Pd+2qFAEASRm
2xHrogvZgHHINf/rzB2Pdye7gquFfRXAKCk7AZl2/Li5ozwGdp/E1E7xTFI/1O2Minv4+oPK4UQj
MzJee0Bd3ozrvEyly0rTRU1CnLY1q4/npvqhgljgZEJtws0xFIBJB2GcF0WK8D7DHTS7ty2cHK8y
gUBCKhDoowxlovAT8get+yyr+iRUH4HEn2ROTBK8oeSC7/0fgRZSabJ5NrrSywNlos9maC/qKTtG
WV++1MXvor1QL/AKafzlRnGzuX2n3uTQ4O2uJmQoKzbnK5u2wDMir/rsFsVzGCr9Uz7VvrZLi6p/
CnzbpSyaVw4J1c66EaOvqp/U2q8eIq5dNHBcav+EIMLwGCYfL0xi9wPDOSgx3DISWtbLxLCs8mIY
6iS82GR2jfD+DJng/r44BIVO5t5vlMeqj+NTG3FzsIyQ9VMepbc1+VB8SiELut9MmxvnbfcmHKm0
/Kv178G3BVdBluCFqr8FVwoEHv/5IOCYV7mWpQDXplRY1aHnsx3rqvwOVrds9tDEgO9/GMrwVbGc
gasRqz9zfTigTEHjDWR/d+sY8c3TMP4igyu3v7KF4aLLajbtja3D3LNGXuP1djOcJUQOHfypVn6R
wWbe4l3ZlOBH0M1FeutEP5iN9wjWk1uW5RC4Hs4UqzgXVhY/rEOZGYKM/Mza7ZHkRtWxuDh4Xkyv
i4okPyt29yOGHNquzmvDEmfSSapcTVwNTcRT/vlHqRlX+ADVUXXLstmxO5oBtcZ1KWU/dHbhTwPK
JsuODNFY/agVj0MehcciS/VjYuv6UcxbEy9eMpymqjL20r3y7iBly6h3ZrVmwn25hi6DlO8EcV27
W9BGFsj4Ympdu30IdXqkPidYn36xRNZtbtdPuPbc3C8+nCyH/Kcg5ZultwVb12I3I4t06uaKg6kb
Ip5eK0hFDc540FKzQtpmXObTxoqV+2UK7unxsHp6avdqO82nfCmXTZcm1Ku8uYkMSkqmyAOFhYh0
c5T5zShDM4r15gi+klu0xXOI+Jsit0thlDlG8Ph5UFMGsYtUlmkYBfk26YtZV1vnNg+5gKuhVF3u
V/Ftg646XY/7xSjTHBjwXOfXfik8RGST1/XmjLZNaI57vcqafQar/XiYSbffT1P/pUwbSAi1Xmke
rfjoD2kJw1YDtAcU1sM62U2wjfHlk9zZqRk98UdnASSupvLWXAKaixGQL3T7plrb923RfhFHaaa2
q1VSg5rEF5Ms4EVBlOVJsEe9/PNfhunBmnCJnOEvA8AH/AVQIahsJq4ZG6cm6wstoaSHImMbcYYf
BadbfedVWSgMPsqt6qCAsfhKaahUnga+C9Pd3y7bqlNl3ZWf7y2LN58kh+mkH+3fN9O2rFbT36w6
RBIRTNuTEnFQbkfdf0it7rVy2DrfwEdIjX7QoLxXLXA0MU5R51N0NbwGA0pEhwTSuZ0DSchBvPuM
b0l+YfFZ4syR9SO0TGzB5HnSIMECzCKbACBQ6xV/6MwoJA+4bHVTvyxOLq+XB2tAOyDI2aKKTRpx
Wb23sfSuQ8j2teSyE56gHLEx9AButyXXIQBr+dZe8O0wo92Npjd9Gma3fXK0nCvhBQXILTtqiG7v
LgT20y8/uw0h/NJjh6KXMysPAP5y65Hvpifq2voF/8ewNxVUfJRe3SlQ0NypY1R9I//y1IdJ97GP
dQ99rxye/MUeTpW6HyC+POngDL6ALLjhNFZ9G8GWHWR5ODCEVOdRlvtFQBkWfzM7sZf2CHcnMkKI
xR10h5PjFdBfIP9iE9y/DDcbdGjrKsXUfxT8iZ85k6RH+XNO4q66AbhH1iyCNAOMgX3b5X7q3YlR
mqx3jIfWbwDP47c19ZJs24bS06cE6o2QO95tAgIhcm+oM6HrNVLetAii25QHKKFoo9v7LtLDk4z1
oIjWngylyROAdk5McRoLpPHQ9v0pgFj7ZR7Cp6IASPAeW7rJZqX2cK970AhqWpzeKtN8eSCV86lr
UHIN0oeZWkPPL/HgbnI4/RU3iptp3K7/WCPDmsPq6uO1bO4hlcZHjrd/6yizJvhSs0fZ1rfzveo7
ztGMu/ELyP4/J61onjQlGL8ogXJIFeCdU2BGX7RhDxxi/DLDav8aBik3mviYnqc9GglUUzJpIXty
dDSysjJbT3ZzGGenu5Vh3hmLnIrlwv/HWioX8n3sJO5RhlniXD3cm+JufTjvbvGRhyd8FcrTWmd+
e7im9wjxpFZ/m0Cb9ehxXsogpXh5q1yenHo/UXuyGqWmOUVuUvxkJM7SyxdfZwCQShEepdTv8WQ2
kfJq8ZF42+L3eFWWfCoR/TxQ0eCcnKR0TwtJlPY612y/UFT9TwwvYv+wTZeKFVL0U6fPma15B2ew
8/E3Wfi+pE8yb1HV4NL57R7Kr8u9FFtImYU0kcpNcjGja7UUYYgJnFNMJUYxjI8yGxroyWzVGfa7
o8xmrF2XvdtRb4ErNrCGx28ox5jJ7u3/uAGWIQypl2aY6VPjTwOW4WNxHyM/f3bNMTxLb+56dI79
ZZwUcxOjf0Ktkl4gCGQ0KWIM4lpFo9o+AunxT9pDlZnY14USwxgLY6Ag/sfC1ZjYT7O3QLibtED8
o4dGZ+lJo2ZGdDe2KuwFP09cOSNM89APNWrGsLlfrN/c1A7J0rIHjLBF/6uYSySKpYn0/iGu3P4n
n8l+j7QF6Qa32MN/hRK0cBlQOHxq9D9CrSRXuWUFpbc2Oik8E1DbexZxm4P86kca89JrTUheBWti
ZDiWqgtzVKKjAp3hK1rsI3T6U/Y7304PpGvdrzV3iXdXHnzY5qOrzcNhIWI9pl0H38AwA1Er1WFR
qISiH74Dz9rLVAcxXb5rqyBgh/fDX4bX0+RGWETllnJcF4n/rIaEHlsTGH04pmzemF+NF12JtVqb
ND79887uikjKUR3L4n/QcMP67Xj6NSS6dEk2RMkUnOM65loBoYyFBphrlcB86zlaCRZTjDItDSKI
1nEbbks8C2qSmgrbW4NzR77b4oj31fBvY10/dFtXjckPChol8UEFui63oXuqgSKq1robzer+yFtK
7qRJFsCI9CZ9wVfWNj/3XbZYtymZX2dWLzGY6feGCvWjDIY5fwz6ECzOHvYp+xZ9K7TzApdSZw4C
57pbrsVRpQAEuowRLXozIltc3Q1WkFF298Mm3uWyRHrSyKysVbVd7/bFRYyrkNvQ7Uj+y6cAnRfv
/bwjufvPvyDoF1xv/W0wLpoDysQG8/1fZO0jcnRzlCAn6nuDEeiAj0iirO/z5Y0tvSJpsr1TlBSE
je6Pqrr1FV4tU9Yytb3HL17ucwVJj6zcvg/WaXFHMBcOn7jPUQyjcG+NDmvkwrWdOEDNHbgnG+sr
gnDlgXqW4r6EQf2L7gePUnXe+RH0PYPnPdlmPD/WBelVKSpfVqZG8L2i9O2uWS7yAHneuqWTPowN
5CyI9PTczdJIb7PZcnu3ja982uUicAmlkBf8l1BXS//2kaM1wMhtxlAhZNPBZFt+lkbN7ABa1oSL
ONPo/zS0IT7o77PWzB0kiI5FC9KCakaWeKrlnmXF2+KiNqiC/VNMMlmY3b4DerGUnNavHHy/VvBp
nFqp016GIRq/J3+9evsx3GbFuRBmATj8//l38b9zbbZlU10M8kqzbH5CV4ns1NP0NOmByxUFINse
md5DnuboT0GG9iKNT4b/xS6bh1gLh/OASAI45cWvg2x3D4MTY5ht/dPQQIFSfqBcjdyBNzfPRoqk
lZvNXGrmFpqq/ptpSIaI/6pWeO8kzucBMOuvEFygiuha8Vntwuij65if80qfftUD5/exgZvTcGfQ
62hgUUUcKzs/8d2juzTSiwvNPUqzOkr3/8XHCXNvXbjFkbCUhy4PfH+MRJxFB3d5vgyvnr/Funq8
DNeA4uNZUbdKdqxKFX9BWqbr1+AJh1cJhZ26Z3DjAETtCjwRQgUcqHlgnPLG+aMw01OcRP7ToPbd
x8KK67uCHfsN/OzdxzaKhlcd8KRMStPHkHWaamrc1+zkPxZ6BmAqDpCuWdZLY3osMkfrUUYwKfIj
ROjsRhY0g2Z+cFrUA364o4Jh7Z1EA3692EqAAGc9nL7FeYtOYBO33xLF1c9z42v3helweuq95BSg
zcm3iJqctqH0pOm0sqdOEZT9lV+INMVbhM27XwJuQ1myDaW3hcmCkTQrFQ5vD7hylFiIv93po04d
F9XEk+aqN5AO+wd9KZzUogglx2WIMtLlUGY3539ZC2T+JW6G+0z3q0ctbt1bLUE8MVmGYptdN+5v
2BB1Zw/1pHd7rhb16gHsHgS4506A5w2w+y7irurRrbm+sbtE322eshr5Ggi+fgRcw0dK3x/gxfuP
o8MsZy1NpyXtQSuR7K1aN3/aJqTXLLNdyp5GZmGzCrWdzGh23ZKHhCqnC8bi6WrxVVSZ3fxk7RZ1
m7h65jaxBZDIzfKJxHmbWHs//2skgBlBIUB1LMofWhSuJIZxaVQQZJ4q3SY9KryE0qzjxmyr86ie
xBSDiemQ+wEt/I1MAxnTn3vFglSjSDdHvpuezDbtL5UKBwbcV+YnpFBh44UE/CTD3KoRpSt675Cr
lvkpaqP0oDiQ48msUhbeEalUJBiW2cnLx2dlsB5lUhqkQqI26KmFZN50NHhv3OBZpjwXWi3L7fuj
DNM+T8iOOMq/XON415BZhxsck5pAvl8gVjG9ZRd0cUeqxVkYg6Uuz2/V0v6oPXtJfgiFIC2asvSN
Js2a9fkYeOlhtWWDz9lVCNRkhhr1wwWpmpCsbbNLRDEhGvHoQxP+oCJbYO2MbDJukBfobii5p/op
7r9Co1Nmd2Cjlx9P1ix/Fc+Iy47eHuxUc3KNFrj20kPmEhcZqwuGW2/6XeD4w3G7fdxuFUMp6K4t
lH077eJWsk7GOboRvzEra5S53lwiM4Z7z81KfRGwug1TwBY7y0Z/LS7d7Kbw+rlBXi6zHsfKvynR
YDiFjak2SD9P+aHII2S1tIFzDQTIyc6vkvLQcfyGdNp2zUcj5B3NLqY6eQ0y6hLc9wi2dueh/5hH
wQsvPLS8uDCgTIX8fR0b1Ul6WyM2Q9L/zZLJrySJL/NKtFwNbK6aryO7sEQbQfv88xZlPTAVW42p
6jhcs1u249KxVEP2MBe/SD1sJq0CQ/N5miLtE9Sa8X0LbPTWidPmKxKP5n5wuvaYDBP8bfA9Or0/
vc5OVnxqB+jNFnNcWd25STKbEyeLUk3XFlV1xGyXWQ0VOMD+fg4QjqERUM8c+/7HOFGdV28khyJe
cakeoSpW96uXUrS3bThAmW4V4BOmnAqzHPo9v/Bv0cmx9zIcF5v0Moeawb5KL3w1Lbr0zZzxMyp1
wUMZe/Y91fBe+D1M7b2J1KDlqeojGtjNc6wPzbP03u1iCiJnQIIcyebNtwAZiA1O/yJy+9NKqzJR
MblCkGatP1osewimSmuOK6YIW1bH48OWKjDHpwhavKH85vuxfkbhM3zMNep4hgnB5+XqaTUtPRlu
Ntcbh2MMqQj4aA4QjmfubJJptwLpyW0l3AVJsChPg/C5RvyI0XchnrWMrL8rN1hQc0cN2fiZPQ1k
Ka3zpFPhKKOxiy9GLWIET9bcrnOQSLzN5RCx/ewpI65atc/tE9+YN3FNPe4hzinB4m71pnVs1JO1
pKJEv6GkPPTuOskSQvIbHs18/DVYuBYXPtwX6S1KKRTyKdEDfPhskMWPFO+vqO31D2/UJYpvjLAJ
wtTcDKr50FntneKks/G1TZp1qAkFNNqkITyLe2P56ZcWVHdt7Bl3vab04e3FuHXYYC8+m+PgxuYd
v+dvNvbazlMc3/ae79zP2ngKTECHN/Gst2fHnS0dIQDYl7OGbxatXURlpBrmomuElbPzUFm9lUU2
ibhbKLrBmS7VJxZSrVQQ0kjvb21tl/o3auRXOzULBrYNy2Lwl+5xHVsUCP/zWwSVtutDt2tB7ulo
lgbCGPrvq5POHFAPo+mZeU4zbhbkXrWSK1i5feWqLjttl7HSu7ihlbGskd7F9DRGvzdDEN+JjRtw
ONByZBmyJWFSwY51PzfQPCyjeMmRSG9rEMAme7K2m1WKcsR9lBzLOm9TKJSbpv2UkPH+qHK9gv56
l98HpM8+tsU4HpFUGHdhq1Gwm1G9aiBa9tACZzvMTl08aUsz6FF8nIzusXEndmmA/S4n4mF4FLfN
Lkvn1KbYppgeE73kL6GCRPZJXCRcyqrtCWnZzmc4orqpeCipID/MZqsg4e24+XntksQ/qoD/78U2
ZX2OTicFoue3LgSEaLpCRG4aASWVMiVNNTnWvdF2yj1lh8O5WzAh0ouiT43GKXYzW4Lt2MadQDvi
sqZSyGz3VxNbpDCsUXdukOmenfwV+k/zWdiEMid9Gy3bf8eO15HwpLRgmP7511U3//vXFTopSFtg
bDcs/sFXIBhfK+aihnT0rJapus+oMm92sCmkZz0b+gT4oR6eu6PVVzlsSTm87mrp30R61FdfkYxK
z1U+hig9xC+Db3E2poKvQ2vmU+ShjWwW/jm0UF/ZG/k3EAnlRxuq9E/O5HwPOrN+FE/fK20qs8fp
fgSxD8wgUu6aUvVvZLYuvOJUwG+yk9ne84yXJPRICvAQiRb0zn723eiDmCD5SHbwbtVn8VdHuLty
tbXWBXGn6YfC1pobmU1VI+OWQI3vWrAHvHu9xxUzLajrd5sgqzeg9bu9sIL2WVzf/fWWYtLI9JVz
N5bGwaH+fmcu6QlphiU1YWXR2wRKRB6sEr19bJ1Qu/EayAVXmLSMlWW8AqUpO9Zu3Lofb1fgdV11
L7V1lDs4k1uPnW63092QIwTyJPdvIzfgq3G7setLroosk23pAJryW5Ob9asZR/aud9TiXmqZZy1u
LmxZ3oPSFh+1d998xNEFN3ixTmJR1m1T+tMW92HlDnfaXPq3PbmgGxAx4xle6PEpiDx1Hwdx9ns6
fG4B2X//K4dgGO9gXXAfrHCeAegvqbwta7dm8ahRsu5iS/myDpWgdQHm/22Cb51fk4WTF+71Fr7W
oY4f7Rw29Z2xwAnqGYx+mnFRrLcKaSeBBYiRROMIQ0b8KH7rks3bbtoYPV6oy/2h5nzB7tzoyziA
kYCuUi7oSelKEyq1edTtz5vlwlmMRgIGc5u2p+Scdf3X2Fh0mC2E7qxBm77M7nivu2H1wQzJmqrF
jViDaK5fG9LTlRbNX5TRhUurCKvdOlkgtDRyDbqX2bLobcQxG+VWZqcpHHg7Vvq9zBrG2O5CK7xT
nVK9BRRunZulqTU9Aju6dPMJ8l1utBCTTyqYzSn2Va05rm6c1nBujMBOqKvEaEAr6JKpZcmUOx+a
wsnuFziZPmfRg5MqVOLIpDdCrwT7xKc1iqyVB1chUrv/8uLTr4+NlAK4msG7TzVdT/svxJhuGgpC
RpNzP6TdV61BZi7qWmiFTDN4NZwqeMw6kNdIxKWPfg4TqJq2H6RpHQRELxYYpv8ywH6wLmgdMAJa
kznQvYMrArT/JBjbFY0rmFtpkjxNQZCN04rQRZoZrIJ4rtPL4oJvv820gnhlvHZJjqY7w6y6XdK6
9vKDvocuOyv2Ua0Y+3BKjUOHJPlHS2vL52XWl9m26l8bb7jllwOl0l3Rf+a/g/s6+1p1G4+VfitF
lDZF7x8WErulrHI0ivBjhBDXLUfBNwdT8Z94M8b3oxWke46R/i86KTXqhpsFMzzlX0nS73QIH57U
sMmP7E/7kzIaF2UnXpcOJw/TRh4qpsVr4xt9N0lhiBSkvMdaX5d/F4fT3sXT3hdJaHnkZpIcubp8
xOXzXIT9ixh/YVo+8VYq8/MnlsdJ6GXh5CHSMcbIpIZBkp3DNIXsp88rdN3s9CyNUvkBLCRKnJ2D
3jCaHfjg17LqnUOfztC8iFOUJdF85yqzfmoSdLyJtdpJvk+P0iUBmxzyIP4moUa1sU+9dugRI/xV
z2yOsEX1oe1N9lSam+zFrszNsCvyEIxymbQvnlHDOLAsaGLINApb6c8l0rwfs7B/gc8n+tVXHOVm
tOLwqIRm+HVsohvx1wZPuysLhc+8LB/4NZ9BDBUFrDaZhuiNZpXnJh2oRsriileElbW7wvDCh0TV
H8Qms+Injbas2JZtNiRmb3S/KbjU/BEO3oVgUlwg7or11OZZdihQjjkjL8AugxsxSumT+KjxvYRI
pGKcKlWN7uEyAOs3D8Zd43j9c5gOfP1G3fSaLRuU0Rgf4hCl1mjfmnV3hGe+PRYRO8wmUVCMVbz6
S2HrEd/CgVLf9/X427+8sSgEvzpasEMjN2Hz0uL0b8Fm8nOmS1fRr4X2rjxyXaE9xwXUp6k2qV+n
TgUT4bp/9Em5j/oOUZm6bQ6OFym/ZYVX7bpw9D/7tgoghxzvMyha9QCboX/kRWGfnClW7nSf9x7n
3+CGM2L2NU6aEBQRCnJjBZJChx5y59rJnQ6W7ve65M6CW4D4MEV6eavN08OkT/4vYzCFEACOsM8b
dvEYpBMSbrbnf2u94Y76INSwMmSQNS+xP/pWMh+43Ioekn64idzafKgWQiiKAhDx9CoqxdeuWGVc
LPOmqwS7LAvs+9kYgg+djaZAas8Q7bjBhyJKaYIuOM4TZyPxGBe3VCUNBZIMVotlKE1KNeIuYfqh
0rlI31tc+jjWND1LlMr2e3go43Mhkz3aFIcm86iJeA9ABUxwM2W5frfZ4lj9CkTGOsljXVUbX6ER
mesOeUM2fuHJ9uHhfQ9Rd0l617lue7N+Bi9t3Z3ReiPKnfx7xNH3F5K9qnqSz6WDUCFtkFARkyoz
fCyd+d3NJvgC/OZL00EGCPguPLhaY/0Cr9vqYKRGD2A3805cu5Svg0LtmqwMFhWVIAqzDwPyO6ch
Grwbcr7m9yGEgtkr3G9OGqDdpxs+VzZB+1k39Cdx0GJkOHNkp59cpx/QBtHz9VlNVz63ul1+7jUj
ePAiMpIUPynf2v4/srBsDP8GZEZ8Qs+t+BC4kC6VZC3VKvg6ZwiqJWUxPvbI850crSnuhshyP3Fy
I89hZvWfI7iNrrMhxIXraN+SjX1FtDK/H9HGvK9Gs39J/bRfXqkcMrQOzQ+j+jO1FGhBG1i0ykK/
1YcuPSMQptLYza0eB/qXcM5/kfiIalHU1aTf67KE6VhH/9FV5+phHoGUDlYTfTAGzd1FfRr/kjjl
h4JT3ncoyQHdj3HI990+goU22I3Z/NrYU/1rZ02wx6Zd9GlETfcWKRgdol+luQ+yPjtC2NGfe8hb
uW0ivU0untzjb8iZB7GpfS/qkPLRFli7X8/1S65SPyoOSI0uTAP5g+ajRIoIwLwr2rh/7mqU8/jD
NnZprRm/mjV//KllVC/IEuZPI2ePvUy0Ppylw+TmrylMHChPmM2+gwzx1zzSf/PHIf0QopZ3Vh2S
nrJA6+ovqVMlHzPde/YbrQBt2jfVbnKd6RQ4VvN/CbuuJblxZflFjCBhaF7b++nxI70wNFotCXoH
uq+/yWqtOJqjvfsgBAEUQKqHBqjKyjSWWZSMx2Qq6IiKorPbDbQU1pDbQ5K4Dup3COnBDdgAPB4h
kIHxzY/A9t4rmYVvjCm+LN3Wup9YFpEGaZanGvS7B9M0oa6ZNvrOK6AtGRn+1YZu8V4jHnYqgEXF
dgOgpWbRQA4eIVz30Z6KMEIMJFMVoLpTVU5ksUYAYfbMG93HAbRVrWLpOvaT/h5Prrkcx1S+jSJ9
icDQGoBmE17SRa2KF+ogk9wHKql0tb/JzWo4WmCLPorWQehKlhchj21hW1cQpHX3ENC0r5BMoMqt
JWDlnW6gSls23T014UnwzrbhbqlG7ZDlHE+FZV0UtNux/4ImMnRi+Os8T+e4yQG6l2oxtzlJpfYm
8AuLhlkg7IcMd7iDRo+BfSC26FXj8nXpT/cn94OXwBnNRZPU4VeZuG9ywIu+dYtt2laxWtQvarBA
o6/LYGMFVb7KWWgBvcCiC5sKSNCO4KFEIrph1tGFiim0Zy5kHA1bHwKV4JdED1m7IJfa+ZbGOgc6
MxAyr79DFvrYRsL4G0kpS1AIeQAADRu/LfGqyZxiB1qcFimFHvSwQVX+2AjlPHqFuxTw/d9TTWZg
Ruam4W+p2jv55DP3ugVVaVTovNdg83qgFuAS9HLIU7ajvtIDfwgI15a2cuNDmlQxUi+L4Su2Cru8
YfKZwUk24YfitbLM7upZ1juCUOPCDuz+4EMV4Sk223wLZsd2RdUwRRgcYl2gb0InxJTVk0iaU9pU
6R01IQmrXOHPpbfUiQ1jeWD4TRe32dy0fvRAwzyNpsLo8XhFbCzBSoTJsqBAKKGO/NvpjMEJLlFe
QLoI3IbY0GU7ZCXEVxqK5Zy3jKNOQWsP09mjHvexBwmhW68yygfs6m4npqYe6E/g2v2zlYblFXdF
s9T4Ir/yvgQ5t12Z76AoOY499C/xKjs0noA2Lk+NtZFYYuG7Xrx14yqftLomMkmRaVssQ8nuz57V
NO+yw/bQ0/EXB/uLTVhCqzvGju8RecDfyQDq2tGCV1YPoSA/ObB6QOpHZSdfkY0JfVh/4Q4ZkAXS
v4KMTTwP5as5jtGrVVXsAuQQkjumasHgBw/jQa+omjiuv8L+o9qBr3EPlnYEOJgH95NRY9+bwT2d
Jb315BXcO6jGMUFWjn0SUHD20gZCCbxjMa4Cir0AuNqNdR5cbp3pKEOUStZISJibOrgez418qQYQ
kFkgRvIWeWBX1wA5w/korFMqQLcGEVQAlHWDhf20YKcjhJTSk4hETWR6H3qpIyk99Lge+zlkHtfB
fxiFRXCQprHEazB8K2sxLN0y6C6O0/kIh8L3BRpD770E1b5tvmtedKtWQBOlygQIFbz4zKo+ATF3
B9UeD9/Yc5un4NVO7GZ9azRi4CnG8WIpne9rpHzuTS/XZ5a6xtrPSv1QcbBgW5Eo3rgOvgMbH/wI
2wGZ+yoNFxp0kK7XRH+JGp/GoJTdq2ngzvAMLu6zOEF4pWsdaPME9j5Sntx5QqpLD4IcUDP66aNT
19nSh5vgy+AuQyBBCmOrutQ6RCEkCKmogyo5Ikn2Y5VbEbgRnShegpq4WbZVqqDpHLYP2Ke8IQBZ
fO0LJ14FUBg5wlFWIa7NztTuh5WxslIOh0TFyhffbzbUHpQTsyB3vB2WGligWUa8V7HRXKWDzUpp
Dyfl5c2VCghH1+tKjtWqsFILrJq201xKK1nSgMoe67VpFe6GDwVE0gZnfBiLoD80omvXeeZb38TE
IVaqd7hDgJSS0j+A4jF8gJZ0gsQ6J3ynkVXX+/cgpm/MjR9E5W4cFDJAimI8lW2vXryo+it2i/Ti
AUf3wgvjHg5T74768MrYGWEg7l1kCy6Mxs838QiW6zWxdjngWZZggu/Bb1r34QJ62zU0mFV9SRiS
wjw9pgsjgpTHghqpgPZQtR57vGJDv64vbhP90x2XLlL4uzpZz9Z0RIZFZRQLKYNyi7dTI1bUo0V/
15WOu09HeIlvbRzvQuUk/mmexbGaNUSK8b52A/sAYWF5K6jKageYDGocbD/7eajB2L2tOgAhfx9C
dtRW/upQ4bIF58cVj0p1HzSFWJgCWSIJuUTnekb1KGkEEth5vftQz+sWdURX7/Guxdq/f+QcQVPE
Qvk+yiNsok0E9ToVsltv5Zb9Iwgc1hDYPNdQSFvmHvhpXF4bkLj6pxDALJ/natm0ajfw/vlTe9Yz
AwsjFGTrtH188Ey4A35vp865DUqK7akWm0/N8+lmUw1+MO3Z4ZGayGI+3dwman4pPIRg5in/ZCsF
qEKNBK5/mmQePxtTm18qD/ddW+I9Gfjt4k+GeTiEK2OiyaHBVHz6dahtMHo9kbEjoe/Xr/snYydx
om1TZX//aZK5LYcDFesvUHH+4Sc2QxNXC4EgxOrAQkOn+ZPd3Naqk9TI253/h3/6eaUT7DoIb+3n
Genoky34R19Tu/S2//+vG9jQOnehXQYp9X/9dUujWXJEdVZ0IirmH2FuwzaGYfMlqw9/hT8aKyfb
BBNZyadZ5p+Chnl2ARxn5D1/aqfOuQ3kJeOaFckDNsznssvNYZGKyDrrHAxGi8Btwk0/ZtgeMWme
qadVnduvwP/XLN28Dta3OnXF00iIhL75GhES0cW63FJHkP6IXTwqlqixo4i5Dy6pnu8/T1qEeYfl
joHcbzoJzUcTGNAiwB4Vy2h8HtnGs+GINfsY5I0gnDtKbbjI8ZgOa/AWp5txEDl06+B3hp4gIEPC
H6NtYEL6fXSletKl/y3MY/+d8fwdmaDhEy8CcweJ5XrLgzF+UUVyHdLRf8cXQENmdkycdjOKIH8w
AO9+iLEFMVME5KimOq0uSAc+tAOQN0sEr41N2GpvqSIXfkKjCKelkpfvWWBlD2IqkugE9leEjqZK
BYnYA0+7eEHTUds4gr/KTfPgdlY3GN2F25rDKgDsAfwsbASgQVkAAS3yHJGTGGTtGlgS74w80fBB
Mh/KSdhqrmoxhg/U1qSWie9hG+2pSh1d3a244TR3yTRKjLw4m0V1Rq5TFoNtSPVb6Ne2wItOdX+A
hpM2qnobx5V6oAkS1V+iOI8gWYsmzxrNu2rwloH0zY2IQ3chsWE/FrXTHOkImOLmqIOG4TM29VD9
k43t+tEqrQqccaLinE0+DJ4bP81Nc91OcDMXOXQnPDzJv67hQy9ZOzw6ZW1UgPm2NcHSn3D36LeB
d0SY7xkKwfl2bvpgQo14yrzj3E1HdllBwaVtctywmGXudX+v3oznczqAou/sMd5Txzzs389ZatFs
UpChLTwt70aoxh4BOXTvzKkIK8s46hhMzlPNsQf3Dud37mLQda87OUSr2ZZMjDj6EjhQNZ9t08HP
zxprPDKY7dNYpxvpVC0y0jE52FpB6N8oJ1qMAv+J2TC3oOhU2+905nneHOlK2xrJscgyx/jZvi1Z
v+jryN7Cpx5swOchcuyv4SK+QldUf+sjZvW7IawcEJLjf+TEUbSPGdjyM9ydzoLOM4I0ednUjrG+
XRidw++ijQxT/3RrGyBme1CF+VLq3kjWHfOR0JmIZP3hPwQ1lpOQQG5kY+6l2G67XwkKRRgpOprh
UXNbx6oYGjMRhJNAlIQcCUiblMb4jIhVu4knLzgAqnCAp9NhNjnEAdvZ9cbYnPM07h7Sag9lLn6f
TpXQTq3d2IfI+vFbI1nm2hsW4MHq9yP4iB4iZ+iuEEUHf7sRpEuIW3ibiQ0VGzpsnv3arsFL0/Jj
NBU1FKQ3Weya5lNfP0BcMr26MrGWVW7Gm3aq9lCjSrBa3s2DaOTQpBxUwIIfY2QAYB/cixV1UPHJ
ODcq4IdoCHXf6nDgqUPI0+U8F/UmWsLldrOhhk/9VBWxh9QCCPetPk9LQ3j2EndQ4+iJosMvMgOc
amm8FgyMHlQgGIFoYQjetFPv+RyZBSBUmHtpXJC7Wx2J8aiTIL0buAu9hwbBGiOXXIBTx0ruAhu/
YIK/75KqVDR2md4hiUDtjSZ/vxnX0ww5XnVwZ4h14AdBtAvlW2/JELs1TEQGdJ40yK51lKUL4Sk4
mGp1mTE8WQHJYKzemuAwdcz4nxtESCoWHDwoAd7saJzZO9E6EVij9QDfwsMTtMlCW4iz3w6p1Z2I
24EtBzH27fD/saWxH0yhXwCsJkItzN7b2GEsDK5/wPeP+P90FipG7p2HQGWAeKp80ypDfC3hxRnT
8Vstg34NUYLkgLxU+xExc3iS0d4WEFwDNyuEL0vwjzGvaJZjPnI8eq7eSJk7B7PKIL5Bh3+sM8+w
D5HLoQLRQniEbCzLgUrHPOZDnU9zzj2fpxzBLgC6uibapGPHrrUBoYCs7B3s8RJ2pbbSsP2dLECa
QG1UZJC5uwbDphQRaI+oCZQ+f/cjk/tbGxA52Rrbx3FFk+CPq9dQaCiW9Lma1ky3L141fa/+1Hbr
qNJlr2y5n83oiL5ydBQVBj6yn+abu+dxnSzkSmiBxcH0cZ47aOxtmk9zk6EnEdozUhNrrhqKECDm
LV7KzvCXfiAEHL5OsPGHXJ6LMjeRCRxWB0AhxLEokI+iA6Hv7AoKaroU1qPtIHXWGrR+s8f+B3hS
xPemtLZhDkYVyAeuDAX9l4VV4hFvC7AqQSINq9/uvR2Z3gorCk9DHWRrD+vKpQY3JtTMrAEufMTv
eAyNLaoiaR9KTd1oH5AP9RLmUINFxv+wZW2bgsmvgRSg8kATKo0JJzwZ34oKZCZjnv91G5FB5tzS
Q3a5jWBV14I2TiKynEOeeMESR+2566YLsyqHK7ihxts0rvtNtEF5dzNzWRMue7hMtrd6JrFe1n4w
IFt4uhAapxAkjPXPq5iup/OZiXvSh5uSTjZCN2eLtB3Q8402To4HZLhLrPvbnHHCwxPYLY5a82bR
RpWztzq3fjDAz3blcEqkUCt8uDWNLdv6ZdRB/gGREaPOvA0LUnakguctO3YF2MzhpNlRUwNsCrIi
Ji7m2eTDiKmDhs1tfnUH2ijvQM1amuD97wR0zyUoRZ2x9xdlamq2KJJsvKSTNGTXWe8xb8cdNbXY
RjFEkUowHkfu5lalnph0JO0RGywLZNW2lsgICWNQP1eQsTZruXIHCzdHyZ4Ti0NyCfisU6Gasr4d
AqeiThoiB/so3g0mltFRwUBi3Zfhi3CGv0EO7J2rjocvVZM8WWBevmumGnO8QxIBi0g1aZnQiQPz
D1IhueqN64i/9kaF3QDnXzLuAKkbsOdRxbFqbWPrI+Z94U1krwe3d+8LKb8Xo9zYGeTX3ang8Kje
isyowMfolltqok4ym6t0FE2O5HnUbPdpujRQeiIJwDlomu8d2HE2xRAXp8rsMvzZSmMjWtu7T3vo
KlXIivlajhEoETPn77h2ITjg9N99liL1AlKZT4afAoVXJNUZIJv8UATFpXPkuM2hj341OGuvQhQZ
9kKGvymnNupgAAvs40AiWOQK64APjNhKbaVQfRS5twIBZrZKARcO1spBNMxWWi8922LBGoQ0wbZM
tViAW6m4s40CfAhC2aDvzdmJCvnrqNCIWkk72JUKflndDOxkQRhIL27GA6CQCOW9w9swngdkZS1y
yfIXuGrSYw5Vy6XDi/zFRxBzLwD+WXE7gl5LYiXbsW07vLbxxEjEnA+ZjtrlmETeBQn9SD4aQ7Fq
+mL4JvpX5vPoe9h41hLaLc0lqWNxsibPMsPN8+67EFqAQZpC8aID4fu5zKD9WMsyX+lpi8oP0s+j
720FIEvF4EsedcPOQ2wHAHFg4ACwKGuHd9GC7RSvXuPUSCu5gGdTLsmgHi89MAYgt7KtO6u0gg3Y
lJFZwLIn3hXlyS1AsBw27qtlaOtKRQDei+sA4ZoAcAFwj6CdmgrHhfPHgfaTmiyoI5VWCGoNFy/w
X+N9nPCMjP910gccb6epo+P+FUx68CBPH1BqGjrA8CpE1tY0+218WLb7sIii26i5ww1WMkMuB52Z
mv0W7yBIsjo7Gkkd2MtGGwtCIB+uJg3wJ7Gb6kQW0FxkPjZ56X4cB+80D618PiyH0eo280kHL692
Y4Vfbz4tg9rPHRR+aGSPz+YYeNaREi1siW2QlwI6QYkWRP41513QEbKvohXCKNCiQZomVPVs/Q6/
7feksjs4M/tmD3UgjfSXsNkPw4iYfgvti6yz45PfsPGpT10gE8a+h84WqrbkwS42VbKiaiMTiXRO
/jfVAEcRD02Oux1Bq6dJNuQpq6spL869o5on4F9tpowzCOPcu4XI9ogg89OE5DylpcmBM8Lik2lr
Q+2djZt6RYcFdiIa2Woebqd4rEFCgXFtwV6tFIDiIMn5oxq6dFfUKQOdiMkfmVW3DyV7gQgReyQD
SA0iJwYLgv3N3nKifaHh+aeqH2MO4wz51v4x8S7IAlIrPgwA10c6HDe+24H/Bwm0dREMx7EthiO2
afchXHLbvNI5Pk88KKCVRMdkNBdkTtXK0Sb4qJt1GfffLKBo9kHvOy6Uq5EejxQjhS8ndkbDlC1E
R16vb3Zzk+Xgpa86Uy3AbRoDXNhW52o09yaUic+9Ax+hAKUYdp/IAKOCOugo9fh4BGh3NbeDT+oA
WUK2hfQYewzBLwVFM4ffqnVi6aPNQnAsjCV/JJMAWWtWzIurUdQI+aR4USBPoZgy1Ni+clrkrcj2
7EEO8AHsWeZD3GQQfPPuZF/1e90I8wTgmwX8tzbxikSVigp6NcekiBdzE1mQLbVRdeiiXVm3yaqO
gwio3iR7tcs30Br4KyHBiJr7eQmSyKH1D5Hk+8qI/F1XQtAoUU6I/CBEvIxY6acKQPeFk0n1Dtre
XVUWOgDBl7dMTV/9ldmQxEPUJ3mJGvjAOp8D1wBl3B0Di+oBH+P4rHn+FQIQxgnv7voZYBHRZM/l
dGx2kFvpqvRRYsX6jNToHVyPuFGQzffc2eG9W2YthOLQx/riO+u1ONM4vzMQWNJNcqJOZAcayNzN
rAP1Wh24HtocNHpJs6rMNHqSrUbsLHD4i7axSe99v/+S1f5fAnR/74kaIA5tsR9Ny9dOnCMcrGrw
qvV40UHqDsHEGpx/A8TDdFt1f0UZf7IKp/5m23myGPFOfKslAml9lfNnv2ACoBmVPA61Cd0Ia+TX
3nLCjRtW3QWfHr3tq06fUsMJ9qnLw1WTJE9F5LITFbFM+KmbvoVUBdCBLZC+rtfZZIIQRbcGzlQB
EOtprIm8L7dkNcps62TS7nPT/tg2SZbvx1h86aZEp3KMS7wI+AbsSuqOCmcwAAXr5RF/VWCZQADE
4JGtgi0yv6S/gip5v5YpBLnIOgROZsccx8l2nTsm6yHrXkCrlZ1oqaqGABsAbJJ0iqduKYbEhUXl
rKiXitZrXljFMizqkGpqy6zB6iuZQMYAAeZFYl8K17KhRd3GX5Lhqfcr/DpFZF06174rByN+omJg
YtsGZgWxFDR1BuuXsOI7sk9y2e4QOmZL6vXxxryOKthTJzWZjrqkWWFcqIYsduj+danY5jxKtngz
pytkT/aXXiBlC7mPYunj5XqBd7u/IOqPhPA6Nd9Nsx521EYFmdTghD6bw/vcnORIBKQqVqhguWMF
RNI9kDItqJHOM/rI8JOJ325oktsp6LABY1mF/JQ3pGlBIyaPGqBg+vAFel6nwW69bw2LAEVJMn0J
RFhcTAZG1TAJvW9lZB/L0cxexrQrdo3NE8geWPkbUu7WkPvzvuWuq1bSGcQpz4SDDY6jAHGuHLtY
hKPh71gd1l/saNlUnf2Fx1JjY1OpDVUrX+4HEHs9Cb/1jhYHNI/a43wAygW+6Ws09sFVqnzCt/n2
F3tIseKJoFsdRrZ4qoCL0OCy+gIPSbDpyrbb0XiA+50sar/AfQZtA69haxoN6NEpcYcfrjKtrc+m
XYQbpvYhzO1L03XVXZc51Z2eihGyiEcZjJCjm8yoTQ98+hwNh1L7+YTpROpIUeJmQRpHCI09kZ1C
R21ppijpWqxzFR9PIC6BAsk/E1OvHpPgDOzxKhDWNeuQUlVMGZpjM8Q1uPmQyWkaYG3C9+4bqBrB
L1VN3SKrQ9DiU8pnWhrbweIvSEoKzrdeMpzrMoLQLvZSD5/H3qYxwR25M5rqQt09nZkOqZBACe6V
5x7obJlj4MQ09e1yihYZDiEAVI1A+AIcA7g6GhdPiamqGyF4iSbINWLch0PkC8FTZXvIxi+zZgnS
DKAFgJi4ss6trtgoIq7uQXsVIALDM6qlaTdsQ1bx1KZBl3BA5uQrNd2MgeW/t+ukPkbIiQS5teup
TVWbYKeiueKi13dBfE9zdkooUM2YV5720WNjWkhPBxCADUN0bzn2kWoZCDjucsFexKStloKa5dwV
yPUOXAa9ZteXa7zaxoM1FQVJsZLWagcKwXRBXVSn/rl666ae2yDt+P+MJ1Pq+qN9nrBnJQqAtNwu
uBuLNEACcuZcJkBdqgS+mWihwhRWuLCNod7x1kXujZ4G1G0L8iq7lEAvoXrrMTODH+CuPdO40upD
gU0aukHluhngVdzmwNaxEKmDVuDxHemORJMCSY9lynoAP/iKqiRS0usBGN6yeYZiPVALhUAu1aTz
3RqTUBpQAjHwMenKqLr6FBZ18/NQiW7YZ2D/B0QE3YOd1ojOJ3hr0ug6VM0uEQPUrqc26r5Z0kQl
1pj/kafKxOf8F094ls1cbOuBgRJAln8Ckzd53gABDTTb5GAHwEk8FF0hHmQD/rwQWy6qcR8wJ64g
p0kWYjJrW0BNjNqE03Ma0A6Wdzaa8kydZFZWcEhniHni3RfKhzGIxgcfGJx/zmHGgm1CEz79uS2y
7WMFmqQLTdMNWLqWLfL+xgHvXyRsAaqiEKbBWhKYEYCi6oWYhK4zW16R15VeggIi2EMixnXBPLGm
zh5v7PMQWQ9RJGJEoiG6MNsmEYR7UzeS66qHiDbZdrClGhWmzYEt1+mFav9mb49dMj2//DY3nRiu
X1yHKiXoKFVwaTP/XjQp/C7B+EAGdLW/rv3TGOr8de2C5me/XQvNn03z06V10eCenZQ/0Eia7Q/2
9H+lzt/teZ7bG6tu2CoDgUccyZ8/5vwf/sOgXz/QbG/5ybjWeffxoiQu6naJRTHAYWciQcHonBev
ry9RHWcTkrZ4AV9yPLX6cCZfocz5RDUVWOlRRdB+NHjkvOBfsq3LRq6p10oh/+tUop7cgNivxuwu
DvGlHoIaqK0+hz573fngHsE3ZeJEheok3oSAEFIfFaBc/qE7YzhRzYMw1Joh8fg2ujH76JiwDP6z
abK2YeWjiVX/VKl4gaBwG/ZwemNVbWLQpWCN9ezzaomIcvZWQpD1oNUIiOxU7e0B8X5eBkeqcjxA
SRXmL9lo2WcujA4pyH76FjiQuC/DJt1506guKq9464QPKe6BexlB4hpS9m8sS5xtgQ3HmiaLp0uA
w7S4uL1tPY8deKinyerfL6GdLoGBzAWgM9/ngKrb9RRTGsGKHDs+vyD2+BwA3LynWgPsMQMCGGr1
HniQAaye6qY9IlFSiG6TaxAGWZDTVfRodSqpJsYFdSQxemSJS0BCO2OK4eHZCuvmfjK+iddPTTSg
TwqF7F5UtVvIbRXC4zkPaNIe4iIFksxbCb6cdjLm0zMfKt78F4O8+ERsZZm2sG0uOAOOV0gg/39/
H8o8tnLlj95lBNnAxmwVFO6bHEvCdipsX8ojVxYa6XAuYr95DQes/qmJjGkYVT9MM4+4TQOVolfw
ffwcR73zuD9VC98dATju9K5j0CWtdRYulSk1u/S58zWLerZtrXFsVrwA9SxQiMlZlUFzHJxsSTXN
AiAzRJXmt8G3OnVNM+AVy7ZAljNoB0wz3A5pCivKlkiAqdklQmztNprGfTCfz0qXIwy2vZ0AYFRo
e9fA5Qy/2DcoljwHn+e4M9iYkzXiZmLxyfgWeKYhxY2g45flPJkzkVzMVTqCvHe4bUZl7Xp7EqBm
3Yl4K9TEVkGUFdiSb/y86U7URJ1/aJ/ZLSb7eR5qp5G/5s+IDYUmmmxllIsDonmLQIzVCZyeBTZL
06HnI3l7oSHWLquYH5JpIUEdVGg3QS+tDxJ70M2iQjIAGX6wwVvp52Q0WsX93/9/2hkYaXDjf6DF
sRDFshw8HgwLBc+DgvHvD0YV4B5TqTfepVNsMHfz/lJB+Jy4ZqggTpqwGYxl7yokGYxIX1sgR+xm
pyd/0ye7Miz4mtqo12Rej83lxzmpsysgyArn5yuEZMSGeCCooMgxEUEM6lLVtT5/aiaDSpypbw5A
z1ZOfQkapf/IQfEvc9Lgf/puJ4dC9LIpdbMm1akBDvAzcExtC4QmVW6qVczgDmBIAEDpOpcgIcUa
ZUX9t2Eu7kLgNPMw0eOCmsJJ4spjxc8Rsy113GadAFPTMGqaz09HHDICpqPv/CB8hQyzv+1JdyGa
+HQgSUCO9fA1zx1/G3sl4g9ELUbFNIQ6aCvDSb/h1zQ0AZlR7we6sl8m1Et2PXjlAnj5oldRIneO
OgqjDP/rxf2ZcAUxbu5wATYxiXQJ/j/354SUbQGENk95/p10/DTeFeArRuGUk17fXI8VuF9tVeRr
MrQB8P3ZTXUaQ9af5kHS7mvrGXrjTnmJVGRTMqJXKyQrUl221Y8RboE11RzqACmJf7OmRpNSG+mQ
CpHAizhXyZqmpTanhnI9OKk6XW9yHu4kwwLNTZCt2hpecN+BkAiiGibg4FAPF2NiPYK8Te4jpwo2
AeJ/X83qK/Gl/utA5hpfZC3NzwMN+ZUmFnnOVpDKFsckrZCPAdr5Gws8UUzELiiva4hFz0zw+LyC
I/5GMU9s85ONXaVQlZ600cjQC2tTLyAbaS9yfNCAIi4b6/3TO/vnGx5ukU2O3vm1Ds6kjQMx3z0N
+PSJoK8Ig87DBv6wz1OSLfKUH1Jknq54EyILrU7vQdxfgkij6YN9V6n7amhqebARVPwPvgH5SYbD
QmKkZU4EdS43cZM601v2A7mYx3Gb2lYBwExTNIM8gpAle+BWnq+KHvl9VZhFyCbtTfGFxTaocCHN
SAXLpyylUoHBhHLUfaT9QjwPq6VbvUhrtRRzP9WpPxdle25a66un8MExkzD4Lg8qGtPvtRGqVe8m
ALcOvD7/Tz94pwC58tt/6we4Uq06oBw+jB/jLvgOsappfs9L/6e/gkP96T8+TeanhGgLy1Ub7H82
98DoZVryE9eSG/kxPg0J/LKO9rftKJOzJT3IsIBxhchW6OhXe97UYClzlddeWvUtEHz4qtPiCJxh
+mwgcQgfaaAzqF0FuGnh1XwOQbH9oT0Zs5t9YNcDJN86CISE6fj1lz21F24JDy44rt4a3+yNdN0a
boknQfFXx/T12siGcEdVRFrf66GXd0gsyZ7jEfqEU4Qj70wP90QdIxXpn0GCl+GOen8NEq6dPo9V
dbNqHe/nIGj+wevLIBGi4O1cYxs9vDUczyZilcWlbsADKdJ6A9bl4c1oDWMH1fFoDZadARwOXMOl
id3ELzMajkwdY9fl8BqbdnHoIFiCMJCX5n/VeVDLTeENPxyzF3sv9K3HtBFfkGyt3gOpwKtdZsH9
yHtxtG3FVvXU4cuvXTI0X3sH3kw3L34OBJ/WF2S2fByIXHdxNGrPWo3T285n32igBLHfRk5njNO0
+Q+aW+Ex/une4hJ3F3TB8KhKZnJQ2f3+wPa6r+GydkHUGoJHzhjiJfh1IuDQ+nZZQFjsULh7HWYZ
aF5Uu/SG9D4IkVPp58JYRSkPNyOSsxbcDcxF6Zv5WqXrnOfnJu3YyraTZukICQSI5yDN03yMAc/e
+Ya3YAq6epHXfC3K7FtppHrNkD6GGEu7gTOnWoWmASCuLNfhwECn1EFvsWXtsgQWcVMw592xgfmF
YjFYZhsPRC25fnIcaJ0XRlssPQ2sdtr2AD2AkwsvHwRhXdBfdXG6KIZk3dsqQEw9P0DX9Efm2yBb
1o5YGnHIFz73ekDdrZ3Zt+FilEG0Cl1+Bxg8Ugc7raElGe/LzNFnEO46WwjePVtp1K8shEOWrRND
JBEidZnZ3ne6g38mKpHxASDWyrO7ZAn/L/h7CsNaGCIEO3iJYDKQrc0uMspnnlbtwYWCOeeLUts2
XmbS33a+3osuenc7M1lZEZJvYtDa5k6sDpnXHUHfBXVB1442Crmsx6GMOfZzSKLs87rC1qQer9JF
NArJ16oFhkuObrqBAKuf+N+9PkUeWGM9mb35bYTI5cpu/bPZjEs7cZFZZ0gkOrlsr4Djx0Y+PpYQ
wlgCpuFvOGKjz01njpshEmoBJfMQfNLceWgz+WxLpKaAU0AgDAfSqkgtmqr/i7kRPBb4+WtD+KBQ
a/im0f2uAa+k76T7IeRPUdmYzyrgclnGVrYvE9t89oGSX+oqfMAcyWasHfEw8CQ+y1I9qBah8mAq
BgPyBUiS01tksCN8blXsvnDuqY+sBhCIb8Da+lzxBMC5UuX7XifVUy7958jzo3e/64eFneUjArJh
CGYhpEuIBD88Fn0LlYzF1zaUSBRuKwkITDI8mgUebmSjvteIHC9qENzf/x9d59XcqtZl0V9EFTm8
AsqSJTnbL9SJxE0OG359D3S/7lvV1f2iErLs4yPDZu215hxTM73+xOiXRMD1R4KeNHJT/MjqVt0g
RGuOALCsZ72r/z5+ctqDiZB1kj7XSLzZsi7V5vGFx3cj9ahw2A3uMWEa8bwMJTGOj9/Uyv56Xmc/
jwprVDEaUCPhqf2Yp0Ony+4ztZQNuNQsXAiMvxrDOB4KcCw7tZ6J/5wt4A4qvx3zxLCNHOsP9/K3
pjLHj7zqbORYpXfRCPc+DlmpbLNOTV9Mx9PoLmXF78b6cKRr/skd5W9lddHqPUfUB/QV/5n2ZQ7d
GbBz9EfqIw2rdvwubVsNQO2ON6QG095yQCw0aeZcZaF7QetZKsi04WzMZfVdsDHMMg28Zt1n1TUz
rXIDvCcKqlir4k3vgYt3ESf6yK+r6+M9j4cSsd/eKOTvx5FqRws+Dz1sFrc/jtTn+8jVGuZB9ryZ
q9h7ZgHqA7NrlufJajuABIt4YQLW38cJg+h69HjIUpggc6lUOxEp4mVcBuUJT8IB/qddBRCGs2AA
ab7/5ztYJc7xsHz881U6gCRlgRE/Pr6KflY/WsbS+ISyb+hi9S+Q8QuI7UBT6ZVX32a5kCDkjR/1
gMxHteZh83jdEtahHMv6LTJp8+Fbn8LH654nX4D8ipdocUH32Y0W2KJ8ycuKdAuzjveOqpovjdHg
ObcK+5elASzoWuVDb0xzw5Qh2YxGNm/tLFJOVBjKiZAF5fS/Dh9fyLyBZmHmscyvb/n3zRkQmPPj
tccDuJLABVnirkFhJQIoekmNNlknt0M3iSxqoAhMrwlMsnrWk7tetsk9VVM2v5RT28dhBMDzrogk
2rSugTwhaYo4gG0uN8IyyOUd8l2SLxHpc7W96Ronv8eFR+SpVk4v0B7UYCzb+B0Zlu3bdMQ/Z4oL
X5+r6QdiqtdeyabfTpscAGSesNjG2t5Fj/Tm9MkBMa/5VqupOA5OkW0UN5q/K2Shbsfl4UZcAGjm
jJ2Syvo8T57Y6Lau+49Dcy7r8+NZLyoAP4+njwdvfXeKeelYOXb47/uqxV6RQFpBdbF+8+P4359F
5MkFupLcR71NTqquYASxiTPp7ThowdYDTOSQXQUGA7oHb3PV5scxKy0GcI76pXRJgSohzm9G4dY3
h9mYP3i9t/nnv7zUnbbpVfaIdVKOt1jaI1OjbiSi2sx+zOP0GtuV8WK7g3NEceWGaddkP0rb4c7+
t+Ezjz9V7t5ppaQvTjeMLx629caL8w8laZwzeS4z0lac6tXS6Lt8KcfN1JrZawquoV5DVsdsfG3w
u+8fR8Maufp4xm2G6zLiZpNFqxwY1tKLyGMlHDXXvIKQyDEorndzuqOHJY7Kw5SKBjwLslh43wrM
5mRWLo5KtHc8oY94HIJTvydTltwd2YgA2uUabqTmTDpxlCvwhJ7Krl8wKgA9NhNJRugkhu3U6ct7
V9ppSAhVe3gcjmyQYfgr7vlxOFfFkzVPKZtU3ivyfTI59hvLWv9ctmLfykx9Rynz1QC6QsdnqoQ8
OjQW/UlAxl4Zu0pefsDwtZ+sUjXe2iH9mB/E3bY03lQrZ1wnvnUchgc+mBaMob1czAF3uNbfF01l
+KOrT/XsKi+ZBi6HcFB3a7tV/IqGozzpa6/aXQ8fb1Gjk5lk+cvjwIXKBK0vwVG5voE11tshmlO4
MPlp4EaYT+TG7vHDHu9wF+MtbhP18ngD4/F64/VmuX0ctnOZn72yT/755x7f5UD46TvFu0fZ0NEs
i5KdJB7jNihzaJR5/pQrkinM+rDUFtQgnMw7zxT/ea2MCD0EI5ydRlctlpAbSOilrvzPIdEM9kVU
rk2EAD3zYbKS+DR6w89aCPBwSmtdjEwnXQEwHd0mZDdkJYnT47XHVxVaxK3rxttv1ob5GpO/dHW0
abkWzmBiIRuO/770eB0ixtWJY5Bin8JrHErDbtg0rqf+djX92/Kq8qtNpxiLiWxfs1QzQ7vy4tt6
l/HhID0JQkzPcM36c7U+6xqJvPtxnKlRtJFOj+jtf97z+MLj4f96zdOpoCvMT+H/9b7Hz398QUnU
/uB5YwVzlDz7CEntSWmcBeBLvITL+lpXtf0BBhdp9WoWGEtWb7jH9JeBft/l8Wyszf88q5tUY9VD
LPl4zYsqTfpTrJrkH3tz0JVDfC3b6SoGbXx9PNQuUAeye4IIMPzxARItmkGGy2KpoapPbFMfTFFd
XWSoCyCaD/6oq7oyYKAYHxCXvJlGZn93nF5+j6HoHbDOFGRoQV7iXnVDOsUV0oJ62aqq3pAajbFK
HCoj/V2tiVzEY4PTnsvkn2ePw8cDTPAVkhP//velbH3vv4f/39vEUJaB0afI99xRXvEQ91v8IChp
18M5K+T18SxJI2z9WTyF/75mrG8xrXgICnNMt/kocttXRqhuk+DMkEhWI53tLa4Z4+3fQ309JFZG
+nVaEkO5HqL/pOvUr6mU6yGTnqPObfA98ZiYmdI2qKwT46vezYpif0kdNTu0A0hZ45jvx2Fgpoey
w1s7VtGahvh4RkuESU3nspugSAnyXoe70NLkYnDXxOfebc9C75vbP69VVIA4SPRh305z5fmJoZgH
V0S/Hu/J7Il5Z++5XWjr076zOhkSytt/ZlUcB2afGeeW3NoPz745bd+TDd2kJ0sxzQBHQPc5gK4K
BpIgT4+vpg39KjF9WJ45nW1ar/+8i10c/5Mx8Q4wXNkkzsjaF+/6+EiGHgqvUl4fi+vjwJyv+QgO
KTLMZFsuqr4RiS4/E3g5epXPv1Q1730nV6tn20rKA6tMvpO2o71BX3l7vENP428My+6rW1bzLtMQ
CxEMEb+ojiP8IRHyVxvpJxch6AdD0mwr83YiUjmbbgoV2jpBDfNhSPZlI1apjyRYzVWsk5gWAw7H
9FwLr709jibnLJvK2aC7mi/OIG6mVU93J23U20QygDEiF1CSqsBSKDyqQFsGce2gnxV2wGJiBpD8
dxKXEF6FCCeJKIAiJvkvjRlMULlltymtKPXnrPoRLZMdeEWSbxrbGILGMG60RuJtrxNGBUGG2fAS
6gvjHZk30h+UqDrj1TJUhDpjm2zofCRBm4HoL139yMOTzF6TKJPB4983hN/3BRGl9TZXTLFJwNQy
V2FhlGZsBrGtTIGHjpAw5i6wBG5xTZZ+6hYymCZWugEe9FJr6Npj/tiwMKKgHmUoRwDYPT8ljuMJ
JWKu+ECvP2Mtzv256z/Qeo1sWnQHJIka5hrBvMVPChH88baCZ0Bl3DtZy185J1h30D8F7KLv+YgH
10gBhuKTwczQ7Vqjv00LehVg5PdGM68l7YGDm/5ZFo2hlICpJ0fgPLUjnh3rGi8Mxw07v1f8ktQ7
H4l96tJWD2bwU5vMxNKseJtGUZ/F5JwG17iTWVYHGWZEv68/hlkxn8qKtARNbnsSgral8AbGzxMM
k/G3N4ws+gXlsFee68L6pLvjhGOv/WEe86Ok/Ayk0JKgacAN6LnrCxc2wVJ1U5CWyzFJKgGzLYNO
aNaITuJTr4MJUmSNlLocPsaIq69w0Z73WXeUWVfvzbSVAV7W86Ql06mdXCUg3UiCxwzsHppA11hI
5RxMfojhGdib0zUbVVytFTUF8tBuj0eSe2Brm9tc1V4UgdPcmiDuZ3wIQWnWe4c68drJ8aMjhHgH
Q1CDKrRgIKa8AdJj74oCS/wcD3uDpMtCrY+JN2yTbmgPxYoTLdeHAtNDmHC7DGTe7SK0zi9yQkTr
ZYwyJFE7Q/nHwev8UcfKixJdnEbYd9VC5y579VTTpGralBWHFt92EunvFfHdWv2Z/YW268Bnb4aF
1p7V0CUjZ+Iwwx+ji2OLL8cQO3b/xyjKxV9mmYog5tpTu+c24m+qLNHVAUjzbOVdBTHo1TXgWJrC
TbkGqvlsmejwbVn1Yde74mpIuXHiRWzaqlRZ+pr3pMnjgLxnbw8dUAn7JtPDVBXJKUcI/GJPKb/i
u8Q68E44RQeTlhCKyPrFv2l89WsZlrUDFbiw0iDTzeh10OeNh512N+lg91RjMl5660AsjE3Ppi03
hZ7j1yC8/Nb38BrcFMrf6EF/dJ2eZAqr2NI0UP1E6ulTh577hLLqbE5NuqnWoAERD/rx8ZAUfzL4
dEezrluIDwugfDH40jNeiVdJ9+oaC9c61PozDH4xFVfXTI+qxRrW5eGQFlgp0DsHpVemfjbZa5Mx
x4pqBMZMQhxJyigx7DVoAfYd2PZWKwk9143PrBifHZnePGVpNsOkW2GZK40P+18cSIAV/hzHXP5p
/WGyv6ucsvKdZkluuRVKrXL3tmBpT4+mbXo3ASQQKcT0VSSjfqYPGkCGGy6FXtTBUg8dQMs8pf1s
Pbt46ycbjaxRa2tStKqdUkxWfkRLpBwqNdAIldrZVYOi3Q7LLouZkVYIZzKGS3mjLr6eWwipasgF
uc1pFDssVzhvd/064/Nq/m3A9KA4IwW1w+OBFD8Niv2hNnJ5KnWnOWnfffOThLzuYKzXyWQyuGvA
TLCy40UTevmkJ5W2gROFrrAFtZ1765VrqyS25JKwF1qC5FE5ytMsBzOgMcjOSNiv5CREGCua58JW
jGsm2U2kQKFmm/gDexxeNNsur3ZZA9SV+VPMxbwV0/DSrJw9nWvEBISJ6+VYbgatubmukgPzwqMf
pcPeaav4pK/K67KvQVpBwA1Yun7oM8gyrYjk/ahGhPoMrU7aRB8IU+0D7HmgFTsvC0pF/2vFcXKO
l6zcj7PxZpbZWz7o0d0ZvGJPvdMFlazz0G6RtM9sJV6tdHkjGoS/XM7fF6ZJVJX6mzZ2PjrvZDe5
Q7MvPNu4jLN5sGfVDYpiWW6zzN6KwnrXBbaH1Z1OEKYxA77L37Ok/WIOe7CnofFJgSfOkBbUjO6L
NoWP1L3c21O1wOoaYC64EW06zkLavh9GMWi/eju99Eozfqx9GuC3SaBiHn+mOSjCoa+M17KGFKCo
P5lmzrAu9Rvz0OxumyAJME7PB2s9LLDbOQiZp6wzwypTIZPHZMbNC5Ql2iHpzTwSSR6HkYryVcOo
R8p2kp0JXfb1hbFr7hSnJZGw61Vagy6K6DEL0opua7FKpx4Prq1dUFAMx8H1qk0y2uNG74q/w4Rg
F+zf28qyKyezPzbxCmk0TYiFOAmJhIhY8dvM58ydAqXpPotJL8LH+WTNoXD7iN0Srik4qzTnrOx1
aibaRnGFOSbSLlbBrd50FJPPgwq3SJL+zaGUYIPBeuomv00NZ4F0aujLrR7mWUvvuR0tjAqwa6rW
3nPCkZuoLB6+jTkKRrjiVKZlebHyqjykrXttNTFex1XXAe7W2FWKt+21wrfk5J4XPDHA9MdX7qHe
1h6JdE3GlGJhfXBLw9w0LSLlx6E3L6985uYhbhfriY1Jv6Nm9PkDMx4bVPNNb9b+Q/zbthn9RtXy
RjROdXUISgDRvFWX4WN24+g6s/he6gkXhM5I+MNsJaDpeM3fQuT4QVsBA1kds0Nq541auOpbaf0x
4unNbezxGa5wDwuayT82Sp/NiP0F1xkgzaIbe81MPzyiMK6K3fLTDKCrHcZZW52fGlP5TokJf9eV
hUFjjAjaSlhsZ9VWb7oK+F5vovmkj3J40ceB+wlAVUurZpobZZCgmn+1BcheWul7qxJYAm1zug/o
tkGXJNN2LpySv6ErdzF41Ncsi+pjzf/Kx2f5xsTafBk7SMdTug5hRJNgsZ9qxuGDA3iyZ+qTjLSX
zfGTrvM91jXl3gEe2HajbDbwqy6GOolz2mbmxl7WelF07GEK7pmmNW1NFokLN44uSp8aJnl+H7X6
p1GMJrOVButRJjd1P2mfJvrCikjO96amSCeXM8NMpxT+5PbmO/2Om+C+dBqZGQgpIYIq8XxYLTV0
Ifsu9JpkCSvpOpu4bV4zhDpPZjOsIHOACTHFxI2JLrsASuuu0/8CFekOtSBVbNGb0+MhzowSs0vr
bnH6mE+IKkCI1oPiF2LpA8+ixMs947MvV6dLuu1AH5+dzEx8xDfJ1aUUYVUnixA7vcWvn+pnnZmX
ND3am/pzorvuVmEYf6r6sQdwX/RPYn0WqZkVWm5HiV3k3wXRFLs6joCXrFv5ztL+lrNHtU7Xf1NG
TkS0i1wb6Ktkr/LeGI4XK5fXxyjFwMV44uxSnlpdj57UiiixiToU4IykmEjfpCatF0OR4tmyMr8z
gTWyokhYwaI94TEV4ZR78TfK0J8tH7wQzRgOs+rsi6pCy6mSOmUXywdp3UeoH/FvgcxZRNUvfaDh
kMxpenW8uAqd1Tja25HqO4v1OhXUeGrvzIel8wAray3J0SNVZ9Ga7l6dJhi6kzkdXFA7R+JaiqMx
OpeyVZ+bmVFBgn96jAv9Kr1uerFEdYwybnO1mZiBPgwHTebODi3/JvLkKRfLBAVeb45mUxmbMcup
HparnLOeu3Dm+t3UoQsdo/T0eFa7QO8XdQhHB+/bOIz7vIjvRU33FgE7oQTG0rFq0Rib7fkX1qTl
2VqckDDxOZz5eZd+6vmrM8sllgbeZI43eTC1akMSMSiwfsrx/nva3vac+gIBeWtmDqz5hPPYcpZb
3FNnIdcwT7FQAK0MVnVKUv4ySzUH4+J21yKKXu18Kfy2ynPs/5a8xVBQjpXecytbFiNs7MWl5C61
vUkjOpjZaYTZtIGHP379nkABOOrch9JRs1CJPSbEjoM7JHWfHECsW4KvdqlhFiC3xL2PUx1jRtls
I61w/alDoEO8dRkmGU1zGY942Meb7Ll/O9R3F0MwFaDwYb1v9848JgdC4zZ6axKxo0gSDAuVD2aK
8nXzayOyfzVE1+2TCqKAkVU5G3GQUeM8+VMS/9QMWteuaeZhSQNRG2kvarCigYl42HzceTuUvRKC
4KueWE6TgBN/ZNAStaFhOR+KBVS/nj1MJbGDMiAf8o2mo1lNaiZY+B1voobIw2iIeznpcFuMCNfC
U7il0I3V516GHRkrXStPLRrqHpPKk2KRTRFlL6kdOR+RWV8ct3F3IGWXjav9rHPHBbLGFJsobyCk
3Em3pFuW2U+Z0Jmwc+pVL1fFZe4dnz5/HfSAkbYpSSC1VRJ5SJs5rLMZ+eXayVjWb6J8LQLC0pfR
ZLf1TcI99jYVp7bZTq0Pvn27tD3ASNTU/kSjHFRnsh3jJA9dfCg6am6/bL7ZyEWMKpTr3Fuw0nSQ
hiQ5wAjXaL47d3Ts8uAW/x33l8/RFp0mgXgsr7fH6/oIrs5ExE0x3JJ1i86SJQSx5UKOeeO1h07r
NnI22Y3QPbmB8HVvrCEluElcq+WwS6OyZQLBQHlpgAV0CL1vyAWnG6F7dOSFOn0JFWd/JNXx2Gmu
fkun9sWZIb2n00QPg0yIUvYFrQet3cZJPzG4LqddU7D9hRxLRbqknT/l1ABJMQKgKZPoNJZDGyqy
QoJUR4fO7bSdqJIsEK7+ZFhDHKg1QxQVebmCEv5QVOU9R/t2AhN9l15Z7MjFqCnS17bWkLXd61yN
dPDgutmqtF+KqZtD1a7E3VpKdPVLkwezOqGjcK0Gdpr+RyNjnNn/8rWwB/bbIjWDYRwiRCZLsc10
/mgOQy5KFzbmbGqgVM30c+tqcYnLLJWrYZdckWb8ZGiojhDERizSRnm3s/mXiKPp3GkWnw7CY99k
tpbj4aOcn8mlcuWwHVs6PpNnnRl41pfWaqJ7FSeC+2H0Tfe22AErMToEaEIDSYFl2Gu06p2dy4GR
rHmohpS2bVpc1JI9dIzr7ZzYk7rxYiD1iVVWgcBOfsScn/iC2QlUKAbEo06TZIEhxRx8ORZN1h+G
xQvgspjvGfBlOkELXmIaYHMp2Xiab4P05AGmpecbUdPslbFKdtjRiEYu79E8GbRu+q9KeuLZFSO4
b53RkC2V76ntv0bmLT+kM9P978ygtdP+ie4VySofbDVZ+a0sPlSNi1W6wHaYN9l4BmW9BjRAldDy
uD/33Nc6L1H8gZPhWOCi3BSWqOGa0Q83sLdnhcKQGRnIWUYpaVvrs7nlNjBl1bIzBjDTUX8Cc0gC
AD6CDZXvyL1nfiR5OH7E5RpWotCP2qi+ekrd7M18CXq1Ts+ty++c2s0lqzHwi8Sw6BFW2yGBjuTY
Iz70tt2Mkp2y1owBTZvkXOZypFnjffVZWgbqoFAobkwv+4gL1MvMcrYifZeKroY9GLdtO8rvaQBq
JWJ80IDRPSX7bKUSX1awdkg7jDkh9fcJPPBKQSPgrK+tgKssDfSOP6lOC3TiYjHqINHsAMRwvKcJ
g5YSlmWgq3BAKiDI4dJ2odY1tt9IkRzACMynhrpxyCvrvhA/dtdh3AO6nRci3Rx9p5uqP3ZWdGIi
+ORVY/KUGFn6VIHhZQM6HMqldrZER34aSp5fRt3MLygn523cDMm6PirH1KSJVfetG07a+NKOurwU
HWN7SfhLb3XGFvh+gmR+62FieDfc9iNuu8uUpKQbRPCVyVvyEQeom5r+8IftgFwfWje5ZFaV7mmS
l6Fq2e46n/UReRZbdwGO73jV3hg01fBrs1H2hS1+1K3hPvVD5z11gpDxAS6Ja3XuE/SU/aRihxxa
NmG0VOOL06kOzf/MCnKrAsi5MuQe8vPagjcXm+DRCjW/xg1gB4O8CT8eLcUvo3HYMVfgPiixCdpO
u9wAZ2JNk2sp3pfuJoPhhCO/9avCKrdatJg++RMvjl7sU+leJ9AdBFhEno9OZ8OVxk+el+mUxuV2
Wcid1bHowQpMt0JXqq1ZlcW+MqaUFfsna7B2EEYEfG/sn7VlHrbG5JoHOd9UoHQa6yJoS84squOJ
9rd646yl4ZF1XDVxI/A0uc1WVbLfglb9vtAEogz6yuyBEnEeMfI8UUZ+N3R6Obl+9gmN0YQtxyZa
lstCt3lvNs6eYAXrmjFFCVepE5CU1RbI/zcTWhPKma2Xa1WhF1nKYUIghMqDTnUE4NjYZSO7bShE
HlVaPAfAMXSufOAcWqcGE3vfU9WuDbKXqs+886zvR7tBb53V44kq+VS4CX3Zxrw4xiT8JKfkTYVy
iO1ftqbNL1G/c2pBcdabnzYiYsRh9cGCqlisJKXI4Rwd00Xlxo+70e2KW7nkzGD0Umw98pZSw7tq
5XgX9uhsCyPLLzN4bag9hhvMwDzJ+Dp6ojb3jk3fu2iu3Yrz06xQZ+y0GwTYLhKetm1GmjqU9PMo
kk2aN8VpKJmftx1hIpZ6sFwW+RS/f9pnYAHshFKMBfO2VHDZF/pIi4vsR1dcRLtqSeTkpPj5Mr62
Y45DeezEFi9rQ5/d687NVLwt8e9+0KcDRWF5nEhnYryy6vZ0p8JucC1soztyY66oxpQL8U7uph6c
sEmZJimd8btjEQtAtHCjKKp618l5ByYWwkcr052OicY3SJzxdQIvAieSn9QV3l6nEwF8qUNUVyyH
sr+r5fDLnNucOLoYycKKl9dKp8D7iVNe1ZccoVp+zQuzfDI86LRS+dtbZr/TnNQNZR8qIMEPDqAm
zk06oYp1j3pAFYm2VAejcsyLu/fWaS29aorgulF8ozP8MdFYidvGr4nHOVIgoy+DLTasyYGlZxbk
OCOxpvOxtfQmDWbZ0QzXlwSqRaIfjXkZfKWCaLDQLjcnnbXcBsOZt6igB2d1lRsHJTd7aGay3jTF
aB3n0eVWBXM9mAvld0UBE6KqfnXGYu1UowhpitRYddmcGg0RdHuPCTcaS2XZuzT7AT0gkXZztJNo
Tzdx3+BlrIk0JMXK5oYTZeJTWfO63ZhBUFo4OaPpPPLLofztyZby2ZmuJMGGTZ9mTw3dbrKJNihX
YIzK3/y0/oDYOTtEpGp49AcsjXqtVCm2maQyd8gqX0qycb1EFsFUoTJNVsImalx925bcg/oUlwgN
0WGfONz+rUH8Gevoi0hzJxSziCjvLNImVtijh5xEETtDY4SRq5whkonqBObxZVpFVv2igsVLEyus
a3YCaTSz2VhDAvPlL1FcqC20PnoaBvblsCRayDtme2qzGNQ/rvxd1JbLm9p4d3YJuyZt2gMNceXo
5fkzV7q7LYZBOfI6n+P83KVGvW8BKXMO6+1RRH0eOB1G/AfTZ0mqTWlUr0VGxZYtkJzgNByVqvzL
R0FLBS+j3h0Np+cMYXoXNIoexqutbl4k57aHgTipfsGhgNWc7WFDl89yq4yUK3He9qEYIiwOBOnM
hKr7upp23BqSme51Umy0FzCbzjFv/aaqJpB/wIIzQ4aDbQ2QtjzuFiL+1WJyNiB64TT0sjU/Ep6Q
0m5EXmIKh1G5ExrERgnK00rZUS2eRPKC8wpNNnEDKk+YxZ5zEHr7Iur6fR/ROeEUZ2cTB1i6Ra1R
bCdtfHLTbNuiyP1SvTHe5DqsiWKW9j4R1Z0bnb4XjdHu2oy5vV4EOMlRQi4UZRXZ8AH+SeZQbfeU
gBk4DCwBEzFOWMNS9JbNcvDmMd5RBP+KGDv7IqsLvyasBJku1yg4JLIPfa9LXF9jkQ615NcY+TVY
lLyPDMZmeMPsXpRYT8KoMd8bTzvn3mpaeoZ89VOy8aLs1eE3yylYJlv352Q5SdH4bYSRWRYtve7+
0IPCsNXpE0vnsu6q9lUTb0q3/VHo6bCJ2f2qlur4Q06/wYviC87WV3QTd5cL4UBTP8dGQBNd1/eo
YMllOWKqyH1Km6tSZOx8bedO2tK7kaOfHvpuS+vn1vGrM1KjCqJZIRJt8O8Gn9ihNMevKtEckuXf
LIOwh8Rr2O/YoUULDiliSz/Zu+WDpgWGMxBBrvyQmJnZGrdEFC3theCmbBMxD1fb9qOanT1ZN1AJ
CNtxVOWddW5XKOpVmPPR8MQNubFFFTrvyx6IExYnIitJV3O7g6Ija1Ob1zhV7b1au2Fcw/W08+il
zefnWmsZ3hg1MZ4qYWDZfOkj5AbskCM3lvQWNPa5Ngt5qhlPZbI8tVP/wy61P1ObcaPaGNHOJC6M
WBJGJ/kyU8WCxQhAweWbarFe1vNmslgpsjQkTUwjzFn5q/7MC1iFS45FDH0C4pmNGNQnq3B+mIsO
T6QbP4q2etWb+C0hZjKQa9elz/ZFzQjGMCScEC7WSGaosxf4Ry41WZ3EpV9ChTnEBnCTMq93Kk+K
Sf0qtEjshL3Owhf94jl0bmh9B9PA9zfJNlVy1PwpfPsee0DQDpMXdO7yEads0qHi/0pMzve2oJrK
IwZBgzt8D3nKZgtBR4gk7YhcZ7ww9eHSpZugqK16ajINai33sTkfRr/Gzw38aC4t7sXlSFMhYwje
LDBzGqMPzf5PWsGbaoHm+WRWZ5tBkiabDvZV6Ebtp+Vdts13biPlLJijoLWFjOFFiH9sILUeLhgw
od+OgN1lpepb5ZHbSabgqxBQObOFCVpTL6SYeBM974Q9slazVTelKfBYQ5eSHm1HbWnlZmrs7YTX
EVGO5R10lSu6pcuV6mVMT2S85NCiiCFHhTYXKDFL3pOmt2HqPJ88I+gkSfzJyg9YA8xapIuwzwRg
iEgJjdnI6Z1m1YYm8Sv8z2mrW3e5DHhZwJwh1HDvCECPiO8LkpHH6SRKml2uyRublC6pw6XCiFph
2rGh40SXAStOAWtriMl2STXEWDPQW35QMm9db74Kqvt9wdKZ58Z19Eb2Dq77p2Rb2ymDGiZjHQJA
UXfzuPUyDWpoBjIKI48v+GSOfVpngaPMLxN85FC3WBmm3v6lRszdASaOkol9nadmSP/9ldS1cMyV
6hkLSYBo8ldu6+42KYeNVDkvTBZZbjtyDvUcsnRUYqRvqlshUTLQGLxnCfJRmtisrD3jmjTbD2b1
3ieoC5Se/8BAcI5rj1bAgNRi+6xsy6H/E1ntGLqtdXXASjCTIIiaPxiY10Hzp/7ZFNkCUXY8s9Pn
M6azqBoqZBO0Uye9y4+5x3DH1P+LpPNabhvJwvAToQqxAdySADMpUVT0DcqWR42cQwNPvx+8F+uq
rVnvSCTQfc4fZXYwEnJ6UYSjUv4zVLCxmr8U139/mFOxN2uODdLAdBgd55rJC0f/PiGhMCGzdoMC
56hV4n22W20Dyb1gczrrBOCYmpueCrt/hqjyjwZpY0ij2MG7wtgLBtqBUVaVxbAng+ijVM6vzGaH
d41fDX2Q19IoLlvyCj6RIf+2RbtHFvtaTbZOUMLBdvuXSAkwhEvWw0qq98JFftQ4pdj37XgrtOZV
1E7LK1r+9hvkD0yDfUWPxWzzUVV++ZqMe86P/xrpzzQ86B/wRkyW00H3pz2u+X1vWOhxltIMGSsL
B72qWbl/jMRNtq4bTKMIiwrfFMjssvWmzDiaIwgpSgt2gfxGh+vfCOWBGSXdF6U8H0PHQ5uZ+RnV
G8+NXxJnVz3LtqovQ/3oMlWTA+gAH6ESOHZ1TNieNb0nEeMiPwgvbC8b/Cn6GuNt3Baq28OyrjQm
LHU0+H/sIPobgfSG+rHveEgOfseAPM9x8krxWQvwJugIwBG0kWn10706plvzezoLYx3UV6GKoF0R
rUaLhh1RK15gua25A8lGLxUv32T0EGcnPPk6yl3Waw+FFHg318tKQlUbXc++R/3TTvX2bhq09Ag0
QkZ7I4iGlFhr3BGe2eCU0v2PIinuIr/XbW5/FKn+B6fDt0Lktx+zct90i/fUFQ4ovENcVhXXW6O3
Yo6d8ivz/N9WvPD1jVG7w6bEYKVzWywjqEbznrdg/KPTZS9UkMDzTK6BV6WmcKKrtGurJXdV2cmh
cNC/lFJyqqp+CbuZ7HlC3LJj1hCnTJOzioR58M1xfEwtFag9Lqmd203WXtbLLXLwpbCkUXvWEDSH
+7CxU3FV9TJt3XjwA9mkFxo6FFj5bNy62bAQbvUCQnRC7ZQGnuyNd7udee8h6TZ3Ikfwt1o6bog/
ed8d9DUQ0hFgAmX+4osmKGglPQJzsboOcP1FvFyj2rpVUxVvaIFdGJhM4JcUGxKT1TIAAKPAxJVG
bMSm/+pMy9kvUfY5psWjn+x42w2w53nOdIUdPugnutGH6Q9SVnp8DZ2ACQdEeynKH3LRu23Je6TT
9KTZ71q2m1yk+0iUPb5hzhjTlMg13E1uVj9lSSYTi4e3dRK4Nln5W1ZP59Daw6l3UYe5NuoZLq8v
HmWkUvrdbfo0BIA0Q4c8R4+wEPxfWbwz/K58HhhvbaXIU7MQ942j0R49vXjm7Aqy4ldXoRgtxhVu
lTo8jy0tLiRapFpgYqLKu2Cs20/Dtv4kNJ7zk0HWdg8ri9yrVmjjfvUTBX7xO8vF77KmBlWVRn4u
vcTd6LH6RL7tQ+co+UI98U5nkTG9SXu0bnrn9ihCfeaccZruLfNIoWyo5FllhuN5AJ8JbKJrjtSF
bYGG8o9RZeqkT+TGcLtyPqetfmBZACexDH74aTmD2ns2kIYT2ymdiMQEu4msjs5QbqssZu/Rd4Po
iLAwluekIZkos76HpklvscKdaf1U/fLeTEo+ycKBcqnjGjkr+68hvsBO3ENBXRvXXH3H/zaeUdF9
Q+isA2Dx0SWOfcBeRAyQRZkrZBXrT1Q+YmuiaaNC3DzOzbZJnZNH3+ne0jS+HN2EcjU+CjM3Q4kF
qO4bQq9h7biKGu0pzXdjHgNdI2JgeYUaxFX6TtWMOoLJy9taB0Fda42MKet2c+yLF+bWIXS0jPYg
Mh982gi6JMoDhBUarn1FEZzZA3e7NIByKH1m9iz2HLYrLz5/GRhmXudSz4+lXGs2O6KtCpJSdnFD
WLkvh0CwTmzJ5dy0DaFWukHTIIn2M+KLrLrlI4N0qpqjW5pM3wZVo+YWNZlBWQYDg5XhuXSlvvNd
DSXYUKNWXk+R2DWTbUs6Dr08Qa1Nv329uTsluXL1tI0IxU5pd78bPU7uNSxy36pCXQe92nJH9mlr
nXtDXieHFsVqGQ9GNERU0NaB25bnIbHNU54Ia0sz6T4CK6fr0GTjLfmdfFAkL2etYjKwfOOBoZac
usp2Lo4+UKikA13KXjM26Vp8l//SPNYB4O048FwMdknvW1vs037Q8O541fwXpXEZtimHgOhkYCzI
dqhHNdkzue+Wv/Ow6A/cEO+Qi8fRNT8NK/1QfvaLf+hui0enSv9AJc/fPHnAUCle8NzHrMCOZ1sQ
9GNSBWkpbot06Oa2mzQUyMoCw8OBrGd1KDzkAQCo6Ra5AdEahNtvZKyjn+73KO2yM0HBx6xaknBk
29rYWY6zEPeO9zIJxz5n1gyIws2ErulVedmRxL741kPQIrOtYKRcxXnR1D8uee27yKo+uqXf1eXS
PLd9+zsT0S8q0pCbieUBdvqVTz5zCeGLmy6yusCOYdmiImNn1Av0aIOiuM2u9XBJkOf2Pfus5U5v
/7onR08j+DhJYSd84jnjL8Pkcm1i/T+Lsfs5Tds/0eKEk12fFqKWMcKuDhy93lPM8iA3WJ1iowtA
rmOyb/XuSDMSnDGZjH05X4feqDEAtC33C0ed4c71PnuPEzIBjbhNn3K8hMfedT/LuOjv5KH/Bbwg
ScahC1a40S3i2OJu8LE56b2z6VsDNBNFUSRIQxYmcmGUem1Q1e3vNsp+0TD9Ndf5rqe19dLEdnak
UqXe2uXafo10ivhDbMsrNW8kifPkxEazMaj+5kj2rYCsEx3JWWA1PrD2dIcvp2K8G5MvhFuBU4MX
afWxNmvjmVz5/KEa463slU7PBprIdEQSXphjE3gLpZ9SqY2/5EXQlfofzcsiplGSijRNjhuF2XFn
5eW+Msg7RhVpZC6zcjW42y7CYOXBIZceCA0EaJSg/1/Wl3YF5Bx3yngchxATP2PpWG5J75gPdmQy
3jj/rLl0KSyoEZDD05SK21hKgzcXkNpV6U6C0BqjOowlstq2S9+8FKQEuMQIyrwrjtJpZ55Abu9e
CjQHsN1plD/nk8Oi7bRHPpIBqQCakcL/kH6r7aRVqXNj2TMviFtvxmkma8AQrE92tUdVz0tlKUkp
tAwrA4gdQkfu1q4Q5LCyOvnR+gK7/aZTLl9mQaSoNZMp3J+NahhOLS0zm4rsdyq4/C32WWhxa7pm
5gwcnLtHR8VPfoYuZPZYImRPr2SSfjM73CrXMneYJh+JSQaw1u3jHg4jgwWntcndF8XyQvFXss1m
Fh8bFTl0K+wShU7J6D+GHh2q5URhn9anGSbcU81PZaanfoDwstpmvhZl6x2Jq0DRl3+lVFMGVCCi
Nm8i9P5S/V5synAQsl+W0S0x/WJzV8R/79iF+ZWyL7OF/FUwq4Ex3AerKi5kM4fkOJg42fOM7xsX
fE/4eFbl1xKqZ6PybhXD568NTn7DOzfmfCgGYbG8NBxNwvkglM3dM5M+C3NnegoUzfbvZTIHXt0t
O8W2DEpoOAetueuZ+1OKtqdHpLSok7vFLh0UXXlKHD3DBu4/1ZKzAGtKadEGwcI9LFFDfQoCEKfV
t+Q5/FdbdbcZkp0dq+FlrFlEyevSjVi8toOwr9Kdrro091rtgFXYVigNu9iaZdvsYzl9V41b3eaO
eLq6pgR48AhbWSpKdPrMW85k3U5cLTwZIEsC1W5MeGhKB7qhacHgkdWgD8UPM29914X3Wql0+AMB
GBpdF9oa/MCkE+5sz8mbM1s7mSLEykzwj4pqPioHsnz0rsxWYu+XNZLAAtwzMmL22Ok97/3kYNUj
Y8Io0Ri24m0eG/uY0FA0lmwJPsNnQIvO3izpBe/RARbA57s5/eyMfjhnzjjQixqvPaPmwetzeS5G
7S0l4c9sSGIoNEXmEeqvLB5i0CbDCtBAsjA0+b713DxomL43yATATKbPEXTwbE11jDAn8ULDI+9U
04xtatE+lzr56V/SMG3NEM3EAE/6lMItroKxCiNMl3GYFCa+DhlbzD+WtbebJcGH150o/Go2cVTe
SP7KHliS9ejixYIGuFKU21SxR3oVLunEtdVBIVedE7cIIwODpyIkLeDHHxFVlN6tgk7n/UciSlWF
e/Ks4pgQGneuaBo6uR1PgKhONlg4xe/ugQ/VupRE/o9Zz84wiWoj7Axxv/4yR019JFEE4ygjbbyi
b0W3cKR51t5roflpqzC3kO2KC5968E5tu3nW543W5M1ZFG0AstyBSV9cGPObtIVxI3naNIlAZmF3
YuvP4rJBD/RW7Liu1Hmeu4cxi2Vr2gNyfEbtTeT/alT+BwnbfLKT5M3sV92cZ+9TRr2TZ/fmqbZ9
xAGKoxstxGHunwHMSkHhk9b4u0xivvA77z/Daby7ZZv23dx3y1rggbI6aPNxiwkuu1k4xyF30epW
cizPiVltRl0fb/5cm8e8nTgTy4MFsXxB9eqDniz4qCaIyZS2ucTWzpoq0x3B3vGm7NFo6jmA2Nz5
hEi7XZA4DW50rv+HUg88S/bG65S9TTV9PkM5yG1f6iyQ5XDRpYZuYG6bAw2McNpVmt2KwSm3TG5U
1MfC5Sp6JFRFP7o6nzddzTvWEgxOzy1Lh8ryIBsXqkMmzTgMClJXMxltKrM0zhiIOO1WecTSzRRn
d3S/je6EQlBlF5zg3LYJ4qzIK+idXs1sLGyhbmfNnabY6OYckRvu7BwuwTBMI0DlnB9jeGZHma8d
Ry0+oMZEADYcLWqrfycL23WWIRFEc43AEnNYFLnHfrHd3ZIO9ds0qV+dXKYn1lm8kgkPU890saSx
POTUNeelK0CP2wqKt7tM0+CfGzsnwFVUKiTcyz+bdEYAwTrNGvVfnYecC5R5R4aTVWS7ysg/xASO
KIvOCChPmc///phj9Sst3Ah1R9+fIrdzd04k7gjm7Uta34c5gXguT6a+/gtlv1zQ8GfH2RCAhLSJ
afrwnICh7xILKWILK0ZE/9o4Z8UdqoBmM40p5KIlKGRQeUzdC0XDIB3iKKdf/zqDo8h2+Z3SIhgl
ytw5RbubW9s0F+YNnxjMmECMsQWWfLEUYPC/4W8gQe/ZmbBr2FWjob4V0Gvub9JR7J2fxPGzFQ01
mPVw83minobY5A2WVKOt/01NpXakfeDFwa+KXhNRtJbQmL4WFOcEcYc6nOhTS9TWznD9mhBeXHOL
A5fbC5SpNnoSXcPDbyUhx9wYiE5bbmLxrZOxaHcqWxPPntGjsFH7qXSOXm2epRFHT9iqz0uUK25n
ZAgvCvJKbtNoTJ4j7VHgnbvPXZLftVlzdk1G1GflE40S7R2lzFNK2ymSzvze231+L5BlB634L43x
A0GxL089D8HOKMwIVR0iRkkyha3pPI+ue46KQkDlrq71pUFp4Vs0wOeyyo6NV+C+w+iE9cnpTp7R
pkHNp340HRCUzO8khQwF9tdlWvPGp1CjXdxvp/QFxnp60b0cqsy5mhItTWaal9IFt+750EheLFfi
HfrDdM+1B6rrtt8ZbYtHpyfDeJDWp61hAul9QVzHQzoDYf96X2PdLd09oxOdoBzHwxzFR8q9b8My
6nvNp9OKdc9ABWJVpzbJxIOfqD+MS8dfT18d3WufvY43pzAr7qIOUMATqt86feXi7OMOmlkj1nhu
0jgWFhFpzhAPsqHM3Blx9suXjP8t69IkgqjyX7QoxqfZuXRsRARzoG07yLxdGCdasMGSIX9WjGmG
jEOZiJQ8iOHHibIkRLC/c2YGJjdqKjaH9Oz00g8EIZMUiLgBIsXHNGvm0aR5KFhwcIJif8V9Xb35
nmVuUBlbp4RhEzNaPwSk1pH7xBBeo/Qts6Y8APGRiTnRXRi5+nlEhxYYvvkygQCduHG1bSEZz/PO
H7HnCQPRNZ2nbtGcqskoYOwrZ4Xvb+Y05ue2R7vjrekZzNXFCR0uYFjNr5lzQ/MXjTMRkREGfac+
lml0R/rR3rqxvQHZaQjeBIL29Jbkgzy11PqCqkXqMlaKF9pMxLtIRX8QuA8DlX+yNOAPzdComoV1
rVG9oEjcUfwyvTuaM5BkYVgHzTLkljbD/mqNVFQOnvOOTITC3AV+k7x/MnRi1HTYqTbQV0/6GpOH
Mayk/Scp0V2Zco+59Uci2TlK/lkzpv0lxYuuScLeiFREoDQm1OPm8uXfHwbfKnLk/An5pM+FrKrN
Yk7+MR29dz3T6sOkzA8MNumbS/ESwAmu+y6MyMR++fdHV2jpfkYBu80ja5fk2tNiZ291kR/4LPAM
LP8NRfvCUkeBYTn8VYt095WdP2LZI/MvyQ6DtQTuFvEDE8WtFS09iRIJtpU34x7Cetp4Q99guPXL
06rOcMSADKCbbH6bAemnRpYFlEx3svv6vxg1nKVYViPMppLEJBvh5FaadH66syh2Y+z+tdYvnoVi
OSS6t77i0QmGwmF66RuIIdiIfmnDDoErRsqyCfpe2YEjgx4y/hHlzjkmVw7lcvlbwtqE2eTF0BTu
m9Z57gO9+aUrGuzCwKmhaOBxq5QL367f+WvvVbrM90FDbotlGjKU7YJzr3jPUUeE1AL4e0nJa+F4
3t5C/hPkVl0AXfmrVkVdy7WsMk5yI7SSfSP84iqIiAsnhReULWrrF8V8WugouVgLXGk9egQlLmPg
Fl8ZuhNIHlukLUhwkWFpwPumzc8EME2BY3R+oFXkY4N7jI+Up0unaIGp9YIWk3+dPr2SdIe1KbGT
JwdrvSj8MxMUSDyfoz8Swlzk5wITriyqby/Br92DvF8rWR8JJABIVU+OZXRXkWSB6uzi7sEPBBp9
ushROPaZb16K/IMhl/JFggxo93FfCj9r90sK7qwKn6YLTb1MTbtFp05gWddvwcjNU4TzIOjjhs4S
03gtFusAWIHtpmMvcSP/uTNrcRadNewaLd7FdUlEmQShb8BpgridORds5xxxA24HcycMeqCoBkJU
q5QI66L+xvKFA7TQOvq962ED0qTvda/6cWYczUWP8aqZ059RQOvCHVFmOAxEjrn66nNKXjn8nuoW
5imJ4sBopmynlZm9sZoxHGhC22QkeG3+xVsuSd+j9wK6JTlAm4fvWXE6g3dubX6roMTFf2wmIkqG
lKWmJhVoKy1T21qTO55SDcqGFM91g3ePFQH9l4qC6kMHCGp0g8HmEcefxNfYp0lD/FgPuHcUooFy
9l7SifDzdvTiY+G4r/HSj5eyMJIAEu6Jal6PeERPx/Cc6k9O8kaaVhPStGvvchaCt07F1R5qwkE6
6IN0ESlaCSRfTk/m0jKuFiZZevvetM4qnT7aRRuPhb1pWk5/JhFcDXRBYebgCFtGfzOV9ZUEneUK
8P7K/is2XSJICInVZiGHEBIt/2gxQ6C7hgjSZfzmLtBaJDw2XL6TTl41BgCt4bag0wv+uKwYD7BD
LXb7IWaod1PKu9U6Y6AXUYcivGqCeUBxNdaSa8we7NusfTbVpK6V3k5EepTMuQhsx252v/WOJRc1
MlphN5zmad8J16Nza6bkBPSL+R0gBdnSzkTQF+rLccr7fG+TnvelNcneEctO1Nwf3tjd6h5x79zi
XnfMkLwc72non3XDS/YeRr0E/IWxgR7HErrX9Yr4uY7tAGjLOnmITdsMkMvVKCWaMrPj2a3J8OpL
F9uK0FjJlBXqoNeJkK+DQ7sYVTBO2AtyKwlrGBVFQ/GIWE6lzvykiu57IWW6mjv3iCUjhBnSdlDs
RCwZJMIteTBnyPsKfqaUXV6C2gY5Us7ZYaVY+j9wZDGwFVvXlBuHfGqJ4Cu7a2cm094tfS7VFKx5
GBFbjRkL7TwBiRPhssmticIwyxR7A9fty+TL9wqlez6RbWQRAtx0uNK9VP0id+06u/oErkeCOTVx
CK/crffLAQ8L6fvW7vwca9xAZe8twHedWKwXot0+hsWganVoL3Ru9pjCe35qy8pIqcgpyUWeuvH0
ug01/eE3CLDxm174u8TNxxG6PNRwGLwR7/sv5GFKVuAo2sUVbnhjkj/RbBbPJUEBs96kuz7PTgWh
ZIQxYpuahHcYXX+FePMLVTboxsBuMX74j8rQHo03E13YY0grhq49GI32u69LVC567Ucn16hvTeOr
i0EIOIMNcKc+x2BmBvywBx09tA5MPPHfc11NB7bMBROjXxycqNzICM1vbskfMeMUTno7P5XwU1jx
Lz3mn7NGvhEuUbsdJTq99D856pxhJuwLyVTB4LgxqoEl8Cb1X9SqXbtYH6Vb49doLIajqTpm3JQk
SEQiKBh6sDrr6g1bH8K2YvmsopoRfIzqg7/aa8FugJGIQuV60yIYOvsrIiPj2rgkcQkCX6HX90pq
F5nk4405taV4cA+9dwH6nM4+ORRnqVkMmqZ2kHEK+i5ybij+bb1lfBpEEVwWFOrAZkwKWjEGqgIE
GoEDSZBJrEM0hq31G1kMgReD3m6dGDZgUNXNMGvtrNsOkvCip2sHWQWOKOOA37EOu9G6TK494viM
u40e2cbVwhlqNsK5uztWZBZgLOBErmrljYEP8dOEgia1m3n7KfUuROugB1Yxo6iuhQ8kQY9QzQPk
Yai+pQYzh+3aBy3yapIUXuK00TetjQDar7A0yYaIzcF+JsrjDWcTTZOdmC8wBpSQOTvXsGxUsxRj
meNardwwo5gYQYH/zgZsX5xo+S2lLPBU8RQT5UHGVy0mQLUKz86aZSc7eaeAZgiJ7luz7DpQH8fY
Vl01bXuXLLE82RJZmF5JJYHksrGDWVq+M7m34hrB0ZAhIVOmuHszZy8RpSLMLY46ahBHeAmZxc3/
/yjAg82lPXiGvlCqxhOm+JS7uTcui6yfR4gu+GuvOJqzkdJhNxSoAMgOYAbXQkxd7qV3CGZhXZvD
ysNoGVW/GArUURQdql7cUNXaC5W3yQ1pB3cz4QoWSiGS7fA7Z3InhhH8CAl6VQADm7FJLBgiFrfq
wywpv0zYjW1k2B4oS3Woi5UoJGZPlFa0nQm1g2ZBoayZasUl9L+iHnw4fARqJbg4zXBhRWjkjl69
R+xW5FKMw7eLq4QMC1MekMWcxnUmEuZa2ek28HL1pO+8If9p9IJX0+DDcFZNJsrEYdsSIIYKs1kB
+2qi2nKVP3F1Fj2ikULvfJC/4pWFrsYwwYBrcZE1pADaWCUCFo9PVa4BX/6TH3mgSylOsyJldtHQ
sR/ypv9JHSgqDLoPS5kUq6JW3PRyzg+YF7/4CMvAS1R7qZyRutKpfvCROKfcyZ7czoN/Lxv8fINM
XruEXLux9KwgTxOX9Y1U0ri2OY+KJ6IhXsdR/4AoYFy3m82ixcOB+JhLq3ndLacYN+jL6jGMagp0
FHQJVBz5Gtq7RujYtnXquxKVdZAZuOocCclFWgCUEgkc6FwFqZn0QVPXRlgO5ubffxssgNGcQDy/
JPR1HuSXV84nanE/U/DiQCu9LExK+Nuqnb9Gz2yecvB2VlVIJWq+t31WHMoosU+RjD5j0bU7k8Iq
LMLlDyGv477rkC32Q95eynlpN67n6cjNV60XSRc9XyaJaED0roecNL4CvX8OeknGi882XYzGCbMG
c0VOEJflpp9CfA4YJAxsDTT4zmxuqcJyFNUvs12ArEz9j5ZgFTJdontR/1sbJ1q+WBIfeR2lu6ap
zrUd0SndgcON/YdtuxV6skWFpTm9Tqb3ULmoHmOb7FXP/Y7FsTgIDiIiiNBJi8H/UDZ2hpSg2y3o
arpxJ8lDTUJ+uDg2xI7+Omi4oVyEA7yR83kihT2siELpa3ToU+52u26J95ZpDQfMwcgClX2YW+8t
GdyG2JsRfsvP3DsvAjGR7YTIlrr4zTB6jNpaeqmr7EWIPgcl7B+qTR0E1UTfYa5spXQPdkv2qorZ
ZkbrgTZiOWWx2isIJV4ViNKOxJEWsLqKCHqs/boO4ACKkCfLQGTPyjMalhdk05jcvPTIkfbld+C3
aSKzK5zange3OGZIx7JJ6SdA5ojlLqVuACUlqTM+2d1spoKo+cs4hriQcSm4EHtIey6Rp56myWJL
aj9rxNzXMYN5wRARFl1JO06qHZzCsHd1RjCgIosiZiyqPWevE0uzMZSIYNmclltQMrERANX53pes
crGTkf4rs6o3G37gPMduHRitDaqurItws6cCCnTrDo15sXBAQpADIqfvsqRfi42vlH5o4VZGrLci
7XLV75juEEajjR04l4DPXhwfDK0ECwe05vhNThDspEONHcJG9685l1+VdP6rYAkxt2HqylL3q4xZ
oZCZvlRFSx4LQUG1ZpJIknFmaoo0lOXZlyGwlL0jRJ3soiEDOwJbzsDY6Dl5ix3gZd0EhHO0nV5l
Av8an6c+QSEIsR6q0r6njcDr2rkGXgaEcA6BOOvGhdQFdUk9zPvmvKwXyiBe54aUYz0SPwOC2dwi
asDXEbcROopZUz2B7u5yWuFphJKfOIIw/VUMWP9w4axn3KvsXWUTQjQ6+bKzmjI6xSYB13FppQiJ
4MEQEvXDTCH7SPduM3VHquBtYpLqb/KRfxd90rwTLZxyK+lPejnfvQxbjrOqZEcxAyPGEZYIQgy7
jF0JlQgoWL9cYwfwXj+MkVG96fSSeahUzTmPP5ohT1HPUtCS9q5P+pbnY2WGeukcAuViwVfkdnpx
wPWsP3lTuy/j8k/Xmj0YhUl7I3CZ6yx1iNJj3ACB45cdUqBTFosl5i51GvFRR9llbBBAeCp5h7H9
XQ1NcTDLyA/AAf8SsgE6OsB6tmhjrFrDNzawvukillvH0F88p77gxXpXpMHbZopxNB8o+9G011In
A7vgnGDI40QpS3UgfmZATz3VGxxWwPiYjBOnDpeZjm4KDV9WcmFL5vuoUE+2LEFYvHhm7EzfywZo
oAdW1JmSS6VyDH3E1MK97gpYuJ10z/Q79ZuqidkSDfRws6CBtiXQcELsZRr1u9bhBlhaoBTP/oSb
1oPI8sSWF/7qqBKyqiCfjStBMOIGaRqmiU+TeE61elwymiHmNsMkkkAOFNJMk/M99OITdvK5wPZD
xgLxJGL81RL5R1buUeAkPI/D0VNoKrqpulJXTNivaJcdKVoANesXErttu/eSYk/iLTvwuOz1HNig
5EjZGEYO4uaDcC1YKhTQH5/GSMKKnhtB0kTXUUEPRJO2J8C3o2OTsPi+N9S+xiGJ/oZBoEVcwJ2X
onNXaRXkSfk3s0u+i4bsXy2a9oWvvYoUyNAbY2B+a3wSkv/gdgmqPkbiN3J1OSkiRGMqicuSLqql
iDXLlhw0OZpGnr3xhM3zeXAEdTAqPYx1HV2jOftIOK6Xhcbjcl0IugO57PJg6u3e8Lww9vzTsmhP
g1OjYLc1VP/UsM7G/Afdbhi3+hRSIovqoannq5PycfTcp8vsfup79O6sMX2NOlwXz1GNlmAiuPRg
4vwjdXu82NyRe3KLfhbhnyxSkKlmsagEhLe2yrE54T3/09HFS2dlfRoG07sO3o3vZ9qXVUJdp/+d
jtp9tptfnQ2C1vfuo5ggzK1Gx6Gume3zUNTp6n0FjvLMOah9qNGYYRnDIJGeGJ4iwyRs0Olgx7yH
3aVfRAvQNNaN45pB9lENMtQFeRkJ4J0U/OoVpfeBHPonYeukRiFUAMGTYD/UJvuZd19cFJBDRXjA
XMhQ1sMjTai0Z25cFWIMCqXnFyyZSMFrjihDkRqXuaQQ2b7+TD8sEmYfr72HOVUTRDrrVAtqDiwR
3g8R4xipMluGQmgwgdPn5DQ12tDlfTBNa9sPyLvySDS4FgC6ltjag9StcQVNflgNHDnsIWmiVOKM
U7L68tNoh0z9Pz39JMElDXSsKCgTm/lZVs/k4rg48QyerKokTlnYvx27iY+qrl7KyTOOgLLMblFz
9bn+wwYVIvZKBGe6h2sJdjEcxuLJbrhSSfK691oEBCm+OYn8TTGVm/rSR/FvdzR/6xZ+QToKjoiA
z26a4h02/Q/Hsy/CUG95hVKyRXMSFfb3bNh/R3N1qnkdiLd0Vueu9p/pYC3zsuzdIRFik84KrGJ0
9U1i35t5ukmtabGpr8ruEv2NgR867dClNTevs/SgKbTT2Otfo+qTU20098S0BLJrKLAuA+33JfDX
VIdFOu3Gsv+VoxHXUVcq+uRItMIEXjOs9ESQXfJDxrG0lRyn6WLUOz2r/soOqYvSUJN4Lr9oF88p
DvpRP8bQg1pVbwBGq1evQHWGN9xmKdjrGKuCQSI/WFIerKqBYPHMrg+MyL13sxjpbai622CQDigk
Ym1N/o+o81qSU4m27RcRgUsSXsv7qvYtvRCtljY+8STw9XfQ98Q5D7tCrS3TqgJymTnHpLavYu86
xwPVLVj41aCK6Bk48tGM+/lN5P1ReglHEXmWKy+u9uiiv2qgptpJ/EO/kNTKguswUq6P4r8ywXQh
rw0zxKhlo5NrGPiPCiGHcluKqRE4eYn9A3vpbB8qKyjXpSj7t5qjM/jLvicmpECZm8L4x+JoR/jN
LZWEWsXLdJAJ0GawVfdMf3sidK+4K1IeNyILrdMMkjMt3WdDJe11SJjWU8CYB620WuPzsYASNt6u
8HGN46hjbZXHN8PMyxXt+CMPC0QOrZseUqH2OAZXYAW6S9CM/jUbm5GPOoSkSeG0TGPZowaQ9LwY
x3yPZKcHHicJY8YNvTZntiZtgUrSsbCC+R0UDKRBa+mL14y0iLj1uzVH7KeXzh9+UA0bwdppnbI+
dls/2AL9iXgGoPQDLcIl8SuJ0Pr6wuxWwtZcWXPiHXuUH9MEOzPPky3bqUeTlMl5MU4wAbv7BdLh
fvb/i0rm5QObAEpb0JwpspWLTrp8lcYI6110ABvQ/71NuxnqgILQD67CwLtue2TN2HkeAEMIqPuW
6FmCyOKtwwB3bQ9NvQsMJqTODEi7mj8MluKMd/EXSC/bsRFEBB5E5pbmYL4JUXxFBoPYEFKTQrvZ
Dt4AdWB8Mwz6BDzK+GqhrCQsn1QOU9FIsoFTCa9a71THkOznTWcJb2t4BodN1r+H8L9RiKDcoFi/
glzK9fL26yk8mv1O8lktD8JqK/lOqDPslr6QI3kG2IVmPy52sug0OJVUXylBRwhvI+UnnrwI3sw6
gTOC817NN2zLoMUjQ+87x59uw/JiNQZVKhru/c+XdQLmJFi2KD9bjo4KY61Kzq+0d35HTGURjCEr
QsTIvN6o8aowrHSxUPBi1OM10d6xGroBdflUXf2k/J+XqC4uiAKGI2O+6joMKl52HiVzN+2ebAYf
hmnfrBEfGc5vufaa6ILMqjiMsi43OrWZBGCHfOJD9VXTQlLKnQP8zJxq4P//5ZaqVgbN9gmXNq5c
dN7Fmm4y3sBNo/9BM4TvKt61UfDLxharchQ9mot3Z/j6Ky345yQNWTRB0D95Y8LDUb5ZYx3eO+Gd
kU2we9T2xqAbWVW6/jZ6PqW5Zx08zoZiT0Cca5F4+CQsQpYuHjYU+GhnDm8+fSu7+L+zIWOADntD
jl5zcByQk5S/h2T+7S781aCYj12NcAVO5aLr/xWYxa8AMcOm0Fm+EzV+MNlf69iadoNLYLZqBTCi
MEGxqyDtDcN1KjpY+sgRzlHG9+ujH6KU+WibInp6csJQgZrtx2W/TThzZjnb0HEs7Pb4l2o6ho7I
Q/gVPPn4OOqm9U/GpN89SoXDz5WByrG9Dd9TbAy3+MimvL+3QGc20DrUFl9EwMW1FhAwh3E+yBwi
WMjwofHcyzTPattZhGFINbW0i8zLEPUBg8Z4BEr0WPULeyudg33o4SbX8LUolUcWu+P8Jb2ZIg72
FukVQ7WN0QI0aUyBFc7FIc9hgXpV1D0l4JhhO3xU0myfxBA8j/3c8o+dr9JFiqC8/knLnP1LJuHe
LieRg4kztVhm9hEwa2ihp+x/X0rEX8cSHg56wHolfOgpU1Ocxo6teNqAGUzo0ldZrMDTBuWd7K30
7tcGz4acUKI5Gp5mj3wCgKC9qsxXI2vzIwGEaI1wLuWzexmsulqJuR522AJQUI7OAbJZe+o+CMEx
rqz07JXK5moXDVZ3ZK5R1eOtnMFMMlv/hTEGQDD60rL6J2gDR6FOfPrEyvIG7qC5IqlBnwx4Lnoz
+vEqVbu3W+ygvmyJ4pGtc/KWl6GvMXBZ9Ctdwt6yQDsA/WJvhA4zszWfBZA+J5heFzssRZezigWT
TwSKcH70cJUFTL5Ito9Rp58s6y3ugdd0UinpjRFnU4NuAiJ3hYE59U9qMvxt4QV/EZ278MyY1zED
5lk4qmPod82t4/rVMOEOrotxcwA9agostxiSGC424iWP0U2g5ycmQCGJQ7KacQK32vQPMaLC7aTc
xY429Ls+qcm4DndwRw2eJcSoZEAsDZBFhHq5Nz186WyGaBi7dxG19rph8rtxnPxbt6rmWWvzh03O
n8gnd6zSg8MbifPCADABOG18b+DY7zLPGVdTA6Som7LfcY7JgXSHl9ZMEZD3pbmPaxFsCyO2NuRm
9S8YjFYQW7BaCBQcENta/CgvRhV5B8zy5VoB2XjBcYDtldRuI7OalaX3WVf5u2BoUYt4LJ4KbHl+
PGNPcd0bFG5xzht0NH2HGFPXJtvwKWS5Kn7LGO1EWpJNJNr0SrDQ3mEeuypyk9yUiFE47h+0vPVf
MiDi0xTNiG7KT+J7PdbTjdokRCZUznCaejAlQz2z9Wi99loCJd4UEWNPwQ7lGDfZM67+mdWnSXPs
1q9Jo6ZLvegfOvTr8YCzUYWCQ70MPAw9xXkQgwdVPy0PEMdcGnv2friNocgkOOq0seviUeolXezL
I5nl4PhfhqtscGymhZhjiSR2MWSe9Vi+Expc7Zu5QXDtuR92Y/WPEBX41XW4CQYnO8ySLI3a8Sry
BPhHwQIxTtIBcx8Z8ociyKClCDDCcvMH0/A8OsRy5qP9jQGhHudmN7I8A2sd5Ls6WrSbhEBsofY3
m6CfJJ6j9j3kPcPZ33UbEE7mIzcMNOlmjFieRLOrnWPT6maeRJI7tnD94Cbhn20XcBUqHlo0mrDS
mq1dM1oQeTM5r/txRiWB5JdjObLfteEeQI5vZVnlz0mFoI/YsLNnvlUhDKJgpH+hPmKtDjF2JUyx
Z+u9tvDAnfnLITUYDbClBJVQK9Uzp2kCmxEg8rCwsnJ7yF7maHwvh/9Sx+/veAIu1djonUTDsypb
xziJru8YqBYfZI8KEIXE3Q2LFFYw94L9AMIjHUrjGHsICt1A3kfJk5bO1VfdxDFhv5humm5aG86U
MaAnVGnXbK0J1V+OxX3tJ22zUZP+g4/D2QtZ4pTrpunQQVPcIBPCBgem5SikdRmBGWSUcpfYLppV
pKsvq0yD/QxsVY8FZBKQ+0Fz5R6+a+k4XAtGRefiIsNnLNaZraYVT5+jQPmnsGF5C+0O5AgrJK7Q
v+nQxvfK9OV5lG/z8tjve43kQJb/flSymqXnpVGETsGEO/w8w1BBfGJrZT1qg51D4wXqd9yDLN0r
A7BnUjKArnX9MAd32Z4iEShDzu9K4QmpverbnhP9r2bHSUYKkeSzk18zoHxAGE7RRnZgfBmnsDIT
lL+6/qNx4p2G0n0aMVzYi0h96GeQCAbO/EjyPPQqnhhmBWUyksnVGALzCDwBKiku7oIV4iGyeGAC
U+K32rnejsgxdn3jPeI+/226Nv9ajwagoqXHlAzAOO3zB2KX+NZUqBUlA3u/C9juFqsIcfAmxqF0
F7hm4nR5XjQQlqtUP8Uz37luUJDEaHg2BXozhnsdvB5BPqJjMFJoSgZizPudot4Gwl3itBrQeJjc
TpnRPYnc1xvH6IzPIWhB0tQY+1P6KTwOzYk3DXtrk1o8lZ3y7FkjEjKcRWaugFyxc+1cia+wR8qS
VTxPeNfA9rLY9RQelT5fDKDVhFGJoZ1lMSG2kTCdA9LhgFb6qJjEpi1QE9dRNO/Z2uKn1hhJO/w8
K7tHFZk65pGaHgO9YkCv68ne6Sz7zWwwuUexfBksPMBpX97GKNaUIA1y92Ji9qQW5lCgedCRCUSq
h9e+962y9mU7PUHDI8XMrMujzhYhfgJ/+AZ5M3tYuHxhySgE76iHEfNcpFVnp6rkxskNsc0c1KOq
gCroKSR1LW9AwlAVh9OiKq29cY0uDYiLOSgGnUC8QxIaay8j4wKvCClP6WZwXhlWMMUVdF0Mxr3Z
E2ujp1YTc7vJ6JbCJJ4YTbq3gQLq+GM2KnpO9sRhsB9KnnIUwK5jnuLubxUln/ZcOLhoHSgksbtL
tYdgScHHqm12bAnMuKIK4YWMbDYV2UdTZ1pPXceWzHblRVcVJYH9xdNlPgVlocjTDoOdsNSvuLZ8
GL6/kywRK3SYkS+XDfG0gpvV7EEtQCYhQnaF3egHQXDFotzv6cfyLa6T6J3mYuCzkdGulQvwo/Gs
c4M6FZOOGaFS81k4B8YfEAUVA1o+cSOo9TatvPFKz8c5xuW2dq2ATVZu7QxUQUAgmDw2fR5CZmfm
5eUGmzg+qWjO2o3ofTIN3Ozud+PKcAAblK2mzeiq3xhLTmjxSSpm2LltEEqsdDA5x7Iw1kGDA0JZ
bCGsPmfaHnWwDWSds1lpMLcZ6W6oyEpVuXzC46eOEsfHAdT3XkuuopLHnu3Aa22sLcnCzJRoN9CL
PByScpi3kZ4Q4M3JSmO6O5HzW3g4QvpZPNFBAh1jgK/p5R5ESVOsAv1mKvvpKuLqOisW+x8DTY+u
64xIdD7/fBlJ0+ROCP2NWrR6JlhFGMXdpYiZOvy85E75nw5wDiEueSV+mOVJk1196eVvysZrgrT9
gIOSpZocH3mSfpkJJrkoaT9tjd5rIv8Hr87YrJnEz/i8iQWOjb+2zKOHpONbmZmnVwJC7bbvna1k
EwGB2Fpn5jztXMjXgAUuPdBHJrqw6Es/Qq7dnzLUnkmaAS9DWssqPtppUNL3iFmr5KNNy/jo+ORM
dFNIZEdvIfE1vghijYkoaaIrbfQ/XL0+fRkZH9x91W6crWMlON1JaMNSGFifNeJkymhD7IeeE5HY
gj0bFMrwuRxWCZrHM6Y/JqcJyzeZf1pzVC/Wn3d7ER9YcqhO7vKjHvtqZhXxaWCEjyYLp0Q5t3g0
zUtslckbmXT5rTaji82Bl5fp9CKyBp2Qlb0CcUHzgJnsJtGg7WYfAAdngrEWpvfPRlgG+AQOBY09
RSk5rEHFDAO4A3AxLGWlK+/WnB4NN7Noyu1oB7852iloswWSH2bVBtFyBEOtptK3T6Wvk3tG1K9Z
hpDN4aLELsOcPCOFwrMnBAwoWg5iNh4se57cKFdnhwQRpA/NMgbYocULb1NI4tUU8J6i8Vx5tYJo
yHS5DZlq1oVFTcX3M1VfM6vHfVYX4pQqvIWT5GOCWd2umxAzH7JmuXLDQq4CHWz92n01szzeTG0H
OoGdARK46l6P9fvotDQ4nhTPEVDlfedVrPp1/zq4hf3ZayJWnPwjGE8Sje25dLAHjlybESFtmY/d
E9OSh7kGGQErvd0isrgZ2Ep3aOnFwpiNWYiBrfRqt7uXyXIDU4t/1Z16QVX6CxSAeqVNBFd7MyrW
8c6IPdh3QyiDisiYVZC3724VwBurlMW4f3qe+na+Vg11muvo30OKAwIrob1N2wBBgobwgfyA1dnU
AlsYsqtpwl0UcfxlMYdFedgVz7hvNuT5hMDxB3MbGUN2HnWwL9mEHBDqiBMHDuTEGt0kM1AQzdPK
7Wx9MSVpm22e4FVDLzCk5TOpupRxmZ5Xrcn9OZAZe1AWS8Eyx8Cetx0ROGI4uGxMkKkV3W4Q3W+j
Wbr3vjdOPxSzyg845Hh3d2XmeAc7YnsE785FetLpc5nxERrG5GBa7rBRecm6JZQK/1d0kgHfmTaS
XRcM6khOLA6BaTLivetaRJkWHKWUKqsUWdAaxeXK4dg8LT9AXABZ0iKPBPYhYCdw0XFbxpfWYHzt
mu6HCroS5ejgPMbY4VdCWSWpqc9Z7fa2cw26Pj7KBGl4Waq7L6z8YnIJnaiLgXEL59qaHdZHbFx0
6hnDXvrcXRJZ/cmla/G031y7bkDC5yL/9TJGDXBtTr18KSs1nnIEuNuO8gnqrOuce7d2NhGRdNuY
WO8iUvalFd7Vi4gZMs0H446+ABzZhxEyKjKsjJnnWdPWZBvMQHn8zn1PrIIpyPjRTTMps05GRxhz
XMXo/FZuy1saiAWD7pjfzD6+LcMXj8YKt2YdQxUZBVQzKd/RIcDNNOevpA/bgzZKwAvlXNxgh8FH
0vZWerFcp36+Q3qiX7KWBDurG3AFtii30jOdLvV1aT+NdX+qq/y22GPwRev+YNNZnAUf9SGMyR4z
KdkZpFtXU8t4BVaI2cEMiSgbIBZii0OjwASdOQg+vObXiCsOoZDl35M6woA3QE/mQdvzSwODUEre
S5R8z0JYNfpgLlL+/j3o5WGfEw10JjvOO0/EjsO7OgepdC86K0e4d8S7Jh1w5jr0uOT4RT8vP7/H
I3EoxU9GVETEPiLOEQB+a0akX1MYwNEp/qDI206zR9Fs6RUkz/8yMVnvwjb3qWzBGDB/4rCb9jgR
GgopIpcV472LMvfacxS3I2ZY2v923TqCO0p+wKlKQGi1NPzZL8ZG6mxW6opTwX3OolvO0/GFvY/Y
gwknOSskzbNErId7wT4pzOLrfEQJ07MWs0LT23uWPtcSyHOGyJlWDFlMXgNk7a5EMeLRR31FdVJ8
Zmi6tmBBWcAr4RJ+Votz13uHsMn9tZmY19nJ3H0txMlObXGVS7SijaaMTRa2JECElL9d9kDTBB83
XAjKpnfNmyHYDGwD2U99tsHIv70a0p0vaS/zPGrWJTqMbZAyLssU4AjXKZNtJEqULdZZ9fTqLnK7
k6859QuwV8+RYZ0Fg6HPkZKQPYxJNEngFJ+hlfrUBeQBBHQyW0Nr70q+BA5RlC9IHTOSjnIPLjzq
8XkOkms3jGQMpQ3o/8k/1FFRnZqhRCVnGR4bfx8apKHZnNMaN1kEfn15ySrv7hAofozc7iDKsXsp
6ph5oYWMBYH/AdoATLQkQpnqI6iLYL2wJ/OPaV3XmCb9npiD2US+3JbXcJz/Uk4NQJTyQ55yETUd
QtChl83BZOysxsg9eJb1IOIiuyYLAnuw9fsoqvTw81M/L3JsnwnsSLaBT054HwLO+AnQKejWEfV3
H9Xg/dJdjF8GXhkbmjA95prH5dyPxZ5kkEPd2Cd8ss2TUqAqG9NgjUhETRolqNnt+Kqlno5FkRxT
pZwbzTnhqpP/lyob1xPUe3xyoDCLfTV/CabfF/kOk2XXj7l9DMIRvJAOAE0rP117LuMwxErWauaU
v5P/TKBnc6tK5Iy+QUY6UvjorlODKbzlmLuqK5/r1nUvwkMTFufxPXZttISRAorbaBg2g1/d4KeQ
pFGbLyDf2hfCUuJ9S+r5xDrj0mlbMSjR7xUDlbDqt+ko/7jzEO6wuY5PILPV1u0o8wJDAJcj+/Yg
g+RjihjYVvacXhJYCTAQGeyYJWyjn5/7+ZHbSh6vIUiijHzz6GNS4V9gsiCQ8tB/ayqSoepfQzuk
NzYQ8WsyuvWmIuQc0KO3t5N5R9iJyUmCP703l/7DaV6jLDJP9ZBseSjD2x+RrviMuLB0kCvp+eWK
gPrp5Dnld9TDeSHz6isOLHHuA29PehrUz9ks2XUZJJAZvb02A+w148IRyfKFS8zQZZVEY0L869yT
TIf0D7DLC73sviVo6suq+NNh7ASwNA6oyp6yGLxc4kxbO7a6DULgF/Ibq1s2oX9NOv+5KTw6yi77
SlJXX3t+3y4LDXMrCMjBu17YoMjCFFmrrQ5wsLGs/ENoNR/rCDT+4hkFrfavjKTPevK/vpu7t6yp
pkOg4CgZPXl/HZu20nODlzpPB9qjETyzMT9Xbmrgluq45ZXHaEjcSyHkIy/8zzKZcpYm6sMOc/h4
NuRKp0cWjt5lbTuGfuXGBN+ZvpN0Nf+xg/ie1xyBwrPvOiaROynTd7+2fyWWprkv3fYR087tQRb7
qyAVzWUK50toReYT9wbC4KFl31z+mnxPbSZN5oVdd7cGkOkJplJ9x0Y279NF4EuFc53BFp8DK+sf
wNCOJfO5Sz2J7hHzUXC0REBiPHvcVRU7BTPwoHXaUzhsGhKTNmwSmYQncFvrAPMMRXgb3uL5Ydoa
LwEa4VXsm+4O3TQ0BTC395+XLgNmhMwv2zWB02KFXcLsQBbtJpEhS9RensBemBP8TsvXfjmYl9SS
+6ZXz0OB9NlNsw+aGgCsPrValUzr0WRgQK/3nrua2fLF4/C42JZNMw4j9Nq2+GQ92AcFQ+FwhQZQ
bqQm0AJO2yHUC86rsd4jVzOjGRcJhZ5GOCMSEz0N8YBW+aDmwDz56Hs2LWTs1Q9/OI/SZJ9W5jtt
XL1l6xFtGanTa7v5fEpsWhof8NDuR5lp2UGDKKjBKVlX2dpwG5eQACIaTKIBNz6cjIGs4SH5KHHR
0lt3H1Ha7AOTD9eW8a5hDIWgkxUzW2CP4CIcWaNYB+Pw/IMgSGzBkcV+G8xoHO3mKhvYQwvxxDgm
vgOm2Chpql2RG8U6U1F1TxBeU8wBuGkwtzqNdxtrf1injHQRw6pDZnZoO7CkzmQWTp6oDxggSZHN
zfgkBvoh4EzNBhmntXXDpGZExRDHL8DyzhJvoQtMEaJScrcK1t9z2zMxgUNZTMl3x4z9PPo9XqCU
SZARk7dhpDhR0ulvVdKvxlQpXpkk+0akX5ldi4OlkYTnmWseJNnrCXzGlarS9jl2SHWok7C/6To9
JHY2cq0tygjb/FXartomA2A0VGvpBcYiip3m1XCj+D7OsCbpkBaeAPukYMa905uChJ5iLXx1KNo2
Ooxj94eCgz6+ZmQzYXC9BQKH9eA/130mrxjthnU8p4xO/OK7yyGSDnCStk6WESliT0dGGHpjcUVi
+HrkENG2YWknWwxSRk6q3qB4gyljmXKH9zgfb/Ren6kxtfsouQl/wVLaLBnIPhvggoj2v2KYMTeT
1bGqWZUVVrt2LBdDteuGbMjGkQIAIxcbtuoFcFM7SIZPNRbtdMA7y7LhKlwZnFuSzCyKGE4b7+zm
MWGnpGY+CuyfhNKrTw+pxbNnMOLsBgQBuee+WobTbW1ILqumWBCbni4+fCY+1DBOt//hljmI+1ZZ
UhPss/zfhfIcGBPPyBKpNblepKaW1inSRbZnOY9jqhPlY06tc5GU2RvisPllNv7mrUzffl4gvAFi
l/XDB2z6M6nB4H8dqD8eP18RIfsvNY2asDc04QOP2gvxfMiOtLZODAHTN8xK0IvLvDiYRDa8dWAU
2R6OyS4VHdxzU72PGWZjShSbJhpeXGqyW1FM9FeY1Yozf6TFHJMZETsL+yp1+6fK+/ytZF35MAOa
1EkVb4PPVq0Ne7b6mgfSIJmSB6nx4vIl2932xXWOQeHZ27Y1vDUh6/UbCbEb1CTVc2nPJxpc69E0
DSqbOXlkMFrfWmP4qh2NfKTtqrdRGXxCSLYNQjHPiSnxEKcPJyeqV/ZDdPQHd8KFRDKdBYnmoyWU
bU96I6KSxBMfi9Nz1Q55d/35vyBllcHTh4sZJVsUWtcxRu+aovn40Akb32CU2V5ZxIwBrC9Ioep2
WWNNRL0LljsWD0NuiC+qBP1Eu/HwZgCCTTAHL4PWcEzz2HkevPi7zI1vEeXGizDYLnYhf3w9jb8l
R84wdP841OaHMf7oo9zo3Z1soPfVKWa5/TznWm3ret5RC0WPcU6cldnXYj+VSbdvTXU3nNr5m/J0
sZiAnpvGxFO2M5PA/lePPPNq7ynlTf3Sbv7mB756aVr1R4fQdpgSKmtKv0BWb4EawGexS/uq2f5j
rkDPM3xbWcU2MX2au1Z8sWV/UhMUmoJx5QhreMu3fa9UWP0JmCcgtc/kZ7vkJaJQWm6WUJ3bjLEr
nv/osWzPHfRYjg93KciMAxhG+2Ok0mHSMFkv4bKMsZuRxwBW5Cso13Ir8VG963z4pozk5GBRQrIL
GxefEV4bcZrM4JHMwJJ/qyb5Y1mp9VmaRsWGyZnxj0WCxz7XVpAlxUPmdDyE2/dXHtH9AdyOccI0
N5/6oRLop4vpXMCErKPK27Wh8FkeVGRClG36kucdsozs7NFKv6XVpcn7kt48qv5kWXYxmARTYxBX
mVY05lHRHEaW/t9GBH7Z6aCoVhh4WPRM2a7WvAMpgdrAv8b60eK6hK/TveYM5V7mcbg5GXKjkgwE
VmvbRsM7yFCy3sJaFnvXz1oOqHpEFhqCEZhnevoY5o9no6zVbtfv3WRm/0WBLSXtT94QmEVcVH93
6XAd5ApBnz0yL5gOXt4/ORJO79xCEO6iQf4ORvdsI2OIVohU17FTxCgFDPMyVm6yoZs945ALj1oW
aElChm6p6mEL5UhdYiug+rbDC570tanK7i/Slk2fD/d4thanCSgDpzDeBcEvq/hphhaU1bS6FOL+
ld1ff5H5FG4kNf6vNBfbuJ3l97gMZDvfKJ/LCZ1HztBwZeKw3Pv1LF+NPv2CeuN8d3b2nCIgeU+1
M3O3esEx7xiS8B/9cCEECqFk/mbAAyfBU/CpwV8advcFcKLkimzr1yApr5NHeq9dQ8ydrXRD3XrI
dOqzOWQ/ns0cZKKfCLydn91qmo7tsmIJA6gyDAfLj7wBPCWrdUO1d8VkxcOcN/scham4QrTC/m+8
2kWAOsMa9EED0WfLzPXSIxhxtfnNw8fd6yQh5SVXxi5DfH3M2Lg+25qGEPJ3+91kD/LgDlYr/Neg
bb2Nafj/WSx9mCLhTsgUUmX4eWtXZyg3EVlfXdFBaEzuMxERD9NXxslmsYvMjTfZOELlWzfI978r
gUNMls/CjYc32HfxIWZDuNeNlm9NUxKbuIqqtDvUEE+PEGM2YI2Ww9m7JJKDbFTmE0brcA8c2HwY
RSLWPXi2u6HU3zYaKKgd7uPURWRjfowt81G4sdHe+JXJwj4inmbgB1niTMh6hXcjqQ6eStYENATH
2A02iFRGBmblBtLsI4NoC5bJ2jJu/BOWnce1Fr+3keMcqSWKcx3HoKisee9yhW37GDK6FrGx7aME
2kGVBCe3EazqzI8kUd0O2h+1I/QmLpzzbAUGB4T5bLcOsRDzdkDrdqhmqDR6sBZxkA4JkyvaU617
4lZ8+R56zS5b1vxGuBD4LQa3vkopid2Tp5c/GvwKCEwH87obTJAmsmLbFsRLgR8ogMgwJkbuV588
t3xwXG8A3YlDEclnyrBuI4Z43AZlVtNntMh2g7g9yXwpWNX85VTEQQIpbTEzL0/4Sr6EPLILCDAI
yMWxnsru3C4vPz/qjWTxVhdrMAtPxEfMKBYB2Zba7qH1e/Pp5/v++dH/vfz8XGfRl9QWDkPV/85r
kzZsGuj8yIwNlJ3uLB6nVVqn58mTr2bqupupK8qDYQfvTYFOikEggFemz0bOlpoQnnWgXWI/PVQM
Tkth4Tv05T4mB3OMzGsVRIzNgW/D50XpWXX6EnvubyXJTPdaDhYBivOQgNLH2ZKxNmPYM3uZuERq
No+9k/1COHpwqvEpHQJoxVKbB0zFimkTgD62bQWnAQMqfamW8OT/e/Ha/A2yh6gHnBF+3T8aoUCf
ehkYSgJWstG6j1wcJReG71bZiUQmsdE+fUqUivGsTYcizn/E7MzXhgIaUcX+yJDK2pljWW6QUOWI
GH8RrIt+R7akCCoQY8hFrm3dOdQ1tDJWpp9qoMClU90hR+qt6MtkBywAT1ENZUyMgbfiRn5FaQor
DD8uetK9RD+8lpzJmW9CLmxe20qW1Lbmte6GAXzEhMXSHE+TxZsGV4ixlnBVseri5BIM8XBUoRlc
0RxiOi6sDz9tr1EfNfew46Vi7r1GSTPvEkaZe1Pi8xDe4O4Dl2CNCe0LBeyUbg1rydLodLpXTcql
bmxSO0LcY2vyVDC4d/h/4TatC55AHK44kMuXKAyHp0gbf8Y8xTAX9HqTdg7vl7zrDGNfThRsgn6e
igX2AV6NLWkeziIcWedWbrzGrvmfKEx7aTGcNRNpcmdByP4kIsG/P6jSdfd9Er5qNFfQaX2E5qRV
1x0hSUh34mi8pEzlOrMgTs+sYbwYsj1BZ3bwmMdEKBvJWF2GbAanumD7SjsrqWaZ1yZ5+Ve3aHu0
ILI7yEc2iFG4j0jY+DGQhMFMhSoQwshY2CvEwjBTSpRLrttunXlR+IbAMXoay0wouFLTlG044Jkc
yVBuTJ/lDd43vrPujVxHew9um6w1CJhR6S+hwz6uc0SnJI+jfEJ+RCIpoYRAEzuJ9IVhFelsIaTc
UUtkCqru1767GDGU/RFYI2eLEzxMLLfkY7cmsNQehzk4YZ5Tsr02fLarZtjOQeXeROXvSyeY75jj
UfT6AZB0lf0aWIGywcJ/QYArU+UCaY5aUNXMBA7+okISufOZL5TJsWZd1bXM99AnQHGXOz1E7yGT
L2Ttrk0V2Bw9tw6uSKXvflml+/lFuaGJjB6uLDOetRD42B1UbDs7G15nSaLcqqVWwP72q/BIkVIT
Vl8ZoWGG9O/l4ad2Cdc0jeg3CrEK90KZvYTXQIjyxcJ8feuK5mTi5VunKAU51g9oT8xtFtvl0WNF
YgtnYVx05KrmbAKKJjiZ2T9i4MQpFPCgHCBkYwuDtaPNqjrzHHrpv9Bhc8CIbI25HAInQbK9Q8IJ
CiaDNVhw+1lDpqxQq8R12X7b4g5N32TIax6alA8BSBWFFC/OBM8RJ1mx7V097vXcIpWN60M7FZgA
236XZeYE0MlYBd2Jakx8zGb6mwYP33qy3J41ihrXe4HV+v9IOrPmRpkzCv8iqmhoaLiVhHbZ8jq2
byh75ht2aPbl1+dhcpGpL6nE8UjQ/S7nPIeFrJk+F/xqUBMtt55/g3i8lVn5NDtAvTHDj+DZ1Wds
rzVlg/iNgVeyBSixrcEnXjImJwTxzQQppONFSbncUo/2w0vy/zpwftJtP1HMZ9Awm48cbDs6WbI2
G/gfleEdGC2OR4X8X5OsfI6W4Wa36birIu+Nqam8WRPinsHxADlgC9vbCmpYCcwpgEhN5ob5afeV
8WRb7Ib6fGHTm4A4Vz5EfevqF5MVAMmBe9Om87Ur5R9TQClx+mIVscHeQ3FKAG4fPhLlPp3IonuJ
OKD27oiSmfo13YYdWjE7Cod9763QWT8pz6k0jtoA4s+aFxh0nWn4NHHKXCaztkhB9YVmEYVqqY1r
TEZ7pqvTMLKz64y0w4lmTgHaCOCfk3N3wxIbi0ULGdpPkcF2y6iRk1dJSnRTwiQwKyQzFdn/pRhL
f6LV6D05bvrsRqV7HiJrtRgUQVOl+kN9irYsfkYbfbiNBgt8gXE3yU2JMbheysSs9hZOZhj3RDEu
NI/xMqUHJAcLukP0x74o6n3Ra3ni6g5azF+BzcTjKkPjI4+04F3ywamjSk/iQb31sVEHZuciYZzg
TeRGM73wXGUUFzp5IznvRJVxmyUUTdP3kIfP5p8c3TgeeyLV66K/VwNdC/+DzEyyYw7tZSNF+OlJ
LJUdixR0C8YhAu8A6OCYIbgqu4SEDidm9esw5YrGTwvR+sHFzLtUlYsArg+yaF6erNY/G2QKgqma
E2zPUp3p59qgn/QL4sJ4p9ZKvBPtG0/nSdWWeO2mjgGY0DepR/HDK9x3efxDeKG3axZooBFU/o3q
Vt6wV8x7N0dbUELpGcKL2ZJ4k/Q8VNP0y2uYbrct66qUuKE9fEormDqxqbXr7MwYUI4kng6sYhLC
2ZzvEtbivqdyA+azOM8dhJ12GdNdo3rWkAYrZ1+PgXIQtU79kxoXdmlei2V9zEl5LnqiS8jlNsay
PXtGD5WA8LmDSPrtiC7iV4vMOMB43GKN7t/ozTAseymbd2BMxEBJZASeeHbpNY8OBUgHFbtz4BQi
9CZvFDV2x6Crc9dI2yEQwut2ExubbRkl2AGLxbppwXtDBpjAOjB4J+m7yVlFxgwHZ2zfF4+ddkKk
9dx7OAx62Cm6ik4FGRabsHQBXozTM1QOdPlDc08z20Na2NDkda08dLH6W4TDJyjzJxB2ROoOEI8q
8xUMFEL3Do2tqrkRlom1gKj3rlqya6l/pItuWQh41kbdXs2ETU1kTE8dq+bzMAikcH5+j1XEcNMf
QPJG6fuUiOeU3KFa0sRUDu23Y7soO9RE6YTPnCd2w3NRX8g/x39TQf/O+7T6LhGk0s12NQUFLeTJ
W7p6P6GwOLoGEySERUTn4K7npvaHYzuNy2FE4U3cn3ksqkXuLXLStqSU435Jzbs/U2/WrHAY4AO2
99Hi47cCJfe6RIv+6hncjAmZMdN8mjsubNgpADtRGe8WgY/FyeXZS8wfzybIosY0VxjklfByIptp
vaA2jW+baSWq/6+8AAHprHNvjzPYiQikRVAwb/nMtzZ3+yEWol9VxyRwLUA6SNHYlM0w7NmAwZtd
lfVh8dBSIBFUtyqxNVasuXUvZUHl4rtGFBR9zXuGrhLbHnq8qLVJT0tr+2GGft2NJIAw6Vn2s62+
TERI+7ElnST2xkM4l3tvZsWPduas8VcfXEYn9eLYD7h07YfBa8xDBhs3X8SrgsDIUPNRFwuzu0x+
6BQ9dGeq+QXL2Cbl9zMyva9njLCo7kN7xP/jTsuV/3MwrR1i1noZPywXyGPUZb9bDMFcxRnrV4Iv
qgI4OwQURHyJTUeyfKMvoH2E9NNfTGMM92VXig1AaaIrlfoNsNWVXfheIyEmvdrGaQNH2umyLDAS
XFHc5uo40fkmDrnkczfeOpSih9pkAJ2q6ZcbcjTQ7tKETXZ5UCL96xvuZ5QO6qmL+nEL/EZuXFvC
YhBWcmkVUoPOZ9XQFr/JlXtF/ojDxLfpGqvwTsgJrm4AaB47ndVx8B4h0KVsGYsj23ZYqZQye93c
SlNE8H5MoBqKfLvYXkvJsHmFRJAAyyfIpYwrNotW/RGxLA0gtfHEGjjCJoGdvalc/TBgBdvIygCC
oZpf5WLHqGWHN+bM6Y12YHry1RsDHcDClm3dOiJh4S1bvLE5XRIUux2DqMeuLQqSltxTqsiHo4Et
t9b0pZF83gtH3mlxIDhBqcK0jUVQ+vqWZ6thum11kAq+uzQj7TgAkumBridcJ2vHL8Se9oa1qb9x
bCrpHrnb7pl8hr9EELJnH5zATtlJIMYIGeChFo/iiNPHAcjCGuyQu7ALIkRYQ8g0QeAH+1dsiqnR
ZyunuJ9LeAgzzC0QHWzSB4Z2NwvV3i6Ztfdj/01b5ylugWQjAp6pngjroiQZTau+9UtXnaifz1JN
GPldB/wQYqJnvC8QMxPP2w358icmxZ5FALAFmET4QhxvRuxRv4JvhqFgO/GXZtMcsmnaLq3NKL3p
/6B8+jScMsSGfSaq3nmcgSgBBJr3syX+06EZHiCUo9JjGYOlXqC8uXoSacReYg26pMPw7lszJasz
I2qCKuhWLgFapuoelTd2j6H6RIjCXBQEkh71X4LkseIaORlSAH+KLNnVCOXVYNwB/L/0FGF8S1B1
BVXUHBfJxW2eliY1WC4g46BxMwtFnCwibhPN+Xa0ZHVMhu5ceNl8IzKKpzKK8b46DpbCPxDBZ1qb
TKG/7Ezk4HplSEyw54CTIBMjQt7FTBpCKnGXrxpNOcFiqBYIWsySfjlWvY8qsbGe8ix9t9O1Kk1Y
1pj8d7SdesHUxFjpjRYkI/fzlnUXKWBiQdRloRpnrpIwMIeN8sduLJqPfnURTmlyqY7AfKqAbklt
bL7h/RhBofgXn0kTp85IA74roAYHPDeIUiClOxjEZZU/m5HToYswlyMy1ThQyvmL2rnZudL5XbFK
3+Td9BmGhcbITK0+WRh9M5dhYyieK0C3J4whFDBLYqKmZi3uLhEm2zpbjo1TwDJbjAAhHmIMfwkQ
SCDiWUtQMMn7xfwVYvbfLCWMxX6mewcN99tDWUslndMIllgTKfdJCOWVrok0aHvrechw/zAJjs4L
akyzd3D8yflZR4iwDD34+yIevyMRH5Y4j/a+F6KZJr2vTPG+kix7wevKJSV8QJU9ZK5ygtSete7d
xcE3oKDeEK/hnBgKe+AgPLGPyshlKA4M37RH69C3yUV0qr1YE8ph2V9bPGFzsuSnMXUBQlc3beT/
jax0MKMI5IW8PzGaqizVN5EyO6p7aw6M0nyndoXoiSQxwBeCrSIud5kN7TgH833uCxfLnPgN5aXe
w9ZEUtYC/57CATtIRfad/4ajnSEOZqldvcjkIEzaVSxXGEygWDn5PhFKBl+WAcCDPAcS4CMjkGWY
nS3O212fQpyZJ/WV+ut4vJpuY0XvQWrXp7SqH8fvq33aNYAWx+yCtXojOT/Y2/PrYNBj6ANWjlE8
JsA000djGl+rYQLiNqNoSKAcHzI9LWwPDim8tpMPoGTnIGDD6lxi7CDJN8DHRyhpdXXtPkZ3Qxwl
YsLViJsF4Ux6olqQPoY5mXY4Cm3yULZ0HVhmFpDy04LD3zKWaeua8ARcQYomAl50U+HCVJd8NMep
m1uYWm+zagOC3MhfFp57rL3sL3SxCtIsaIuuSU/lVF98DJunbCyj678/RCt+TMLx9sb4C54G0BbA
Kl24UEw3BODZnimCzntHVsGdNhXZzhTmPWlVcuCdS0WOgSokZy4rlvcEMO1zM+enPF5enIS/H6pd
1gyCSGAq82QLZXZTJbVxr/zq4pRkwBqoUKpVCPa05J9Euv4dubs4/d94qGfsk/6mqbHPhkb3kyHt
ubRWJe+Lcn/aktz2hjBYnX3OItrHKyR4FSDnXDeHYRi+irXqS9MWmalrPIt0hgvsTuAXkJtCzJlQ
OLBYrVxP7YBkbMGsxZex5Efm2EICIsvYbW9iK52ZeE87K8y8rbSU2vYEZEXrdzqbZDyylfpyLNRd
MyqBlqQ1+JbvJPdY2zyzPrJasTEPLEuczfAh9aRPdPkpYQyl85YJQbo8x4w+t8Is/uZJ/HduVvRl
jnypqcVNtuHVmhbne2iTgzbOyeKNFBKc/piaACP6ivA8EsJ9Mp9aDC2o1WMf7bqJM0iDmGUoOLKj
Lm66mOEOvuE3Vq9uEj2a2C3SEY2hXVU8xgKxRmd2gSIb5tAmuPdBvy2XnIQjs41OdWOnBwsBrZ4s
g8VSFJG2iBd+tvH9TrcpcaDk0eQfjHY6kD1d3bykyzZeBeFnpLkG2C7Y847VoZwnapwoCWopVlWz
eWU/QgSPAx1RMZPIynADTYmcCZPkEzIEmEIMXAqlLkiQrxpWCfo5YtQMnqOsThH2LWWKfJ9JyQx4
UCji07w4lZrM6mKa1xSgOOa8F+cpNG2sJpnNVAh8VB8hyVHcMpOJOm+2XWfPvmDa8zw/lp7+cJg8
3/txBMvaER9b24a5i5r+dcondAupj1pUQPnqLYNBwcKsqYG5fUL45T4aCelBDiqhtLHBbOYEs2ZF
ekk6cLy11FfbhPW85FQeDL/Ye64Z3kASj5p6+ELERLFbeRss/KeR1OjwI88dcYJXIcDMEGWYv+Yj
dUI4VTfYzj2JKmhkwe8mh1H32AlbcajH0n5WXnMch+IEX3sJUkIxmPNtoNXkmwHSDX7s8jSV80PV
lp9CfqMOBxI6MSRe2uQhiklXIo7ouStdXiyCs5KlZb1V9RTJ0t/IwgYgaUzfMY6MCkPwBSnRZ96b
ATURfOLJaK6U8DtrcTDUDsm73fp/sQxbFM3ZBzIvb8vk0Q+qjsBEM4nOU0+vPeAZ167A/jnT/djE
dtrJMO7g2/Mji4xYmEyzYG0tZw8S6HvIbOOWtjkSKzRFjm3dKagxicvm5nX10YSeszOjEdH1NLy7
LCk3TQbMhE/WwzlyISzNPDMeiHaEClDWQAcoVgtT1rukXcM+CAqtDGjUwseLDxZVDJY6iCi8hA73
QAWrckfU1bEtUpI/qpBPhcRsPFsQYlwaYlBaVkyJ3Wo0euwa95GpsFssfnfzUh8rfJM99MUfsjQy
KF+toELOq1s9s7qmFLI8KuIWxaLP7436xb2ILGQh6kVIjRxxC43hvywZ7APCFffWmxqtN8x3GM2k
HzeB3zQEJRCHuY8858Nvw4vRPDlhP18TKzmWSH+u7tmWQu1xchKy0nYe8yQxvMDEP5kd71FVeuIV
V0qyDSsbUNd6i2RezftCUsoI3Q02ghnvh/ZscAle2ZqutgM8lBYIdY9jFNM5ZCXIEcO+qJ3/YK/C
f+30eJg4ujb1FIoD1o9b3mMvLJUFV95m0jx0n6vM5GGqWP0OlSJ6fry2GT/XiY5U7TaCyTYqYMhM
u6EB5RJysqoYeEdcf8SMJLcCqPLAVHRT1pTo2fyCgFsdYpzA2yEWwwOHWQAap39qV5xcjHXgYMwZ
Sn81vyqEYPRIblB46R8Ha17ggktB2+UG7t3A1P80Gyw+YyQSiz99Jd7objFxYuhoP/ycVIxWOhPv
qL0mkDyk6OM3LeaXkJtg2w/tu2i4pmE07AsSG89E7QV+kdIkwsHmh2K3LhjO8RK+SqiNnCZd+8i0
8KG2GtiaUpEQiz3HHC4qU5gCrfnDtvSLWNxfhDgmRzIuDVDrNOYKqyjBzoS8+IiJxJCfOu23G2FA
pOHEImZ0oXDOTPTD3SD2kzolYbkAA0HBCRKPWbkc1UlzKc4KWTJD5vCRpSZjFTFa8BktckfM/EJI
x7ArG5cPgYPqkdo+DvBrsI5HP3ieBh0fh7g6o9WwYW7lrEg1i5w90xFG4HU2PVWzf2LZW+7abCT2
HpuPMnl13RSfQVNIGOeRPnnrv1NVIo7jmD4mgrVuRe1jhZjwB5850WKA2ptaMtGyD5/bg1kdb33p
sIHwC9XAwCnbQBK+NBrhXldo+azxv0zb3tnjeGnwNbGgjpgdTC4TshJgK35ifMDCvYYO/sBkEtaK
sobVa/+RWMr20p2dIMGXAcM+q86J0czoTMBExZG1L3SHbOPfWmmlj9drweIhprm5wj3lJjF7poNc
RvbK3oRoxjZoJ5CUjmgLYUUzI4HMUPAkE/xQ+YFO5y+D757BmFKYxcPnzo8+U4vsZ1NILLd0jcdu
7CA2DaQTlVH+aNPMYY7JKS+YCnNOW9/LgI8uLH+3TIRYVITLuVBiPE8f/6DdqPr8vfBvHFO3Rfcv
wwRNVzbuo9PyAiKPCw/ophBvGo37CqRroL/g9dS5+2qxKfYIdCdpJf9FSFAXgAKGzSzJJ0zL+oXs
VueRyRt2PnKK2SXSYXJFaWa8XRL8A0Ai8gdcmQEBYx3Tn1yMbD5x0hc0IeifpQ6gfto9tfmcsvyW
wiagkrnFyVb1cG7CbsWyPpGD6m4HxbaD6d5Ndk56RmK39wxWSyWell0iPCaxSfeUjmtcRT6/VoWP
oEOI8sr+iXHKaJHSMa2De/GLIeUCY+BE4OOHJiTG60l37Ll/EJm0r3WHnhlRhB11SHk85kWhnxDX
TZRWZSzshSFbpIDyrZSGyQQqY6T1dPJahkagbu1dmmRv8Iwl8pmcIEQ2v8xwYgxpSYsDwWtcKOyt
S1dGeWqa3itGYYrNCak0ykWagNS/9GGxHCKH1+zfH0xmH5ZQoZaiXYwc8se7Qo4nq72QQ9FWaILi
oY7wabLuTqk69rzGvxdfXYjq8aGLmYcWM+3QI8Je1lwJY19HiXGZtIYlPnC+954RX5Nw5LkCAYnF
AldEyjogjC49/uLNSJBi1fr39V9lEf+3israIZpv2NE/tcrkA3uLQ1YxaslVbu9ImUJ0DUfuIMYU
66q3pgnLpj+7vdmf66QwjiTVk3mQ9Ze6Vfif1n8yjZgje1r6A+tsXiMuf4SrD96ijIvTS6TX1C9e
9q1VuXNss7qYcUyXRKKTbXfvtYkSbhrItcl96zqbyWEZpydOuZ+ZWTT1VZ+8VCxoyqo5kDbFJCoG
6zqxOdsCUWhh+AMkWJyYoX1p3sFPlreGLEGrtThyQAXy0SGTMmiMQojHyCkc5rF4lg+NbJ6kvTqK
oyem8DGECMDaggiOjXAiTE8NYZkDaK0dkiMMUcrGSR0xePey6qTmiP0L5Iq4iC0wWDTj7VIteuUo
tv9vzherv8dYAA5q6c1jp9hCF+Ehj7E/D5i0TkvdnVg6pI+TMF8V3vsLEtJ2mxVMKVkboJvI/iR1
DMotZU00Wa35UDr5i6WW30SIicBI4/r87w/SR7Cred2IzyKJAyHpYeTYYtQgQ2JrZZjW64lRliZC
uFf9hXADCwKngkjgD0xjXH1sXJNdiwPjtILeZbvwwGame9xo+grKetmbpf/TLCiECC6rAxHDtvcN
kzobkPXeohE4FNrdhEXvnfxUD5dCTPe6YHYRVkN55r4soYfzT2lcNceBLJ5/uV5ezSTfsbBojrER
X+pO7O1OxsfFQMwjjegO5nPY+bV4NzplXKGHz0Hu9gS3Fdk9Igpj1whvRb90yzZs22Gv6J5YXTDQ
aTKDuvdv7dj1kXziEDXa+BKVdHWl6/pbJHLFoREtVQKjm92YpDezVuXJ7aNHqxuInshS8ROFyXwC
sH5u1x9TkpJKE1zumjQMqWJ187gQs/M43GAPhEQqTV9R4lRn3TOfgp8FoaNG4wuSIDYroq0d46Ut
vOER6QxtVj68cskhdE/r8Tlj1wjDdWEgqb/jRDS3vs6gDhDuu9E1iAMuer4T3b4U8rsRebHHTAM5
IbZ/GtOjpI5bTLSKeVyFJA4mTPWry6JXaK1sq3vSaDPJasuy2y9pORyaDY2cYZf/hS1ZBCNw/Y3R
4UrPLRfP2TAiYFynykk8PszSPbp+MxybkhemwKxA3myEWIccxZszIFUls2EGe7rHkZPePFnBWibq
ZC/m+NtoiDtOV7+zq2eED+A1/rGVnBWwhLtwOGWkG6YLwQIDUgsGU/XZyX6qXDHXLgdY16PRbhkS
QM7qu6e5sqm7e+J0EoaZwBNe0plPl5ENDINyjp4ik6AEtqwDFoYHU6O6GuzyQfl/1kXItpetA1kb
scS/Ifa/+XVKGsU210JC34uqyz9Cc94B+tEYfiWeLMKuunnfFsMvtk7dDeQ4Hb9BfHw0xftQhC6+
kyJ+/Gf5qiUS9C4BFlAUKN9Dqd/6kP9jTWRRNObzNpVoD1CSRJuxwKziFRXE9Q4zjVer10hnb+QS
2KfWEPEjCz1/W5q9id+J7o01LEm+DI8hCcn8UpnRsh2bcOTMHo4Yixnt+iy1kX+S1RUR8tEzclAL
2dwyJyK1OIyee1pE7b60cE02VgTZV8/yZvqa9XitHt3c7Jmnd6zHbfYzkzs+5lpOp76f/mbgl1NF
reFIezxaE5t8B/8O3kSsivYpROkWQCxF+sjUph7kdgETe0u6v6QDFmd+jSOWx/HMGutjHtYZcPxN
KrdWtNxlM/6MEd2O8joUDknNm0NztvU9KwEXMmMpxXIWuKPE20tQKkmmLvObpbmgzYIJksS/+u6t
sZDkJB5zntQZK5atrDMXYCvM8FzyrC5sZO52Yc0bM2VrCM/NQhwJ7NpuOLtZqALUouDj0k3D+qUj
9BPufcvSj64a4wgR0msbl5e9YrM37GwUdaQB0C/jnwKbPCIoxEY6BmYpX5c69i6eQsGVOeEt4tPe
WNaCD6ro3xKMpRudOGwwGTBLOZufIlZ7eGF917df1rIgwHPj6mCK8uglzFBdfsCuLu9yDVorRvKf
nbhH0TEPJ6e1vjEVi7uBiq2gbjpCDocLMvWP6O3TwpkeJu8KVKfcNI0KQiVJ2VH2A/uiXW8J78NM
i0+vR0gWjrZ/9CPEiIsP7EHOd9d07IMG1k6RZDNUx1x7zI34e4lal8xe+uaMnG6wIC38isna5S5E
k8kvgzgCEsUDOF1CP9rVTrvObZOjTsyV2RrWD9AgMNDZTC0rjsdb6xM34IX5vaUIOsZD/4KOnytT
RcBmLRbhVe/AUfCyKGigNz6EVEOnYaq+vdwDekZG3z6Zf0/jYBzHiIwGxk7Yj7MRnqP5t4V2HPdr
it9yFh4nMLJhWlG1GESe9odm4Jg2dPmpWGofWid/0oayETuAb5ZOQ0QhMtdNiPKHCNoUaDJqLh4q
jJ5ue3CS2DnxgtibegAVJeTzYrvL8wg2G6B0bvAE2TkrQat7tBdIEexlxBoN7NzMyT5ls/8D7b04
GuwZDEf8Ys0qwQeiIa8wJRp2ZL01qnhaBvx8skJII1lKXdLq0+0c53XqBZa3MIPtuhIbCCXxWWKP
KaI5wyq/BtY/Tp7mu1iZ6ubhrYcjajFlHwnRrZyD6wG/iaEQC7YF6fr3MKdsO9YWKrcGDVHEPosh
GisVF05T0GTW90zvdbRxco9YtA89brqtrnHvwUtHyikkvgPwcU9EQ7FGTPtwxxvp7j1inqjrkDpu
2E8OHN3JPZvd+AwrtsKZEHQ2rlSUG7x8CZF/OPXZ3eiL5Yxq5Z8+RCaJuxlwjMCbW3NTt9Zzjs97
VpV5zArNNnDQL4m7ZscUcIG85SmJ+LDwwzY3yy3OutgCUIhuQDPEDl0+uhSMf1MmdkbMtylh+W9q
NyScBoT2LI0UpTyKL2/CJcKWMsnzrdWpHP5oPp/qdzBl1VfCLK+Zgdst8bKmoOWQKGpzPOqpDbfO
vHivyEo1pR1WN0Cc5EvWy/vABKdjXDwkY0X32FLLosEDij3/StVsH2xWWRickjTwXYW2nHxsg7Mc
GlP9vVS48bJWYiFf0ksIfQrHLMYUgluD3hdcfZgANiH4kVWU8FCa5dWOveqEAOzTsIhdYsD8B6cy
Eh4l3a09y/BhJGrdJNp025LJdnSFYT2NxSzpReCZ1To+sI8iCl0m9m11dJtuCyBIYVUgFIHmyIq+
qx4XzGyKe1jay7Vzcf5YdXjN5x/H5G3xcrTLmYHakqBwRgm9yzFkazNw4wxbjHAIwRQVRUjmLmSs
ZA/gZwWxzKa6EnvjPIUdZq2icL6mAUVANoKJH3JmAjHhLjtJCWP0SfU6dxGhVzriHxBPdCM5oBro
E0KsZ4a33POyH7YWxh8PkWWMjhYNTi0CEwfYU2+gQiv9X/NgVccIDK3VFOCoMu8zQYu6EW1kPA7w
kS8R36RigL4rBsn+e9jSuWFErLS9Hzxs7X0Z0qZIVjAolZ5wSDyY5MHt2rogw9BHhglnzrwKSps8
yh02ITNgLt9ma2XonZXETMZ7fMwJ4S1p/zLX+tzpROwa2uugzkNcTYb3Ay2ljV4IxSFAK5wvRLb9
x12ldllFB9nM/Pq6LY5pVJAP5hEqP+np6BHUUunsv3SS3DbOjmFhyDp+AVkd8LDOgTIjHoPEsgO0
Gs3GSgq8NTwniYZiY85WtWfDezAS6V0pp/nVQ0K60AbcOJzZn/1hcX6N293iRKAea6tF1K0IDaVp
1M6blScsAGPvV1eJF6uX/dbUOIjGpDrAltw7oFvYKsA88uuOYWdMblzm3unVKaE6/AR19KLz8jWf
wGo7DChY0b5lbQf/gfy0TRFPbC+656I1/Md+gQXdsLcz63qvBN029vSECxhPP6CID7jurMKcRByY
+CREVzHeseKPEaXjcyzTj8xt6WBRGChBQh+05bPbWER7TgTQQMWiiIezucMvSuLXap+f16QPp+vD
I4vik2wTCABTejYG4kMBLCKD4IcqBYcC7yNopjAHEjECKvaTJnDYQDbc20fTVA8THJthLu6J4aO+
12jP52YiZL4muYQQnUMnnQer8g95E2dfHiy1GHbvlhPLo6kJf1ewgzaiAkJo5DYqfLpJH3nfSYZ8
LWjfmZ97EOeEcawk+JVCPzQrmErFZNxgX16CjB5dW6a8w0h6icHV3JC+BWG2IHMEnCtsNzz29vQm
R5sXE/vRldOIqkIpyMCF9QIQItugjBZXQhmBHq/hkvG8F5WhCLrGMlvoJrv++6N2aMvqpaU70ch3
VJXeZlMFaw700VTJ78wSBpHFGnZzCnxysSW7N0LohqQatj7f7NYpq+ppFv4j/ahl9fObr+wLnF9c
3/q/bAbPO84dAYgFWo08fbHiEntHro54+YsXsIzuBo7MeMoK+70QdhuMmhwL7bACz9CaX+JO/TCL
fcFs/4ryt2FbDdXMn2V2RbFoktoRP7HDmHZIGhWmRp6w0DIBrmQKy1L6WaqkvDmc2SwwL1OsNo1b
Gru6g4U2Q6+Rw1W4onyqM4tpAOoGmbbhUzzWOrBLku60Z3+TAsE95Uw/9UwMjs+oLqp7eceeK+6K
b6zzr7J/94AMgqoUz3PW+49glfSjXe6NJl1YY1nL1WD5CLZwS9OdBVXs6nuU8dbPVTBYXMWt1X4h
V3OPPs1FHQ6SafGb62fmWRhrJiLBwRqg2ayp2zHuzIz/6U1rwz5Zs3JPhGvDtGqjKxnIEVqTic/C
nTAg+VG8w8tx8n27p83C9zyg7NlFggSjRMPq94FcGjPHlYS+yhkL8y8hElwOpEd2JMRunNWHAanZ
g6b36FolXBt8SNtGGHMAd9I9lnL6SVGJ+mFivqaNCbx7leWXKcaXbui3JLurB7anF3BRWwS+vGSw
8I4UcvewIaWvGPkyYEVQzJoFgOpiomx0kl+ZzV96xFMdga8mOqxSL7KOt552a15fCOzklyWJzxp9
OBoOU1Qa0es/HFTlojhwChJcBzQXrCrsfQOB8kZNHR5IM3vOE/4jRy5PedQnVyB7yVUuKDNqF3Op
0Lq5FDWTQVtDzPYrM7w6fjIFzRQ96CF6MJ2k2iYh+uMxTFbwJ2CMuSAV2nEuWozOxabAgsyWgIdl
Ldv0DdHhlrp3iFePEMK/Jc4TMiqcOJA1R1qYGv+xzYPHnSIY7/Uy7dDs0WJb9r0Nh/8kEYY4/m9W
bFpvNiXhQQvrwTUyhizzCDfONOBEPOJUrvHedsleRtkfh2L8pAjwWezRY4PzHhPRvfGnjqYrCR06
eu8JO8+HD1R/E8VU9Yi0m4SgbTWXfKB9/+F2lhnweg+skN0/M1Xoc0FSVJcxY7VL3wPi1KBcqotn
sACc8ZOaNm5mmQ/z+Ls2++ypVMR49qyZiOWj9bZaZ/nwvQwqdWSKW6tMmE9MEKfRfIyruqQtCVP0
vl64NUZWyXG1J4pUnUXH1N8wrf6EzxZN5YhHOmKj4brikCOaRNI43NhHWROJu6Qc2wTQWwpVLJ/7
ZMNB0zaqXxZA6BNLKqRoSJHlV96NWBl5WHRrnhgBlY+JTUeOZHuziFbvlUPOnV/0MY/e+OyOxrNd
83cWbIcZGSA1AgGHOaxZB6HFIS36nTbFdOrqW8bFui8kPlAZhvdh9CAwpjRl8MpYzVsx/H3TsM4J
GZHKlpR1Me4eGRE4tNChp0SwmswT0DzjuWa9Fm3zBTB9OOb+VdfdL8AGD2PYtQFLvALeUPV3clku
/8sVSGUg4TMDj6adiGKkwDZdzCZJvAfLNPGQzJIBdRSMUC1euqziDbyEFHjXrBdTIFJOQBuRMaYl
9BpTXNfQ0kakHZFcSUIxy6z2EHLuH6nxj26v3MBBDLCJeufFw9f6KDmFXzKTJIsx1QHEP96w/IxH
xtRGd27rfv8/os5juW4kC6JfVBHwZvu8Jx+NSGmDEI3gTcFW4ev7gLOYxSjUM9MhisQr1M2befIn
jZho99WsBwyJVD65mbVBWOkvnIEM+05n7kxMnEfWPg0cmt7d9dI+lH7zK62r5CSN8FlTW39OgXRj
iUK5BHMK9E5xl+WXEKDiemBKRt01rgMroC6f4P3WPnNuyorSQG0g8w2QO0k+W0liL0mdB7uBdc5b
t9yzCKlwoZP5bjJ7RSTUPnh58uxL4C9NRelI0EDLV2ELNzv86saBUS8x8qe8fjdRhW45wII9VvtV
UtLOEtUwSkM15c8OtdwFOvlH64ZEBXtMNpL7Idp+f7XiWpxsEz9caRjXdM6IOGJK2/iZ3x+DyeU+
g+DR89L1RVLQIPSlAA4wFLXdOc3qf8JIsnMQAiq3Jvs0UChTYATceyMi/eRRZdSZpzQKKY8MW470
gBiio1m3tPhJdtI12mcNPgm0Are0seW8oy14IxqzZ2DpuJdRP2dlrNgdzCyx994N4BNrIDHrqqud
Ne1sZ/ib7dM8LFFpWVmnBmVtR2uC0QXFU6dzajhNY1/nOO5kKemwFhRAFlX8Qib7SdWivDc2xZny
o+tQ13kD0c8kHPmEgQv3R+CFtByNxFQ0FjWnld61YY+y5ZvgryQpztOPeFkXAcOXohI5s3H4GOAk
rUClD0EYX/BSHcfBs/YsSv2tU7cZxrBr23T2JZk6zrtle12QGGnYb2Y+1ChirPk95S+5QRP6inHA
bQq3eq2iIjz7MP/ufBe+Gdtf1awhgOWaTla1sKdyA/wg7fKfJYb5PTleHPXGiE9S5H88/KRQzKiG
NMBzmHkNnhGBOZdWv5t9yroKvNKAMgTe9Nx+sqygu4Ws6IcW53xsUGQ1+yyvArATgQzD089q4Od3
YZc6rHFB/oHjm49UO4lz5ciA7mF8eKbyT0BQ45MzfUJ1g+zMzjs1WAtNQTJuOUJXZuEvqOlkzT1C
HYgAjGdD20+9NcpDoIMJxpeJtw37QRv0ZEm1T48oH8hS4zucSP8rg4C0coMdvSRliB86VrRomOlI
eaBifzXaZGjY5X4KzSRMfcTaiPhmw/THW+Z38xUH/HYKOVvZbiCCuGX6HHXhYtUHgPjzjz0/2Kf6
IzRw65tIj/tsyUp1mo2FqHDiIA5+i3gAAmW526mbDjZM48PMi4k/DhUKKN6qj2kyDZ3HqrEkfsjK
uBD6wKHXhH8dh+WJCbAvi8bXycqoSXaSXyip9f7sFpiKKA18lAPsxehvSV5rb3niFmNHwUlIOdhA
69e9FFN+c6S3M1raye3OP4ogA7WI3Jj4BU000eTcCZiYxjTe+Y7bhOI2EcSoVYOZ9MhnYu37Ak8E
7YNQmj3MuhPB1yYEJB2uRozMN5yRnNAFtWxmS8piavnXav+haWR85CQlNwcwyoLLtnXyOWBqo8iU
1Sm5qL7z9nVFoK9Y0JmQjVCzu/iRdDgemGRn5yPcWLN/NNgEnRBoXvrSsNalgYneoaNvRavQLwmD
YN21VcRTjVmyaoKDyRIvzfvfScO2uRUsGpymEeQM6/DSzxUcOn4X7PDUJqvBnZ91bIY7Q4hTIkuO
bZNMRjCU48Ji20zhlMCoo4wYrIoQEcT/9Ks3YWGRvb1xC0juKop9vhMNNRIe4CrZxdWDyZ0r9elA
gzl6ibOoPPWG8I4E0MeZFKG2d1nuPEUlf5Oq9mtE0cZ/0qwfnxq+eCdom72BY2HF6tO+YUq090ZZ
f4BF0CcZus5aaJh3KULFecgo1/MTi4uHpKsrbC0WfTkgIHiNtMtlLO9NvYnp4bqASZqXyz6GCqf/
0IrqMCMVt6G2i98id/c+duZVgEXsFMjafx0zZgUZvhSNcM5dn9Owp5ydDqirrMmQr4MpeC7Cetp7
mesfGe4JRsjoFBfmd5rbzUEa6WJbh+7SzlX3aMmRHr/Emtb/52D9/I4jfp/4PHas3N9rCly48k33
0OTyl4JgnNMEKE1mSI4lKiJ/flG997ua6FrywVydZPcPbSw64iBIzl0wbFCQC2JWMU1sFr4rPCKg
IaR5jKl+vHrTZUxmsSlx4vHyTNagR8YbzTH20fWS3/HiGwt1DKzEI5+deay7eqSAc236IUw5E7Oo
aYAlHr49yQJsmMlDK56UjAMYcz7lkINAqCbLwqSnPsPayw6RRQq2C4tf0KNOURmoHRrnyneoBPSk
Ze+6GBOFJLgKserDw1yP7ugytvcEja26es8Zsp/U2NGIpvqbT11ytATAZ95r9NQSjqevvdmNDg4A
v1Foj6J5JB/1Rxu1PqSe/7tQZn8QRkeecBpx7U+Yg4Yu/Oxwvd3swgENtfwytHBnIuCalunDtcLN
CAhupDeO1jUuuAYGGuxGNv0721ZreW42TQhC1B3AFYHy4PETDZlY0+WpDvaBDv1jCwrv0i+/DGpw
L+kwnYq8DI6WAfbQ7BcTp29wKjS84yan/efBUTl4gLyYTX1FEKb6Dqq4f/UsP3ugDvU5G+fulSo2
99EWLW8Ru6Gn2StuHlCOYzsoRcWc/VpVSy+CcslFFP2LsqhcBQhXYn4T8a6t10JRSDz06XsVxxGZ
Gy4YcqCapbPCtwEOjUzRaUAMZ1V/8OrsTzLpM8GvZyszf2VJa22sqgCWlhAed842eVbid91rMMBt
4GdWtnBjx97d6LKFr3dzQgp2lYPd3Yv/ZPk8gGpKjjAzXrqRcIxlcc2PY30t3Olf3pADsfvqo/Kb
d2pXwMhY7c1pydOOhBffRYZHyope45lVF9dAgZET80oKcHjFjc9mFKjvBDGbYxqad7tk25LxXeT1
FzvrePl2KfAtvJoL8WCYTMXcsqw+rrdmZCKwFdOXJKlkYlblVoB3X+vgrDv9VJQF3DFgXW31xoP7
JUX1bJotRc3YKJroW0Bi2EWxvAM1si8hg5lvEoH+k3pNenIX21FH5S0b+Hc+DVzQqFwYYowQvP4Z
T+Afi/naadTwfqZkYsjKRyaCs+vVOe6ZbjF19P80xc9IyszBo2wpy6VvZK95kkAoyqsLxW1fRSZG
pQpUcDDaOz7i6UbH3XwYRgtKFV0LnTe6p1hvDdmMxxoqjwPdXkx1hAZe/UGjw6Jr4RKpeMOZ5fTS
LyeB2QM+C875JNHhW9TtkIndQWVcUST2G6HJ2agO8BQdPE+R7sfXIrPDPSch6ZWGcbHxaiTlKsKi
jm3RNtCZKEyAMzmM0ZbPY4gJZl07SL8QF5iwmKlCmB3BDFc8JsoX+4UkwaJvZV7Gx6lKN0HMeUyc
nXtjaL3YHX4FhcZydAnf1jg8iPJjWipbSWCnu5XkoFPXKD6rsn2HRfbI2zM9ZMXRmka+pjwkUc6H
PUC7hZT+QDUfWahtQ7fSfuQFeEzGGiencbIpYj44UQ+Mci4HslrZnmErPzKI7GajNPZFYf+uIIzh
vhn9a5ZG20wHwbHBn9uM0BTMmdq9wMZaMMIyyky2pFPlifWQOxBucmbN1gLmW2Qs7aI2X8s6mMlY
6GYdZPLejCPabujsQtnc2A1DqZH+I5AFCG1Dauxt39rm5lAcUHpiqqV59QwDtDzDpjqok2F7pW/r
dyfr5mBixOPJAG9fZcB15i7cEhaPz5jrK+Czb+fRaPxdW5mvCrvOQ4px+SG1pu5BT+OxQ5XrswXS
MY/5adbxowMKKtYlnQMOx5RJFp/KOuqfBz73gdfQRlX5B4ykTliYTz7JS0sw0pVuWZ8J3nk8xJhY
RvhP7DE6EFTIl2k/NPdh3OEKpFNP2dZjwEJjj/DEPVAIPHkZtDjQQKvsmmLpeAJju05Jcm6cLvDW
MSLH2S8zex9O7ZP0f+5TNDCVDTc2Y6j3xtw3TIAUVHjzstKZCRVVJeHTNHuujDnhx28ZPKZm/jBE
PH5z5T3zG590DXjNuMb9wunKf+Qu6x4iT/UnrYwbOU86mtvq++fVLOb4SuLUAZ49XJLSDXd11Pdr
hz8/FIk+tSylSaG+amI9G8kUlFtjceJTuPJVBTI7DbBY2Ljbw47Ul9t4DEsuuKB28ba57ugDJWmd
TdREM2994pAG7M5rBkRqlTuAT4B3EzsfqukRQMiustV4bKJDMFY+NxM9YcFJP6rJBWSo2bbe5ew1
l7SifBDFLMY5JngLR7aaHujcK84DArplNb/zgQo4iWOuKAjbYx+I2GMPT3i/qycgAFyU6NfZByEL
937gZkaCs5542U3izh9GelpBdfPJ1prLl07TJ8VMN7/E+9tnRGsSHvgdeuJfqFRQ6xY7tp/ydxla
BtdQFVt/hh3UBkxTnWWeDTdHTI5MMlVsvSh2NuzzD3qiHV4CUia6MqIThqVmG+PqhJ06/RrZTKGE
DkBZ6b/FaB9eWrv2tiE/uxIm0sGhQgi9FzikMo9JUJCaVXyEPbs4jQFk97Dp4ZkplsCGR3JF5/6f
IcaDCUYZNrbT8HS4vj71uIO7KQpOVBc76CXHyTIudqa7m5AG03xbvqAppJiDp/CU2qRKuoClgNeg
TvGsGmqcdx4uQni0GMYadgA4oMjW+rXa/2wfZnskqppMuyE07oZpNrSfbc2RJZlFiXFQEyadp6Y9
aJ8Lj5MVzQlLc7MJEuAsDfb0TdaYoAWShuxtNm8bicBWyvDcUUx5LjvgK/i42ksxKb0JvXDVwz/8
hRDzMThOdXTwprLHk3ugLrepB86SUuNM+bX8LqN+vlrQC9aey6Y3zw5FhxrvGdUpt/lv6w6px7ex
UdWW+xFZ1F1FEX/5secRH+Fo4tHuj6iLznlIEfrbCL+fs3gsf9yWE7twHi3oZA4JojAICcc+s8be
tmS7AqI/Vkp/Y5Gw9oHfEmzYL1boE2S61ECXCsVjSOvVAJEekDV3B2veV7OYDzz/Hpb9XMHr47VT
U23skMY6A/7HWGw6B9oz7W03wyi3B9YgmqhLuQkGdGNTSnxt7ZEVrn7H0LPrcB6S9+ZqnNhhfUzp
lphU+Nkjwz6ZNDPDSoClashoiSgyyCciWDLqNZ9pP4WEnY84ZrvhwTNfZlpUrx1vPEj3I1wIPDJi
Ke7G+ke5V8x6OuiCS1Pjc9Vpuir60mLvz9DOlqF3y40gYZ9WhDjrhcPz8wsA8gwJBjnSM6nYCVPN
q8jqsnUMCHYrQlxOXLrpMOAY39qu2NEubl9juY78gsRJGyICm6MBWoJNpaWxLdMYevcCGT/laUzX
djd9xBxzHcWTD3R3+VyJKU4WGSYaI+e0d7J59+MVQWezTjT6HSdngiwAtF9XnnnBiGFhiazULa2V
dezNvD/BJsIhbJOFnBkkD2mUXqAZ/GY9TWYImAXcL0qnpWEYO42Kvgmo2GPM5s6tSxdLscpPMCwI
OMpz1cXwGkaofe6Y7y3H+IN/TuxlUuUrMEjgJdulp5RJPlu3Ls9DZL0DGmt3Q2OLdT9Fy8pq7F6o
fWHrceJ/EefMZKJGKVQQqDiVTUqfQVdPwQZGnSJj0cYPTfbHCxwo2mrgS/GDx59fupYsTO7ezbTs
Tw6RPq4lcA8nyAyp5o6ddCQ6PKxaCyGBTZaw/vdLxAVrVtZN5ni/qowdVGpDGpXTWxthhiPDyCWJ
co+lREJVeXyZPIFYZz+TdJf4UXpaF0usunwoyOlgN6MRtxkgePzgsOsx/MSLenK5fq3sgIdJC949
ABqdY9JgmBIu8PJhrL8MbehrnQwoT7OINnDpjmWXPFU4FxDhsuLUe3OLsaavD1GA6ot9AJtC+xYg
CD2WyzqYcx/yBsmcVRtXj6ZHKKGtCN22E+KCXPJiGRPSVbkGOqqLCtq7mpTuCqMZhcsjyZXE9dg4
j+0pnx1uomEmTg5XTzpQifxjBWVsI0iWd2WL5azhz0lYh1OhluA79FcJy6Mn4KmQCsHxfShaXOqR
cBFRNetEiQiArYB4nC7nv4VZ/zFaLFqs0S+DnOO95aMJsCX0trb3kYmMjV5d93gKHcUeauvWXN+T
JtavhC52odlxT2zdbMvA1t19ZfzuKh46CGvVZRgs+exVt9SDRSZy+079TLzV3c4qdHOD81QZytoF
5vBtWrO/q0pA0dLVYAO67AnyLl1OYxWTk2cGKnT9xwX72jC5L5VzNJChVjUN7S20SptbIO/zo91O
bDvn6DHssG30syZDA2kRS06pXpHL6i3n1iqp+I3pxPUTxYkf1Gt7h1w9OLP2To3BXR54+gkjN0Xe
SXT0kuE33OQvjH/9I5eqrg4HhvCh2pl2CK140RwsYlIYsOMjzJmlMcV49z1EGFChB2PCd8lI3P1p
kmIj61C+VRiNxCpJcUIBObBwxVxn9GFq1UtGs9I8DVz5tnpKbq7hs2KjNZwN5z7TkdxH9tyvfJKW
eckoVg970CXTLmM3vmkike4TkA5UISx/28ICCjL3e7OZXroauvXcyqvi0kbkvV36d8elNDVN3n9W
XKHDNVD49BgNrvgVTOFBeJG/eADXRttH+2Bh60StwnhVyB4gbZNvslHhSjKCL7hO3U1n753ZD2dV
8t9G6fxQ0O+4LMsB1oWshVqjMk78zA5wLXjZjjo5DpN98xqeRKoYw/2EUxn3eAFI0SZBkAhFvqxQ
8jBT2fWzTDXECCtII08sGj6I8vFaBdXImVgEu3aQ1m2eTJP5qLjrhBLc2oz/FTb6SiIsWGJu/9il
NEDlY5g+OhqDfBcnrLBHnT66ZjTu4xI0yWwFR2lFgKQxmmfUifNMyxvGGbbD5VuR56C/2Vtj0vS2
ZGtYL1ppvFcasT9t22zrZx2VeG3w6JvQUnSe+R9NCceI7jdYcxiX4QGhy6C1rUWcWPeuTF6JH/5J
Sn/FI6h4KPkGBpS5HcFH9Nys83UWCmosFpFibuzx0cV/6IrDSNoKHS1oPuKyp4UF89IGeTbYzZy+
2My9i9l3VC6M8ux37hWY/nSrJtTQfjxG9J8s4FYuOtRl486mBjwnqjxWGI5jhuKBhq15FscWFkjK
MLqzFQVwlBR4V65GbFlZbtfO0OydqfhL2Q58zgFegdOuBbGhq/TC8mr5KXeQtDuaGhAiEK8/I1Lq
NuW0A6GKPTpplbWSPRQo8DcrYLq0oCicjaGLqhVUVBxDLEakbuxtMztc+Y3KPpM4NcgKS3lmimDD
bVXqaUxfwbYuNdVw62iTODY26IXITtQ6ZSMF3tzZyiD9JK5PoJy8RZJQUbfwOHsn9Z+7CbQMyod7
cF08ypakGEolpXGVIYs06b73oQwPXTvnRzmgk8LyuzTv4FcA8CaUHlmV/4uIRkavtE+5myCPEXAK
7urs1IPm5EMy9secDUxF007OhuE6pBocUYEPlwzXfIe2iTGrQmf9+cewx8RrJDCm6tz4rN00QjA3
h0dt/vWEtB5hVH8XE+Z/g1IBeHSQG5UBNCutZ4VZKR12ZW/jv5ulcZ00CbrCvgknqM6R0e6x/D2U
bTocuoFncFiww24pPYCv3Vc60GXjIZffJ4I7wBGohAJme1UD1CaoLst7v/msgFBghNzqZOqRYt8G
0/Lu/ECX/hfKa4MwX0nVus84N/yHQM1nkqy2Ka2H3mX1rhrRHIKJNvlemidKk/ggNJThsib3dvlo
o//Yb6HuzdesM5Mbc+stm9HvKu2voYURy5LsQ1hBSebIzD0DAV1X6CNEDb2r8oKjylP/TtlN9CDY
2arUlw+qwrfmqBvRD4mxt0W/qgHHl/ncHZDNlk6fOcAjUF8YKlsXLXa2N8wcrPI6uIl0C1mAhHax
Of51Em4niaf2kkqfdaMY3hA++g31B8GqZb1y+hnh6KWIF9sGOMGSmh5LP1WWgvCmAtKZEzYEK5Xq
DvVmRg638SbzNWVxbS1+B+eYTkhjDYmBJLHna2+lw10ZdfY400WJ547sQrXy8SDcpCvxFOWIHnnN
D6yWCbt/TCxJ8jJKHqIfemARYHMeoZw+tp7cEA9pbpGHKjjyHalHkT+CEjmUA7qX6WuFMNk+wc5j
B1NKwcTQ38ychFwAHiDlbbkuuaBcItIqeS4I6zgGo2GyFFRjqyYTrr7Luv8dNZNxdPTW0ak84OlT
oDj6bdzaCELa5DM2yJGui6tpAogy52Uz6J6GOPq0XevdNDLMBfW96aNvy7FeylJC0ymwctXcGrna
4zBEfjRG8cTS9ta31q6jDk8l5kfNp3oTttNnbQzFukhzZrZ9gBqE96i8qarcxob4nNMyWtHLcGPr
+tKTDd0GBTAGJ8J+bFjZa298GrlxiXre7q1AMZLdsGHfXxHXqk6CLQ/rbTPa9Y31XEBVnd3gO4uj
YX8VzUtOg8hac1FWCuNl5Bg7oyuPWZU/i8p96+AC8NnG8MtE+itu5544lf+qGqqCVMmDWwGLyjQF
qWOYe2vuoR+DUedo6rSuufTTRBkYklFSh6o8Gts1q7NRZaDOspQgnja2Q6lfaRv4JZNc70JK2UlN
sAYxvSDfKFn6e+0u69vxV1QHpFk6IrVJRuWNIpPnK/FRpHh3dSXWQS2+bGh7eH3KhYTwFQdjuXWm
EdDEFIKhH6wFuVJj65R7JMrHpsKsPdjV76HrzsTgDqMnLjj5ThmeRIKlxRPB4H2Q+grdKSEsm3Bh
60PW8dG4YsOe7eioJPTqe6/uMeCgBwk3Q6OzsLPq3GWSaF9qTAF0+l59wO6ryqmJpmD3gtt3QSVH
b2AKMcEY1NHSguUtr5UeX05fU3DY64pgHCMQRr91MmUH23LCo3VDzouBHHWMxwxWuM8haHWTg+Fb
1YfaNzhmVbuT3fRHNyk6Lb4gawoeqWxQxG3ckxOMwQVwp+cMJ5EyvQFgPuVBUu0scwJnbyG9eVKY
e1H54cEWiNp5NEMDsMovj1KBjV94zypx8Y6Qeyz9dDd5xdmuMVbamA2qCa9uOHDHpzYHy8haVrN/
IGh695dSTo8ubAbbJdbk0us0OTpYOXm+j9z2n0gM2I4AKcKM72uiO+dS42Kn5wADMnM8wlNrmbu6
g/eozAI7VMIwYsDtEAwE/KH2Hz4D0JuiTLLlKpHgjN9i5q1IJebWVjZ8g9g80ylCz1xR08WbEBMJ
6hbcHFMgpH2brKpgHzKE1mM+U9Eczw9enI1vk/6DaP7LMbti62XkIvxkqrcyXXKd05N0xJ88JSM3
gTBP2B5yUXa/koRtO4aYJ0oLmAUbmW+LzP/raqIFGQvnwUYJ4n0V7FPM4FnxUDuGT8GZLtBSSTZg
qL82cXtHBNCCrXjSWWJFDAzBnDAAy5Ela+8+V5ISirZ/jkX4AZs+X88jeQnPZdTDchnCXGLvmH7r
2jwLjHHIOePL5Guc55hbabe/lnFC2Sa1OLj+wmCfQbsq7H9t2yRbUfh/A0e+B3CnU0ecyXU/VLpF
+DB+uY48Dom3j4JoH7LTH3pcJpM1EdOvUN66X+x291UQXPgBvVzHsqTk9NjEnM2xfU4gm4Fm8t/g
cR3zyP0VjRElzJD75WFouXtAgcThkYd3e2iIsI9PJVJ9a8TH0Rj+VokDomF+USmh8LE+VKz7G+7j
dasOZg8ZP2guDh9mWeorX8mapBJVPXocL2E3nme/OJf0AFXVmyGLbTGwf0kYV6m5+bTq15SvCuzG
GxLMQ556/8jyUdVwxv0Ys/OtP0XV0RIwe2fL+Hbo7F47lEpCpwP171YhV8L6ufF7HvvxOIztpo2w
T1bZ3cNHIMbowK5znVJp0rDDwpTywWrzoZjM4yTLXyR2g7D4ctPgt2zrB8mSEWP7K/jd+2IPgLi9
MiRg9In8G+md6G+mzbcw66uVufP7bl/5zjWxcHylS+Ldy3S9Bv8J9ZLXYBsEP4NINDZfpjRfmyzt
d0KEuwTPwrlnHyWcUw2k2BUwsv1uBEPg+1t3stut04XWvsMKCG3Dkba9caie3amlwWWDsm6c0xTE
1YhNE5c+jn98trsBiyIyDITUEWVzk+mRwKh23vPalOshGfAizPjaw4ST1SUJjPmBhid/ojQLygJb
HeQtj/QcLSwtNxDGsmntNN/siaBSz7bczN6hbuk9awqCBmN7DC3nn/bqD8dMWA/J+MueqCoVqFB6
ZrtqOR1Jwnm4gtXf9MgLjWAirmOm2Ux0z5Ggkqoo30ZD38tu+kc4CeGlrpho3KVTR6Pc6oYIV/fE
x4tFdBEB6hg0bO6ALRr2sZus568BHMMVW/2wsVrrKZIpKWZvYreU2r88Vte6A/XL8t5GuULTnuWl
MYgbtaE8pVo91WbnbEdijmzzdbHJ+RLZHWNv0DCMLFc9wZv+nQrKoycMz14YHhvWK4it9mEIxXdc
L3kOsOYIpkQRoi5bwJ6RWrG8BfNjk51wcaOIzHjqClr0AqPhMBHD3xjCMYVbLJzsuzuqcVvUI5pU
Q0A/sIGdtCDYpykx19HidqlZrJPjUA+iBAzuclqyJQy/jBpLWhFNZ8doXuIYh7K34BdH9gc5Nhx2
Si6KcEVjeU9thNGasLVI3q960RGTIWHRL0hb5SBHhlVAgXyo/0BWebVjlW/KogCIFrohYtytiFE/
+yyn1h54rcsWDqwZNwsAByxzbTvaKtaULZmuyFIv5OVtro/c82ONq7lracWYxLjzml5gpoq2eT/4
G15J7urDzODW89F4G+TwVyxppxRcWusN17pM3pK4upZh+myN07s3Os7aWaRbh7KvFc/+U+RSL5UO
75GL3RS+zt/SzIIVpqSrm42slAmk9l3x0UfRP78YGa2DPw6c7FVmLJXFdnlIQLn4vRSH1qSeCjs+
IEXrr5U7b2NpPw5zFOy9pGBS5PmJJ/dvnvSPM1U5g8XNL6yAzrNj5+3rRStzWXjl5b+SndgKRe5O
6Jmm0wG4JBcxvlwimoMi0OaARwgUg6tLFBhkbrEGUcbSIoJ0ypaFn0e9YGK4wiPfAYoIaIb2BpuG
Pu7csoi7bS3ndVmQNA19Y2chX66HEivKnOQgF/k7g8QbKKLmX65VLtezP8+XooX3ReotlG16pNlU
bZVtn8p42NWemTyznXwIKdRinW6XC0E6Bq/T/DONi/CTZk8v0j6Fv7ew3i88yLfUxUVk1o+2I/k8
JvbGagT3AIMiQo1KO5ZXGt3GoySu7Rb4owCJvGSlCPfK5fAgAIIsll1Da0bKYvu+0iHss2qpS6nK
eG1WorugxfNCRTrjIcvutABOWzT/jfAgtjoCdcoZ+3gbJ9VzNNtvPRu4fc9GhPdAuMd1nOzwxLBl
ZmApQhAdtnFPFcvqhZ3P5iXFahFPr7MUDe79GoDwWJ6qlri1VFyLLWwRqcc9z88fffcpakCUMFAB
PkTmQoKMvHDLAuGrSBHp20B9DwJ7bh7ewlFdl5XGeUiiv3HXW3tGZt4l26HF6boga1pPIK42/6DB
sp0orqQCv4Yuf5OJebQrn/eKfrcc6N198OaG3B8SLOt8xXqb8com1vCeF6g4ynb/KQJnm8pL7wQd
TnmfsnN36Vyecu9qRca7q8iBzYX4F4D+OWDcfrBzwQM/p29pmJAEJZyaGfmDNu+ccnJhO/g0s5Rl
rlcZuR87K789R39Kw/3msvFlTsaZdK85VvfWKm+U9QXEJGlP1eq1KbJp7eb+ZwT/eZ1ad2DuHN6s
M/FhZZjWInczD+6LHMxD6vA2xVUKCkvHZxgJzzrr7w2sLqLmJccQePAx7PO1CS54myYnNfhibfic
XwlQeLs3tkiR5A2LqT0SG96OI+qvD50T/HIr3w0PLduPaQ9FDdn6EtdDprPfXsczhsmXdEk0iI3n
682YoQrPvF3ilAT2zP5oO2IMR/sGSzqa0clv5xkh0mO5ijWCCNG8+gg7aDJBUENLUuHOHafPrJ7D
R8+CcMWm8GqgShM9qglFe965N9p1Bx6J4QGr1FDVzMSd86sYbjEk8E1H29C+hW56CjrK0luhnwwL
bQIkqOFXd29B+sxlCUaOI9eqvhoe3bUxWy9zR+rJwQE/of7CmqeyinhqEvsfkbfsFqfuSfqAAKac
DcHohO2xvPlCxNcgCSmqau8TOd2DmglSOUSV1oP26a13sDiYsb+mjmWxCUwHIKfbDGdJK4xTaxq/
W3Ok5VKyH7YBMRlWeIE+ce+8ot4xaHwmVfI8C8ZQy/W33dIZMbld+ixGbuCS9H7EuOn7LdRr277O
Y8g55bR/IYe8ZiaD5jxw7Y4gVG4cNdVXqLPnPpGP6Ri9BlZvHR2rj9axwd65LaZvJUKqRIOINani
zmrTyezP5T4P2uoIHIu8bUmAWjWr0skAIVtTu4144Ukx+E+hJoEkU3dbecXfus7dc24otQ7nfkNz
I+w/r+D/CcI8663k1aCCNIDtsp5UL1jHtMby0zFO1fAllmaOaFlZkyijwQI01ftQ9RmHVfK3kPzo
zJ7HfW53Y1pa94mWLd1a4kF/xj+DKbWxNV1MZZb9oz682tlOYJ6lKZ5hdHX73B4gtkYRqJaGNLRQ
BA50oo6inrjxlinXEEj5qhUX0J63iUvKRtea7HSB3X3QudxwOO4Gzy0PndfLDUXGc86R17mcnZxE
NW6uDFYThDZsHs2lTT1OwLK5AEHExeQZ1onqh9eR1+fKEtl3q1k4MG/i9KT6cVZHp7oJI85ParIf
rCHv7kmoi/84Oq/mSJE0iv4iIoDEvlZR3qhkWi3phVCre7CJTUjg1+9hXzZidmZ6pCrI/My955K3
1gwnWrnS4PxKbK131iPJquCYZs0r7fw/Mbr1i7kt2z5gCVIZh7IAP4lWCLzNkpwko+2r6wzPJr/C
HZHYLyKY32ev+WbEN+8JCziNiX1nT85OsJ7OqTO+JASBHJx0XRyHFEi2bJBel6wEUtHzvIx4yz3b
+CKIodtlQf1vXm7WwmgA7Q6jFRdweHPVJfcyiDZ4XKy+Q1ZEgACgjVho/BIEIwfKbpYBzg2nYDal
4qbjEHP9QlzVxM22aUu6YaMZ7kE2Lru2cEFx9yeZWVZkdhthrPDzkOpST1QOYQ6jRTWYVrx0lU4Z
26TEuKpXBfBIwbQ3dUQKGsgsh7sP+ZAXNR4SLt7vNkpsVC2uBPAye7c6V0TWAzfZpA4I8AZDgS66
4qkMUmrW2N+lE83AMEPmz9KljGgAhjTbl2zLy3a01lgFCBYmB2id74bJlLQETPgDZ4BJnSRkbA+o
2Bqcx4fabP9LXZUDBdc/fmBcpSAnKTERiudoWgalrk0lyihoxY9JCQA4v7uXZr6jsFh9Q/nHbBAM
T3YXKi2Ep9hHhkPTBzckh6/D9JTPOPlARu8MZppQh4UFR5NAC2b68/gqMnMXEgV3XWMN2CheUp/j
UM8dtUd2h+LsXlxBXdQnZ0snlMyoL3sBncDH6Jjludq1jdPvg+G7V+BYRTv9pCNuggX1oZpsEPyK
oTeXTp9KDJP2xQPwsdXIDqDKDt/QKilHiDrfp9UTQ/gWcFw1k2qC3qaY2XvoIvvQQ44Zxl2+Z87w
wl2gBfnlo9NgY0DEfaQBTG2wdwzbgpm6GAoeDUvGrti7Oj4NaYG6eo+U4qidxjigyis6XpwsWz7z
BL0zYFbN/eoRxYIWhpVB7x7AZf0srnVn57WBPlOfZRDenDWkxeuYH1l6IVNkMFfnWO7e/ZLtp1eS
YYlUliCRJjkPvbQ3oqc0hFYzEbPNrE9o2qc01Bdd5n+YXPz1qxnSsEZlFBTmq5tAJwDYx2QuVG9D
QQp5yRqplJAGAfkDVYXCBQB9JfFVzisSwbfUCyc4xCHK8LR/wim5b73cerKXz7iYu8MYo5Iz8FuC
lIT24Tv7CqzC//Xt9S5JoFhyyLNkPNlO8jYFGsspQBs5+tOBt2EDiYKdUklICc5Ftc01vszORdiJ
R+OK8GbrByNZOPCyQB49u4wnryRe/hpR2m3atHwGamrd0mx8jD1bZVqZJeVuDEsaJpY6fq7AfdQo
ZtgwbyzD8qKpqmAoFClO3AF+wSgVXxuZV47Kajrs8JchOQprp/jN8UuMNl73YyOZoIXuzwStiAiH
3Mb0ZCjoGmQe0qHPoQal02/q5pUzsYYnD+huw6Bgk2CeQha9aXoMhZ1ePoLe+168mYregK6SgeNN
cpidyvOGZwchiV1wbem6wMfMAKQh/YXRpCh3NKcxGWtIX9bLOVD7cJlQpqX8lZG5hwJIGmkm8De1
22XEVSU6kl6GaQHNQhz7IWM9yPx+HhsX6SyvaR/XUWL2z5nGAumCbqIR51p2g6o4Yj/eS8w2SWzT
3JbBv574qY3ng/PQPcS2UFqMuRoJv1BTIVH+y8v0yFBPRUHIkN/Ll89q0SBKBE82UhBocI376eWe
PubXgkOWcbx0d10GG7TBtXFqsGVFBW3A3sba40OJcJPwkrojoFjTQrRY8T3RZcQdBMwWkPB2Un5z
9Js3p5AftkyYAdhMSH3XeTdx1e4t+7cpi/hWkLyenwzP5X1snYPvAGuoRcISjJTUDJPV3kzDg1/A
SfeH7J4I7nzmEBgc6k9z6oNTvhKy+yl8WuaKhE84sbJlT0KybWRVLOhVmUciH/k+G/ApXFJotxXz
zECyYuWoEfcG3xTKAsQdTetGadj/NjGobAhrwVCDVG0UEAi8iV1NKJyjfv4/DK5q1nSbpsOwciLv
jz3mq0fo+G6pRrpJt/xF5GWweec48JniwbTLNTVtUZNE9GwXMKrbtDnLCR5e62ueBwifbd9hUSX1
llAE1jp598DGf6emvk4U0KdefJkwWiJJ7xWtXCXApCwMBpMQcOn+Nwq6V9NENJNlVL4dNn1hpV+6
ByvC4gSMQP83z1j1u3YLIWfAbZV/aWkdUm+ZsUokKhosKt1gHcK5BOU1esHK1GvmoGG4M8v0w2qe
Rz/cCzC0baUwm81N8ehrpKZB95AmmwahIgP/tAkwIZo8cwZ8QKpZh7QpgVO0JANtwwro9HM6KMYw
qCYiAu6J6RvlT+jjOFbBXxXLcEsn+rE0Ab5/7KORCyGKeircjqFsqEOKqFRwu+oReXO2AtxErPhv
2N8FKmmW1t2dYw7SRj2+FQuiBbwTDkURaapipBuQQ3Uu+aEZCqIsHcceiKg1Y5zCj1jW1jnAOc72
gflx4Qb/pRCRUEDxBwsbG83IqjRRZFrkRvrUuPWIMIGHpxs5DhAGJxv271dzDe3gcH+aq9LBlo+9
xKVAOYzhSLqjXMCNZdUPsaG/vErdfHzPW0RjOBDqFP73UKtdI/vDzKLa8lZ2sEi/4Ts6T+PQnkxf
qaMyFobpJDuUmOQiZYME1n6R741RDedYq/vScP8mLEY/VO//1uO/vnRCPGv5pUp6Z5/5CI+NjGI8
WSYPuFb+aw6eSXW4YHTQp8HkjdZp/pV99BpNh6IKNnTP5ZhPUIccTZM6YAFJf6F4Owm7S/E8B/N1
HCJNVNY8QUxQ6xYIFkHVUG/w6454gKDidw5gbrwSl8rrHqS/MJWaVxVM5jF39ttfRc2dmY3+ctUW
IHFqBHs91ayzM8XN1moQO6MtYAOUTFGO8nVLu/0w1TivKGRrC78EWHdnf9bqNyVoNCaAACfo6zAN
a2vB5TDeQ9u+woEYLn47wdgOzDCqfGRVppOTDsrM7jz631ZFQZnHOBsaa6XqzMtHPYArQuqXIRRz
211l1G8jSKjImrDgaNf6cGY0XYXGzpgapzyv+shqGfB14DmXoU0Oqi9O5roEZgIV7kN3uk52eh4m
lmxTWT3MEVQy1sbnIrHPMwYgt2EIKexbh0EkCgHmra7M+NmZUQT0GOJ6eKanFOa1M7ZUxDHwtiI+
tT2xSL0D4YWMNySCaO9VQD2HLRTgS8rrrgxJzAT7t61U6bB19ELaFZSZIQdOlQL/AV2IsBHtA1Il
siyXWJLwmm99iK9vZlWEbxk76izkhnHRCRGZ53xN5KXuAt1+4z1eHchAveiI3J3jT492FREy01QR
mekkZaM72QEuzKOKufjD6chfkN674K47DQUwcRFkkXRXVoGf/9dSEEGKrg8sbkh+ix2IWlLt1LRQ
71IZhW51UGHHimoV3jYVzBeiFBIPmVLGENRop+9kdL0VLsQFoHAUzLL6SJrJ37vEGNN/XdiU3xcb
dNlidog/+u5UJicwJNiIvhIeuGCtA4TmO19s4k64hClmTY5Hv14ZFQz1CozuFmsSHr3u0tk8DyLl
6Z2MDEpdeuWcYc/i/yMb4mAvlWDSOSDAKC3yo0yKGFcxyNBdhbIseB0Sci9yJJQAXlQkSiaH61tX
GxMgDr99xeP3nMV1uxPk1WzjZlcPZIoRz47r1FJ/SpPpjNbDQEVQknCTwOYm+tp6Tks0hJP9zgaD
IDsXzUFMtkpX2/3R77lhOiC+I2CSQ5yK/0y5IA0caUkJ2pqUouPwsJUK9s4hgiqypADsgTpGwS6Z
21WefRz94YYeHn00OXsRJVmDc2ckxF6R1Z5kQblC/9EveNRfeq6AL3IGgsZ5sQkceK6wbAEQ1dve
oy4D7H/sc+GsLlci1BP1cFMHHxrmEeE+jYYcb5y4VIFUeU3jsYevA+BDpFNIMoyfF4Nlv5kdQzs2
IosBqx8O7VGWbNSNeNcgB4laGCRb+AVsuqxVaQJ1wa4ppGHghaVL12rzCQZO/khZxMV2S9CewuWN
fQOoua2PgR3Y+ynwL90vfH/VUSf63Wts9rVQrlNWQ2HnbDuPh9ENmAWl7t5lyQwJfK1zA84JF+MM
EiMGTlxEow53c2GyX+FHTPHcJ71mtzItiv8bbP+k443dyDbq8edvA9fjJZ4wThhdd1IBkhOXYiTK
JP2iYPrMnKY5CDm7YB7pM3ODkXqgKKazHPO7GWLKNYd3HaOi75cl24mBkC/CHiK2e8S+DM14mHyr
2XkGNWPjTX+cIrOixUH7wk9IVp+tGcdij3Mdic6CZf08528FXHI+5BnstB/v3RDTMJdERDAJVvME
0xX/KTyQW5Vhc1vs1VZi5R5GizLCUsnOMIai0qTdqbJSJt15yUAXBO227fLg0DskVPUWOO3JHl4n
N2vPesA21zvwJCiFiAwjb3aa6zIaq/ILy/JvJjOACMfwVttQvHH/McCuv4TfX00FG3mAqU34HEso
5pmA3ATWIK3kpXdYdTKoBbSrsK4gk2T7/d65zcwXz0TbQGBDpjbi00I2ETIRm2qV5S23yjjaP3Pq
0U2jwt6M/vhfj1Z/uzhyWyK0f5oxLzODREiQrloUs7RPbvVvYjS549Rcdhz24U4mFoBuCRyKVK1t
4K8aF0nSBp02EVv9ySsXBAB+0QLaSXAzFSiiRJ/+pFjAYeiFZD1Ahmxd9BslUsnNotnRdOjQirl8
dkZDn0bX0XvSXAeOsaEl+KemPZTj2XfMY+7Xil34CMIbdAad80Mgcb8UAi1OHVDNcFNubcZAK6nz
qXW48snuejHNojxOghDoohsfiGI4InKTSUKOHbxzv8sJPg915Q5o509oOX/tuKJAkYxDtWNECGW+
ShOJB2oQJKPRYuNho80mPa0XEmI8W3rg4uq8JJDLwXQmEUz4V5O7QbRef2b8A2kBVNKOqF6JX+fm
1G6xG4gy2sz45EPPFqi6F5xzPjK2mBCsWhnlgWlNY/5XDpRxczaVh3Qok031jw7A+57IU12kYCFb
jXfufmbyamK8UPHya+dE9kcdGSwNTjXr+zzAr9bUuO1a4IuhOpmht4YBHAgLkHizTWZLVv4EYp/I
UP6dSQEfSXJkstxN70ZCNcjct+bxtnR7b7rqP3emJDGgyMBpXh4oJbAnMrVlmbpEIDnvxHdQVY7u
vDVcBzpkiQYJvckWnAhr787fI4+aUDunD/AQJ6NR5bbANHVE0JJs2oItYb5STw2TqOfG/xuiBoqy
LGFfaXT3hQRIZq7BRFYyvk4arhLodBQQHz1l8xmqHJK5lCMpPQN7495gtXoImvK9hQNyoptAEwRA
bk85+pGSgYHPdwB8PBObXgpGGYgnnyzDq/Eigf3BngmvctgN7CmJTjpJM1j+EClU2NWlSj/W/vjZ
7N4YLhGH07OL9kqLZWxYopgY2h1tDPgLZlu9f6biGbeD3/dbUphtbIjFB08aE8yemUVpVf9E7VR7
Zapv4mCACYb4caahO2a9+3ueBxq1cHQ3wYxTTpJDoPEcMGoH9ZPnDSqf4pIYwORgcZQX3WOBdaxm
XzvYyseeNUFfGNtezTPgv27PHI7DCvTyjnFNRJPoYJhbU0+pUIXH49LCYSchF3zY2Am9K/m6BEI0
qt/6HYxusGl85pLryX7sHRr8JRfoENHssFeYVAnb15xXxBuxud0o783k1jv9z6/8h4uQ5VHT0VrT
zX117cyGIz5xniuJhYsNrc6rrfaBTyZ+yi4oA4BINnykLBvDZcC9EXusXPKMjFkXY1Ioxu7i6+51
coR51BNmPGp1BgkDc6osfrdD68cq3PzOypyxt/YZmZIGw7bUqa890MZZWP1j9g5NjbTCcbiESvug
y+6lycguzVoewqC2/jitzg5DliLmqP6M4MP2VCenZm3fpp5M4ZYsMu7SMfuUPieMA38MF01MthX6
wy5hvlSZz7OfQiBkS1zAL7vPc/k+A0FYlyp6F1TLJ+BW+aRC4LFj9ZRMjXp0yM/PrUX2TEMscVf3
aCb1Ut0WOZ3MqgOe3ifFgxSHjwVpyhsZyjCkeNIPmd/gDMYIv7HNeCOTPri4dUmiTkG2xZCZ1Loq
LlGNGcel0JAsESZtsZpUB9vs3YuHaYR3uxj8Ux2uQtKCne7gWb+XXJLa0D/VHdeAvQDqK7360NlF
sZ0nvsdQ6qvKvPlS2M4hk96jbxPrUa9YAryzLsfZBi94hbYVIqpl+69L4lebMvXDp6Fy2ajOf/MA
6UBuEysckGiYJrCCIQLm5E//ES771CpOrNPooHUnKGSprepkakwkeEBQoxI55OlXyEPrJ8bXRaLS
p2Mae1sNyVUkDdAK/Mnh6AMoXiVVHsTuwlPPXKoO1LgOw11j/GF1etRmS/YlY0HkHQ5noXxCVUL1
DODJmdSpc53keepHudXcOB0YGcZ8YPlLSNG2zOmkFvEypo46jEx3fVpchHyo86fgwNr7FViRIItK
e69pRXDgaBBUqXa9bc77xDMVu+izw2X01AerbhSpruWPD0Z9GCAL7x6u6L3KgLxNFcfHeUmE+5gr
kow9UnGoyZIjw1UcjQ5DBXqnFahsbYLBsVGRxsVmTlZgoEn9ribzG5Vcg4qK/aanS+ce5OJfmpuY
z0IH4ZSEjkXdYBbLg4Dzfo/T6BupGDAR1/4G0L3lRh6uC78BWOd5I2vNMI/xI/V/g84xN8QRTCFZ
25JWKzCksVkW29ot4ZVCFQgP7oTz7As0PTFPRevfUCwEW4IyENx41jk2wRHW+VOsLeO2zpMCch5Z
IGBS32Tx1D/PzoKq1vPwvKpX31fiUjEs37rOPXYAr7lE1WIchpuTzaQRLIyLcQr/cWd0UFN4dgCE
nHWOwYHc1HtfYC9mlDKZ1nxkYhwlhft77Ft1ANx0blizO5Cy6CPbvRgVy6peRkuZ/WWN1OOZrIqb
XxvvVWY9OeSnnBIwehSZpEIk8T705HTzzYWsNTCVET8x2R4y+ejqkFEGUFCykv8WEBGjSo8sbJyc
OnL6Z8SAxfuFCHEumz1MEnaUNZYdMBbKLlbXS/Nk46rzhA8jKK/Kbc5iRy5A/SYyl/FNkE0SYuHq
OxHsB+W8tqbckTPKn9QObBIJlG3T/jZPzVsANRwy9EI/AyxcxwKypgWIokchsEX9o8qOWGzT46qe
B+htafXLNo3gPBTkIdfh57DO2WaNSGlmmmTGM5P0Qjis5c0bxuuYDNrha5rXPR4YRmm198nLn+1K
9Vu6ukNY0RPBn3tqRVAeY5JGTD8dz7JosNdYSFKZs++stLlCNmvOrGCp34iIDh3KuqQ7O7HgxS18
JEDQUTETRJaXOsRbIZEltxzPfnOw6v6APMF+ra6mNXZXA2GQDJLnbjTfg5rAxLjxyaejqQ2AzEcA
n+OoHPVfsgb9HTfgE2qZ79wmRTxgKnoOG/HtOsC4Or//B49enKtVBQWhRhwbKuS5EWd2dt8xu2yE
PVO4gUH8K5lKcYM/gkxTp/ty6tBNyeFTJHzTqbs8oCcw57B4ZBkD+M/mS0Ks3ZXIjWsBToPAZERV
IjgtdX+k01pVKKznRzKHMRnvMMYx889lcmgYAjOxiO/SE+7RHZoAmvrqD9F/8SpSnDVw1uzfkpgO
xnsD/0hv3A1Wi+zMmA+NZXufjeFxHZL0SLGwfDVc8Zuu16+0EPTphDQQQFEzgrR4qWSVnsiuSaJQ
eu6mq1N5oCHNN8PIqLxEVe/gkrVpN1jDJq71HDJUxNLSHDLsEpt2HPSe2FUU3nNfs7XnqfNDoU8+
Nga6a8uNmsX4JB6AlVBBXxN0jjiWc3YCntkee5FW5JgyDKqKH8Jt4kuJjVYl8xSFXLDC6IfHKrcc
vB9aPmMrnOXDs7xvi0NG5ukvB2N3D1jkHKbjXRjiwwp4YNoBnT36HsIE4XozoMIf1Jvi2qEjAvVh
HFJFF1B3P9jb0J6YxbgLGyqEiUAH9I//khldTd2BI4hFiSZ73ZSBGPJQNTa3kTicXeHRu0wdY2PF
klCq8Q+JXy9UxG+qz/xdYuDB1zHW86an6AwKYsQ55Ied5Vh/tVqS82zLr2TIX5shAalsulfboZmE
yvG7EURBaJLdVM1vDtkeTzwunLNT4qDjud7Di/pMKhivWYM1RwLrWDBQHfLRYO1hsenCAgEjcMTb
xqmakUcgnkLyMEw3/DRn8tvxqexY9jKXU5CFXFgTWIbUuVbdsXU7fcsmIHHYjKYIEkJu8ffJTf8B
UE8Uj/9mDfM3mgOTZgDnUxOUkIPGzZTn3n0OzGfeo2CPVu4SWMmwUQMPvuMBCAkKfZFz89MJ0PuI
/UOZtFHqMetdsnXAH7Yv8djnV99xySIy4RLRkMT+P9ZGmCcmYa6FWJQCIgNyMH5w9YOmMvh2RO7T
sKU/GXJOqoXmbzrKnEcAqMLK6moSOLNE0+Cbx8mDaUbe0gGbaPhuhISOGIifVgl+hDXjp9yGTMGu
teLCmQZQB1DswGJPfXqQKWyq3DQIxCt9cHQ5WGmZ3Pn4sc/qYefOA6deaF6nAMRcr3gXbIyLjcxO
ic/wsmVCVYn5n5Xwh0F22dN+JkdTAPE1G7dF1r7guEsLFvNB+006KPvUrpcPO9bYYkZxIx/z0lkM
ekO3fgtTNB+VxWM5Ojmd33RgSfQLvPB0DkuST8zM+ljUE06qbi8n9g+Fwd2TpjPLHocGf8zQo/Dl
Wum6xWDxO03+ssFmIrYwp09aAeIcNdYVJzD3uEjk3vD7ASGgyQAGUP/BW1JSFe36lgdCHxy7eAbe
hzbaz9i4EPvCJod7brCXu9uwdpQtoyGnytDwaEavAnumb2Wn0mf115nU5KUCFM4sm2l1izuhHNen
GhfAdgxSfDXGyCFcNmx2VM2WaRpOfHqfZeGaT91icXMxpELwMZDm8ZXSYF8ML8mwQtvj1k3fiwpO
QpcFGsIu/eFUA76DZRF3NKbSJ3qxxlWUUmOnWdY8jTQ07VwCq4+RPRoL6hiuJadIj8CrakQsTgkp
GyKSwXiw7wyOchuoYBuYv+Bp4maY5LFFTH/O3P/InhzeQ3ZzzL9c0nsbVA9ESB068eb4bCckZ+aG
7NadKDBPKidcyNRxz6p+1TVsl4mSXwMZQo2MRH2u6e1QJIm9TwbDuZM9mL11/NChkYtZkscOlTKt
0C5vBLvoKsQywqg1CbL/hGrya26fOA/LqDan3Uh2LvVzeXRkcTJILt4NM9aUFZ46gt1mihN/zs6F
RF1wNNi0IyLL3pDSPQ+YA0BzDL+DfK7u2Gu6TYredWfoBuvZbN+G9HMaVgFqgpkfveZLsGjAEFhy
f7OxIfUj3MMaCKGF9BP/4zyG0Vj5JyVgEYqgjMy33dSQiMoHpBiwMJy0F3mfFxipLiM47A+kgXGk
biXH5SaEMUmBV35ItRzaZfpaRUTMmZuXPKtvojPbfUm0LhOsfDMFH3Zpon6io/Q6L3sdZ+NfwZ5x
bPLi4JJas49zn7gLrU5zCBN+1pk8dkFH7HqBXc2vSz6ZKn4hOU0fuRPfi7hDcko4Q8LU49g6+I+s
8pXsWfcPbuNl27yXbaYBcBnZ1s3NDAfWRlK4Aubpd8StEKfhZC+OQxRvzVEPPoiFLa2Wl8j3WE4M
W79IiCr2hidwTrbw14pEmIfG6l/woX+MSaeOYQNXE7V+ReTFBo3IKVB59ZI2LCIHoCktqa9Hr0R/
UdrBA93ToZXjn86BvTblJFDZlcGELVTDaSwYfLi3uQ/SpzoGrIv0bj/qW5k6w23qyowbcqOT/0fS
NsuraPwQVvcsjjCMfyH9AuEnp3xH1yD1XffT78Akgq4cSKs0bPQ9ISsq9suWupVF/yiseNkhZB6P
PhHXcNsfGVzWI1Of9wYahyI3R88T2rUZxTQ7S76bkjeO/AIRgdM28fjLvyZ7+H3BH4cvlcSqgh3A
LTGT58DlXnLZuWdllx1cSzOFd8Y6KqWfcNEhdp09yUw5HU9TxrteVaC+wry/TrnhHiSIyygXwByX
MmFsXK0Gtkq+SCP/m8gWa1yl3hlFEmTQ/IzLsoLtMb7XLhFapXDbW+ZMvyanyY99KTJS4BkqDyz+
LmRBvTs53rdKFe8mYVwDvCP+NLz3gkzj1jUwcytUcil7ganr251pCOtcBv9ZLTYKjNV000E33mf1
J6njW50ZElCEWRKCiMiTbCYGVvEOmVIDu3e0N07S/soRXkZZmonXWTnusTfAbhQZERlT8ozccwYi
zZCKe2sHPsw8eWSwXBKOvZXlXPbqK7DYkgYxJPF4GKZH3ezcQKp7v6QMvwv/wOAvkrY2TjOmkK3V
jiUWjKqKgLpEQzHD8QvKT7cKcIenJEwNbboXBfYmC7odazwWrAms47hh5KjADG791MPaIbMDjIT2
xB7B3Ul8aKqxfuI17q0LUVzkiT8ekHzZ297ipSyW/JU7tzjm5F8Do7T2rUIKRqThrtMEL6A9iQ8g
DTcY1/nWoHEzXQvMe/zF9PSF2Fr35GOb58F1zkvDlLZKEB8i1iWZa4D30I4BSFvvODI+H2XV7pvB
+E+GTBnh6v6O8U8d6wpW8kyHebBS9dRZZXtRhNmRUYwSI8G8vcW1s0p3TFCQdng2Eug5ufEVjIb/
TCudO1tbxPlrkefkUwsqfBmTKWAsZ3o27+hryKp0dkewJ4q4JP9dIbj7x0r1WM0i/oSVXKPkaqc7
xadAcp+SGOMBOksz039bkIXkbjrt0nJy96bRoABhGuuDEXPRIGM8sJ4S7Hc7f8ozLiLD3iK/BwHo
kc04D+7PABpwn9cgBthL3lRJ/kgY/MmaHkl8AN3I7OueUDef5QVSRy4L+klGBofAchlWDbAAWpFk
VyTht2nKni07TNHYIE2wWWpDV7FpRBwC0Vr6wZp2YBHOLUZNG02xq/Zpn4K+naqXrMyhw07NtPcZ
Hvhh7V+IjwMyLEMWL6RSb4ssT0jsmZG4LwwHbG2+LxrPJCDGeKMFSgBV2K+49Tpejhk8Z96jQ4qB
v7HyhLqCHg6uWns23DDK2vDTr3C521DHyAehjqsg64yshy3tVYfJLA1KJLUvbY7eORT2fvVCpA0p
zQCIvuH4nTqrCrGYUdRYkoLDqYqtbRBUVYX4uJZFjruFYpLHovrrS/XWFC1q+gWbX2Ine7Nsu5Mb
yz+N0ZjbPq1/wpLiB7DLN+qXch50BJej3tuTw1zYnIy9KlzgZEP5gCPMA6BwvPWDvNZCr5J3eqEg
3CONfsk7B9SKixl6JFw6JJeYTLSWyGXao13cZ7s85o6eLFJCUsiptGfhPZ1ZA9urEzZdPExCgtbI
Tj6p/giTtvCG+Esqn10gwVt41T0pYzKJVOAnR1qscEvgXK8AOTp9IkiQJv8PrhWr5sbYul7xYdnx
queoDostb65T8g+SjjmUbYxAW336go/Qz5gTd8w5WZQ1HE6xvRWiOyaLuPs12yKaGr1zhvCnjR8y
sekQLGFuE3kQK4nEXMPByzA+AZnyjvnYtFvZpkwq3ZTEZruNYG60LCD+s8iF5+UghNWm+ZFI28o5
pwx6hP7EnEOCFMggW3j9iA3HZ61ko1cBctzgy2S0A7iLYE4psexityUcYyZzwU0jJQEmIcvHD9EC
C7D7JztO3QgxxxzVNqQVPREEzq2f7uZ4N+flYyzS6mqZJVOxgSBwjSajXAlRtsrPxUSC9DIP47mU
iMs7NEeg1G44xFEBs7Hdce9f+VBf7drga1PDPnen4xQPZwt71bGg4HfIpOEjquUJkt25C+tz0gbk
IrgLJCuJ09+Z+ZJSjtVBF7+B+UADHDhcQrvDWzjFh9aYsBmr8hPpi0sChKA9gQqpU10em6o6WpLa
d7JsczuWXb7PApCorlgjSJPCoKdqiJMd+6+RSQWyXOAQbc5ICQxegUgvpfHtlEYhT88AWxj8T2Ze
s9nQ95Dt+GAkeHXAiDNcHfd9t35l5NdvrNilaGEjbobYTIPAjszR53DI/wWxbxyWfH6jkiz6VVmr
BMc+rqywbac9CWvsf7P2IhiQd51/UQbhoyApNzR+4GZD4qGYgeQG0eLSa++FIUGoC+tnqOsG9XT+
hKwvPy7JRGxta/6bdl7FSLUc0HJyiZBoJos/bSa+FpIeeCpodjzXflpThuAOVN42771fHcKyDRaW
73mkTMjxdsxe9hsxxYvpBnd/7o9NnehdPEzxnvAZjMOUWPLiwnVkh98DBgFTvLQgK71Q65PV/wI2
zHTB8I++54enEDnZDA4Mh9nOE7I+u714RQx2RJOaMheZHGQf8X1gPrAFpSoOU1r9HYyAgC1HH+p1
ip8n+rYYcPtloYyDLuTfIpxjKPg+XWLobUrpksUsKsRRnrgGPrNabJEX1YGtG5vgnJt+8Qv4AZ47
EkZ3s3J9rFfRqEdEJpDztvmcwVVKLNr+uHrEMeSvgbiSr6JIbn5rQcLXLYK49QfSiOKZrFiHPMxy
bvnJYqZg4zpHo7+YXsZ33JmXOuCdm2esWnbW1QytEVg3i16rK4mre7L5VTnJZUbaRF4g3px6BnNW
6bFZQpCzJx0PKVeSnTGzfWOCK5EAobovO3vrGkz30BvuQRJUgAj6zDiSF0v3blkz1D0zfqGXp41F
XtkoZd+oFZj5uYTdJTR/Nxg7IKKW/wyFPzMIRX1IYu8S2uhdF54Lg1DUk5XFf+HBNS+seTu43lip
2ypob6PGqGqFxbcQGomu0wXgy7BeGZ7/tmrvI+Jh9XbJsLp2uv/r5hbR9stHOgimrF5xIQADudbg
qMjvSQUI2uxCkMsvTJU8DlZNhg/Y6KVO5lWXHkZdto5xhPmG+s5+RkUSNyzx8wqBUpLivsAd8D/S
zmu5bWVrt0+EKuRwS1HMFCUGSfYNSsnIOePp/4GmlmV7ee99qs6FWewImQQb3XN+QcNWJAa/0qbq
w+C5j8BfN1oYngZ0tG7suJ6eau2bVunGGp1SpFP8ipXXAsLH1sxGWe/sNdy0NbeZVrRs2/ASw61Y
mzuc3pTMGRaFA5y1Ybs3a6OWDzhLALjY3rqf4KmOXBzyKodcjfD4HLk6AEuwR2HyD9vR1aCIj+pL
avfuxu/Y5ShSOVfiJoIhwXKa55j1JkW69nR8DHynMW4G8BuE4vJglXQ2u4AiPkUuvgcIA12sWlIW
Za0hNJXiWqHYWj7p6r9EFeq8erJxRqSULYxctzY+IRtAbVgE1gTeUs16AjrLjgkXSSPwj3bNrqrz
20WECq7kxPdmFPVQd0f0JaFqBqo8LpLC1m5bc3QgncjjhaDLe+9odyGkr43Cnsbwu/JmSA0bLWkU
p3OXuNWISfyN1cC1YkMCZlsaOApnI6aflyxGSxgkjXHXJoq+5EyJrIBksjKl5TpUox9NjjZkj1AZ
xLl1MC1TVflcdsjgdKONRk10CCs+OJDWpyhyfLSYdCDEGdT6GIjXrC4QYfEk+Vsb9jy9JcQ84Y3i
c8zjInUG/NMb9w5vhXnv6NFKdSpUNGNpz8rJzntqjxXnVbFxhnAsFDXZ7jVq8FBbbM48K3x2Zf1s
hPhvJYSCK21Y5zVSdanXlzeBhZEliHT8sJtXGblHpCY7mGiABhR7OEZ1lt204w9ctt5Tf0AbS3MR
iGse4mhSBJCxwvMb/3uQddD0/VtutnDNOYZd5gh6FSbFyXjQe7IFqmauhwy/28YCW+L65aYeHaTX
DQj6CEbMkawj2Gjh3dykQTv3KkRJg65Ffi+X7TkRArlYAjDB604Dfwy2HDp1flCgfoE3JIxslHWO
9Jd3aQYZaKk2rMLa3UsF8W5u2x5RxPAd6RfpdtD9DyM71WWV3wDAWwOrXmQoZ/Mc0neyRAZRKWCb
6ijEYLzLumoEwIdt4xy6uLdISQH8QMcgQpeWUWVAp88QAqwVoOQp8XPbCnkMTpg9BR9FQtPaPM+f
SGubWzy3sSIyOVG4FkKdIKUC33rvdefdBBwA1jO+Vdp8N/3TInRea9wo5nDrmxmLTznLS+cQ1OmN
nrePYUPwzUTeVC/KjxAcRo1ihW9kl64m7OF4Qc8625ACtYDSZEQXS/Ant9CVYzDl+gxIOPKaEntE
IIo3qoJe9ti5bG9GKFaBrz/DTACBWFvsZUCpJ/bwDJp9PxQQluQc82A94JA/ghDV1PQV17PpGeZ7
txYPLHI8iEm6nF+iAYuKXpE+kEvV1mWJSWIjKx9xaqKiC6G/sR7VktO852COVyMAo9UtC78F0tcl
kRt1/gV1bjJG08edhCpqDJzmsy7QbjnSE1iUsKOVMhSUxrpe6A5CGK5OwEdJSCoqvnppUDdC+P5R
r3xC0UBoUIm+91XJJCJqE20cHkzJx84s4MzHNzT3OVbojvVqJUaEbA00Q9Kq3zt3QTIK3lQGqKmH
OV15AXIHVY+pmQzCfdA5s+Zq9NqgDFRXSFShEKGHNtgHCSaaHoIyBSfLQbYK1xzqiQxGyVsCieUm
V0Kw8yqSUigW7FzL49dRZBqP8WCTB+BnfEVGTiVcOZZKCMJq9nAFP3wNBTWEFUD8KPo9/LFVHJJB
HHySbuhNIlTgZitCcB/dRPp1pv+MFxLjLpCesf33ZgChyU1/UIPuTLDtBrL7cfDtClPk0poIuA63
TIpObWzMUFRXpgfFaIf+bSUDjYgDdB5ssyUZotS7Ik8vCufymVLK6ryFbO6U3A0u7Fy8VT54TCYI
dLCLJ5dNePloWsRvI1M92DbphqH0CHum0dZEnjTBaZ7wIYfFFnqLbj9Uw2gQx2pPaq6edCT+VLIK
SFklVfERqMVr3xj41ZUGhgYZHmmaYs3jfPJ6GKMzRntoLGPvOh9rhbXtZUA3Xya9QHaLqBjqhPEI
DFIPlrFqYk2qo/yd4MdYIhuoSs+4yn9rSQrPFOwECH0kprwhgaLfpIH0nDjyO7iFOgbyKaWKBOCx
gpTVhy8/MgeSN44lQCJL5Q6vcQ7y0a3dcudoPUCn8CipPKGsLkR3BmyuBBpVtsZvoBd+WGkPEilX
tu7gHtL8hRju3kUjEd0JlOJlu1n0avVg2NW3NolN6M2EATyjeyJ+pfA4hLwbVJ2H8wFu1QRPZqOT
riSSnZzVSShAJXYGvkOg84vEu3DoJ4euxgo42OA0hiD32gbBTkUle9woh6pHA1LTW0hzwyo1xzuF
CPDos5hOf1bX+q8YSC/rznoERHdxAH4hMgxRvXlrYpDARXviyL4G062hKtqcOSQ9eFArybar713w
HKWo5k/YyeZHCkuSn6B9VxClWKdO/kokiPAP+BUzMHcQ3vrbpdxxvgclCL7MSa27xBrDDTS6e1ES
LxxNmilNpjymhsUeKQhJYUiSbd2RpOkWaoRC1i+VYoxlfQOjp+7tiSDuhDojsolW0dohiWW3I8Ri
1Ha+zcdqLfp8Xc6dhvQKonTtoBSrrwbRz+rNhucpMOzrdcTU4m2Abbytd9WO7BU/KBXEhuF2J0WH
HmQCWJ1NvuM38rQH6Yakg35H9oJ94ACeJjtLigIoJRohawHF9NDb2KrRltguOMJeA9+Gc828c0lG
5i4qHrmu53PDZp/Pxjtfa5NInadG8KsgCg0oYnhlAQuqsbGLgrDLQc+bKZZLFlNlWvxJ+CKrNVGo
YR/GwEZbP4PfNS7h+qIK09ffRxWyuDNeCJP260Dt893kz4zRDpp7TbPNSvuI3crka8hewbOg/arO
OUem4KEh1buVoOrcDDZLaqpMXCk0R2eBV6wD2CCgj3wb0+0N+1RlGdX9D1NKiLd637nff6CoOc9T
t5oPcCFvID6SAXNBMEt69i0nRDtTkXCBA2ZBa/K4tzWvcA5SDxrEMCZoYmjA+2VrBRHkQQPMNLNk
aLiwctDNrs9tT/ps2r0E0oJoigURqJ6D3t1ICHw/1NljPOoG4dz2EVopUQ3MLOaFzV49qEaQtjJw
Xuj/RG4lBd9yHhFABL/n0/ZW1tyAcK0DxSXvsFcOpGHWpT45EpMcm2wCHEb411y2wH5TTYuQQ3cf
7QHde01iq6aWGFvgtojSUQ+4qCuOVetxtnHdEw5Ji9JP1Rkmcj/IybKoJbmyrtDetY23GBDWulWw
TBp76UNXy2NTEzPuzIFMQYeVpF3056wscVIcw/ZG59c6qANZHkTNw9REtBnKaqtCsGCvxhEMoQf3
G6wJcmmotgMmr36E+gKxxg0Pi/e0BZZq2v4rmJK7spUIyLy5CZ9KzYR8Bv4L3DlWKg9GOXSkiwO+
74aopLvQ1POQmP2siop6FuroF1YQQ/tgAiWDZ9T1H1FotohOrIa46fZJ3Kv3tdavfT3fsUUHJkO0
9cZq8/MkK1oECK6AVyEEJ2/86a+VkBuFGfVMfrPba+md61vNvUpUIgohkY567KxSiNUcgsyFF9ol
entEcMnfzvPAcDZqoll7k4OpPura2kcXZ0Hmn9+d3EqrwaxXYSllL9HJnugVYEKLm0GNIWoOCMUN
rMiRBAhWxtc16LeabiDwHhpIlFTPIVugDTe8e99ML0PD8xz5xGwpiqKhM1082/q6nYs6ECO4YBqR
slI6pARFUXJrrDTc8TmxtWJf58Mybi2CuHIVaffu0G0VmKm7cWy1e1EVa9Fk0Mwh8atu8ANnyWcF
VnMaJYM2uw/NEucevHbzLMn3/DgWwNmNfY0HTxfmrDglCQO7JbqA7myCFhFYIAerwpntvjaa4azs
TD5iUwGxwCbv7JYKeSKCfxxvjAXLE0/5yp1IzGBfnHY6a7eA72olhjAaevdqW75FWg/Q10kmT0v1
VleTyxDD/owMdUTDozkGrUwAG8N0rfFUNnIu9HrHqlbNQLKw8b2j1ryGJLuWcqucQtMrzsAh8SB1
2Mbwl+FV0cLqbOq5HKGbEBjmU+V42mKsJQlXNyllzcCWMCKz0cgcEqRwUdg5NNigOSEEcUbwGCGw
uHtWtIL7iL+YDbGHfpQffyg6ecU0hOWL67UJYILfAWmEG4Vv6ya1s0fP81nDGyR+nBet4VzHg2wo
ySgWLqpXJeQahfSbEQUQHzsJoijYspmZgxLvCunWi6fbVA/WbqKZBz8PwPjD4Zh34J+UDq14LTT9
ud1Zx7EI84fYOZJGQkTBh9mhuMFrG+ZPutZF9267wcyimOV4jazzwrykXRqvuqZ901vtoSnSvY10
3y5moWX1ysixV6RxAeWmmLQQdqt16IEB4gQxcP0GbA54yBPR8XEFJHffZiYsbZ17oC0de16UZxuU
tWY11iLX1WoXxdVNOsXkgVpvVIVwpMxZGUh/dYsfcrjKHS5rlMrWD0Jt1Wf9EWzzRzLatymRPSLf
8lJymy0MCeT+lEuaDFsj57jjeB1yVHny3YnIRRXuUgmtcqNF2rmBiANZrkuIwgxnSdc4szXOwAIL
mDYrnItex/UcKwPN4iiY4KI7S9uuBlUz7zoCb5b8qChBgJdZkCxyCPCalXwfDB96OesvKEVU4NQQ
Jz1fm4juWTIneJ+Dy7ciNHXDFevqTC1DVDwdCPk4tHOy9dkxeApkbWycAbTjtDnxxZA2fW4cEuFZ
M7AfrfatxaEEoTtOK/jWNS5CIzKGK1kZcRy1AJC1U8S1l48s+SawTMQdawmOS2f0a6MlDBA1/qHU
h8fWQECiCbmTU8mMVpn0XQ7RFug18yPSKmWpd8iRGb2VrBLP2UeKbyw796WNenmPNRTqMySct9WU
h5BJE0Dd04jvT5YniatiKF5g/6s08opvlZ2czXeZBqF0G4zZwe0JP4+l+wo/8KRGeLC2tdkvqjAy
Z35fAHvQcfkEeLTwbHRVQqS15E5d1majbWqDNGPuABYzfbRMhrgCkzNa1gItQtbmgvN4SgoDxECD
ESi8ngEd6VvNQ3Mu62oVrWrnWwSGkbA7wVBSBs2sAwfo1KlxG2iokzilUJZJiHYR/QDIVkGGi/Qd
/s0A6jAZCUEnezFyEZYLtDKSp2dljSgUgm7dwZGyuywrYNmBZSVWi+RNjuQWAhqrsW6XiNfrmNEG
35F9Af5PvEyWfaQx7HyhungZ9WXW8XEacBvYvg3eiCpkuMnRgb/1o8i68Zyz4jyOQ11fTEStuVuH
STxopjQcRYzuHOX4D3EHvMtd/zxGCKnbfJbgYcdHW4dHNVYTGBJyE6opGEK6BbJ9hBY9nW2bPFYm
1OWUPVWGumGbx2sAK9CD2R4hOVBBKAJ9tEY6DzWgXEJrvRwtdFSAWmrhrWHc5VixHpyOnZlmlP0y
65N7ryVZJFs9ckPp26iTCpYaACdF6PyYvHPhBYAnS9ofQQ8TTimqtwzyOGEmTYZCpMyNwpHnShBu
ZBRibuWmn408am7cyjdnncJPRENM8iZV4rPjYeWZ2zhzRU15O3IYugEwspGbElZOOtwX1saT9dds
jPV1HSH8TIwnBhxnelxIr551pb4kSmb86LQzUnLphyeRRSc9r19qtwxu+9AM7oqfoysjTf4Y3Rf1
8K2z8mcd34ODXCK9pJZxyF3vD98RM8NvpEje4qwhQDD1IIBhbKUA7Xxgf/Y2wMgGfRv3FjC1etGx
UFk4QxQtRFECDoasjRYuVKPWLsQAUvAdLjmisAwWphIRfAus8qGHNlh6+n3UJ9WDqKmyJaRo/T75
WdN+9hHNg88pxpRYCELDU3dSnsWL0DXso6iTnbT57rQNQHx8T8B4vqm90X3Ukfah2EXyBOoEYHg9
JPctu+/l2Hk9HrPMU9ioC0IPco5OiOQCuNb693nApuQPNfo/N3JQP1ipoqCqUz9kYfLHG5IJ15p/
9xFNll8+/K8+nhsc3BDyAZJELplxaazfYlZL0/Dcjzyxv+HkYT/KQ4ybNG4syA5ZeDboprcsMtM4
djmhCDHII+InBg2q8U0fEucxTktpzg712wj70FyO5CF6qJ5BAm2vd2q4exZrDps21oCfdYOf63tE
JRehg13NtSFAmaSxR3cvuokXWeGQEsultVKayL4Xdf5IzMqztc9LiAbZS9SVM6KuIbp403VK19XE
Ja7TNTbXgWg8uR4BEEOu0ghQ5ZrjTxSh1RHgaegXPAc63CCP18pBj/C4zj5bTDWOdnoE9LAq1mpX
gFh23VUTBMqu5mvciXdmFZDAtMWrkgW/9Lm2tKFbrK9fhKWeZE2qjnrUwxtHXWqd92V9tJo0efCK
J9EmXqw6dpd1Abbxq04MAoUzrK9dPgcpaRg9pN5LiibMQfUBjg55gpCJhxQRZ6p+iflJcJoUYw61
KYF+mlp1RJEgryf89OBPcYYA6SCXqXZpQ9k+TSXOXdoFVKcNHry6lkSb6n22idLUpkCk+2OcaGNJ
+2XcNKfoqZbmeMI8Fw+XWSvH9VG8jBDsl5LsNgjn1OxhVBcpot6q9HXSgEQgveHe/6cRYgL+W+09
6V5kT9Crq4hg4YtWp2fkI/pbcBjBosMg6eybTb0FEgjq0JGTc9bBFsgsYEgURH/dJbLX1qTURX8x
vGZvsgCSlJ6xqPwcHiBOu9RSfjyYOySH0ZTPRipruJeq15L4z/4siQ/3Z+n64U7jBl87i9LPNjGu
sXEinub86vmzFP9zhf89Tg+IazbcCAXe3QtNGpIjzvTdDckz+Vnj9xsgyfjDNZ+9oSb9bbXpNrMs
9QUgssyGzTTOnIklBIFqF5dZo1yNRhduVEnTd0ni5AsshpKjjOrVv2e0iCoDrrbjLfmV4inmOArc
+psfjskb7mHfQSi256ogFx7DLlryPajn3zr0aCteOzSBJi2hdajnUiquM+i9+f2PDlqfX2do69I9
6GGl3VRdAEkT1evZ9E4prc93X3VEf/9V99/7/ffWr5khpmQPKOBga6MoP2I2E3txf/wsiW9vKhEW
V/bi/vhZ+tn2+zjRU9wfU08MwqAda35+6+uDCoCIgDnZeSxy2H8C/+iqZNtWLsybPlYP6FqQ45Q7
7+LanTKDXRS/aPFwp6Cx58/GBV43WEVpibKvlap68WyQ6Wwwk0tamvKcSI8F6LnolmpPBotYAZaK
UH+XbtWph7TotXn8+9y6J3/O3c59VfMOQyEP8xD2mWxV3dnG/HuZBfDfM0RtHvBeMwgg2SFcnAr5
7cx5aVTUEtSiz+/MtIGtH+AoATCzfPa5SyOlDt+nyRzoGmc2V/hQuzV2YHbQXSezKjd4d4yKlIlh
v3CmDG+g0t1UQZ5FGdGZ4AkZVx2ERZZuaocVjLTOGuj6+L0EtgA3h3ojJqNCGPVaX0/12lQ/+M21
PsPq49pfxznh2t8aCtQMs+F7pdrBrW1IGIhP80/zfPUX84OQZs9DPRpxv/bX/DraVon8wnMbmtJo
uhsFcsNZ0/u9AyjqO9zzz/rBK+UzQsTX+nFAtSJvK2nTt+i7d9R7ujZc+zfAVq/1ZaFc68X81VQv
5vm9v7ju7/N/9UdAoYVNXUfr6eJIMCHwP/2xf7mI+GN/r8+b/POP+rrIzz/qL/85Mf9f6sWH8Zfr
qiUy5MR+g5legdzBDqC4s/RG3zVSTqjXqv3XCnW4aS36W4cglrzXVvrfHUySUG+tCioTcjAntQLk
JyZGxEe7RgEQRlhvUBs4Lx1aoWpofyOUqHwLFGRhMkP2NzYs4qdaf9en7laghqvGDvKFGA1WYKOE
0XhG8aXeiVnF6EzFz+svs4Ic/5zVDyvvmVkNC2lP+A3RqcxdDgZwiO883dLudJR6bpSurl6qrHyu
Ir3ADsAxifUhZCDq+24AINT2z0oyDss26zBrjpPuOXHxxyBv9iJB8oNF5uMPao75yemGZx2yxEtV
BAThf7/S+O8r6dOVxICfV0pgLKN+JZ/SnP80dHxgHpb/ChIDndmQc4c0wER1NLgGtqUHrxGIEBvb
x2/YdOCKNlTxeuA2PDc2VMepQ9ihpGTgY3EdCQIVM3oeDrNRTvRDWstb18Z3c+bUABaAx767CMiQ
H8j6R99CS59UtHIAYxuvgkQLNjYOD3tY3QjhFj4suR5lfAP1iZe/zOT3HNJwnut+mUlKCZQDIsa7
yLG1NSgwaOteEtwWmqVfEFCNEbb10w8lvCRxpv+AOnGBKwuiIpjMTkvObSEg+NUfo6UxM4B6xESK
wL5+eNrZNht/V+teykekZXtYzWh1lcYmZIGcSp3ZQFWN7Hef2AFYLw5QlUw8UE/6FGAhRyhxjhJ1
vYTY6vWMBYrv2k/UXbtky6GopUNvq8k2KoHwJMFwnwtL7ipCBXdw652oU8qaw2hX8OOj9VbUiRfT
AZyehdIRz9ThXnQT9b2WXocTEgoA8w7ZzpO0dFVwoAHcaasXZZA+i0WXs1WdWg1gfvMyMaRdq1Uv
mRfVh8pze4gXPkBgxUfcysiM6kDacbjpQ8u41aaiI1q+KuVIoycP1WRNIOSd32tyD+Alve+ryF7G
NhYzBeJBk08ELepQH2Qjbbaiyx/9RA+tUFduqEMbAvsv/lpJktwTNg+/lGQ1vZayopJOU0/x3xQ9
f44TbT97iraphBHZRpKVl4EMBipUDZvqOuBc8WTbQXIUFVHe2ysSHYjxTE3iJUalh+S1O6y+6orv
SqzF1zG936x0q7aKV13Nnzpt1O6zjMewjKz+n+9Eq5YjvI/U8//qFyFmCJtSCsaOCPEBCmtxQtLC
nEmNkb1iUrSQVBIfsmGuE8MIX2qUOMlSWRUeATbazVlJ2FO24x1W8Rn489+GI9K0EDGNuDCQucmi
F1OR4eUYyEjHZrnKi6w+Jl3f7OzKu4iSeLFVT8LoLwT5Esn1UdQ1hbwra1/f/6dBSTTJasY/ULnz
9pmLZzbiuxFnynqCTavacCNaBOdEvIP0iz6bbmBOUI4n2UqNk9ST7faQ0J53lWeezC4zDrGkrq6N
oWycWKjeB4K/uz/6S1OjVI3GwRwUvl2sb5wsdkBPOsa+ievJPlLSnjTYK7hmuMrCmIoVstgzEz2h
PXkY/SlRe+0p6UZjX/ZdjVQrRYs7aRGOGiOMut0ROB8WdgpzcXQyeGGY2iFQRNGEa4tRxvRWbweU
knQ7+LUdTKiyKyPw8GaSo8ZlDNK2NsJ+VieqehHFIvcouq12yVgdr61EAMsDzFcfnRa5WZBGd+/s
EXRyXOqf777qQKn/Wpf/PuKrH3as7q6Qgk465bWrgJXVP/zA1vYovXHwHawPyadUTaWpLUHA9Nqm
UhJt4s+c2oi4TZJFLsrs4MyB1cgnsWe3/Mkj5J9SIBxD/ilF/5TEDv7nuH5CvvlyZkZ7XCraO35+
UvwwjqO9QdozWY+xfYcGW4g9oREes9yKDoAebhXQfMSx+XpWVa9JM9FqjXF0JIdl3YC3kRaiTrz8
P04C+vboYVm88vWx3CW5w4s5NPWsN5NqJypDBCyQaMLtE8YOcCFR+fUiOrZETTE17mJEpjFNxDz5
u18BAJSNxtrqdlJgzSMX18jg7z1AJFhgzeT6pmr4v9eccLQpMFhHyngUpSkQKErFpKRCwuqrTf6t
JMbh+Skfp57ab+PiMMF80vWVS2MAKmgt9S2HBUCOR/dOQHucRaO5xsbKhn7PwzO4jYGXPKLw/eJH
hvuB+hleydXnIINNxHWQHGfdCv0P9MIxRhKXREo2X5pTUfythabmxKYpij/2qyhaw6nz11h+7A9q
B9w4LqJfxyMWwuzTx/LHeFH828U8HwukRMKouECtxAxWShB3W98NFkWsZnfwcDOQliivzERDn8RQ
MKlTrDK7q1Algg7lWO02CaJrQx4AkSIhXmLrF4B08zLbW2V4Ne/EOxkE0vWdN0GUUj8yC3R1wvAG
gMhwjHu00HEzGI6eZUC5sOX++s6Z6sKpFct5k8d0Xc+LuB2+R/AskTcIn1Wr11ZqrMeLuMXfZqpH
zqVcZLLuzI2xfuRglXuzb64I3bIRveDxaD5bkj2Sbrf7h7KI0ZKNOnwqE7nbumVITCys2occIjg7
V197/tc0matfZHws/pxmJJdbV06364vCuTHULnnhLpqHXPG9cXsfuLStnCOcEhZa4DebsURKTfTV
/ulrB95nX8lDkCOujbdMiqfdh4voIEDxYM2j5K0nV/Znnejhc8w/hNOL6AsY43UsCZMAN7VMZwnT
37+HH4E1zXRiVp6tujLf+gg9ucaKlAOAF2Xjq5gQlgBcHuNaP4pTuO7nlyr0YrI10HFDty02+ZSg
S62UbOZ0Tk9eWPWNt2Ew8dZOWvkwwkTbAOpKQJZmD55d2bu2J2VqsPk6dWpdzEGk+Kd+qst81T/J
Ffx48U70E+9Ea4m42KEkZncDM/44ohKHZQ5+0XuzlcOBbB/JP7S+j4poQU692xf4aekJCKFXyc8g
PXQ9Oj46/tMO0nvPoxzeeU1jvWPO8mBIVv00+bzfhqpZ7kTXunFBck5dMaO8q5tMvsPtHdogwNmt
jgP6PMGo4DuC+ncecptnNBAD4lrg28xkRIFS42hhK1YASZp7N0rM7Mnqc47o7ejirVxlT2h1v+eV
Gh9EI7IQSRA/oc1XHspKf0XKLH/KuD3+OoFoTf3wHS+x+GAnsMc6XGSwQZEAR5cZ+mnOWB286UWL
8+rw1dDKLgQii3Bw18mruu/V2zSJw28NOZU6AJPZJJD0ZFnq7mM9sTa6ov3SI0NaeiM7GnYjsPaB
dOeNnCFFXrBk6C6fBZRp1XXH3R/1agCLPytg+XEqAZ9daPmHS/gUf7Q0IB0/BA9KjYaQZHC4xDsW
g5WoLMl71QN2SFMf8WJr7Fj6UZZxRaCuT23/YVCVaK0GIOrFNNcJZcPfSbqEqJad3Ia2/hB2KSAA
TZa24qWzCjBncS3duKPubrORDDVyDg6SW627zacX8e7rRdSZIAJK8gf/9Plj3FeDeBdLFoxTzKFu
DZTGSYB2xjZolQzJT34UHCRGFC+oEy9pilYCoAU6Wj97f42DVUYwCilyTJLBIvrS5CWw01mctwRL
wZwbg7XzgDpgxsgyIX7/4t1f6sUKMQ2vMxnQBybUXi7pJ9uv8L/tlA/d0IxTybdwshRgMCW2faKE
EBwy2BZm27/3F42kLa79c/RaHcOy2DYY/TJGswkcIwYBtap8wMPjBnPdc9uY9eWrAz8P+87tWtyH
unCHI0e8c0PEvtWiss6Rjn6zk3nSB4J0cm9/lAYGS3CO9XOd5BImB4yRUvb+YgwMROsMFo6zE1ql
jIE+Cz6vte9F3kDpw2E5RD6iliKt4IfADXoDjwSRNCjlWr63pe6aiPhjhOgh6sz8jQzyi1b6w7ZX
euOkRXG9hGOFVj4s/pOf+ea910SYPMXGSfRwHO4xMUDUiQFDGWdz0ep1lXnf4iqT2HaMkfXUeYj1
/pfZRWcxVnSeZhdDv2YfpaafnMbbXdghHMHWKnOL8cnPtAhFZSRNka8b8K1WUe0MXXODAtHwnA4g
ovTxSUrpZVUGPDzoDgdfU4DyxaRlkN2DXx+21QPaUeWDqBtaSIGiKBq++ok6GabaAzg7gi3TWFH8
Gvsf51PDpPNvvuZSAiT7fLl/gl4uOYb77pclqD82LWdoOeWiVNt+O2nhEwvD7ywPG/kSOaDuxBfP
IDCI7runI59bKKF3rjq3XHTgf1dqh0zblGny4Frftqpf3l6/VuT/j6013HdDG+xFDwsK2V6TintR
Ei+cIiF5G1ZxHXRtYFCTE8AzrXZj5PnwnMGP5NzmnBCr8w5FwqFc1GsyZi9BVzcrR4+Q8qab4VbO
qZm6jYgwInBFfSVjLB6nSrMqgLr/0U3MJupDGZwE2JdmJSaPCVmXPZf0jFfbx5MntM23n29yX7vW
sKe5vpF/lF13tpQ0v+TGxOCwo3ZV5rVzakP1nb1X8ua3zgU3g+wyBPJnB1XynJNu6n90cEpLXgax
06x+74D0zUVc4nqmEYcdCfDXDjslXIemtKKJiMvOauEAiZQIxrb/agWlBhNr6mxPnf/7WKmsSXpM
aUgx8//P2K+pxHXjgSdAUMBC5wE9oNC7rKHx3KLokz25msE5K67ijWhFvPkUWJJ+3+lJeyEwjMgL
gyTsxvagrXLuU4oWQJHrHKJVzFH9Nkc3mkjCSbjOFOHYol+mgJnvUg03jqQ9tzEIrtaTVMAktEoK
TO9GJ7stWqtWLQ9w2Pai0Rmk9qzigBzlUX4UHb5mEz2+ZhOtX7PpsFBukRBzbgNd9k8BGCfPMPmZ
T7lkO5kMOToFKwbR+E8PSM/1Q4+T8SnlHscgq1PhFDHg9zlESfT4mqPv5GozDNELMLid2Komav3m
y5J5tookxk9qbNde2CQPkRnaM9Ejyz40RHleFehEN+xLh7uemOVWggF421gE1v1quM4leeVf50pV
mO9iLoMYPP5OsEqV8LrSAX5CBCUOgOilLRwdPOEyZInZCX0tjqJP0+CSLhY9xlYPok70E2vgVx0A
SxswbhaWNd6a+b2nwl2MfMnZIkTgPQ4DUpDhUHzz7MhcAg2sJsmS4luphneIP9UnIBHuXlbIk4l6
gJWfw9tpuD9afw4vy9A4tn19krzhDnpWfBBfcmfDAjTNOF+L+wOJQQvMHlle0Sqnuo17GcuXaNUH
vT0O2GWKRlGFCxMsDy8+XO8gFGf/Optozeq+2WjYtRCKOuHoglpdVH2+lFNRKJQpGgv7z3rxLvLQ
m3X8QUjcfw4Q4+Ostzgl1SfRjfSmoUExZk6Initsez9nEn2HgJxcgxnwkHqL3O/UUx0lREVbeaMB
xHkCqVNvpYgIt/gthh1nFztr3MX1h9uVfNSjXe9EcZqjJrJ5yvumgjukXn/1qGt/ziGmBAsW30rD
CfpV/Jib7yKYZpTyuFMs8J0i/IZRin3LF9lPYkLa0xDDMJn0EA5tJUdouX98DcqIeaKFMwXpgBgS
E4GETET6iAgSmvy6hZCUb+JOgIBrjBGHMS74vWVH0ccxm52Vk3YWpUCp1H0IuOU6vquyo6rK6HZ5
EO7EoHEaKcU54mIopq1FP9HwjM1NchRvv677Nc3frq1H9c4uSWv/fm1xCQ9d9m1qQw4uiwzPNsTA
OtOoZxVagHtOXtleNBiuipCQeOv0yKUGvroWJdFPvPt6+T/Szqy5bV2J1r+IVZyHV8uyJMvynDjx
Cys7A+d55q+/H0DFdHyyT5177wtLaDSaki2BAHr1WhC8V1deBgO+n8QMkz7LS8Xt02MDKza/3NiC
tCDsKDmj5jq5qQGnwkpT1slNBGEPOqEejJ/v+lcnc6aEULNKC+brAiCgL2QCPSET+LHNIdHJRLpj
5xdTf1z9TDUqKToVQxwpLygua/d/2OoTOqQtC/DwWRUags4wny8fmiYFR4JL/Xe3fCV9OEX9mtg2
fCNvnR/Grk2eXuWhLvlOhlBOGOJC6WTIUS/4b2lrqvrcQWHouUPa/rVjifJnKOlcWAGJGRFPhgJW
Duy9QbKvQtmBI6qhaKBeF8tVIM1eOEwvgVjUCsYivv+Ye4r+NxRRk7IUzbiE38g7e1WlBhqSHdfM
WtIpeuNgiD3SJE9Q1KJ/Z4vEuQl6hs2d4zb/ai/z2b1iD06c3roaUqSg1FlFNGFtD/CdqTs7Kc/9
oe2BjVjbQ0JRnZN+cgJlvDP9oMpgmYN2Z8jV8S6qpvwuzACnws23N7zwU9TO/W75ioqvoD3qyXiS
bdGbyF753ZW2UvhQYMX5im8cM3mMN0a3Rq13p6UVirO8Upz0VebJcup7A9E48STLY2OnK6FyVMS+
GMlBqiqmstrK5toRhB7LIGmUl0psidduOS7r4R2RHa3Zg9tWdEQuEwi2PjjLAMD2/Hf3lGNlx8c7
fWwXDaK5U2QkJI4GdJjhvLSeCnHpy+KlyrPiJE2zkWRXjYHei2yW0ezcwiZys/oHfvpSopmz+Pco
RV24cxCjn/b7rUXyU8v28nJ967Cgw+/lqcbyl/r4LuWfRn7uhhtQGhmwiOBZwhHSZEBeM9XFtAta
O3/F3JcRGBKrhC4oDlfzB290maR3PLrN1Rhm8YUdRs0N01L97tJSG8aBW0qtiehw31y0tuesfvWW
g5mQ+ku7QD2grCC7sLzYu5ZL7qxIbwd2kPdyTV1G+e0YVihlCnybaMG1grTSVD+uv/+igjgtUGb/
crUtU0lWve9Q9YHDzSZmJyy9pU8BteB1mAxDGT406VQ+55H/2kLUcKuJI31zcF59xH/XVlDQkhBh
ThxeZevNcx0n+tbWED/zIw754pgppUryVy1nBnmRU4FvIZKydqzTQ2DTMdWNe7VMI3LOWI3SUYZZ
O9YwsqMRtFcetbgw43sSlOuMGQW9OgBijdPRTVKg29eIR2JW92TExi4gWy/aZNL9oygHkyZILnjA
LT6y29LbFsYomNMW49TA/HwJM6snB1lR7d7YiCSL6Tah1PKuFq9QR4T4bZzTnVkNlIt8MEpHeTHF
/N30gDCkt7TJWHLE2vEhfuCa1OU54aGq2X2XnTs9GZryqxFgcPSDnuEwmD/xhepAENTa/l8c7LCF
MCSd/weHRBw91bHbOR2HeToFK1NbfSp751JulcOxrw8ugvRLs9KBt8Ef6py0yl7cCrHxlm7zzGob
guRGMJFDei4DsFrtLziLSm/dwnehXoB9Xmz8bX2ODobGo1Lu0KVbBJPxLdB+8huzt7e0G72Kh5Ot
ZxyZZh7JFP7BxS12rbL6E4VIDSqnwkSSTRWuy/Pj90Bg2tvzV1ecmVyaHZjrqIumL0HansJGcR/1
1HLv0Ev9Jc1NYwZo4Lz3iurae3QmCDRh+kVWW5ztBA7b/KqajuuRjTCpwiT3LdIrjetPNcX6R9mS
mx/hJU3rwPi312r6M5YCj+XhPHNT2UZlWBb6u0zJUQsV3+gqJql/KZd0g0WRcuk7VIfx9V8vy5JQ
p7pu1w/pV9nxbqW3LgxFAGYTIJ96H9z4SlLc9mVf3MpX4FJfOmR296t9FJ1wOj4V7vwKW2H2jKI9
QkaazmG+aKpDrJy6fnyWrdboQA6zLiK7Mz5I/wBI9kVSqfZBdmZdUe580umX3pDnz0Zl+etwI4U1
k5PqFt79utXMC7jBLAuARW3C3tSW8y+EtouXYMjMfZNF5qXs1EJgA6xmygP80uVLG5uvpAFV6KRM
+zP1q9L6FkEOkRFSwzUuZScUkOjdgeWf3ZxSSS8MgXCG5hWKZuVTa1EiECl99CNhA8Ly6qdtt9/L
0a8/59Bvb+UYE/LYZUxo1hU5Twh5EjHGMH/2PJfsQuvgGdK+U7CofJ41a7x0gKXfsR6A8ChxXQ6b
mvROGRLUvFHpfoFt+h8JdoLZojb1X3+OzdTmPJYSKW9fWJG2MyYebr2rpheV0xsv1KvlrLSd9Eo2
4Unh43l+AAmKZ7x0wSkHV/E5KOfp9m+DpFcdotuqGTDQmV5zL7+/g62Mp6iCu0Lu/affzfVX8WZa
jjEti3ldDFi//m8xVlPrlJP0kj8leelABqKxpLZbuL3v075OHidTiR8zIzBRcvGp0xFN2eEkbCFr
hcoKaZOX0SMDqzcDCk24oVQjScL/50C5CXrU0q2dxEE1bG3v+pi6iEnLnc1qc+yqu9bT9utk9E/O
TAExmpTWZ+VphB/p8wg9431qm58CPQpenKhUr50WlLns1KDzuRoSe76SzTD0qXiyNe9aNt/iVYNq
Ei8SEVzdjGQ8ze/P8TIfjRHoD/MjurygdkGr3+pGepTnuPJIltI8b0vhhn252kLd+5xB2XkjPeQg
q8qpORIVBrbSe9vWoGo8imd0UrSxumq9fobSq0UkUcDiJMiNEvGzbRQQONmx2qSLBM1Jmxuq78d+
iFcgl0vmzdq0cNU7lz6kP9fjYJ68TgVXVno256ODnYIj/aNbnzrztvfVUxMr6qPraRQcghi9j+Ie
MW6fameJW0YuBDyZ6FBa632HZ0wIHrn819YRfmZ1nxu/ZAajqJllQNAD5hMHWMvXdZhgWsK0Tvr1
b5N0WH4JwpQanJPNhx6BJNfZhBEC0eL9RnkZoOaOUtvtbFQPTaD4h+VzFUM+79DI5VgzSugVLot3
ZTYP6Hb7hwFM2uW5NCxAhgzEGQpgtUACtArrqE5PXwbFKg66sCcCCfCnvU4UY/H3ffejv4zzZs+d
sTj8GR9WWOdG7eOfraDt7eYQ3cuI0i67oKR1W6OIFaeddpKkvjZYdaBK4jjNDX/J1mof4+w81DIH
lpAy3tv4ynO1K5XyaZjiKKsgrxdd6nZlvvCnrqAhgstgmaAK9zTnXvSopZPx2DJvS/M6aGnCS3nJ
tKEdjIwitZJMeYnk43U6W8WtJ56ByOsVt4O4uLZ2CAuLkvU3e+5ajzW1wNdJZcwHsOv9dhAodqsq
rzo3Vj/3Qf/RPhv6/NlBJuyDv7RHIg4g/n7LSnaJs/qPOiWqMj4k4IHZbiwTyGvepicXuv/XKUNx
yyQ599CHGfulvneuZ6O2bpB0s7csJOPnuQ9R+nRIWWRDdYm+j/Gr0+JTTIbltZ5hcJLDdUQJqH9n
eKol5aXIfe9CCLEBacT15SSWB0sTWAo8/zCQ7jnQa+6GFK4cahan15gkzYW02UbU3HWioxId8pW0
yV7pJ0fIsdKmpN2PrKfI1a2Ni/UxEIM+vRPsRh9M6MPCjCYOm6WHaC5PF90w0CL4PUD+9Exh+ksM
cSfX5hBtKThTetiW5RmJ0g76pnWt8liX3vjF/WJT9/WlNjX1GITIX8pzFe/Nycyt+d5Lhqd5tI7N
PNSnBCHSBwrPtQcNumQ1jTcG5NQoxFPPWrErgYPKqg+qTdIuh0bpQV6i0YMjLUB8NfICaH2SzDmx
1Jn3No+2bW3o+otajIjHJWV6hGXeeAGXCAHjBb8pDeq6wpufderprzUNBckIsfZXAOw7qCiaz2mG
UFPGXLN1nIwdIlzd4FqAcEDUue8gVL7S2jC5q9kQUWzG7jGmMkseYacTMgSNqVcHeUoNdaJ1ZUag
RWQzKgNSqdSJLIfeU1l2j7VhX8hOeXEdoFF/RrM8ivzWaK7RgD0R+Ze0C6H6H9QvodffaRq/eaHS
ld+XHHWiqga1pGza6ZTf26PRHoVfF7vZ/WqPogZSatC4EJMup9EZe7htC1/cTh47Tw36PbZKfaXM
TFVU5UVD0HziSJhaTK9/lEfYTkbtCjUeUP6K42+DvNMW3lZYC0Q6y1D5O42jYpxkr0+dH+LI9m4A
lnnZwa/5RLkOdFGznxxHkGpPNdU4h6B3QSGK3lnYEvR+2569hWyRWXcvAea3zJzB8MTRh3qLfis/
uQ4SijRHJCcU4aSzDJdXAH1lU94ihRVTh3H9wR2RhS/Q+oTzCF3gKPoUcL7MvjSOwe970ReLylao
p3Pnyg3q+Itpwsal+Wxd4WA2nmE82MIFHn1x4HC+TmvIa+SoQGmg7DZgupK9IniEsNgnddbjuxLx
GHTqGGV71fvgVIbDEpQ3zV2GJu6+D3OK5qNPneMGT7KQsGk5I4RMwIOQQ9QVNll3xVuDFEg0Jys2
b/y6+NGVjtNsGEmhwHlk0bIVKjwb1SVRbihHslDKtihlv0JqoOy1gic25xjnizMXUM/pQbkNipol
qLisvdJmdrDTWWNWbtde2ZENPg+JxEJBUEYIRyFpMwxduDPMyt2A4OS8u6qiW3NSavIdabHT5qZ9
rMm4IZwGk0EbU7AJsz+7heqlqpKaJCmDpjg4D3KQZtjNYhAToXcRID2wizWedm3Y/JzraXwOYqPa
JXUmNjZB/+BoIu0iwGrk6S8AgfrfEJyDF7lEn1KpJus4+nAcOI5RfuHntFSCASxdgkGEVO2MvisP
iPh174KlfQWxU6x8YwcCx3OyUXuUwBKyAjsJaImncD5aQZ5eyKYExehwz2taZ95LAIxGYSmUvgyQ
nR8GOGVg86c0tQvdREIDwfMfQBv5sWuwhd5rsfUraOruMBg2ZQNUSGuHIih/yE4e13iIi0e6T7Nf
wjTuDtLg5xpW4W2V2eItTX8GnVIlu19dRWBWgCw8KsdGgxZYvRrP+Yt8NVht8dKEHUQCf76SvXAs
Fy8WVF4oqbTFYwHj80Xh36eIV9yqTmoJ7UzzzoD85ro16pfVJO0ROuZQV9fwVClWDLmycE4MAxiw
06NEVLsQw/1LODT1XqTU/BpzDSdthZBNs8bwuB6My5NvGwKC5qK+LIwpggNT5HX+vHywvWteBnbx
E6bFfZnCuJY4vnGr2rN5K18lYWHe5BNEwm/21vAVdms9xop6iu07Z+GTdM4yIi88hFZi9JWNLnya
1RRUd6QdDdGSpsjTmk0VFeVeNv1g6FkHa0fZkpdAeDTCozLtdzFkpwz0IQa0xHe2wNkyP47AdWwf
RnVF626jSI0ffcpjTqrY+4jWKPaKCA20OyQXx420yUuqchjsahzMgBrqko0IAiyxu5Uj/muQotRe
TKtvHuvQY2CWm3cKHwuWn7zcdqy7XkHYb9hqZd8/eDR9d10vCboeik/YULp/nJz/KQ/5/sEMqGdA
WbjZeoqeUOX+IB0ov6kR6jCmm9lqu7uCgjKAwEX/T1G5h1gxsxctMjOSG9O4zwBqPLfu9Cwd9EmD
jrwImWpgzr42w+xfQ8OY392Zw3BAihiGcaXfOv2IbKAawjjdz46gzf/Jibl3e26lKTQmXXN2kX7y
ApqJkvhfBSvXCwkA1VmawIkZOgeJDtUL9ZM3hPU9vDj+J6P/JK1BoWa3Nepiy5h+giw9VPx4K3uN
mVmxESFkRHbSf4bQgflAbhIEj0M4PbWsSr+LF8mgI6L2+0WfqYtl/P1Cdtmz+gjGmqVzC7njmFLd
FzlTdBkU83wtm2b8XEIk8NIlBVmIPIEC0vOmL6Xbnr0ytucQuisJS1qIx2B8G09pDC9nWMFA2fUV
j57FKLqRZBlPpIuSC40ahJ3sWHxC8USTIdbuVD645BjZs3ab1RjtPnSsd5ERkLs434AP6B/7Cmyr
AIIpkZNfQj07w9gKVkzaGgNSrpqFhmxBaZehnar/lK2/DapCsAEaWg8oiASnSNU28ofD+m26CYb8
cflV6QhCX9Ue2lfrL28MAHakduzszyP4maLpt0kEcah0C3XtP4JARBdfygFWIHAbof4E/yfChBtI
D6EZZQr9XoXfeIjZP3oDZBySQvETOq3zzlGM+lA0U3+PWAQHkFEZf1em19W1VlngcOBgJCdwFNug
i+oneYHoFE2PoBIMGvWTB8gQiDNnmKtH1MO+pVcWmEg8YGOct7NWTVtj7OqnvgP7SFUeywsTFpvO
jusNi5NpX1d69WTWWX1TALaUQ+UAcT8IxcobaSrIau9NNsgb2SkHQWy03E+abNudtpkxTNsigkvJ
NFzEq5r0drT89od4Ad9Z9yNs09teWMQLaflPH639xzRhk4CL39m7lZ/5F7aTo6LHUf6GGqjcvyiC
Or/Tsp8dyMX7xVQpZrkMkUZ5kcPUeco2ASJrPjukNrloS7D1gzkv/1/5b0TGGBnPBEDT+tUog8hH
qCsa96ttRnwD4EK5DI20WLn5vwnkK8NxgL38iXzVP6pXtt/ECweW929p1P1TBHknLW9dOdImfTr8
k6vZHazG02fXtiijMNPiAD+1/jhm8DvGQZx9/3/y0MCfPnYVwPZ/i7F66AKmiIbcndn3799HxNHw
voFN6MIEV0Mhn6fe5nPi7imsgGS1SuLb0IEsoUqopC808jp2kQ3/aDAOxl1JHTA07VsrdMvvbcrD
x7bD6tMaqdBcvgKpUh7ssaNwV3HQJXqLxBdEe2ZvcZsN2c8mqrVH4D7WtTr66RZUm/XNCE591Wiv
GvutK3eM+oObsfbN4vRJ9oc+rNspS/67Pre0k51wDik7RpMq8AHaTTX2CuQsq2RXTaSd8hGeLBEZ
uo76staV5AalLY+vIDo7YT5b3wreSiXeCmu681uR9j/eyljZLErzenqOnACxYsZFitDAUfhaF2n/
/q00ZX0dMKNfhi1nYSFgmudMHZHUC93HYmis5yrjMdGF3km2KBWBWBtK+oMS4Wr0wBq9tG6Wkc3Q
q3uAhDbLjdR+biJrBDHEhkuO1eaifHCj/koOXcIV03+/VevPxkEGW2/VaU1/R03wTUOBx0mvi7t3
s+tQe0DsHHf5qckOcM78Nnun3y8ztdrnyN5oULqJZdN/DRLHep+g2UAAYAhCKksmeFykg04w03Jm
nWjDP5WUIuGsKs509N1y5zVHNBlNByd9rG0kfGcqV4994Fc3k8PkNaj++FRlmXmhKvH453AHXZNl
eGrDhu8AO72eBy29/+lTuXwfilVKpjX5PWAICLhrmE4VuWgpxiC7/4nOJlsRSAuTqyUVPdT6/IDk
w9UQmzFSsG+vEj0+28SrMSkSeN7ebMIPpan8c9HDldaIuk61jYbLfsqyfSmKKSlD75cmzMbvm5YJ
4/LyiGGV1UKTCsDfiAN3J8+o8gDtK7NTyIhQDAZZXIBeIHCf1U0eWgk32/TzW9vov0LZlW57Vate
577byNkEYDnMon0MO1Lkq8c/PSZlTr/bJRjAUTfHdx6JG9evE4l5GeNvHqiiTeglozkMZOGblrqk
dOdW/zTq3TeXQ+VbXSCSRd/aKpLmnWdF68++tSXG5S38uWWEFAXzq7uz+KldV5zwIbHL9AMAtPxE
PYeQk9PUH2mD0G5M1XSkuY8qZRFfIGd0NnMfTPfkF7xleAtZ47vhWQ4lspeUzqeEYhI9RBc30I12
72SB+aib6EwESnbJuzYfQVmajx3ne9tUiwfqD03zUbpl07QZ2ry7ly0IA4r9kIGZXjrFqCBMXmfK
q27kIOgDnSOaQ99kROnV88T51xtLD3ToUD8WN5ZNGUjc2GPFeS8DUfWfL+ymU1DtQldrjlZVKydg
IqhO9XHnbpw6UDnQwKi01GpfyJepVbUw/hn3spUYpnP2AYSCPoKqXrcNqmM7vWQ59tcI+hS1h7m2
7lFQZyp2vUtVsXie9J1/9G3jfNFQhz3+d1sDivkqTMTR1Z/OsilD6eDxjs70LIu9eiQwdzZnMBey
7Ete/taxVoYV7mDsEHruUCD4XS0mi8fat1BKH1JqKAvH2FS9j0++F+J3UgbbaPLhas2a4bpKkzvD
n8PlIu2y6QoNBVKJp9Uk7YPhQ9gWBd1OdpBRE3ObOs/brgymzTujqXqEb4O7DxFkE1DKRivb6PTh
3loMt5nefFG9tNk3cAjcyUs9QTqckiqgVvDWU1nqc8DhlICDs0+r1wzb/V3jGjXSF3NEWvWP4YaP
VrWMuwT4I+bq+2fcobOpzLGLaut1AyhsceGc9MKKspC0H63Btadb+aqeq2QfGm5AdV/2vkP2gpVH
qMiygqt1hPRbevPhXcw1sIzZOHwbpc2KjdsIGOURAbjp3rAntKOtqNpGohmq7nhvs8I4lu38JFvr
hRn4ugmG4WY1rcNlNBnDysLkmDPczmpz03ODK34KzYNhhPUp0sNr2QptTJyiVacyI+8lHGzOjRav
SU+uZWs15XiN3D1EyO0cpyqa94P+ElrEich2oboh7iSb6OYdUbq4MzmjOIoi4AL6O3HNo4z8g7Cu
l6V/bXNGBB2pAtemtAWJT1p1SCO+FtLw7qVs2yLcEn7pWl73oYqqUqx+LQJzS8GC82wKXmJ5ivqL
5Z4LpxVC1HEdms8dJCdbPbGim1oJshukkslxvw0ZtcL/CRg1tJ2fBY/li6gugz0SafkV6XcgQqXa
XEB9O0DnXZTntpwk1nrRtWNx1PWRrXyQkYypoAwSia5R55y+KcLp3snn4nbMYBgPBOGT11C+lEyR
eeHERkvR+2xQlRkY16XTac9zZeZb3QFjbjaO9jxBZbbvB5Maa9GrRXCZN7n92vq5ztIZdRq/+ya7
5CV07GOtTc6dbJkjKlth2evvQkcVGZ5lQNHYaC972kbe6S00oG3tYvQBeUGolF61mmfsXUSdvlCJ
vpFUXGg1p+ASWnOfonYt7TKVLu2cd7+zS3/mgJTqgP+wy/gyDmmt/LPmoLsyvqyfpodyzG/54kmT
ZqnMefqIOq34UyghJ2Stl87Lp/FhftjH86wuf6iqLGaIOYpX6YvqZfNEaPlBpcVGuFEZHfNdaNa/
59AhefV3oef5PmOXszFqSFHKEUrNjqLoUSUz17Wh9WxOg3aVB7Bi+6hu3Y15wy7d5tRN+PaKb/+7
bxSDyH6LK32nAf4Oz1bNJW5hZMN1WFHnAJT17Dumr4bzXYKVJjXRbmwFVKJEP9VBH++8IYquZC+S
NxUoVWiGZG/DYUeAEPpjZyfBMwv0rTSvMRY0lIihiBiyWYBDQLcE4ueCMr+NmXXNjuKA1wiS5Bt5
yYoAJk/5MuUQeTFKvzQoXleT9HBQpL304zSmBrywT31f3EiSGEkeo/WdtU0U37uUNn1wOWBKhk/K
1DWL218GuZpqwVKIpmhhqMZVp3UIsrqTph3yugIjEfnlhTxlaye33jZ2re4XuJ+OQnfSZ8/SzShD
qIkFOlDvo2ZrZs0VZN4RVUcIFNVXk0suy06E0qPI+lU6FL1RMBpHmfVrE2Wvz6n9qDRT+VRa5W4p
ftGs+KZtUMmRg3xyp1foHbVXchBKP+cY0lkdg4MpYrDOOLFabY8S56EFyOmyNr1pMx9kiLRVUQU8
YERHbzFK5MiCCvntLVvSnteevp9LtbzQBZlHqKCWidopPLECJCybsdI7+/nP5torndex0lmCiP+H
sYlqa3s3IQ/M3iTu0HBI+ieNxcJDFpBsFa0KrMNTFUTlZuxscy9tSQ8vVF+jWJaOQ/8Ui0tUzVTO
t+WtHKChcH01NpYObQSdjT0sIWWnjJGWWYmM+XQOqc1DdxxFSJ3jpIXPBnFDOM9J7l8sVFYSuUUh
WbhvNL2kEBFc10Jq9cG4UGSJ7rUjyvQ7wwKigPiz9dR63yCVaB9l3XEWm0gO9Gm3l82Rb+S1qSMj
IpvS3+7Ytnhnf2Oc4e7X1UOI0NNet7TkKQvm7wuxGxzWF3qRjg/sG2vUDEnwu4K3bWyvnbGNvrUx
cnYmfDfXqVn+dSAnQPWx1hGNq0eXtA90r0OsKtd5gj77IBKoPIPjp7R6kH0y+6rP8U87iLWF3nWg
QH/rB6JSWLhDM6xcg8gB6SuC/R4t+5gmuy0CDSDyUv+cZAq6UNtlaf0kU06rXdYU/attNtCidEpq
2ETpkXQzyszhOC37kTE1nfoxQzk+9B/4dcbDhbT5KJY1l2890iYvXdNf6rrhkvgxAPxffQkTJmr2
dSDWrdF+MCu/3Repi4Q6PGkP/oRQfVkH1o93jl7j2Q8QyrT7ZARJkAxmDP4osI4pS2JOPkvrSL3E
+VX8ZpO9H/xkrybGfvBbozShCXnSEB9hMYXReXTZfSoIiilhVv+0hwcWGOavdEw/pyDavvhpEl0W
9hzdV6w39i7UMgfdHlLI88Lw3eiu16uf5vBAUYf5a8rjzzqlfxxp2ccs19B50zPnh2UeBk+1v+tx
BMyAQpyHBKYBVAxcf2cmzvhYChWTsjDsP12jOvD3huQXQYM+gE+4GdR/MpfPkYDzvHAL/dh2Kkv6
N9igpiIpqlbhaWXUezPZds1adgjmo1r450HSDa6Ld3HcsM4uBDJmA5R2eBj96ZckFvVNKk6BAzUn
NeXnoybDL7k60VqtRtkuaE9v/qsdbF1zMtC4/+CviDhv/nL1M0VoJGrVg0lNlWDwmCCJU8vXtU6C
w2LmE/Ichy7JX3uNLSMFjTTf3NZiiDe7qXseqRlAAHIKVhV0DZFiKE9ygk5AEF2MJeUysrf2Q0QY
RK+coGWvyvNq6ZVj7bT/kVr9p7S2YshGIFBVp+CgVo75iaKP9Jps5dlepwpCw9Akrnb5d/zTPxdx
5OcvTG8fJJr1CZDNOc6bfy7iNJ6/Qe43pvBV/CMVSjjRSOnNhY2+rDhIthUUwT2f32aqNBoywLpz
qDRX2ymdQwqzyYFkpGH8D+y72w6w+0+7zOBpD5Iv66AG9m1qHrX3g8JKAK/kNzHxr7upyDTU5oYQ
WVKQPRu7DZqNjtD0t0ZzriaxQdAGn1NP2/oCU49QkHLTu3n2u8Nc5eHegov9oY2QU5GDUpcKFzFI
7YJ7OchvSVtGzs3g+Y8DCuVPRuMYR83rqdgTTLSW5T7OqGs+RclkUM9IHepC1opd+9Mu9wwiDppa
zlWroxgHDoiqjIxqgJVjsTL6/J5ype9dG5mH1d5T238w6o7KAUHFKC/KoMf34f3ATudXk9S7txez
Yr6zWMitIqKEymGM9G164bTFjSRX7CbSFujNeTeN4JCEYBwuxc5wbyRJo+yVzb7RjU+r8zrW8ivv
ozPUOP29mwQc+TpJeAWesnp2vdq/dlJK/tDkrZ6tpCofxwbEiOiUJqCXT5bTZbe5GdfP9ljHl17s
e7vFP3PUPV9oFb0Yeqc4y6jgUU+yEwKq9MEDDbqxVbDFPTstkMIy04pciVBZsS5GvYV0MA/sy6Ut
yWIKD+Xu0LCty4VAaoq6U7mw9iDIPPBIRt4jrH3lxJFQdPIhOr+EL2r4Zwq3kjyoGlMPVWQVqDCS
9yfHa5AHyjWb/QoVeaPDT9oJkXtY0DRamO88n/ch4TTeaA73uqpsZac0wfh0HiDHpxxKXCHGjuQC
c+TgBkAQJ6HEpdzETZUepGm9rG7SprreTSjcKi0fL0qr78EhZo8mmgSHfqwzdffW1Nok/NG7wFUd
t6IOxHe/DhBlbDwtbx9StHN2U5ez9QRif9MElbFty6R5HisD6bamHb+bmblZRDQiyKqj1vuqNvmw
Ic3bPqh51OwsFWosOVzv4Jwm6VpeFJPZHEYAAZ8jE9IjMX/1aUaZqBlwHNkX1E8goC7nowBuOmiR
fvsLu/T3C+wKx8M7gX3MxBgRS85VH8b85R7y3iKWJJ/+4P927/U9vfnL+OBlz+/p7b4fPsPbZytb
12dbo/oHX8lD0KlNf5JEigZq4mSkaUoGxrXXbbT5LpzRUyV566EQyzk6suztlRPEKIUIVhCvsNA/
Fb1rkx8VN3pzlr2ynlERzn8bm4/FF8o/qp0laGDlqlklzXBlwmy4WRbMy9r5zbgumNeOeZoBMEte
2caf0FXNjRu1m0/QEqk/POB6aqCrPxxeIOSNjiZdRW7M8oXsKrz+Lz5mCk6W49LgaqRu/TI2LCZ8
s1Sf7ZoA4gsj7bYaKdc9guPPGgX38p/zwV/YV/8/48h//gd/Eb8rtNeRLTbbRjZ1KKNpoDBlMcAE
ZjGCvvTuXPkCQ4ZsrpUCcDcvpqV6BsGfDRJlxZ30eIvRz8ar13ZbTfGyVxPpO1Eem6uoAJLSnHaF
1WevSPyUUVk/dJP2zZ0y5zjkGpJaIsfUoHl5DJKOpkgqyV5DGwG9i5RT7PXkGEQTyr1zrxwL72S6
Oz8GUFkyYR5l35GgqfBQi1ft7GgPaGT4yPUO51fo/WgP/99+H6KwLPf+et9Ca3eox3d7+cXWHYCL
5O/GG9kMk7m6GMxoQjKZHwX04P/Ruzo7GfDXxDqM+lwd5R7GKsPkaiI7tyBRvaotb0BIcfwjdj/S
Ra1RxtOmJ9lAX60GKOi+Hz63QPrlVipxAGXI4aYdlzfM/i9lmHbzRQdv/kEp4ttzM4ncU+S0DsxK
iAlq9lRdhAnZ1050LD6yW44L4vRWtpaOPkReD3AKAuQaCl7yolyHWerdarrVoeCuxj+sXrf2bWGd
+xdPpZ8ugyyjqFB0mH4oMg25p+ytIPlndAM72J8DLX3S7S3aYisyxbs5f110F8GZLGUvhLzueMX5
r/04ep5C7dikftPajPJT0m9l5+9CpFu+wTWvXMQeC6EKVMJVqRn20YMg6N3wWQx3q1CTw6H4H76q
nXEDpOKJx4jHppvFOeDvZEO9FTwmSQf8MFXH297Q5oeyHr9V8+x8LRy1u0wixbw22Dl/VrsIxRvs
jT3ZVz56gTvZDDPqg9icv5SaYh2UAX0nGba0YS4St6tU9g7ydvGQOl99KH6W21GPsdxOxmExcr6d
6fvL7VJtHK8py4EoRvIb99MUsyRWQFcLYuQYCpPm2p5aFjXmaG2s7lzZoPZOeAyC6esyVRh8I47G
0L9vqmH7daXceRuwzCNiVrJ+D1pnIOkl4kiTnLveQq8zmTRZeJG8jDazENmeRdl8VZO9eldfv5TR
h5a6jZVG6Nb9rrnX1qr6tdReltYP/vQf3rLDWIecR4u4wQjb1VrQL4N1cBJs4aTp0ZEiiT802qFP
jfaGxLDI24cVZ5s62Y2lLWGGrTeDMA66mxV5mIbj2W+BKMoeEeuDn4w3aTXxxN3WACImWZpPiqG4
2ywYkhug/KgnmTogmXTKzm1pbDsruckjINKeFX2WJnlZh6222veMSwTR4o08xUDUz9wHNWl+cQCS
iMsY5Rx+xFrEHlq0hVID8Hd3cZl03Tkm0LgPVjc+plnZbAZvDr/6hvsZstX5l9OfGk1Dg6bV9JvU
QqQUdLMJbN1pnznTTrekVVRYMdJ5P+Wdc5gVIzxN4OOuWj96H9GJWFdl4/TLtU5zl/5HxA7SPwi9
c/VoKpA7iuodlwMpSTWwHM+Rt7Ye0dNWn1Sb5Z/YarRzoT6FovBecNm/9cmNhmy1qbnQwadx4t9C
p7rJu/9D23cty20r0X4RqpgJvk5OO0u2pBeUZfswJzDz6+9CczQYzZF9bt2q+4ICOnF2GBJsdK+F
wxOUenkLo5NnAYOpHKeDBuEaUBO8biOJox6FyeUoi/qHBTaW8QfF6JUF4XS1EqhQVTYeihl5jTX5
0xWK1PpgdVi/cok3OtmbwbFW/bbpAFql1uzeUYwr34fQuDDVaFtlKEM1OWgiaQnE2l86TazloClE
By8VYRup46ASDhjPlAOjbJjOoZHsrlhbFXWTSRH4927aV+RxdJgZSC8kXsz3rMKu22FIQnd9AFRT
mzefDAv4D53bjH8iA7am+/Xs1c92iz1/qHiM3AJ7fi6iZnEvcuz58aZvL+5JMeA/MvAX96acv/OK
yQOaTZA1k+mMcZkzc0JbfV+ha56kOUB5N102AghEdmW9Iv1iSlaP66R3zGMKAKESXO+Gl6Z/GwY/
l26W/Dwh1a9tflb9DxsntvNVHrAWBHD4z8kcIJuPXlMc6b/GDET5hHL494U8LFHaWhjFkYyH0Fy0
ZPvgT0vyH6T3Tqupq/m27Qe+y45Ammq/eUne7xu7rPe0Sy2OgZLym5Regrx914GWD83d3T7CpmhP
O9fiOJUonG3QLHYASzredAuZTtshFWB/QvpmQRkikJEHhcY00gotI+giZGf/KxRBF3HFEZ1lzvsV
47ZMii+1giF2FUqxjJ2//dwZ9yS6G8phfKKlssjZMII/DPYkMgjLmNa57/092wqK6aadSAuY6m8E
LeGhj/fU49aFpynAIx3FaBql+XjBPTX63Q//qCNgWZBVV9fZhpaqaxIoAcAyX6At0K2QHoCcZrzb
aJZ9AiLpE61oGFCQu2FlLXe0BGaz+e5OEpSpAhTMapW02KK2xZgBhwkxaGB4UKzCchAnWhqReY3r
MSNfGwNo1gdvkDsHfDI5yHNR4s8SMJpm6OEjjxjnUqhybVE5rq6hg8a3oMAit5+CjN992NFPrh9W
e4EgFcBpII3TcUVjZuvl0qCfTFZmhheqnz+oEXvAbUhrULFXHuhbp+F+QOVRd+YASCsrjuc1afs6
7IFsraxTCRjGkteAW7j51WpmpElXA9ul6s6+Bcg2JVtCmINk53H4nTgTsV/MNkY9+lviNyRZ6AFn
Kh7AfK5JDicD/KuDGS2ciWRGDrYNFufeal8W8kPFh+hL/rdrAO1Wi1qRZhuw3fhbLWN4ci5XoUCk
oKuwgAEaDYEk6FlebBNEaupLhTNDnJCklbmnpcb5CsB9fKdYwH60UON+PYShCPr7quOTYnJ7f914
IgVPNNCtAbParuTE7H2kaphIlqhZd1Pgi1ax6A+6cVSo2l1JJ5XPAM7uX+OpL1d0nwFpKX6tHECX
1O1mBV+Rwy3+6kBotbIa0X6gKsnctS5LztFo5k/MFGCucb38tymo/qLii0B+a37hM7hWcg4rO9xf
AU9KYE9vGGqvVhUecFv6xuvvPi3py+5kLXiwfXk1IcUy3O4dZEJRdIC7mwepATTDN1fMO5NN7Zn2
dIGqCg0d4SEHGfV72uKRwhyc4IyW2AtZ6P0fNsRgZCmHfq8VN1u9Q0T1V/FaBB5aytA8ucQlrfAj
oeM63WihNREtDejPeKLXAj1EDFyxAN6qK7sN9z/J+yH4bZin8o3FWbNjSNpfiiCfz8lYmTsPu9p3
PtXxGsdl8g/eJUfCE2mSfF+LMPxe5ujS8cM6BWETTvm0O5B0790nfAWewyH5K+3qbp8ETbGJUpCr
BFHBX+tZbIhqBYwMyGvGXb6awWp4Jhk5IHWJvU+i2FiUA+jTN2SbgR/YjWR9tNy8P5pWPuwr3lQf
tR00q0Hk3l9TGKNPY+DfUz4iT9KM9au2HdBK8JE0HhqWLGc4W6D+WgvkMl9Q5v1OOeo5ToeXxvHe
aR9JOrUiXQh0IdLR6qbr8VzfoKEWDFXqHIdyv5abneK6ns935ANVXZxkgrZIsiBbShsrOdmSaMkn
3/wXogLyuPnry9z8Ke7Q+jh3jlEpv1K2QCmcr/DmKhwtycEPws/M9Jo63JZWLrZoozD3oGLKnmhW
AornaVSyWclK3v6XFullY/9/Yaej0Iw8ys9eFwYHE9lxVBSO02tQWTNuRw2ggrz4SIc3wxxcsKsZ
vk5JzMC6GjkvXh5GgJWou4Pp8+l1wlE4CgHhFMLJcNLuva2BdB4mqfMsFA6GnF37uWittWmb5kWL
SA5YzHnr+Oi2JUVC4BqkEZMJZiQGlh3lbwK8ZOU6PZsG4JWV1pPTb3mH46C+m+btkBk1cBSA1t4a
9d/NMMbfUc2Jpgs+Om+hmWRnbN9xlBcb0XfX3NoM9cnkGI2yPtVWwclxnnP7qcE9ZO2PnbWx+RTt
NOlUhLo7ZK2KZ+KUyjquql7HL7SiIQ4N4AL/g5Nndea+n2ZzTT8PDeOIAl7gWQQ7+m1pRZ8K54SW
2rMW0a+HzDKUs68ArxbsSGsrUJKZi+ch9ssTeTadfUYtfMxxqwAwKF0BNVWuv7kFBoCLrYB1U+cI
rG5UDnWhbBUmwvRW4ruKs6T0W5SlQOwe4hI885HY0NIUORKTacZAJzRkn+O83A58nL5UONM7ljhd
2XRqmReg0bTy6BQBLBRs8EOwnoDidU5yV73FNKJAfTzNSRzV5g8dOZSlGaDFDw6koSF1JZysXs6b
a95KNP8JFEGTS1xNWTvGJxCy7MQ0GxfBc/yvqdmdCU1D4canMIh3gJmVZ9cb1rxxPpxayvfOb/lz
bnTdKhqG+qvdyngzgKHonEkAj/joCSE5IBuGg0TJ6pb1MKsm78MeWb24A0q/WxljXH8F21e8wet5
cpYeklcFmrvxK0OiDkWGc/kuegMweehk7UPr0NX+quhyG4dOjnlOiiwNcSIVWWdam7cZycLat/A+
piwl2MnWODm7OpKMhjtDmoJDIN6ggDjcFn7abSrPTvdU2xL5HT/PdhcvpS4EzO9Ncmf7XftKJACz
9NpN62fZnQMO6uPVhC/ja9nl6IJl46tZ+cYuQJvdmgnVCQbaDeO5NaP1LOvpFd8zVOsruziJUuAk
5vWRlqQQIUoeyZdT81mTj4svmQg+XwDpEJzS2XGfQZUin/sQGa2S872ZI3cgOaA9bVlgc1ABDuVi
B2h6VraLrI2EvRJ1Zu+AquA9B3HnPptuH+cJev8BFVE7LX/BNoy/Z74PEPMwHddAz+cowoOs9aaX
uGXGE4myYDaOaA8E1J2y6MFo/85E/zcIlqYz2ZvCHs5Tk/yHdGRlydoA+IFA+7yKiETB9CSL+DUQ
GZhbxyQEBJRphwfy7ybLfXFtc0srChJxOW6EK4cdydw+Kd67ce/xAO6zEThbBqSwrf5EHpg0QxMd
q8nsMNVHiXRy6+ztMO+eHWRyXqLKR+ZYzUKclq+coETlU46XuxUJUZWBnhrHyDe0XDRj5Eskk8BT
q5xDZKCv1ohsNEP3fCeq8voalQLQUJVs3Y7MO0cqY56oYTK7eT/UQJ0A9bL/VAD2fN7QdHLlJ5Tl
++AiU3ZW4j+VlIKXwry6LGucAeHMgJWr0bftV+wyjEs9iVPexkwsMmlEQLwz+ieycOLEeWVzEq2n
ce72llqSImkS4IVnXrOmJSlQs76E0yKaqZCoW+qfBJhLGfpMivUUwbMuc8A7Je30vAyOXVmryqzO
LfetE8nmwb5qq65NT2AuX2xD7aVmVVQVGwqXUpDZjKdn8v05HMVkrPGPePHCQRTe1UXib7NuQHO5
WjnqXZtIhvTSDb1tjXJMNOApCiIyIS0NqKRA9VERnKaRK4Ii4iaSap9+i7xQF93RFCkNRdRhFm9a
3/zuZNpQXY98cd6HLmHhvqFhtXzCm2j5RDMa3Hm01nlUdJsHhTYusnC8lMVFO5Ep/kbXQMtSNNa6
qppuo+0aiSahLAGTFqBtTjnON06Dhc6rFa2t0eLuorqTtiZeiIMoA16vNm29HF5g8GEnh7xq32f4
I9+ky5TCMjkG7poudmcFyFh7I6ZoAA4gXNPMY4cr/EHvcX/TJHZ9FjurBOaBEaT1MpDUse2yQicH
hCnrAr6+m7ZhV6P9DgMJC9QNRcWZpMC64nx9P10VZuO/WCnjh96sE7BwZsD4QtY6eEGXVr2WedDt
aDmnXfBCM2EiReUOKRDPYEbyIrevAQoKQEIKAAbSDh1mY3Xxm2Rf0bFEzzp5CQvXRqEHD9ZoeAGY
NAlBeQ48MVJNuJevF2EWWOu5sCxv74IwfcPQCoU+02cQU2FQMy80c2OFO9kXNwzGA8mCDiyKi2EA
woWN2cXt5sGvawxEGMP04DD5p45H8kYpZ6t1nnDBYApxBRItTuqy+oK3T7LYeSAHvbtgZjBre61K
MYbTgN8b2DXVeQANQVWfpD9MRy2iWaqODWjWAODrSZnVUzkdtVw7aNnNjJTZ7SqhJZJ94rh/ESVi
qXgRe3SGH0Eru1Al3nEhgngRf4abetGgYgldIkE+AayuK9Ehk10H6QFpFGyhP9Y0w9HwT8Kq8dsV
y7xwi4deWK3+R4xcXeIxMPnkrJSbpMsKvErNRgzW3Lp/QWFm8cn2RAHc3LLDsxDn8FXbovy3jD8i
77m1I/djDaooMBVNJbqQWmHIowOImQ+r5fUxGiNUwqllVlTOx0cYBunVEuBS8jjUMfovF7JX0GEB
a6kylvoh7qKivOKOfC0lOMvBpm1scYRRfZ3z+c6iEEh3Rm1jrP2w+dONB/eQt6N4lpZw0BYyJu42
qfHyDHwM9CmYWeZemMnxioY3Inwpc/BHKPMAzrZyJhGoKa5yHYAUNAzSRko6aQMc7qbtyjam7nmq
8ukT6tR3ocGmL0k6+oe0mwEsRfv/JmoBWR9czYaW7YZCgFXQ7QygPOM0feUyw3xxvQiHd26MMucg
eZs6P/vc55F76MzS21lOYX9xBhQTKgPwPmNf7afBhTy5lQE6TL2aKU9DeYZJ5eLJH3k7Q9R/dECz
G4BibtsB0PQNG08FDO0wj5vYs701LYGVjRKVmMbO7cBzlJZAR4DhIiNH0xq6U9y4h6qb2YSMbmzi
KN13roEEKhyX4Iue1jiGuwtWgoohqgFQTlsS2pzYbl4cpt7+9rhVoTXgLb+RBa3utj5qS4OscHFQ
FlqOgvnoYpk2sMcC+eazHq1zWYvK5mGSb4OSub+QOaOdHsYGv0i3qZo3Mn7wfYgX9S0OK6y62Pdm
j8d86q+DNM+emqlt3FPsA7kOq6D9/frwmXmG3gZqs6be68bfBo4wX6gbm/qyTcCXbQMLW1WSaUVa
7mIxmy9t/QFcG4k3bMW7mYSgT0HRZ43eyOhK1alJOx+0WmH6YO4MQ0DWxJNXrbWiCpxwBaZPtjOD
JDmAPD081LZlfgrM7ms3e/mfqFj6hoK34ZM2CLLa/BRn41feoOMrjZtNUWboQBZA0Vr7Rio2U8uK
rQZI1bKlRBbtrOhqCRhwFSwb7UXqjdMmwmB62fQ8A2XubQooP/WmSrLHF9JWAlYH4B8nbUxvr7zN
5m61vNz69IpLBgDYQD3uLRpd0QFh07WouerGcddyE9+wsgnOdpXKD5MXn6hIdULj0aZTclfJeVzf
yfsgDs5DO8iPwco+URFsVnThuuHgUgs8961pc76hGehj+cYA4Cv4DDF70IJcEvAic3KiPyz9wWb1
VwPkS7quhLTxp/vxF1/+F4ISwGWDm101+o9KzqR11eNSKygCLSlqp3zJWCtopiMvV9JXBqAPSpVV
VPpwD84PUbOFQ1b9FPrTNH4XH/OKvzetY1zCtqkuwlozx0cGwG9idFyhqA7Yaj6PSbPIwHkbHrJS
AM7RM/xVrd4sXZyg1E7AX2iY7bk8OzUSrAqC1YgzmDHLMDe8Axg+CcnOV+p/80cNTbYfRDdtirqP
8fs3/aXrvwz3PpCnvhvIqm/iCEfB/9NAxFn83Ab4RyPcAEToRNd8H8fwGgE8PP3FaX1geYNTg/eT
8Z6oA7QWz3cUAyTpkWS9UbMXl+FxrJQkSpPW3boW2B+1F5+LYxgCVpFERoO698INrnFJNrkVoCsn
PzlSJIprATSalDTg3cjdzjn72yucfPJeQnfqt+BJ/GbJme1yVeJRqZIPEF1dZyRjVAFCGlo7Y/et
6hq2I7s7k8bL0y2q44EvrvJXOJRzz6hAd88pZbbUix6acwVQAiEjEz3UAfo39PJXJk5rKZzQYE9m
PJtQVeLNR644b9wxBTfO4/RuPY7vRWF7p1baSbghBQ2motyhWRlPyCLZc/V2RfTw+79SHvn4Iwi2
CTvHeF+GwDqWrjOCaBYiJrLy1PYChW4Zx1nn1CBz1RUsOpJauFP8GuPIoKpTc/Fvk9LfChVTy3y0
ukRNdx+zdoCKeHdVv96IEXiblkKWZDEaVrs0fU3GEhj2njOs5WC4B1KCzTw/sDzha0fZ5gPQg4YS
+GlWhVfymyvZTjXgu3OgxR763qxQuA7+t0xB3Hl15Tzb4CwG77cx7UiGFyP08+WCF2erLI8koyG3
wKkARmlYA4kJWBnKGbtN57kwHbnqo7Q69CrXZcsJCVG/8jcaMWnyff/M5/p5opSYglciJdJ/LyA0
ts/oLAb+Eo6ug41fpf5mWRcj2KVk1zwPI444Q28GjCXuPStZNPneVK9hKXDw/VVfHAozA36Seg2j
gTMZHyycRa/q2L3KSPHgrz0QI2VeiRpLhC261EYPRlIic1iwpzoCNDa6w1KwpudrEtEAhHLgSzRR
+OcMjEuwPcJMa2npZqguyCMAoS7GpP45lHYD9ASS44kVL/HsBgB+13/UQYb4dxCzOKeWVW6sBBU+
OOUTZ5LR4FUBndCJs93kvlyRUNtoP61YDGtx8O20Uad7/+3LgE6ysf24XJNbIULc6Ra/ZU6XJR0N
/TSWYJ/DN/XKNRxFXnzSaYeHTEYwt9U6kRJncioBEuNUeVxpGw/llGeTOSvSavlDvDQYKyDNhtco
RW59azyfvQQi8FczGpFfysTnFxZW8YYORMIZOZVkdL6I3HB3FsOLROx02ecgyN7IAIhRHDUHtfUS
qXZE8uzVRl555tKbjngpzp6Z/R8niZ0Y36DrJC2vE6iwL8ExfliGyHOr2f+tUdoGb6imtf64D3a7
zkOs23V++VkMDkjfCIfuK6fk04fRuu+NQl7vmZXhC+pZ56gvZy0XIf+lPBfASsynxj4DV2zY47eJ
3ySCEXH7qILZVWKff3ERchrj4e7iv7iIlDiozwXOrudKzC9lFQMzqek/JdLFMDrrBJTob0kT9p9m
dACtBnAUnReLFh3jCU5CdosWydEj7qvZmrSoZTZ0NFSv30Ujg7CvUFyiog3cPWZNay85RMrVJV4O
qgqwk18Tgiq5SFlB0hJ3eRULlNJDThlFw8vdYUNuN0VTVCPg+BXRuZItS4qSBBan8EsAIHWsUJvL
t8Jw+cXlPb8YOMfCny6eisNYNh9WmvOLmXuh3Nyp/ZxvrSyVp1pwBo525UiDrWaJ9OW6q0ZjszhS
DIviWj/iknXv9mO/omuTjY5T1sGWgXf71M3NxsTOYnkg6+fqw7N2eczqZy8oz3DPELzdasPlIa1D
LD60XqYWw9FXHtrt9u55/uil45Gno3xS5UMKWz349SXy3k5XKI2KxurdKu1hb/W+d7Jl6p+8ovWX
GS1JQbKpF3hLMpUNjsm/mtj+7HrZmQ7wESC7m9LaLQCehAM7xAUYlRHghAZWd9JlSlIaHq8Uuc1X
pKqT3cMnok+wfJi8Db/n5YSKmYj1zxn+dZ/BPuae3d7d0orkk2FclXkHNAoOKobVoGSkoIGW2RAn
68grxeJLCnTIgjw6Dxlucsw/IWXTupvbNYwk6dwNXYlCJykqy4sJhxSrJSy6zboG6Naia/NL7c3J
LgVnx4oFVo7yewsFEHdTMqL1Yl6waiXb1N9qGbrwQY5J6jv3xfzPNBPsHLdhcSEBDXcOy9RsW1QC
jwBfDej6gfooZHr3SfQFa/UhQNTlbcnwzodsAtv/yh3kzPx9XqYHnQ+OjeqAG1N3oU0EyROzxil9
zD/TTkPLu8pMNqk7N9sHxS2GlkcqhifF59Acq2MXuwYQPizrQwzpcv/lQwqKrGQwziyrFznd5NsZ
Byokv9lrueT51b6Y8+tDQdlXSn6zp/s7xQ+9tRt4KH5RiAwMO701OPiso41O88/CTgAN0Hb3S9ex
rDtj0v67r9b+ytdWOBG55f3DdW9a8m34eEgAjPEUuen0Wnntmwjn9ixmd3yloSyKdGs13AAnlIWT
26qp8gsQRC+kZQ68aIZz4DcbZYLnxWyw/WQr0IO+KYYUCOiV5289n4/Alg6w2czKebzQOg7deDs4
g8oPDnm3SpSG1DToZY893clCG39DdndxFgGZ52P1rfe6ak9+S8Q79WRU4yWxRbxNTIMvn2IJ9PjZ
6Gp2FKxKpzPOovhMp2RmFg3l3rPZR8VdE5TJ6jGnhuXMi2ymxr/TZtU44Zn2Q/bLMzUVz81rE/CL
vnRP2RQsASZ6RlJ8ioxakLvIJA/81Bs2yqOLJvNwd4S2PIhVaNJEvcdwqwS9EhWiAQcuvKtG81MQ
+LZthj4I1biiB121Rh5kVzdRtJSzdRzfmZW2Ib8HG32lPPsPCwU7TgJtvSwpkE+6zYrUuMr0LMYr
yM6o5CbA8eaLbXhLtSzVrmaDMyJrBjxAXfwq5mmfdxYYhVUVrYGCsOPQNsOqjYAovR5GwCIxFvVA
vUNuoUrakWICdQraGLvxLYoPqrtrqHixKeMXcgicP/MA392+zlbIU+Z/uk3+iiIB+VveedG+sp3k
aI1h8P4Li4bjiL/hw4vOv+Ztv68HL3hiToJs4m2pM7l92u19MxVPlNcl+S9EyrExQOPJWuRWR3tE
za1jSe8SdaZ3oVkTWqoMdz5Fs1MEO601QgB9pg2cSQZ8zBpbKOUsABh0nd68SYEz+eBQZ/JJqBwj
UwnNZaYqavCdcU+qPkKLfPD/lBuujEnIXY78MUzIlVEdzs+RPEpmajtlElCyk1zGzJ8PVhZcMhYn
Zy5kcs7F3JYrmmrhhBfeU4Iv082MDDzl8M9epjBQz3NzoRnJyMUVES6kbfCjDae5OGmJ/hCBYOPx
mlqyAw+ZP/XWpgd6Q0u5H25kmid3p80Pr24JSBWf0A1+O6Z+CEHLxs6ijZ/hTUPbdSJJd53TNytK
Suk0FuWurDjPDiEPnh/kD7YGT9DvRB6oEcKZJyAPRTN7x2yYt3SA6INy5noyqQ8Ucf68rwoUMNCB
opY/nC+ivm5vmWl6kgT4Qlo9kNsYVnv0plwjPYSb8OQfAKZT74VjpiDIVUt9fKlDoagqGI5ewPJj
b7j9pYMh2NEwQ1XodRYM6ANZTR0KlTOklgAFCbVnDQCN1OZ366zwj7Hd50fSNiriEkKvaQYYDqDX
FSYiqmstNv8QHLgXnn3/GStTDsVGR2xVsP/Xj0dhQpx5lG2W4TiiDfhXF4A5Jytg3kmYI2aywK6c
hLbSLGoS6jUJaciKbNijge+iRRRmcVNRafaPsn5G191yuX+00aHR1P7jw5Hw4RMBXL3fZ3ZyWez8
hllAMJhnFNBxMIFc7lL8tZeJTRLZ9pqy+wXl75ezAaUJbd9e3wsVh3Q8e0CO0xp92kDRSjnZd+dN
+sCgrWcUvQVmDl7VMEAldAFmoMuU+kjFqRkbAO9Ds+FnWYxt952W7MKfZdPgfC3t3nypU/BK5Whm
BVDlIFEpPsutbZTd76gafCNw+2ZMnoHLU34Bc+bVFNUjEm2NndzK2Cp31yxUpzICROfpNc2hTtvi
lbg+a7/q197c8wMp/XxIDxkYDdfBAK7PCgezOFJPn6oEry1r5TpnDhBNFGmoX3X92jSLq6udj+NK
WlF5muwy+jABmYxa0yja07JlNfrvwKFJKxqMts3BFNtfLdKAgZXZR/YAZ9Pl+lf+SotUbfQxlmW4
69pu3FSA1EKzlELaM2P/NaJGkaREP0lfHwGT2wGJXCkMNq+F6RvPExhoXgc1gG0rQ1EiECqKpm/Z
yu7EsPEGsFeSDbnp8BSZZIXjR09IiB0pCtnSYGfXS5Ap0IuLrZ3VIDNNBnw6pHL/TPECRq0Whp9+
H7xu/M31sQ23wYPyZCc2xyM09YFZOKQfFQDqViB/WpwIT1OW8XdT+ONvc8HnVQa48iP1eFFbiUCr
+rHrjS+D0wMik5aAmLsuW57NR7WkthRUt35pItQe0okiHSbGOLAX2RAcH2poyeLhGLOP3DvbpkAB
NsAVNpbh4GRLNYC24Lc/07J3eutzWnb3S60l46jMrlqpWkkfjPWSuejelwuzyrVaOTB85L4TsIsZ
wm7W6FUYUO2JJQ0zB+d0qjpgbyJtmyjbSVGXdfGYv475Xjo92jbCbFuFZvclBlLMbspS4xCB3Pmz
NXKcyaFaoYoNYKp7BQpNrCl5ciIHpUkqLQpE8y3KKrsvfjCKnckAZyimdvFswxh/5NF28W4Zluea
GyiIoWnrxJg6MtqMjSWPd7LHKXh3JF8/Si1jUBU0oirPQR+iVUvI451MpCzaXs/ycSDdHSlD7be5
ffTxekYrSno/5LBJ5qARPwYsP3LiU4wy1tJLFg/t1uHmcpb4s6hq/bExkj0amVFXTmXooBp+mnt3
PJF2KfJ3mjbZ51bww6ZIwJFoD+NpUVO9u6dsKuD6ovC6TtBi+8NmqWanEFKpAXTzpY/HamXi1GBH
L89eIOxtk6bGjl7LkwSEmrTUWjKmd2lt7NSd9QlPaHpWNGOFrHjoHoYwRL+aWo614wBFvMqWZd6h
vXtZgmHhM/o1WzwFhsFhIAVFR5nmG59L7911kgpVzOG9vGz4Oypdyzs5eSp7LdfBbnItknQltG0+
xHcUxXkKuY4zpNUHmhv6cx354uD24P4u3Ea+0cBAWrfIakWj3ajBiuVVBi6I5s4uRLPqikzIWPvq
eA/XIGPBpHfoeB0P/WUanXo5taeHNP3K6bEauqgyjKNCFYioB7MqF9DPW9LW4axKQH5SUJSkL+o1
aYExwZDsQyZZp6UAzz6vQ5zWPNYvutW4aWare6JcEzl0Al8Tg4Of7FbluAQC6e8SQ+ewyEvFCIYS
Zddh7m08xYrFmtRAESeQS2lJAw6G/wYlCIr7bxZ9EFR3FuAM/Vs6gXnWMchCKsqsn2OIoIsvDoqk
6++u17L9I8YD2Gub05gCzDVC1ZKGeMAJaWDulnWPU68QD3UUz7XThO6jpp0+x16+qVS7bT/L4Wgx
H1Tukz9+CWOwStd2bjzlhbeYkXyKDQ8IWCn6JAf0mQ4KY5ODOO5D4knqAwY5A5zAh7Rwjge8tfBI
Sy+prSPZkyk5/bDHG3VxAUuhiZp0eyMri30JprreFQ74WtMmKT+KQfxFpFnM8P+T9Xn4MaMW91i2
cb6bw7L6WgJsjAzMqkFdaZXyp7z2UMfQ5saaFLfQTgKaZKcrfhU6RWbl3eHiGrqsG+M8q1Iaq/pq
Al3xmwRF+84CwvQhSKfwq21/JcJUw4yMnaHEUxhGP4vdpL6KESRSqNMU5CcxBWlVbBI3Br5xbRWB
PddDG7jhdR1q5L3rDN/n/5L9f7EDZBpARaRkAOYMPW6gxALtpHRX5XZrgQjPvV+iBclcbsHYqly1
dEem5b/70v36+tCKnGE6JV0KBGop/d9oBuww/7dIyZCluc5IprXhEILM6Ge7skGW8yEK2akSRjM0
kOpho/07et4uRouzZkBI++bOR9PbMQ+iD4HfPrY4sXlu2z59ww4ZbYz04A+Nb6Ehxw8ZAnfDCGcB
LiN1wDj8RhuDf3X0XXv8AA5LA9yc0F6D3AUohjIHiqGboowhL+UfaYKNyE/Qh7WJbHfJgZoHaqnu
mGDPfed0w0sMvKb6K29fCoHbTJOZGZp4mfMxRa61r2JsOQirbgRUwZsE1zWh1NHA1Z3LTJvsTEvt
QP4zGELXHrAjDkGgOkX4m2mz5h1VlPEx8CZnRUsa4nhM1kk9Nwe7cEFS/m8O1miz1cxidNInBj+B
S+WDeCE1HWSYGe0KGCj1YSGMVByTZOv9sCV5WzsMwEr7AjRa1OxEA/Jp2HL5eXGmpeMO5h5Mp/GG
ep8AY1O8KYdWpqgLlgbovLVxUrdImi3woX48fYwSFcF8rPy32CySvYMaxLObFQY4i4ANV5tR8DG0
uIOhwkN8b1AqF4B74T+ekV9My+q+8TCUa6HcTaO7uudoCrwYIAvfMtEGH0mcg3pToesBjdrbUZ9o
GMbui57NrBFbko23mdbq2b/bhVHZb82ZA5rb4xu0t8WHds4+Ji8zLzTMGcfPhVRet6IpCcnOsIsP
LbJRWnPxMp5cRkCFqMbiIey3dj5bwPoJvQ9rdquNCJ16T33FLirYkOBTsI6qL5lkNwdyl46oNm7K
6j2f/HIdN2C5WPKFOgtpFcw7uEIsOcglEamyjnzJNd6yk2RXWuHT/8hOVkj+UDyyC6IGPzVNe3W0
EHaFty5G7mGbjm9UVYDgbp0jr71lTeBvgGYl3mhwxgLfgr50D0GMM3uSGXN8rLAbB60mzCTz25cp
rABgqoI0QPU/OoaHoN7sJ2sROfMSVAfwK3kN2rq1ePNVefBoOuUB3bJv/Tihfpg3HeghQmdZ6owz
6nAXkU5TKycjraLLzyKKgwQzMtc3p8hViWwVlhx01voWY3G4fQ6qOSazWwww1QB7A/fM1axQZBqQ
o5ylk6VsvUx7tFO1YXgqEntE0zRMSgKWoamR1QkD888PR3KhgWTyhzOJUgsojPj/dLZDD8KKDBXh
ZwbmwOCg147M2vZC68oFxeVcczAmwJAGd2C1v9bWjxpak7rk5bA35uZdF4mZinAVMDC9OrjP8Kaj
asZIDSKd7sRm++mumIymhsFBS6usqaKsI1ZWtC+hrtgDYZkqMCM7rma01PEfFL+6Brd+v74tj+Bx
3bkKMSF0mbsfVescNbyh73jYZbM5L01w1Cwnwja7OPW09M+RLQ0muJkBtMfu5BQSXx2gMKmQNOiQ
dAUKOU7JEhLkFA1KP6va785embADMY0bDuqQrDx4LZO5B6OGiya6HtQPpMxmNN66IhZb0tb/h7Tv
Wm5babp9IlQhh1uAUSQlWZIte9+gvBPiIMd5+rOmh9bQ3PZX9de5mUJHUBRJTOhea1jGh7manJCs
S1UYzyB730ujiG80F4Tpnv9MtOWUrRAcFXfZDFdPQux+obOymE4LintPdNUL0dPKfA9uplfSD+Zw
63Gnuwv9/02n4n972zbRMnp1v/WlP0JZ716xMhjc0qOEeU5keSi+4CvaA0RfFg1mLvqwdIESJ+W+
lS43DVxkGIBKWuPJeTJ97KVRvTDw3bf97I/feIBjuKSyMkxB6upZeZhzCRKaYT06CZpPrcypi41p
YG8Tx4J7p5gAzQZO8HVHly5qfNDebRdnEoFsL/084eeBOGZrzvWAAlmA62L/hoeLhQ5FTwDu1q6L
4wyykExXFge6Y4869q2dAngiZCggmksTddNAIwXb9TbRK/tLiZ2iYxWginFO6vUPHHVuPWznf1mn
YjnGaCNR+kDoZ6Enf7+Yh01uF/WeTtL71t8Dwz6/yJP0AaXoG6OpzG0Ari/w7LlsfbBY9dXLlrTf
Dom3N3Tvv95xXDo71jdWeNOmRU1ceGpgj3jEWtersB4lkQbZxEXdXiTnfvrWdoF9dPLZftIFsbXW
AfMy60c0gNmpF5IOEyx711VrFpHfUBWgwUaTexbZvm7vWsuLi20f14dyaNrzL3JJ1TTi0X2Xa42r
anftonKC1g7dqcYzNc6b6WR16JffeUDFinr8dyJS+sISlKZ/dfKtBMRAMuomVkXZGd7O6ypiHrBC
AePk8Lwm+vA8dkkKBivL2ADybXgmg8sT92Kj1ZJUrcHwrNLKBEdghYWalg+/OU3cA+qa6pBSKQOA
7fYs6MsLSKFFH1jK0i0KW40NUMiRy7Na99IE7kamzgtteMYMYQp9zHMOaR4AMJHorhdsK+JYazRO
luj1L20H8E09nzek0xqBAiDNU4Mi73styQnA6YHFMc4bykG62a0RmU6d++Ont9MwXVjXBIUGI7ai
BXRpEY72Wuw1p1guYnv6QldktdG2FqZe8gTcaHBu1yk7GCMwuFDvNRdREdhmNGom25O5nLrixYm1
M44uhgupihTgMXFr7chGqtar2cFuMeFRQXeJmpJxYOBwZ9d7bNo2gY6e+smLjZfG95ZTb777OO5J
Hm7KPHiX/JuNo7sL8spJHlTJCdZDE5ZmC4qHqNKEikYc8CZUqOVCcQplDPKvUkVW0htZ3D38WPoG
7YyZGY58S5TYZkHq7IEJni6yPFcW7+agvMPMr/qqjnRRNV8Ue6P2/ugW10Z3hj+uD/pYsk1rJnpk
Ny1qirt6ik9pGuDSWC3nqojxAk+uX6LQGd9pM8Eeo/Qh3X9iyJ20RZ9K9xuf/xHzkZ18KE1Ssy9l
bHT7EcfHZxrYsJm56558HZAxmH967DyJIclYz3dTFVe7fDDzsIu7AdTTIk6aNBsQZvWKhh0Kkkqy
r2UdFBsk5s3inm6ykZW86Qot8dWO9z6IFcQdb2Ibx+nDyl6drQfs6WoTA48bDysAEy6dnuwCUvpC
KS8DzEmOuTGBLd3FMWzq6dMZJ0uooaEgLoKk7AGZ6OTZgEYCVmDoNGt/SoDNiQYrXAEFAM0+YwoG
c2UGLgo2pHVgAaGcVlxS0I3DzSUlyFFavqV8Kv1qxSCXqr90AlvNdmvUbGAz3T2TjBq0PBzRRrTj
hMRGloow3Iy4sADb6z3e6OhS5lDhlp4aO7LQQAZdX4Gd01ZsV6CZAp9M20WDeO7agLrDwz/XSmyH
4GSyO3fUul0L+yTsiwn2E3tC2UEX6S3oG339b9TWuF/Ais43vObxY1wn2dGv0WC8mn791HQD4Ehw
kvlurO73zEycf/Mnr1znf81yvYm1sUV/H1vnaOsFQMu8uZ5sFj0QmOmB7hS87tH3guf/gHK7cGhR
rEoiDdowopCALmvzBYWsWRhYSbpRC0pa7P1KzPvJiTThrGpepJ8olRGFM9eakKnK/kgsq7l42vqi
LwHQQQ2OQjlnsdmxs7GTW+NRhocEKpnIuoKWABhHdXXsAPT6yp1BxhqrgUNQXViZkVRH2gBehFXF
/iqzuC/50kAeFJ+P1ZO7ondNTQsmdIKyjTHMD0FvarL1W04VlI+Rcm/vzO2LYx7QWrU+lkEGeAsu
+pxaZvKdjUO7kCykI8gKEr0afA0eniJ7MkhEC/S2xJdkOpS8b00ZJp19/6dUH8AXBhbhP/7R+O2t
N6ummbt2BJOfFr+WXGffgnbKD1XlmDvaOu27N1KD5w8NocKb1Kn26huMfWt9Mz+k44yWNZb81faD
vvVcp3+hYZyWS6I164WkDjxtZzs3X9NxwO7VMpXZVgWMejm8eOZ0EwAGgCL0cNYRrubnpdLN7y5o
/TYgAlrO6TCuj/ay6FE/t+yvJf/i8tL8ntoopdRKOPgt8GWcQo93tvh1oUFfikFekYgFTX/iYlDi
BJjWQ5nxI+nJg4x34l06ozPxg3aXinxyq3iti/zPGoBzGyr8U5V+dxWBYBbXMNXMU+lHzqiGE8U6
H9WGcWppwIFzkk0zF5hjK4tKRnnIB0jXw9nGaflkJC8EjO+zREfv/lVyl3/wPla7xsz4k27b4Bxh
gbvr5no+S7FyJ/OxrZ5uPHInBbyHk1wDyMI7AA+Dw3oMbxyTbhJdwFO2KatswHHubKMJ1qmbnZQB
H/+Pl+f58Sr+fOe2cc1HywcFqrU+Df04oFHRswFKgztf89nt9aZYGPCnbKr+NRZN87wIILraQS3I
6IpWb1oyYMZLa0C3WsdTqJzcVoOJFnXykkwy4G7lp4JCBnxp1Gw42QZ7c/H82CbL98mN0QpQB1gh
FeIfZ4Lovd84K5cWhxzrH47oTsFGmpZ/qcB+C3CzDr0YVtL55wykFlEB0LDItXX/TDppxi6IaMMw
GrDjVCeykopc5sVB1wVdktI33BN3OTsqvxuX395pSBnSGOKFkE/LhuZYuvUJp/DsDOApZmjJKbOH
5MRNMzktYqArGshQ+1Veh0q+CyGfX+nKgplhoNXT5v8e+6t8pFOpABuYh1q38gPNycdlfVmqGAeq
YoYuJ/A0Twff1gumYO6hw+rw7BlDhGXh+mC6rf0e9+3Bn7QeaG/6+Mn360+EgM0Dnx21sdAl1DWo
PxwZBOg8AGHb3V1QxabkVKSFhdNV1E4Y2HPcLnVbb0ikYRGGLH8H5lv+1HL0X4U2MMikm5Sn+XV1
2v4BEMDcBcB4ngGTFENe1iX6U9p+SzoaDObV4I8VZo4amqv7TWQ79whvLUCSkJc0kVblk3ZSGpTF
siYNdDzL93wKrGcfP+uPlqlFJLVmbT/TFWi8nhl2WU9scQH5hEY2N/KCtN4ZWQF5wKz+wAq0ipC3
SjWuycaYZnPYigyNG9snMnZuM1wMvT014IJdsdnwZnt2c5qxo7YhFFehB3NH+WYKfSA2EIgDJZuD
J7ZaxRuoxBBtooOb4GBN3ZF5Kme6929EHpV/mVfUPeO3FrBjP+C8b+C9tTwDyEU81mhuxk7rDdq3
xPiWyN/KppKQbpwA1XgX7qTBZ9/g7gMbQbk4TWsLSAH0waMXBqIYuuYNW/XNJxIShiPniU0rajRh
o6C2HNuoHPprEOmS4NXUzG8xKFafULENpKV04vLt0wMTsGEzf7NnECfORnPVO6Z98cqCv5lC/7N/
xbriTXdCQp3Dk3iO2nVZdwRgR7rMt0DVBdbmUOLUkcVLmsgM6uVR6gDsNkdVba87graTLsZ0jaM0
qV/+mS9ghHBysEsMAlyalr00DEtfbWvHa7dFbk4FpppdGo6YWj2Q2cIs8WXaqWXy/86h8lqFiVVZ
n+F8r+LPBhbTsVONF8VA8aEiIolVVHsIVecsIzogUApCehzY3qs+An/ORYGUhqI/cplGPG2GrCo3
JvXmLqKsqBDtvPmY9fjdrgAmJEQySJ/fy3cxeG6zMOhTANlagO7vffzqGeIKnVnrg1+03rEUV7+y
/p/8KDNloXzTlHThgP0tOa25n+HE2KPCKV4AZDbxWP3tPIr8NIYObzUnoggSVVjXFhzQEbO3vb+T
iqNc5KMy/GrOZQGuLMzwC4UlxvBCn1f65IJfD5zy+HDLzzXpbNaAyUx8mumDTAOL4xV7g/jUKx19
H0QsRckEON4LEzySTLMARxzPYkA5CjQdAbWZ1g0q5HOenjBlrt9BixsShmabuMtBM3R7K0WveRti
u5bhoMm8uqlwnhnNe9+jzNvPI9PMC3DfedZ50bkTOqVmvQOTTNv2njfgRAZn/GXiZaFfTpisBVb7
xUy+rqB0eS+S1Tpno3Ub5Bn6sB/XmW19nEgUF5Z71iNgtr3Iilv2Fc2536zFNv5tUHLp130S+kn+
mgZ1/y3FGjdCjUfykua+vksWU0NXYA1U2rypQWFjJ59UHtYO3+qpNlUezweNjW/236y8idyWxSlq
tgoAF9W2c8QMZ/06VH00DlqCqgi9uYBqyhWzqPUrK9p1Y+iJe8QTI/18rfHhlh3NrWBP14r26AIH
/QQKelAM+EazRDmb/+FYax4Tdyj27cKDV2ddKgnq3OdZ5AON+M9YRw3U4Jr2k100AUoI2a0vB1rf
d3C/ALMpGyKNWtqxOHEAT1sNUSBk2by0+lYMvmaUzOk6ACytdAVXD8pGNV5sa99YXqgQ9ENi9hi8
oh0qWoFL0ODH3RCUaRAK1+dvDh/Mz7x+JosuaKQgdCY4fVIQfoedoblR68zDdwZsfgBmen9rhZaF
hcHmN7yp7m7oXdD+gsD6iXx5q0lfrzdd6ZvqRYJPz2wXFxB5tqAARivNgA6Gfuy0Y7J+9NSo3hxy
cVfd2E4j0OJIlI6yBUdef+QgOw03zToqh22CpgWL0R29ptayn9Iq9t792Ci3musZZ81PgTMEBG4c
WWj2O/ZVnwmO+8MVHZtXV90LQhySsqeq9cClbeG0QHX8VdyqHtFiAzyVBkcS1AXYNDwJHQAuH8mP
xRM6Ay29B8dwrstYMlDsjNhUdByWwdyE04TzaQK9Rg9Htp9MVIdwHBalW5Lj0QSYKNYaoLPCkAr8
biNPsj0ZJJR27+boyyqHYg7C1m43ojZaArhIFJeBY7NxsBgVTd8Yft/wkor9STue2Y4yUMK4sg7X
m6yV+wreG+ekhlWrHvw1WQ9KRVdO7Ny6KZ0xZWjDJrM2sgcNQCo3saSv3PJrhvd4Rr2aAxzWIVi9
CwDRd7pepCeSOqGyfBeljPqApvjRQzMlUG2BlpplgXdxUaB7WXIuQ6Tk6DbHhqa1rRu7kpirpY3F
poRa5W0MxkzADt3oCNJsXgDI7cVNFpEowVjN/Adgq7gCNQTQdxE72X11YdZ8xBS62eRThm940JRY
5Qu5XjL0/6c82zBtSrx2lwSXHge3+tE28vTcdylYs1x/bTZrYtbRf0zkVbBvuofVmvSesiE943Sx
0I9Mr38EUiLUJkR4Tuwyp5k3ExB9LxO3pxPmGiBWLN3yi8csSQxtWdWx0eflG7mOgeVf+nG6ujas
Yl8SR1eug9Gv35apuGZVrlmlsy+xfePq6vFy4+rV/fc+qPQDt0vs5zTN+rUebWeTWc14JLEI5k3h
s+lzu4D8IylQKUR6JtzyOR2PxIMi3IzMHaXbBMC4kPRWsN5nYx/Z4hzZgswF8i94QKOia4B452uF
cx6yt2V0rMskBrqiwVxy+zImKI1NMGEL7w3ddHVuZ3zRrL5r9xShFQaA98jbMEfKPn74kgfZpK4D
byxllzcDmsR126NKS5zhgMz7oZwxcwarIl4ZBtwGPXVFjnMVkvVRxw9Fa5rbOx8ltiJLhSwUy7oJ
KCoqF11pa/aEMpbxMOHRjymIOC2V2505A+iFCTojWfNHB6X4bmMTfE5MaQlqzvwjxcjwjxhpoRiG
DdYhpBgckEUAXy+dCx3NkvkjJCmTbHihZB86+Uo8HqS72neG7QReogcahmnwKrQ5/JDdcsKuEjAO
pJkMJGJn7OgmHGulD1/SU4DS3edTqRLdc2/vpFJnyjJ8JCdz79fHfOmSg0qzOJp71Hsc+tK6Tyzm
OEDlfW5oJ1ratXVVP/pr/kASDbrmprsunc3NkKJUMVoQAPjA24CxBa9zDsw98bNrofSuk5ck0wCk
FfekRLoa6tw9rZYxbW3XvEbcBCdmVV+1GhqQcAqLCminS6dtgZrAbbt0w4sh6hvX1P7E9RlkykLF
AKty6ZfyCTTp2BquO1StZyKAfH8RsFjYuRcByuFXQYAql3chN7qLNVRPsnzSEy+L7rL0KOWxnKTG
BBAodARFp6H6a8/N7G9SLWhvx3c+M86/Esm3TRLpO5Txuin1GnNaB+jfQZAnW3oi5+KJTI/lGHO9
DTAytA3p1POaDCqCnMnlLtVvDTO2s5/yMQ3nhrFTVeO9xqZmkUcZJk6bFU1U55Kn9RnLhPqcpQlz
jt402w+ZCbQNYSVD2qAm9oXiDLe7xvV1mhgXXggACl5t7pE6MzBUHhurBl4bnm8SWFzhdZZr1oam
AYBUBfqpADsDNslYCjAdzzl0tvambkFXiVviyN3Rgh2J8haU7ud70/NWPpPJSnF39yYDOf58b7cA
+a782+5uRxHynh+3u/EOamw6aTHobGUTkl+ww+D6w0GK1Gl000rkg3sLbDei00hq71uRyPSRhKw0
/KfbqTMWQLxmy/dOdA3R0KMKhrdJJmk/SEUMF2Bg19Ar0pc3/BlkIJcaALsUpWhH8EcB2sFi3s5a
AetSrYW7I9hEAlAk7MRy/I4jVEPiLJItWfh04Fh+hYNlMrYFnB1KEvoOawOSXV9GkDPwQP7EFip7
sObhM1UExS6OQVa7zc6cB/kr1hqfqYLoTj/X3S/1wp/yDBaOSlQe4f+r/IUz/VIv8pSgy30s2qFD
j46nHaymHCLCx7OcfHj2QCqTgDAEfZyOdsHyKHmaBFPu0qTJBpDDyYF8uypPjnWQDBFZKVQHpRYZ
aVg4gLar5XtqeGWki19HGlg9RIB1Zs+N+IlcFt4+rEFQhQP9Rvqeb0d1lTb7nyNGxyhlhGWjeZ1X
PaD1teUx99GqUq8NjhzFlSd0iY79LN0CZSxdkR9d/cr6W79e0y76nDUx6nSW8p8KzHhnGuY61g9l
0p9IWkd3ASnoh5WUzEuLcyvYG0ksR1M/uHw43emLKn/EWupzEzj5S1P33n7OtCaSotC5STNH2ayj
z5qXxQsZBmY8oMHRu5AU+3H76GEnRAVRIs0GAq4KuksEyD5RnzQlUYdGPHDedC+96NVdbBzTtmDP
eshx5P+mAU16B0hpH50yEJMATye/4d9IooCiXULglLQvvugDdtrsNjwzXGcHYCN/4w6rgbKg2HHb
3YoWmQe18Or0QQei2VihoxKLNjJImE26lOu3n1E4O2wahdgfuYaQi4E+pjC2Jns/Wm6/aUdMfzHf
HdIt4CV7PK16Z2P0ExaVZCd5XqcpBRYMsEOn1gT00BhEHnjEHkEMCQB/eymtjZfyIGoHv3ock6V+
xGR8jK41WK4GHkBRcCHLKlaWRKuDamLSTaDXBguPKM3IHM3bZHVy9SYzGfy4HNoNXQYoT85dVspg
UpGfGmyQsYLSpcdSCVVfi6eByrMB2CWWUz8KvMiiarlIvCkFI3noGhcvk8+yeuzeB8zjWHzLBp4m
RbXN7+qpVXl116M6Zpja/JfF1yi7AkGo8lYJVRU3WQH1Um2wuYc0SLYF6wj2e/1kDUEAiv0notHj
+JzsSUkNyqSjK2VQrc5k8AHkJCMAF4M0ZFbev01DBt2cVydU3rJn+vcpZ2148sf0a91Y/J8hC1ug
Zvzj+Ggfj8sm/9yNzN3i8Ks7D0DxPNlOmu8CFJm9pS5wtCho/TeoE03GlLOffbYr8HHEyVz9+KdY
/nhTrld22Pbo5hGkRT9KAenq/t+qlPTxkFV+H8F3HxklNmtk2pj10Oc/q+Z4D1S+JJQifUc8A6e7
NmhqQvmdkV8f4UlKg+uCy1HIU8+SUMoq6PrFwi8sjv27bRzbWHJ5sTYBuavjKMMD6YBc8tAySK6c
3AG1A72wk5KGlynDDzIVSFHpFVVJFdwItj5a98FsiVoJVTl1J1IEFWPRlRSp9IEu00KUddUlysor
NOvdF3hRWktv2QmsdvJdMHTUYjW55+3o/XDEb4qh8cQIyWLGqb9L3AB9wo4NVkmcP/voBRd2cqWg
mxy87EAbLX6DVLjeejhPlKwGFTaINhKWXhOo9qDyqC9xt5WqAD3qYhM/hgGs9jugxa7hjZJCaFi1
DqejrNF2EheflASOn3Y6ZVS+1ZKYAjs673azNoIoBtV5PmpBvAHFrSaOHi90xcuE3YixM4ZV21kn
XXiQ250vXsO4L1rnL9JT+K9SziYAvILYHVFl/eOGk+fjYaZkcTN71a2TUtGVek04BIjBAoLDB8de
AyB+lwK1GPwQ54nj/7ku6eD+MYhLkpUT9s47/19811mkjdiqUpt6avOv9ophg+2BLCIdHn7XbcC7
DUFO24Aqjq4omAGHXAavTPMeuP2Vti3UdgaOjbH5URb+g5/VxlEZ7vxAW9rumInvljLIzQ8lz2bw
ADYo/ahUTZdFGdMDbEjh60NfGvlduPmG+PjGHoup3kidqDqiKyXeFDjefT/J5yatoVkA2VgrIKYi
TVY14fVUYuVNKgtfnBRrtN19OUsX6HUcUf0K71Bh7FTG8abahWcr6DHQuJxvUHYDUogOZLID1ze0
PmiI/c72piZiDP0jpFSke1mAWkZfx+Lphn9QcBe6HxFuBaj4kFAJPlLLrJQrLfUGj9ze2Uol+YiM
WueMx+smV2+ui9x+vVnhaaYT8QC7FVKnFpZ2MXRbFwXw0f2SkWQRBzxJ9ySt6wjocytfNugKRl07
a/WoxXnObugw3aeBjTo7dX35Ei+eHoSkc/LxvY4BuqDcGiTe+THeqWZ1hmfprHkgOjG0J1KRL90B
f2WDpmnckO6Kzjx5B/JQenGXYtJmeRdQ6zyUk21cOh/ziSYb84PN5/hTrhXxJxvLdCtBDzqpxjrr
n7EuCU3hQCrAhvMHVF6lYYyKwhwVqXoJTM2535CZhubnxNKAxCBoxw+SSDV1Q/9sTCwkG+u95DGw
wbMpig1leaKNCRfv0RyW5R+ljmuVAwTEav4knfSjikbXQqsoyuKxCBUZZAjVNeYgPaM0dyWRlGrO
qz8tPyh381BiV9ObypPTjaBIQFkVDVSDNRctCrGoJmvy7XuXgarsyJscf+GiUqnM5OauA7rgpyWc
BHdKXBi6/sC1Kd8uMwDzvDHn+gOqNiq8KtDe93G3hNh27y5LpmXTxmvHr25ZZAfpyCwj32btzPBx
ZaaO/1FTbFwjee1QBR9qbQayCNu0P8VuCfYxEL+hzuiHzl38NRptsBVMa4INnwnrREB5jMMDhdDA
qmqPd6d7JKllFn+Ovc8kUCK0BrTnrNLkXUjlVYZ1aMTt0+7HrVBFer29Sg1oIh5xq/9x+7a18PHC
KZC8PeXqtHJvz7Z3uX6XrYwfCJifBsLvNy1gvfUZCHtI1xPLpfJRjnQlSQIosDJQTQzwmWugIgMI
enSXtGXfHNxcw/leX7+X3Acw59w5AGXFSXnCnWA3pQZKtYUYF30VlUEJjE4h4pD1IbCy/sWpffO1
Qr9St1TNe5Hy4exhJ1HmQO1CjEpvj2HXVTc+z3b8KS4zsLeKAfhdNthXMUydfhynsTwpFXmwqdd3
Uwlgcqeb0OOowj4ivCyb0FVepRxsaa0DlAocuDw6rjM9zunOBc3rhQQayLaYo3YAwdJX5blYLcqr
PB17gUEJKi2yYAYHAN44Yf+Ok8cOgDoGPO+PxGllAbD+41b/O/Fk+8e+6p/ADF3w4EvXde2zW+Vv
62BoX4Imcx9mpxmi1MySd00HZJCJprEdWZfeHaM+S60Hshqz9zY7gBIioxtywC5/MVFh/ewNpczX
j47z0LDxP/lKfVrOmen+ibZ69BTwCe0+Y1E1kYUecPR7iAYFaSrR3RrMVnPyRTsDNTpoAQfAHcny
ksInLAcjWytX/rJWfRs2YwHKBsYqwAamoIr6GEpU6j9O/qtXa8GF1JXQkDpeYh9AqdmyA6AJyKlI
WaO4Ex0hPzKRTprd+q3HmvtCKkqVaegR4Aka3RzFXXEHWX0nNvM07qbW+dMS2NUS7lriYd+nqEaA
hizTkkaGPQguno5XogW/Ondi4KSMLbwCw02BkuG4MTAPP+zkjvKMZJCRJNdf1xlUTCjtqM+kuPeS
AU4ARi7KSna6H2XmaHzCHpjLtjp2mfSwQCty2AJQckezfHutQYJEq4AE/SrScr+SmBbTAVudUe88
tT4gZVdmjUwkLSpHlvD52HPAsKL0op0LsU8/WSdBKQbCa1yhCPZ6haVr3IakrDoLdQUFwLaVIxlo
SEWcEsmlHNGtJ4PTEidNS8Yv5EL5b1L/8n611uHW9oSeWy9Ga4aUKb4lE91jj10xhoVgjXrAU81A
XRvWk/0yDdYCVIq2fmSeVj3OI34Aw8755lYWynKEqh31+tHsh/QYz44TJek6bDuB9Z9WjqidG78I
8MDjhMmo0jfGetUPH3odrUDkz0Bhdpxrt99+QjtM+toutX3OEADAtvSVhmXiwGlbgblPYi08CniQ
P8qKjitOjEMQ1ecSG60DTP6lt+1bkawElUbWHNTYN87lzyJZe1Ev02IWcaHYykG3FSA90RHZLV/z
emmeeRrrb1jdbQY03b1XWTydYstpQXcHEWwdbJsOfn+IB9t6d+f+K2v9a9Dac8EEY71j428GfeSS
oIpm0fYdr3dMkAjiGCq55IKSkEQ1VC7rgfZ1dVsAjzSH5EcR5EcuJkr4VXxLKKEqS1ai306HC1ob
4mOFbpFYNNypAYiFV9FgwxzZXW9syKoMSuQ2GH/a9c9fhSsdOktnvDXM2AQieTHo1hktUq3AgG4F
CypdzXi475zJW0KUgy7YQxZEqmQhWZlJ5wgfMsg0Ihe5+Il2zeAQzWpltU6UuYu3K8vlSFB/Kbpx
tbQwv00GqKNT3/aeBlD0HDqPLYcYiFXPLC2MCCVb4x8BiisIVFAD45Sbr+Y3lLcFUeHk/pO1pKit
jwUt6OhpuwosVV9ANveEwi/2F3oJgX8I/I0XN6gZmA91bbfG+Jqkvv6EGeD4pDUzNoXoTTBL/WQt
U+QTMrX6o5vJ56cEVbPy3aC/V/5ZSwCEbRGi3gMZ/BFCWTpih2hFfpWGG/lwtuIlxE9B8xRkRRlm
Y7Z+bevJAO9xVh+yIFi/ggTxAb8I/JW7Xv00pingFVFK8NUqGhC+o6rlQOIv3Ci8TfOrGyUvQczo
5YIkRNxUZouXv3WCR7Hd9RPqKMzmc2u5ZWgyrEBQZXyavdV5wr9Be/Q4t9APiM4ku8IGBSjknKdm
zLVHkwPLIA4BJue8gn+KfXKAItVzz34lVTGwJrTMpTqRLjdyY2+jOm6jAlw93XABqkJDwBtQBBjo
JWHFezd7RVTHePv2rjZYW5IDragf0TVbP85lBkJVPK63irajdFugy/RWCiQw8QmW4OWEOw7yRyOs
wIG5k0rpoEzgP8YxvfhCkI4Gp02m0xUJFdj/Omjk03wE1rzYsWp5bV9ysUVFg8Zw1lsHZ6VOibzR
DZJ6P+fAg1G+d/EpcO1DF/Vgu1Ska4nMkbxJTqunla3BWcWTmkTuOdUefyjayVHH6XTrqRlm48m2
GIvSnLO/2tWMZr+o/hgyp7r3wOIkPeRFwTcrm7MDDrNQXikKDcdayw5116wbQNNaNyLgdq3POM67
Wp1Kv4qDCVq2u1iyzpMb7EFLWbVtvgX3koalYH87xGVqHebU/XKnV74MnclATh1Oem2BREn5Gb45
RaVIrHR0RbEJQ2LHtG4Sq5xYhbDIHP11e93PFQcltF1plebB1JNvaluT9MpY5vk3kmh6Q1d0zoJ9
euMgjHIWNOfm7loppqFZSLKjlU6H4g6zX8BRBKZyubKSiyay3C2qlCiXVypQEa7FS+5FwKbt8ekp
neeSl59d7PW8Z4DlPCQ9izclN1EoDCakqB+87ETWFdU4PO3zt98FgZLSfikMMH/Vc7lf3N6IJITP
2JY2euOLdF8IwB/C8eG8fQ/AY3YiBB+p39a94wHtC5A+69ABaXOIP8sMetX8lLHBrCSqhhWY9AQa
lHfTu5ss9okSodZB31foFgutIktQ39jkBwOMDI/Wz0PdNxEWBctZ6fUGNO65hxV/yYP9nZ5EsKhl
ewZkqpBECvA6Zhth29bJBr221oaUZPYXb3gkkbXav+m85Ic7PYm5Xkd+GVxfiXqtru/fvBKlp6AO
zCy7OvnbdmzAH33AzbSB7l4m39qis/vK7E5Gp7TPib0058mzwQwPSL8lKs0JrabCTzpjZr2ndNKn
dFr30mv2lhJInYc0sYU0Zre2x6Ufv8vD35+PhoHOrG/yFiQK6nx4WCucISt5pjNlisZW+NUdrIzz
6UrLM9bNK9adxtts1eMDZpNAvRKiNWfLU1X14H6GVHuj8eaCG95YdeledMPXxl9QbiZMudcukdt5
6REYO8YbnjDjbgmyYUvWIU3+k7pE6jizdWxEBVj5I22eT/xFG2xzr/nWJzVVUlMrpSsHlKeX1pzv
SUdzqDs/Dyvlw+oZMhPN1FLiOlN+wWqnIZqn832B7Y5RAHtRJYHF/XhTBGBAlZUETsbPU1nYFyok
qLVkPHt2/GYSxtyvnFPtAG7nc+tXaFoWAy8ztB8D6gKU44CO2CgLNsSvPl7dHtC/DmDdMVgelb7v
TQAtd/6LTIKD6doMfXHCfJeKkoLpa9rWRluCNe8HyzddSWx8FgT6fkmrPwgV/wZ0vzMcIA8szGz/
NBqbh2vVWBF+Jcp9K8oHaLCbAjg3Xn/BarB4sZ3aBb0gsCf7Fh1EOpYdh6o0sFlKcrmC0Y8SGE4K
xI7fBM9W1e9ymxcASkdZRJwl46k3zvJzTCr6MN/LVP5Azk53Ux5BaqezQNXozJ/Ue2gPRbNfsTER
3r259J7VfAK7JkqZdxRBLuo/hD9jSBsm/5Gkll5tgBmESEk6+c+hS72rUYfQZ85uGf4fZ1+23DgO
LPtFiCDA/VWiFmuxZdltd/cLY3rjTnDfvv4kihrT4+OZuOe+MIhCFSjbMklUZWUCJSDTwgHCAhkV
vTf+JJJ7Bij7fnYWtDyQ8kSbuD+5m75w+EnHVxA0qm2yq1LfeHQdvQIRmlV9zxHuqHAzEx/DY9G4
G6vi+mp0QT7dg49+NyJDfKazvGURtEFAwUhno5qls09nef3E/A4v6QoKXhJEnPDgyOdVHqAxkUdG
mgaHgI0mtw6cRk2PKqsxnt+ZyIXC9LIBN5ACkDc9tHzS2u7WGTHlA1yJZv3czgD8UFTHrgupkndj
tNO1Oz82stVoQxNXU4dQkfHSgWbfeS/RTtz0pyBL1oHCE0bqMIHf6RxDZFxXyH8AXOsHOnuzkxf5
L/YM/I80WtapJ9ytlZ1MY49OYfSA3daGovq4royRecvmks6WPenkI/ENfhdU4z7sQpf9aYJa6GYA
cGr9rxtfcl78lsvlYjiaTa5v2/IhLaL+HoB0rh3TsTU8oJDxtyLcPuH9W63/AskXY7+g+8k+e/St
vhuy4c/i/64/IHTHOXS25QzkMamR3tVASUKeFCrTKl9B9BOGCb7/SEA5nGzkgX3vYeabKCQo/dOk
TwBnRL7jbZa4KSiAPJZ46Dejwj13sQ9IbXgLXV6N+gKEVoGuk+CBeCPVK2NRR2AB+ptvj86i8WJ2
ZnXwBzy11mRqKTx+80M90nT3IWTc7kwRrbmqM+tvB0cVi6ESgVoGcBU0oklNlalpaMcFisggXTSA
xUeWbPEhx2U9mph4+axVdbVfFvjgBoKTabnYB7fFNwXAfr5glBnROp7wP0a0qgK7GK/KE1BsDZX5
1MVhe9Km8BceeWBMVgeITe6LEN1WgeJtDYPE+OgfnUEtH3pQ79EOYG8avxrBk6jc4jWVojqxcsD+
Rpm7AbqfEHO/edn1E6BVqmVuOvUgxYC89V1WDshoFWn4ZGgs2WDz7mzI5oZJeXWNfaejR2qdTA66
HbsBLVyrwhTxFxTWKyfBLa407AMHkdmxgyrv1pja7BFScO6aNUP32pb9H9n25q+A1WsZtuhn0p0C
d5iI/QgHdFHmceJ/kUEJnqtRcx7E4ELl45MlsUeHNIVaEvjLZckxLItzboVyEwxptWnLqDkOU2s/
+A5aREjXCR/Iy7Xe/1ZorPzokZQc3dYcrJCW9tsoUn+PzUf9QAddmkBBR+Nsr/Sy2BY1zzz8K/+J
bA3JB8hK7CurgPJTmY9fpil7bhTHxz8dAi3qdm6ijV/6JvngEPUx3/+LAyv0fOcAhrIuDOE/+/7V
TiaVOij957TL0RLnNA9+jJE9Re0qbCt+pEkoUAWehYwJ2N1d99mphgQiYdza0Ky03FXYBNN6lG7D
nozWABoOBdpdCdEh/zzyHwar8u9u2eebbjLB15kG/MGyJDaESibL7bV1l1n5d9GX+SZq+hFMCzXE
voqkXId4buo9R300l+l3qY/OCW1+5lNSJ+0WhBHBJpeW+dRkUj6MfXCkSegJ4jtv5LN/b6LlPWYa
krtMiPGSoY3O4nXzI9Dcfs2HCnXpTtPvWAzltrBKBCRca+AKEt/6pXyZ7dbvfKEbit3BgErIlE7x
mnjIJ9cWT+kKBG34oEHkQyUtNeo7IiUfIlHcJVEXr4mePBKdeLJWFGbKGuhPP/2a1W1wDKG4Q2AA
OrSZD/XoIYEcCQSx8a+tIM4LYnnsHHZ4iyD7DDFoBgcRxhU33GizcHgtXFyVIgejw2e2vOR/NODs
toVysxY6MRpTGMAsX0WdGNDi5HNBcNRYB7AEYIFUNhy5j/RfbCe4H6FcWFjgbBfuVM5FRRmGR6fo
i2ta+OaTWoOChDX2J2jEQJ9Y1SkLIHB2tEYwafFVgNQlOTcTet5Vl+YYSeQh3Sq5oz5NJqHebaPN
806obArNjmp2GZLzErs4uyqWZhfn/3ssNZLSx6DYcIohdmuBr7ExoVEQitr2fEOx3y7jxnerx04d
AvDSbxiHDw1p4oNN9mOFvT3WAnkLCIfUcLHR+st65IfyLOiAS/YztNz83EWmeISk7a946sfvuCs1
69qdbnajYD9MkA6woPoygioWSZwQKnAyH75C9dmblFpJH6AfE9nT8Ky1cnhg+CdftYq0vMrQMasi
BzMSe8eynK3LtOFrxhyPHILcYmun717BtGM8groFbJPD+FVA/v1QFlnpBeq5kkOGZ923iXUaZMZf
RA5uQmVvOic7WMwuPFQwQc6VlQIZEsFbsc6TEZuTtuvvnKkQT+g16dgTmv3aVVAyea7sTn91/Y2W
pNHrgPbI+5KlEhW6CEUMCBTu6s4tt75iJynBKvrPIGzZw1f0sdyCoiyv0AyZiUM5xZmXuZE46oY1
PaXReCWI/id29J+N3z+xExS/zt17p3OR6k2w/zahCGC2frWiYZXFwSOg9Dsa0aEI2XoInfAq0wGb
8gQy2UYW9ieaTNAC6iW+E+znYdVUOzRZco+GtHgagzSPhrWjs0uHxSeTA6esFraqPryGEDJBVcpf
OV1rPwIIwO8nV8N2sTW1bzE0LtdtHYJbym+b51T4h3Hg/Ns4+ulWd+J8T25G+jUMRPqVmaaL6kPp
emR2u+nrsqpAT/iKdTn/71VlYrFdZzrRI9g2g00grf5R+iPap2X8v85io73Z0rez/wc/p+3v3LQC
r0otwmvVPRilGz6l6v0liJwAbHxTsKVhaDTRVSQPNIhM49uUVD7eHlA617n9tSzcekcjPwCBFKR5
+hOdfbBFeTPsHNwTyW4VFr6sn/mRTS3csrbehdoAWTgq06uF6eyDjRaGDO1r2ZegXYkmoEih+OdS
62FaACJbkwhBN/kg6FXsczH+QcHGGwrcZvXol+kLwAQb1S5pKageBODtdWIY4wjUFYwTXgAiMCJB
TQINlTxPk53vJtLLoSC1LmOQbHuRGxt3fT6dZdLrpzqt8egHCQjRfpApbsqzAD9AuH4b0iTxe5BJ
B8cnjejQWKZ+UkG0Djoge69xqwz92zw33QMjCcpAqVhCPmFX1E1w0FVDfU8ylXRKB3JxE0hNQGFF
Q4EEPu8cP1vn4xJdI9HrkjTdJmau3IDTKPHwYg06WgFSn4fALwEy07pu75qY2mjFK/q2+T1N0mGo
jfTg5OlLGtZ4KV5W6ZGrTTafLADKIaAq7fEpVmlfOjTRC37p5sVRZPCZiKyT7CyUQTAfqgNSR9bO
7nK5XmIsH4144yib7WKbhPOrc/ArpKi/l+Zpb15qlT8WibBOfDDmpWk+fVs6MFG67LneeJQ0E+CE
QSYUzbCUYQv9qb7q5lpL8BHJwY5ZcNfIxrx176Ql9r++37f7Oc0W8DW0K0LgYdQjPnXAYoe8wqXm
fRmsYuTafMj0rPQm2QM+V/zE5gZNHFXZvRoR6pZ605ZXkWKLgRc368zQd7tnThscqqCuQPHM7K3s
nPHCQr/2siHvv0ygK1vpGY/+yrvgEht4h1y140m+XcZK4nK+DHTm29dOyNtlJje/XaYNbQcE6B0b
+xUoLO9angZren8woso60JBeNiB4+r+GFQ+DNb0wkHOhhhSbSy0BllN8adwyewY+Il+PgP3fRZDL
eY5STd/5ZQKdOzWL3JN2b3T5BTun/Hk2QbbGQPvMZQmfWF7e0fBDON5tNc9O7BvkvEvGBopGeOGc
0fcG2q62op0y4PixwxLoA4LAZgkOtCYT4ksehBYw2mrod/o8zJBhPpZRfBuWOgOjX5GPJ617rvW8
fyzKhIPlEIC/sIEiCXAB2hU8NPyq+93vEWxzRzJZjQQpgGlfQlDdZkBFclABGNCAoVlaBKiqNJ/6
R4qWkFTZGwb+PWmOvNSK3NYBM1YXiSPQIWLn9RJYQf3oQmp32hSNqPYOdMNtp0ZK0RedR0JeQZne
hiRIs8xqSqp7GdLs4vyvsR1UtgDtwpuYuolWxjZzUv20gLBndDaN/dwp8cY0mOtlms4otFXxNPx7
kQWDvfiTrXSH0mM98L1L+OKy2P5eaJn7sCR9IpB5mfOnX/wa9RBYhn8vROGjHRy1sYzuIEXRnnjf
tlCNwoHOKqk7x0bbCTm1oE1YPLjUN31ttGic0Exos6iIGioZQKMvTsqYJEEMOL4J6FzuliB4ua34
McLNR6lvJ7XuqNYN8IpwKlLDWElQMDzkCRABcWhV51TR+AS4N6Cl+jWSZX5vOEyiKp/or8KP2Vav
zHpLXjUPx0+CAIpo97VdggBJH7YmtpbHuML/205gGOh1jZY+YIq4w+odgyjMRmjZ1VKcMK2tn8PI
Kr8iscY8y8zANi+d4qSXQbOJtaF6Va65oppRrrFyhdws84wi01egoHV3dQMobd0W6VfNZVc/Nv3f
LMo2bsDDH6Ezpeu2TPTHmsVipw1KVcgJxT0FtSpoRFCQ3IJyq56+yrrXyx8a8v2ekYNeyHF0cf7s
zIHcz7/PJgKwPmz2f3bSuUGvKxTaZA8UOJk6JM1xt+dHglATeDtEf86+5a4/w6ppouxR5waGxd90
qQS/twkCl1VV8OIw47cbLKq3QXAhb7Dmv1uUTLIG9eAkTH+lD1azyd0I5DvCh9hYxMutnhnmfL8E
naVcWzmT8/0SjMvGDm2UqReou68PDNQ908ILjeYbMsJ9v76Fd+F0CycPaUe3cNbnT9K33H0+96il
oIlVRO7recz9OLvL4lYH43HDewOFlWaEIvNbc+jcOxomReehjJK+qwiSz1JIobPFhoxKuhNu9pc+
fLcsjm+CzDNnl0UGXmRoPDpdj2YitJ8TAW3e29FjEvz10ZkIbGNf9AfD4L903Sx2qYv/0XDpdaD0
Q9PqAIO6xZzDWBqpKcIBP9is7bhMUEbDKsx7kNo8sEAYoJ+qvJw70MZ0gGsJBjz9I9sWDyiH2iCQ
asIfY1I9ukCEfwGNobnPx9Lc4jlvfGUSdOLKIbE59PNM0z4lb5FgRxzR6GTZHikdjjmo86YJ2Kw3
JUVSOmykHS52kkdc/EdIUC6KiSIDUWWqS9+jxdSkQ72DtOQ/L0BrUOjbBd75JjH2k9XYjBvSuSHF
G5nXX2Q1DcdZ+f1tOOvnZH/PzsOQFbPzrJ2TROWmTNwadfuh8ag9dhHwTgEfTTzqhdVItzvUDPWI
hec7I51SZKOh5xo9LMa6knX9GOnltA3t2FrTk9SuOIQfI6PzLDfmZwYQxD0DWBDb+BK3KBQm7htK
YiVosDrb4RcyAXBt3Ef03cm6zF+PypmMtAAYZoJd1Xb1emAAR+VpheYFBYKJIj9daVUYnAn1QsNl
lpxplpyRgrs5fxbLE/D7zTAcf+BX5Bl3NvJZX2vdttHqi9y2U0vrYruWsaKEbxvFuyAbbx5D6UB1
y45+DqZsNsFkoGMz1ronEwWiBxPvFTQalAmZrGEVukN1aP28e2pLbtzVWWeuwq51QfuY8Y2RhtXF
kkH/1Nooq3+yHI+Zjz5ttVQiCwgIqJXb1qhXOs9+s7JpHlpW1R7gzg1SGew7I5GwcQUoW/nHb7Xf
eJESL3pg45beddZ9hqfQXd61+r6eoltw7Nj/DA6C+haMV2bTwGPC0fyHoIz2JHtGYmduNfzWTAAM
A981n3Sh2dtCJHwWS/sXfz3UH5PQ6B6lFucrpGvYb3vFpsj5jcSPXBWarT/rsWCbHIK7J5M76SlM
dHfT9Kb93BgKLC4H/7e78svR+Z3FoNk1tdYAL2+OrykgpidfOzSKy6QlzhJ1qN/OyEZDKLKQK1nI
f9ArfgLqLPDaIed77jvfeYXfSmTil5tk+E0NKX5nLho97grQQdyHuFV6WozfLaQ9fvd4/fkjRvR0
QqIt69kcPIwZCJDd+hYsOX71VoQ/AgNCE7TyrDqbKlsdamYEaY/MPvY60tsGNPl2ph2jO1DNaoBQ
XPI+3dLoXUCsWUepEuBdFTjb3jes8kfCdaA4IZ8Z9/H3rGHImKtRi6z4Nq6RQaFJv67kA2YP9Ld7
83c17pxoVCt/LVRa4PqQrkqBX0DJkONNwax17Qc930Pqmu+RE+we0yyDOrbTNb86sUqGzvq1uKYp
Q35o1PneMJt22/hS3ulq15yABht0HKzY0rCKO6jCiIAfgQznR0gnmkCdwk/vgN+QptjMHmTrsRnb
1TrYVt8ZlwXfGT9Z0EkG6G3m7V0pQ5Qw7Vj7ATnHFXH6pQaA5Vk79U85Pt5OkzXIwgSLL4uvABkA
8eeRr+FEYEEE6c2KimuxwTcQHdcuc2nO1UpsZ2UBYJCOv1LZi6MG8aHZl1zeAubaXGzdAvKw2ptt
XcybKsAxvArZ8SttseKSe5YxGFfajqnRMqc8aY48O5GsIFqbngsFaTdCxREWJH1+FvVLZPhAuSsc
PE3SGc1F+SsNlrlKRdOcab6Q2ax5tKpmvWJh6iNqbHZ9wO12n/Y2iNxiPs7DgWN3idboneUkNnjI
Avnq9Na1Hxu81VrILIVO+7UxY98D4UR0tgOenzJ/bDcQdZ9dQ1WJIVcLMmIGidW6ToUMlJ3Wpwyz
q3wMow3Hjflk9KHPt3Rqoz7SrD7MF01Xn4LGd+7KIbkPNcvwwr6I7+3KLQ95FuHtxijqK3JgSIVa
vfNjBKkl/gz+b9+OX6vWql8/C7KQyJ+DUMsszzIvo1WohfnFiI5Zn7UPNMh4jR27HLMNGPIbj2z+
KLILTcC1kMPNFU9SiFK27RYQ4HhtMRBAzg98AdJfD024fH5jIHE+ssVOyzdmXdSPi63MM1CHVs4X
Iq4sgtKbiStz3G0cjfXPPvZbW1erykPfDfkD/udRNJdR81cOX/qS1xnqtMBXFU9VGQprp5VB+jA5
RXSyw/TQganmoVEHi0v3QWp1uol4hKy+lgkbdTYYtSB/ElbED9ng3/ze4slhsaMJC+ySZg56Rkgj
nrqQXWwgx/ax0ScXHY0ua9yMw++QRDrSowPQt0OUTfH3ILUhH2KP2YUZvthTEDpik0vWIxvl4z3k
u6H+FOrZoYLq8FxVifHbmhgansfgV+SA9TWUmvGc+sEAvli3OIda1hwKGU47d7DCR18P+Rq7o+5b
VqYXwFXMP2/hKGjdwn0/GzapNhXnZpTGpoyzY1HK5sqstgJAROKQaM2VbLzqLnWXxud5pNnR2Sym
C43+M8gsw/pOGuVee9PXNHJ0+83Cm9WUzoKas23R4BwYhwJZ50QeUAYl3phRfaIvi9WNqJR8YuvK
tAQPpypdVRl0QoXymV81KYYFKM3M40bNk/9NP1KtSWO9AtbUSRwTDUu5cYLmnnGS6kBnEOqxvK7L
sEN5sy1+dmwbJ844ug+iNn8Je6DVyUaxi98SKx3AKca29RbTBzetLkCpAPG023VpvcXnw+ejCVcv
XoTjWLu2l9C61KbBaH6EECrYLbwZjRvswIUS3OlKb2uxL8N3RCwzvwZNdYhrVNw7G0WPIRpJkUkV
ez7UcpPm3IX4BUp/9IfTlQ2Kg663/NOTbfGj7cQHG8Uu60loxz+gV1XRog7O5COjaVsjmgM16yd0
cnGfkOav2hxRccLJbHmbcotfeGjPPimd2MUnPrnTmS8WirsrhhztwHLxGMq4fWYQyADEA4TNvA7Q
yiTHVaKGbYYKFtKP1oZmowKtH5EeOqD5x6xaw2oc/pjoXQs8NZR3lTl1otsaTVsUr5YcK68OIOHR
VNW2KtzhK2Pyh+Zk7cXU3OLayu5C5roa2h2zk2orFOlxX2c/ZOK2F+kMxXUqmguZF68cVRHyqoKx
vZTKa4AXmRevLuibgw7aOE9W5h1qtfYLg7TMDpQf+o6DePElj7o72u3ytGjXuWDZvYFEyz16V5s1
TbxFWlNr7pqm1nf4wd9FlndpOz6/gy4qgCkNsUkBwXJTSNQ8gEPVygZaO1ClGO9H09mAAdM6kt8S
K8IqvktE9UqmD2jKZbkZDknT6FUw0UbrJKuaA58VidB80cZG3qWmkwEk1JovNeiCN1kmwt2ghlnJ
kQ5FaRqke3AeRfmtt0X9QJP9hNeq2Heeyy4SV5mYO3ISMkKPCAjX5gugg1je5eoCNJumvg1pBDec
nRtuVusCUusHWlJdwHH6cVNDtRr1T0WSgn6bHGVjdCIs/QRzNyXN8D6aNmCOibVd2hr5msZzVrxA
1XIevyOyWZYDiB28Q8H3NMUTx6qy9lQBdXI1JomkHUrBZNdNAJJzR/DP7IKVn9qNv+1UahYNHoPL
+mFYfbWFiSyPA91NrtZ/8/9wXVr/n/4iRy/32+dBRV3zhkhP0Gid9A40Bs202ieofO9cEfqvQM1s
qajPoVcH9A7vzrEzhBCgATqYcAJCamcjiF28cPxHpAl5zTN/oB2XHXVTuyqDJL9LjPFAmzOnjiCY
zFMd4ns0oxfaocZL0kkkcfqrwYs5brTpdzHpElTgvLyfjCQ+9gHLtmg30774efSD3nSSrpxdO92R
XpNW5T3IvB+hNTTeV/ZjnKNMZSlIY+6X0TYfG+bN+EXsUCOnuU0O+ZSu5tefhom+7wAn19A5irwS
enPlM/h9tUvtZC+UNg59qe21cgI2SSWXeWC366CW6EVQw/8KsrOnKHcgXK4gY+imrR9wb8IBUI1N
2kdokKDhMvs2YShoGUXQQejoPoqaHOIhdZxvW72o9jbwC1A9b4FqCjeo/sa/CvQYrKt+lHigOOYe
tfN4X1qA5vzDled1Mrs2g/tgyjh+KGJWHyDFlCNT79RXOjRNaK1NpH13iw2qLGu8usUXMn2IQsdH
c8V2E+90Kipvg209l3dRuh9W/ahUv0w7uXeA+3zlPRCD6KtBIbE5OxKccjQEdUe7TYvO3dLwQxCq
QibSUu+CmOPcTVHsHqY+QBu70RibaMxSMBCjV+08nwruWKsY2KkNGe1YZIeurL5EFTMO0gLbQa03
7NoWEaoJRsp/Rk2zIlKuIYz+aqZGf5mKINpUUDaAuqM0D6YLmoVCN9kVbx7vguLQloBqVnIGNEPK
1NnbMv5D2OQcPfd4YyqYTbYZkkzoZPIDM9+f2ZZabrJlSMGszYChZhgBdEulV6rIxvZJZqiWUWXW
CqrqDnz82ormyEuDDt5aR//euyAfYCuBot2YgZj/hqzJXY5/oPEwojnoGqZCPLVmsAVpRfGaybY5
DQ1qvDTMQ9fdyizN59nCSvN11pWo8OVt8RroeD1TayBZLJ44ZxsKii29OTkZYNd9j783QFzBCiWg
fmUURX7nMLN7jqTxXPVD9CNmLV91rikvQCXWp3hk5QxTiuoQTVdN/60JS3wvsvAWWXTWc20CrrRE
msjaHoALdVdu8DMvBLjSFYUgMnHJKaFEKZ2m6LOcjTQN31KyELhrmJcAcnUie9oPPcPuoWmSq+bb
EGXT0TQOUqi1NiGbzUSYXPng/0XNnY0D3pBP7AJQ/PWo/MFJxNeJMWmoDVj6PerkEKYaovJbC6Y0
D4wrGURP3OA1wG+e7GnBahCQ4plYT1rxLRf+1Umb7krhvbS7FdmX8EAvQwrHHdw4cp6W67IWNdLZ
Ll4BFZpOb+r6HINnekVFaq6GNEslbJq1lDPN/ndsCdXXQwKBFo8B/P2s+RoQXfXY/c6M1cil/xub
f6RGGpl9ia3B2MQ6vlZmbtjHpq6SrW/ZzbsgZs9BVmgkKyutGtDw4dtKfMdubyF/ltXWemFJzgv0
G7S93RyIeHky8wjkQELp0+MWRtyjY5jjvTN/H6VD/mCVZv2xlkGFGnnsPtCBD8EA0IC/m5L2ZiK7
Ibt24/ZQWP0wATDRix+5+WGx0xqhhiqesLkNnCcWj128aVtlcKlHzd9RYZkjfemVakhlZwvYKY9m
qShNs2no3GYn5fzfseSsh5r4sixFK1PsshTNon3a37kgyTxnjXz+yJxhpNeUSfuwUG/Q2Xu3aFIq
EP2EtN6Q6OWqbx9re7iFgNqEI4EZyDu/cHZztk+l/ArNCrB3jGtvsVFC0HXw6yk1Zu1pwuElZKdV
ptBnu6Lqk1vGkNKL5Wje9UCpLUvQ2bL2SAiez9YlR65W+f9Zd7ngv65NE2Ai/T9/Zmxr+q2TWqji
DZN90cqqPGvq3p0OLUNlVNoXXa88yALX9+RBJqOCqFkUBVAOtXwb+x64AR/JvalXm0i1kqEOTatV
+zACQo9clkt0U7rnmgU9dlqgRZaSx/J2CXJD6u92ifmjgGrltjxFkI9loA+Clh/p44q/P/3yCehM
/QS6Wn52K7IE7R8pmAWWTzUvnxlyM38s+uQgcwXyTeRgSqVfDHMjwOnxAycyG7ZAJaDUYAzhCWrM
deyl3EdvIyoQ6wRNrydXzXRFmmp3NKYDOrbBHTN66FEFgpJcqmjQmjPNRlk8rtHo788ryK4Qzdkd
wDsTMR6sSPkZTdOBZ/iJsUZ/4HDKR7TRrkgOuibxaDrN0h5PKuFAjyfJ2zmQ3GmW1qEzsvWVOI3o
YdmTiQ7vliJn8qvZAA0VNP2tyfZu6XenIeQ96MqzWDWtNrE6UrJ80EBokKt2O6MCBsjs63jN5NiB
vS8Hl14/+nLbZcVPBqaHoxH7hb/+j1MSX6eYesh+0sgiqXYpBvOuSizAVcybRgRJS4BJYTrr92Sd
5ScWB20Kxm0zue2KXJeJ2dEoeLUaisHY0sw7oYnboouwxKw/QePcN4dtFCLT5I829JFUUyeQrMD1
x1G/w0uqvF+2jLbNIXCQdTXaHFCoDMqi39GsgU6OrTnW4yqv46dOsvE4BPmBXssdIEjMVdTJ6Rj1
KVQmmu4+9sdfo92D+ZfEkiFqgyR2XAOcGfTx5OUCnOXzWIMY5wENg+dBDxovaUZk0XsbtSl11ilb
iKr/fEa2f/UD7cKht91+00RVfx241a5YkMW/wq73skDXvksr7L3ITpszNs4aWpaReWKjPnxjbbqT
BY9/tZAhXiEt3jyNoALeSd6MAPSx7prEPsSslQvqQJ+uVlW262l+0q2MvBvup9Y4EBym79OXoe2n
F10yfWMkkMtOrBSv0BruJBwsJN/AVTO7plY+u+a1M3qF2WrlDwB7osOUi3xlWsVwqWQV7VxZ1SvN
hBwDbZHb2rzNYkMi73XTZBDZwN6cJiLh95dJTSwR6E8C7fgw9WoLc4ugXfhyIScbbxGlfIBKcDwz
0RPQoUSpeVuMRbgm6kfQy2ilVYDyXAMbZFHo2wFcHMey7gzbI9+Ug4WKkBGmia+AX7AIe3HTsPu9
+ceRslur7dgZr0j5Tu/cYacVU/5di1Y8sYfv+LbydadBUvnFGVFLnKy+Wrt1tAE2LrlAp/MqjbE4
W2aa7pivx96oS2Cd8xEKghrIF99cQ0MLn4ShJ7ukc66Wxp/tNkeipZIJZK/xLG8qHT1B7x7rdPpx
TEEl3t1WuF0Lpa2N0PmZT+PWZNldyaKePYGOxc12iTHIUz/kim2+y+MTuMSmTauIhhzQd64qVDdO
oWIUQolg1Vqx/aXMXfnAZf2HvMIyEbuwHo05iIvEX1nu+C6oaYL+6kyRPAQdxLZ7s3KPKWTaOfJQ
Rwevs0f97YxsNpgSQO0borERWLT9PCRHjbFbCA1DJqKt74S/TYqYHefzHkjRYhVP4sBll+zpClnN
AFWN4xOIHMIVS4sJZ+jIL8Io8Wo9i/c0BEal2InQFuATwiy0HyF0M0Bhk4YsS8+gVitPCdSxyTKb
0R4Bqdf0atY2f6YLGAMb5wvk6gJcYq9PvpqLDupi4rcL+GE3HEt1gcTKw2cO5k6FPCfmOFCr9KeG
C8PDHwMg3n9OkAvZZoY5GpcAXmklmGkXmrl3JHTLClDdua26OL5bhhyT3og3djN+87tKoLASVHhw
ZdFrPcagecZGi+zM1cvFThutXBs++i/2pncfASWMDx8hMKnhQGwrjk6CsDI0vYiGWdD7GLfkA1W7
04ynIZ95ZnGv0Q6z50Y8a4p9gOSQG9l8RzORewOSOUo2VHkzBfgAYr9EPmYKk30SDdcEygYbF289
jyzGVnfOhvlzoY7ceyEK1IiteB/XVr0KwAhPT5TJN79rcQNChI9PGb9z5hm8z0HEXfhZtrrdduRY
9sccBUjoizYGyPDQUWOIlyqR030Q2j/6pLXvy8mKAMZAG40T6vUO9I3BljwpUFOBxS3Qln2FFJlu
HW8Fh7JKf3IkAGf2/DkLSw9RfNXxYqdmZuN8rJR1UtZ3z+FwtLZMpv1MOQ6Y+i2w7Fi4yVsh76Bx
ydZQCytf7RG6ikEkp1/mAJ4ey7VASiWAytVF8rPJRbFiuhG+QN6i9XxfsAfXBo5zhOzuAaT++Nh1
jLpRC3lrJrPosTEsfy2M/v3CvY4a4dvCnZ6mPyu1sINMFTTYxn7L+tQ/h50c153KSLRGsUcnaPla
6+Www/2Z7fo2HF5YGx811XoFqrlizV0kLIXo/LOPs88iUx3lN1cHWrKzKvQp1UDXoPfnSuA+KAGD
xq6Vckc2OhhZtxYyTS80glJmdbD17vOoOmqGBy0eQKCT8Pysmxy0DqBN9HDzcI62OhTMDFtIOTD7
2CUAZXuuVQh0GODRZPO+WtEMHZrCEfmZTpeF0C8S8ccgbv7qMvNbD5YFth+7vNzJFGXl/6Hsypbj
RILtFxHBVgW80kDvUsuSbckvhO2Zodj3rb7+HhJZyBpP3HtfCKoqMwu1uqHIOnkO3l+g9SlVmZ8/
DK1NM4TGmdGY+jEHE+kZXFV/tXqMKuPWsiGs6pTDiUqQ30apZWPjzENRYY8/A6WnOpg7L6pl6hfb
Qk0GbuXh1xpkKfRjtLL6Bnw+eH6wC+BPjQVk+2Laob7Mh0pk+cgrcUsYCqCJw4kZyMaLpUkQNGNp
6qpWHomlKY2wRzArzrBLYuD6s1GF0ApEej8jAdZfQmag7H4h5qsY7y80OrS68Zk5Y31KRMyuyoC1
RA/IsJdZIYCXegnqVDrFSg0AjOrOrisTStQSoH7sCr0ar22yK7XegRYKH13OQ7zwQVDYvvZVC0qL
aHaCIsHzWhmXYi0aWY24Eh4Gu5hOXa/bVxqgAxtQdWqnrRFUDtbFUo3iAwSai/vtYJl1ix+LhS/p
7wPlIBwvGkSB/8Ivj5LXxb1SVCzooxHENb8PYJ9fHG3Gf1C/ZiFn4iYG9lxr8NRQX734U5CxyvS7
7v2k1E1WVZv69pipl62L+i2mPNX4OI4f+rsB+TdT4cN+nZNmUdrG2OXJCHKWZVIUttiogx1E46so
E9lRwO2gJ9iQAJ0t6PXf/iY6KyOmHUfH/PKhX+pld6kcB0nS5c/crgiAJUdkt8xOmj14vI3TtBzo
jA7YNTVOOZh4/rvvgwk1yZfctuafwv+p7z+vwBpQDotH/H6LuV2ZOTiaP9nYkS/lqN8UZum3QeDO
qplYl1Gf4OhT1BwQMgkg8Wxr7VWzJsc39cTvlK7aT3GaeAa2knxQTOVPdebEF3yZoc+5NBNgC59A
Wm6NOn+khuyGygXj5nimpqNZih9nmoRePEzZnCeXpoZYcTgsKkdwTcv61VVXsZbbXHWIva6uNBVu
V3+amdzp0j7MDK2qCF/ySiLdBQUlcn83M8MOwB8ummxpZm35m7eZyZVGf/3NHy68A8PHiU93To0n
2L40KuioNEJxwfWVXk3Q9VzpbGICkOpWTijJGHkWVIOYRigdaziSQedU4AwCQz1LuH1azVejJBb6
sRuSU4Zb5XAi622e1ZI612jbHGMBeV+UNyGwMaUl2Irjx7IArsbJEu00LAhag4MO36pnx40IQRs6
gwetCuPWM6t/LEGm4Ne6KgJqQj4R4rQSUsRkWy+h1Jara6gUv8IjypsciL+pw2Mk2u6+GKOjiBAS
FYqpdqMpxxw3IFWFjAMqrL/nBquvhqqCo41OaxXqjEKo54oNNcRMMTopXTJ4cetEuzQBB/87azOZ
jf1bGLJGXU87uZv3W8AZG34DclRJc+XCvq51GVWpDxcZxo/01grJMvAhG0jc2102Pb7188pK/9T/
wX4qF85KB9tfbrNc7CItvlG8Q9V3vMxpULzRyW9jm+kvq4888psF3i+mSxaCMhC09Fs3Nbt6bAKZ
ZhmYqqv5TCI/KCUtaxcKJD9VyGwEmywQaHsTvHjM+W7ro7P/1g+iYd0afgrbAsp00xnKANJF7UMF
UrMzd0IUH3EwexVt90B5cVaIo2ARWqwzPldduI5RkvxtjLLv//ajKGS5+EnsanlG3XRYt3S9O3ZJ
+JdhHvsFUKjptXC7slQ/I284+fEoQQ6HBcc5mqwmAIZdeQQSBslCKNR+KiahIw/wzjPSyuwR6paD
2+kAdLVacxo2PdL1dIr6FATOyHOu7ZYLTxNgxV0Vc0omXkyb25d0eEkWVtR5FuNpMkw4Lc0KjFU7
PqbjBYSl8dfCeRkXUtRyyDzRGwunYvk91CVeJ2cTCgqaJXwCh0Y2BxC6NLWAgKPDyrC8YEjBQQKh
mUhZ6vn6CszBjXUg4H9WKPdYaKenrUqA+q1W9HuQSrXuWkxAnWTz5hFC1tFw+cKwJlSwLlzjBVDF
jeKsJlCSdysjK87U5mZfnOnwpz4a6DkIuWvQNe8245nCrMG2ODJKEdzIy/B1CnJY2+sYCBotLQVn
0jLtGmQLSmfm2wVtA9S3TvYxOCiU7Z2uQa2TzOmPoLP3s25X2CJffZpmzfIB6AAXwejzPndeLNRn
71sgGveKHc7f8C6doTbrhS3dxSji/S9rkPc5LxEvDWSBSnQbYAEAQawMYgM7CXVbcR/aWfO3qZ28
osArTAJSl6PMktd+E/LxqmVVa/8f7FGzBjZbYYauxvkUDMpUvgi739F7Tw9sP+5i6nRxpjC+gQ3N
cFHoHf8ocu1xtHr9yYI+/JE8sa+6epIBAxuMl6fNdBlZ2FzKfnoKy+i2SbDq2PLzjd6qfNr3o4GI
YftjZqgvWbYCWxQ4XKGK9CqYSg4Dig/9EeBiMijBisf1HsniwlEvKMN97GUTo/g41y7UZesCFYgx
fuOOaAFnUWaJTOov4yqV8QH7qCro30BxtI6S82YXWdkalJPJGvWDy2KTl9jwGHJ8PsTpVUiuHnpj
/LLygo2lUp44K08bB9gHXjAn72a3V6wu2EzojEjA5sVfQvqUgjspBFBNDvXsVewOoj519i4vvvYu
zK7AAC9D1LEqV63crQF10/n2Gq+ZUQXYVdjvGn8bf5cReI32vmeZpA8kKIrvUlIaoxR94w853mQK
vIaDVmNX2gAVmQtIYVZRcsDH+oFFs/XU5MWOugEtq6+9jn+BWNAJSuHMe2iBqD6NUoz8LYaKGNYM
GgBt6nSv77I1EHn2nSiPw1xJ1xxzcNHK9Jm2Q9ZdDtrwoDZtofBRw1Z+bQv/3bDRQK4HXNDwBhL9
mVzUY4mnwZnOYzuxkaJYtmAo0szrEEi6EqSeSnp2MuHchMEdbKQo4sjn/Bzamn3TltLlxYBa+vJE
ezPXl11gE5aRA8u3sc1vGcvU+t0YTUN+oFP50ww03+K3Rfl9vje/CIgrI5HIozSKb9lQ5lCJUdI2
LPDwWVI9rm2ufY97i91Iv9LoVO0snPxlU678b3/yaBynuUtyDgVHQzyGVSNQmAWhHmY4V+rCF0k/
ZEqXQaUIg3RQpvGuhH7FVVZK9Dgag34IQWq2WuAf/1iZqPp7i0M+82JlL1YU1rLSz6/rqylXR69l
uHu3ZhGe+CLmbtoopKzNryEU48CwVgK4KIz5mayEFTqnbrYmPIIPaIAYYTBZMDLkq5a8gGGgCD5F
3pi4/qllVMJtlhSCFQ0xjW2Wix+NAVDyWQPK72iPdnSlg1XnAukEWe3U2YYWimR9tE+MObrSSMmM
ajcoqt+qDkeRKhCtyamcsflDTPER2GBr/rcjesjCJYP+1AFFHiSOLZAuzIsL+A9s344z50nRQAdJ
PqAUevOxVUt/yv62K7N0RSQ0bM1GuFfSadoY6mU902owh+Zs9HOQ0ryOLn2biRNFWTDV3AL/Vh+Z
UGAvstpn6nxeqbZ6J3YVhbMzsXA1UZWD5RwqoDQ6zhOA+CAkl5OePUxJunazNyey0sX46lQjv+XK
NhtPBWubB+SBOmgfo+AWRWjNQ7scbBR17kB9+Oc+HXUWt4oB3wHKNT3EU5Bygbql3odGNHzWGlse
ODfDgEnWPdtR7pPBWPfYa+5yvCEtnubiSY88ASp+kE30n+1JlQfLUMIgwduHl9qD6lN+ec1iQzOx
20WARmLtphSpt+at1zGlGjLg28RChdBDW+1S8aHbgXEo86iGtNQWAkxliKw6kPwBJITKlRi+6YyI
wBf0KRaq0al4Ix3fzExwknt9WWQe2dLAZmeOY3XqC/P0jnV8Cyz1+V7Vy/lIXcCF9nsbm/gncOg6
bmPxbl9K1Vw1jgxHTCAfBgiYmMUEkBBOOM8PrAmnJ+z57agb+OwE33uw3hBLGYSqXmOsdGQduOEo
Bo1CEWONEYZJs4OsbHOEEOWOxvCKllybcSnPJNGkJZDW9ebKjbZdDPGa6W1/1/fF/JDa9UwXQ910
MWmEkkCKsf1BwmisJ63Gi6uQoKZgocG81oYY+OjUN0litVkCSbOlmSjCuRsjLPai9p4qjmnIqvm+
mgpXqSyk9MJYPcdJXxyowmDtW49r9QF1G0sBQ9uP+H5MTbHKwP7ZiMxRG+iifoYdUASfg5wAN7fG
AelFMmBTa5yi8ItT/kV3s2522pOtdrlXVp15BNZi9mqOvSRsdW+mFAH7Ia+m5ElWFHBgXQhRlHcB
ywlF1HTz3Kx+TUu3WvstFjX/bZXxAboGHW5zm55RDW0z3zYNCRpT6BitykRWqVcQWOre2TVlxQy3
EeVLCvr34xaA3IoGd+uFk48ifRgcShTPWkbvTz34hJkw9UNd9yCZBV9EU3B9x9V84Zz9JUmzEkks
FXvtrL2OomL1VchmsyPfIRIAMy/G20BictCsWYZz4Xk+7mPUJK26zQW2he5Srf6k2T0SXpaT+IVW
5A+k4CwblKANdTXjsQEJZwGu+j+50iCeJtVdZfaPsvxOu/pRP/YLwXryaDRSIuMEBGoDFeZbDr5H
YMjH5CdMieRiM42BHF5N1TgZb1nb1jvcfZKf07+ifjClqGSa8m8rrGDuAwXpdqduR1ebx+Yw5Mp0
65YDqC/7Pdc01PrVKBID74Jj3wOj1INf67YdSg6qBHKlPvJvRsgGk+tm52jxPbBK2tGYB5QsF9xw
I6zdR29c0MVZAXYKAEVeR6iZxf1w7vTWJ65IEPV3u3zqjAM9cIx+VI6tlTCXmnRo9UtuODXgKJWz
o54/OSkFEM0xoBBKiwR/pXET9B/gaGZZIneATEDwKNUriMluvdICCXNB9M11puNNnUGQz1js33WC
iqm8mxxD9yRKPG1N25FYoQTi4FX4MErbLxLMzsdMtmBGp+F4aoyzSNpgbSVQRJSL0CG51SYebuXI
X0Nt8cgk6fs13NZPZ4Ol/4NcxbA3gftbnjX0IKIzRW1C6YIOr3SlPWTrMOr5LBVJOXCSF5EG+POb
j04iF0Cvttdo2m9h3sUysImVGOEPCrdGAtntT6UxrAPyiyW4x/EyN3ZWiycyWKjpQAO2wsF3tPBU
2+VgHG27/boNOmOcHCS2Z4UfJ/HfzLg3ocJwXFnWx/gLx673jRjZgXaYzlnZftso221T2n6Rmzoy
PwtLOwA7rcvU8v/gn0FLqiwTdhaVJe7LWK3c0RrZHtKufegpYV77WpKznamN4n7KLaBzLZTmnqo2
/0R95EdndEjxWFFHPl1XW3CfdCiTLLm/hf7gsc2xulCYco61QwI89Lnp58+qtB7qSI0uQFU3DyF+
u9S9tv7dxdQBBJlzAZFQbARqee+DpFHB6glsoeC7e20SRjmExs46Sk0aFZEdBtT8T1+CO2NB1/lz
0cxB3Gn5Z2UEBWWUWPkXOivi/l9n8TIaWXjngqaSlfftT73B6wfYfywHuXTI8NifxjI09nXO8mPV
GvoNyKdil4JS8KemrERBZNpyaX8yZGZi4Yo0y79NV6KgvgcnGVNeo5JpLGNjjfrrAhpUbXRTlnxp
2wrMnxCXvtOzpLzo/cQhKxOX33tggtoR3MObRaKz4vKPAXnU3trnrWZc6FWPZaJEMcbALvRWSM3G
hpru1qTRzVgF2ON/8XVQCQxxdJJ8VATu5ISYwvq2aCPjugKm0mQEa5JjQNZqrBN7z8XnahldbYcJ
0JNeRx2e43KPZMKFKcEJRwLidEoHnhtZUMgmdzebcmFMXDOmm2HLo9qfG2h2sbifz4w3z7gDGgGo
EJCwRhncfB7fDiKsoGm/tclltaTOxTvSbHiTC4VYbd5C9Aqka5y2N07ZWL30tQrILj65B+gyfaLs
7MDafK+ZsQywVwBFK1G8CKm8Wpkt+5QsylZkpcb2DAJApHRjpXkZl1jst1igIM/3ZEUZ3mVGJSly
f+ZN5b3mvRWItoFlkHLirHht0Vg0RHsao5z4W+s//FCyqax59jfLP/iFeA2lmBSlaXkA9dD6RGgW
S8Qo/Deb1IYGH/CSM4q/YzA4nVZ0yzxCjxk7E2aAHFzjUslsjC9s0CPtv6OiWKqCpT6jlejTOCqc
t/Za8UztdvF51y64jYW/NMFn2JZIqrTFfCp6vFXMSWV8bVDd4lkxKlZIBUi1lFtYTMMDBxIRO4/j
ASAw4+vmRFalOkmvVqLiaFlxeRkG+Y8GPhN4aqALsJzPDk/n09YFCnF5SBOncqlvzpR8tVVn67OA
pulqCxaFvdCi6bFRdk3a1C+ofOuOczMlSLE51UvaGT/s1FFus6qnt0nK2K0WMzmaGpbTTXwSVcSe
a1AGvXlnavPqjdTS6o033ROqgRpkcLTiBb+OsapfVLXXj4VcwAizVb3Y1vy3Ojjy1tvdeLPG6R9r
sYrizvJGIdnx1RcPyfplXnxDBYXN5Duo2t+tUrYefgsg/y0EgwgP9qvY8p5hNVXlCb0uT/WSPFHH
3NViFGCR2cxZtHPMVD6bRVp5WWo8D2XeHyKwDhyqsQMRxHJmh8nrGQC5/+r7/9ttUUCL3h4lEKHQ
pZaesZQXx2XJAFA1sNpwHHt5guzypaBYsVrjCB3vVzMxpK9miTKDqGSQ+WXuMmQm8fVRW2GdBp5o
O2pGqmJ68wBoBjU7JXlEwX76YHWx8dho+X871Z32GZj+xKOUdjFL50GZvR7CZEh0tXV3KFBWCWlj
JMTJYk5DrAUyQxypqeeK86B2rw7TEOmQQ9K9bHEigw9OlGevllk2p2TuUHgIh3VWqwHpEs+RvyRj
JrQ5aNiA1fvwF9Vp0iGJcg5itrkMSE5i6nL1AQZ4OiO1t1Rz1kP0akBNbICRwYcIDW/KwFzsf0X4
YEBTUN8vgz9NkdmqdhtRSWR0WfZgywi6qUPxSAelna2dkhtAkWlF+aiAle0OZe93m4XWAeUXdgk/
Uh8E7qFVyqFfpBngZ9nNmvG9RPXohUY5kt1HE9Vz76YAFunYdVOExLRVPJq1Fu9jFpceRF5eL0If
nrRQjz9RiArcJL7W6cwngz9csy1BAqKwTNuTgw4413bNNAldcyUs9vGaaZS8/nDd05xEO7uc2otq
zqpXltnKbZOiHvP21oqXVqMl61jW9OsYMd3Q2JtlqbQ/UgWSQMQibDmGehwzkEpttMNRIZ5B4+Vc
OTB7N9mA+W9JeNtLCxjgtVVJ3JKWFi1QyLJBcnRrvfmR5e9j//ajJPpU4wX3337b2OInh954VKKf
Pe3aRsvipFgWHqIbANmS4endwErXTEzOb8MZEIueQbS5FYNSzUpIHC6rdGZqp1d+YisUd1GrY+t5
IRouu1wc+rTvXtsiMqxdDblnfx1/89YnFD+th18R1oC5geefIqSBvbll40rNbewCdulpbepWgqJt
Z9mlSmrHZzJNT+Gy81UA07F7TSJraooLWkTXarXJb7oIqLEdnAzS9hL7TlkXI8VZFSh56x0H2Ndq
iMA0JTLcE2WcrkE00mqT0RaJetZwc7pGolZU5BzYyPFx5Mw8R93g2XMEjYemVcVdtxz6rBZ3mTGd
Cyz4T1JYfNxDGDjbNZk1+WTCIg0udGqnmRaIHgt5auKtqtdQuYR3K0jyQPP+V9R14C0sTdJL/Gfo
jHwhXZTt8lSb/LCW8pxCAaeP+vosgU1cD+3S/M++0qkg5knWE9aotjmFR2qRG52R7zu7LdYHm62p
gXh0V+TYSOuYogKNPJW+0znI4UKNBvrYBahKXTpNpSgvjhAMDHe2L0SUsyP15VjYZB6558wo/Xgx
hNYaOt+dvnmSj9aCel50eMUFDCmfscq3teuUtJ8z3DkO1KqiQr/SWUFnIUTRBuXISgMIg7VrcSKz
XtdVUKVG/6yj0Ec0Z9QFYBhlDBaAPePorZ2rwX9Nt9oYJgSLY+O4XppQ0nA/x9aXZEricz22MSBl
OKMDVIjExz4yqcuqxI7JYijerBMeHUxbQC3uD6E+2i4mWm79irK50JzU3Pq2Jp1pPZ4soIf9NBbA
3mQL8Kdc4Dl0Brh0Oq6duBsZgZLFrzY0TId0LsQ7Fz3NXu3eOW+Gq18b6msscu7tEZrOf7LZrunD
LGRcSTBEQTQIoDwj/qlAiv2ga1pyz6oovaczSLPhX6rnlb8NWMuow/IwcGbdcLcBOhuyMTs3Q30m
sy0SDcZlglIIaM9SP1lQvxXjzs2AUqbWdsAP93X6zZZGafq2Rk5wMyaTNm6c/YgCwbTDOyN+XfFz
NVl50Day2dtRkzwbWfsdmoDZDXgD6xEF0RAbgFUYFvzYp6L1ImuIn01FTjtNHaozjTIbvwM2Rl9s
p2/u/jN2aPTfYz5mNy1LrMcydtYpi1lhR5CrAOJdNj/UOdcfMnX8SzF69lDrM8ARITbrS5x+g+zP
2t8u/fbA+12iphLJqu6vsObsQfLyvf0SZ+sne4rze38hCkhQxo1X1VDxMMJyeBKK2Z1YbTE377Xh
STfBuuGAgokGqSucjcBsFQfknWJ8ivUejBd6B+axxX7OSuarkRH6NJpjZf8u2hQO6i0GuxTZ9paY
P62CRjY2GfneyfXncREukWpxAkGSB5ap6KFtRuMB+MNHEscqkTTZmw7Hi+ZiCST082blMOvwWuqU
Td29kQpQzakWhI24BCN5gnKdqz6HIEkzJ2BrUExLL6pzBVZ8MI+dywb73ro1vhBCTcntz2ZhR/fU
AvfDa2vZ3YfU0dqiN+e3MXrHXlp1l4a7JMfCdMtWghClOFVN+7jmIyON59Qki5KYKPDZ5Ccw3z4m
Sz6TBiizSf2L6xbt936t+2fsIPinmFEGXlokSClV2oBtg+YYNWzDgTXuffiJBPjeQq8mbx7vrur3
vi0Hq+cooefmGCxXvHWnWApPimJZuxkVpFHn8Juqqb5aaNHTMAvxhKLPZ9nPxZW6atTy+lnUxAE1
y1gpL1kEZorNAQxH7qiAKYa6IPuc73g/oQpgCdlE43DglgaFqyX47/NBgVc8qb/N14xa74MJQYAK
pRNPzay9n09PuuImWejJCDw16Qj2S6ofooO6VSl9bCPtrXhGhZTFO6OtEGmCagTYMBIQcqa3ceTD
HV2ZIpjhmbO017/dSfTkLHvZQkMSl7Z+AEDwMa1/pIZax1At7+L6RM22XspZOF5E6E8HGGC4j9Xw
1IgxabEFm96Ek453ZPthKp4or1Otsyyf0/A6FV1azcQ5x/LabeasWkkZtIWGgagVpqLbQR/Auq6s
CpA7TZAlMqOVX+GVagH3pt0Yt6/Oa6fetzu7gZwlETHQoeiKdHWGsi5IqOuYgezh/+icNkpyzC0o
1G0B6YynYGXcZo8FTy8ZVpu5mUx3U8Z3SGPwm1EC8kKHyAnPqpUAjivGAhWrcwwR2AT3j5Ha0VLc
bjiFiv3ovFTcyYwGcM6Pn1ZzCtZon1u90u8pnrZExr4UkGlaph+3icrOVr22mUt/62OZyQ6hpqOO
9u2q+rAf7yb8iOwImiFbf4wL1bBZdtm6totdLw4ZSvwmRywoaQoKAC7k9xdMA83wJdQcjs3y45ZF
XVOnS/Z16/uQNYWAgHaUuQLin9/MyOFDkpb6PthRE+RA2CdyjJ8keEYHklLjdvaqnSaEwxt3a9e2
Mu8nY/pEdtpssMb9aMPHQfesEUSHDGiBbG8kxU5G9nS2+0SC38pUgCVn2H1BTbqqnlINezKxKL/X
qLO0796s6zZsJjfXw/ra0unmiJsXQCfgovTWelsqtaWi23ft9dRYmDcsNmPnfgpDbNUs9bnvSnM/
luoOs9l4qmOYwAD1Wp8Lr0/Sq4bKLwaNgSg6Yz9CwXO2V07UfDcCjFJYuDReLEbv2sDVK2B0Xrxo
3GiH6Sgr/q7ro8naJut3QxnDk20X2X2xz7XiMz2iJs5OZWwPZ0kPE3povPVtD7G3fllk45ladADF
mn20oG+iF+m1zFL7xBSOheZyCKGTfI8dcYY7Qm0FkYqmMqBAFZrBvPAV1LrsQEMxmC5ZNlppHvBQ
+ftDBOyV1GBQU9wt6GYxzNlhXrbp1sA04Egg49TWnPYGvryK1xTIt+mQnQVuC5ewTpmDhe5g1iok
iegSyBN7+82Fp5ZP17rNQn5dNYErsTGw/5Ps8Hajnyxgti4ons8udMb7QW1dajt6Y/i97BsXcFet
dVMRDylIDn83xcdSe2HLqx3502G1X0MVZqIdbS3dd63GTA95G2QwjR1ojFV3Zm0K7qYblIeRv3aa
vYZ1mw0gBETJvEwqENDQ/Bzg43HhLai+TYkLfvqLxsqvLQSLo4kBMuHctHoItEb4av43WAJcYOkS
AA5FAVlCpTmZ7QH3diTJ+DGd84OpsFPaN0EbS88u/9J726uUI3JKnmXMhzkDYi6yoJwq7tQI/Mqt
7U9MCZDY8NsDLyBMxRjQfHJf6em+UKAhkxs/xwGY+DA6JIN5HvFxtqw+F0N5bJM6sGrtUBvgWhJg
OUoDlZcn4Zgey82D2mLfXbaHpCqPUW/ujRnvv3Fz4CI5iLz1eY2ykN7xs50EUMCI9LO0PAX6B0w+
FRA5SEZojHXOEau265TNXqpo/qwOR1mAhKD0HgpLATuv9K0mD/p0fuzb8ZpaMZjsRGBC18tQR3xJ
MN5VvhVZQTpIV4LqjSeAQPbSBznGAeWL3pwX/nI92Iy5U9JHM2GXEKVQNZNH3MgkuPQr3Ty0pY0P
hF8YTwOs8w41/m9Cs4KmtXzQ0QItBK1ILDR6lgSZpfojNAbsSu6L6H4wCxc7vYBcW8eoSHdA1AK+
xHdGMgeqhbKKdtgPvDqUNray9fiY8zGoWHSUNtsD8+oPg5fYw26s5LHTR0DhAJgQKDzIRvDzhlAz
RL5Qaseps7ExFB8lx5Z3eIVyii9L0xsSwy8LcSgtuY9UaJ22eMiy+VxGTqAkwyELIR6HErTJ6j2r
Ro4qegIrbOA4ziENo8BJJi9q8IWYjCDv62Mo5AMeK0EKOa4QT9SkxI0OTMEcso9mZINiah+1ha+F
YDC0GArL8aWoMWOoBqhp3vWtvi9zPA+QRKtjPRjkAAm+8NY6kw/VtCBtFTy4G1TnP03THOQTiv1R
KgWhMJ939VFCsClrf4AqYG9zHhiVtrchBtNn/mAZPmcQLZBNkBbxvpuAws10P4QIXIhPrNVzb9F7
d7I9KIUCtcn80Kj2NtRf2wbKDdbgG/rs2aBqAjXbrp8C3IrxoBAAQiVB16CWfYg8gKr9dFT8TNE9
pAQDVEjG+I1bkV+GuAYUDHRxG3ST2EPu088jJPbDGR9tAK7F3ZBkQY1iERX7C0ba+SYCQRfL5wl4
V/oXoUJGQPdCgWV4H3ABDYdMnACwBiOlBik2xbO4+h2clnsNcs1BFQKuLvEmouZQHcM3sRTtZ9Qz
/z2HLN0ZhXkMO/1Ob7PQ46hYlE5i7Ssn8tpp0vBthqC7Ee8TFfs2ThHf2aD5g8KM2xdgpItYdIYw
w2cRO5PbCqRNgMG6KV36Tx2rX+xJuaqz9Bw7+96ZSPoDmmmCCQ0CjMDGHpnDi92nyEmfdVZ9a7sp
Bmut3OMOmQ4/jBJK8qpjQli+7ICrK+6rYjzjVcpnHHpwZXoHnbzTaOtHE7zheMnKge/DwtMUk+3y
4iJN7TnW20+VofmA3wwo6B9fGLRvyq7atRL8fEY2zTuti5/15f2zghJN0VqfrLHBRlvI/ioltiFM
L7T0I/Sl3MgU9wA07JvUynysT3Z4iN2xvP2m6krrh1G8M1s8fyBC2Pkpnw5QHH3oWfNSi9StuhQ7
8kNzZ3aqmw3sR2Pcg2rLCSKzeZDW09gCIKo0zwLsBq4V5XeAHeyx6VS6ttM+xY3Zu0bxJYVKoyti
1Cjq1nMSZ9duAqax6o6l7pyqRNymgZVepbY+uO+yQB3G7wB5nM20i3cgT+ldCMW4stMunKlBVwwQ
qr4H1hFitEYA8VWfh81VJgMKyPNFB76BeBzH1xm1D0Ng19Md04CSnpAo0w0nyKPob2tqz/gJfp0h
nJi35h0U1qEF6+lRchdJ8XUa7Z9AQnomOIumYXqCCvySO3d7KwpkXRwa3bikqjhNY3plIfS9s1He
mcxvtenUcwmpoegMYtx9gb0TUCImwQwq+aS17qK52NflDJWG7rmEoLOLqhWvKiavw/uC0h1TPPf1
yVZ3vJt3Qn8o+/5uVHGz/R7VxRlUO6e4nE65Vr+gBM9FLR5yx25Y5j/AOfM02E7uFuVwNNovorMB
4K7xjNTxvyq1ayZ4YLEKkOEiyHiGtVLxQ1GMCDdp4xmb/BXkW7Q9H4aXyAbt0dxBumtuQsgqQehd
zk9pEl3DQjkWHPoSqNV9Ca3ubEASQJuQB1On5FOh+Nhx7IEii/+pYvlDfO8lg4yjU2Eh0HRftCKx
D874rSr+QjWwfo6Vb6CZ5K6G7OquAuDKmK+Vnlx0TTkMtXmcjeES9u1xUN2jXZS3Ic5v41S5beQ8
z719b3PHw3a2L9ToIRuR5HXcnGnXosc3Nm3Fz7bP7isBWuoslx6vIJDY4UGhLprF0L/GZ3WXl7qv
2tEPYAhjEKu67dxnLrMwqsbfFHmtoZnihrx54riJ97pylXh8lPHwMNbXEEs6t0ynw4CvW1ma5zlm
x85mQTV1+zmFRlkyX6DxgZ2P/MU2bL9j+lVlWaDPfJdNxjHthy+qk/+w8B4i/ong3T5nvX0SLP1q
shn3BWs+DvqMJwb0KazRN/FsCzvHzQAXTCvUD8r2DqhMMO/q7hT9D1FnttS2tkXRL1KV+uZVnTuM
DQEDeVFBEtRLW9JW+/V3mPtwqs6hEkISYkvaq5lzTFbA+ynnkqVJSFScKsgtyEr4xPAGlTONpCj1
aKu6PMgWi3PfO649QI0CLQ6sueGT0TK2kr+ZSWhISu6ln9Qp96wOrLRs1GhK1xsDz0unoP1XLPMK
ifwRb2IZptXkd4p6Lkfj95BgrwPBfxjK5ZhMHisf/kboZNovAQGlqDHZ6CdtuRWokLTCw48wXhzH
i7zGPTp3YGtl/tspfRKZ/RKDhXxtFgwM1fogJMT/We7mtD/Wq3LtyrjgkrHd0fA7q7tmw/SrXd1P
bxFPlAewaS8t3gifpwKPIsU5IFa42FwtgzL4rk61SNEJ6oYszgYYqt95z84wcA9QIvdX4jEu/VBH
BTOHlZCghNsyq7wAxgrR1cVNJNNxtvRrkxYfpgBptCTxeH+9coNniru9NkSUq4JoRPtP0cCHMLUh
bk1E6qYaZPy/JuYuX9eF7Xm9J4xCuPpHndSfym+TSJdMm393W3/UpLxumfpoE9xbUk/oiGP8ZhY1
BLP1l5BUXLr92biCUjNDFwjOmdMdretDUW+2z8Jc95tkuiYwafQHKZuwbM79ynQF/hjxYXPYax03
iycBWqRLbCfUn4Jh2BamG9/TciDM56h2HrXzVSTasbfXuKn27WBrHFtbiJgWYEcpfRCHX8iigEKb
38nWXhJ5VNPiqRq6C3kssNfGnGlNCTmdRtZQn+ykvnaT+ZoY65PhAdNP1yuHRtxt5m7kjPdFZlas
xSJzGR9T6QaWSb7qfMeFDclvsv3ezHU5Nm0KoEWQfTfuK6t9TKpuJ43sUpsE8Z1Vvcl99hb1Oefb
TyaleTNMnp65DqJ1sTvWsTXs1Wxa9zXaE17dO+ih3gJRp/Ork+jyUiX23iQkqy6l9dGJvN41XhKA
HuBT3nSZYDMxMUIwPzOdGexPvR5JbIizWuw0AdGndqbsWAsZL9Ikt6V28NTAD846/feCha4WU78T
060qxLTLZp5bKqvUvB/2rdKDDENocC36ScSWVs9Brxj5FQqJdP160x48N2cpquTF9efrhhZJv5GV
NdlrFh1UkvAreicR5k0umRwgiFzyEFuLYPf14efP+vnNPx/aTAH5UA9BsfAX/UcKyRKdlmaclD3+
q/Nmhl09fVlOtFoK+fa67h6rsYU1687ZftJB1Xu5oPHuAyMfdvD2ykjYZjAUGmHX1bLbll4cKZxL
Jsv3r2wy20L2Ox7BGDlA3+bndt+jTNmnadKPPtlx24Ny/9Bna8M3mOhBtebTszeJf7XX06vNFjl0
2JfHaru67L5Oy5gbZ0+Qzt0sBh5FXXzqvfrc9bPqt4pt7zQuSaVDYAQzYLlVBlNyZQqtpJzfSwQ0
u2lCZLR523BqnIW4ER60rmjMz6KZVJLRTWrxXP9Lrom4NKlN+qFRDMfUwn0wovhk59g99coceXly
1rKui1NRJPS+2tdoKITfOvuib/MPm42rP0zbznAG+aE2wzfd6XYtL9qYm3tExsKvMJ2Py7+anGvF
eVs61FrZ9J3KoTtqam5d8trghKZenMQHFmvVb4iIDRJ7tjht7eLD0mbuIBexqmoBZs6WtDz1wvjT
jvkLTj3l3TIxrhPcpe6WZEverZ4tvTbXMM2SLmjy5ktgrDyrS6qes1nfzvN6r3wS9113LJ5DP7/g
zX27k80fuTUF9jbDPC96+T43udwv95/lYP5g0tx/qOAvoQuq9v//svun1o00oALuTqRMSCJaNbHP
TdMugZEuaJvvn/vvF35+5Noq/s8s/vnS/77g50eeq1e7adQhUTP0ycs1+SsAAnV5jo2ucPxNI7fT
mU2yXjJaQ9wUebxKtWP9Ynx3basds3mPrLiL+7QC9SPnr9TVRWAuuntVzU7f66Ry7nWco0/lPJGA
4tjJl2HM/tQY4p/aI8nbtMV70dDxxtaQixM3nXq2JGX9WCuxmrfZ888HDmgsULqK92LLnpPqLvIh
wy0o72JvG/HPhNr8GZrJPbGEoj+VWo8ew042IofXbud6Yd4ho9qIRXpek+GEcMM8D8zon+t8eRy3
Qjl0prmX9ng20pn0VFUD7jHK9FrX2ZeL+cpW+v5Fb5bymqTb78Xa3Ldk8ThjxtmI1LVdXj1nPCgl
oWb5ML9wQ5M/VLh8Rv1Hysl08KDZ9WpJnsaKfv8VmqT7oWPoiIkSAqXgpOz/qXiL0eHwAhq+HxfL
jvs66en7m+JotXCvx8Vf8Dxky/OkpZiL6vBej6xTFtr3uzr3eWL7ipMEDtG8Sw+PGON5YQbkCe1K
mnHgX5Gj1keS50J6In+qvnvxD/l+sHYua5we5mk0V3os8FvzzQa1fO/HLzlhW2f6pBaAJfgbTGPw
c0LREtQyFQPNApiop750CB4dEqz7+t9s1CGOZZ9sitC1/sxqCT0dr6X8GqlyMLyFwlV9zCC+ZBhg
JwdLfBKb6+NkHxJo+K2gmoZEtl7y+RuhK/jrlBZpb6uPumH7XfmqeUHZR2b6xzF/DzlPrQ6P87Ww
64D6lXL1L1ARBjCzP/Pn6KNFJOo/UWhMeliEkOu+wY9NtG/DiG31eepGKNugDmALZvWxaChN3MP9
5MeDsMpIIaFDacmzByLXmr8Rt/iGsgWK0wUr8iOFa04ViHGH1rd11VfZyvX4viAq2faLojy7qYC2
0+wThxP5YDLak+abQXGuyWdzZNzMWaYvOTTPzL/rBXOBXJJCjO91lB+poHLpnkyL+LmNDpndEMVE
M7+ovP5D0oZan0YjuBrJvxyRe2B0ELobI3b4N8p6J5n9lQNcH/JkK5jwfCfMWeogYTTTGWsAd89X
uHhU/Jd2SmgmswhpX6Cd+TpYXDE/ZKydJkCjY/s5uW+tqTNw+ZYSaMfII51aeOp/EbHltwwKyoUS
qSMFPIWQodwy4g6M7lHRztmNpAY67zHgTCDxDRZNlyuHmqTqZfgym/Og0A2lvDazwpz0IviitKri
nrltw8mHXYw6hD7vnz3f3+ElSDZGESgBNgcvvBGMNpyqNg2E/rFZc9iQIeBd0pwSvi4BkvEEqvVo
FEwNOzPC/xoolLBT9zc1qfRD8uNirwJhN7hhPV89bwy3zogwVoZpojFImALVe1ClDaflQWvTyBVz
tCZVsHKRaS73TacGo35T59yXRh0I6GKmc67Vh7kZghbxa66YsHdq3iIvrPWwUdtI9jh3+R9YMGvD
V3e9Jevbiu5FVX/dFQ/EnvHqUS2l2R2O6vfRYHJnaWUsK5vMGx0fA+XpWoQu0o/OYp+XIeHHsiGC
zisjnlqPkwryx6Fa0XVt/O1takYSpUBC60KIunvzynR62grtadRJj8ESQ1lsQdhbYTteSXZ2H0Zr
4GdkShgY6z4aYumDxZqNB0KDxxccE8f/f56JfJxlpb37+elMELrjmu7NMdtzZz2ns2bGawIKDTP8
/FFD4PXlpHh0A8Jk82v9+/m8QB0VgoYRxy3ZikM6JJ6fJ1wMi4+BOTBVptZWOnyxrGWCkmQVsXDp
ay3WX67qxTrmbn89EPmRx8jNwXpn2rlshuYpSV5ACgzPQ70oQZNKB6xWwb63l/KgwZALmkTcZ9R9
Epcl+ZrMfxFOTbxPgNT9dX0AZczlM2hfouCVBuRRcDuJ9LtZ84PSJe+oORolM303bR6RLH53d2aF
USQGs1zvZVxvpebr9oWeO/I8KyQtIOl2ZvFMWqNxs6yrUkSc7VFF3ZTSFjp0O50OFK2smLfW+8Es
747mO147U34bBc/alT/RqvTxMNqu96p47gFKWvbZo1kJqZ5X1FdZTejg8txN44ebpeUnrusywLZd
LB6YRpwSenXv4czDNnXMoNMHhqmBi9O/aT/xf/h59ihQEIy8/+bNVhN/qGFkGWUglZudWlgwr6bR
R43t0QY1QassCM7GY6vkUacsyy4VFbb7Z71cTpqSZ7zcazDiWSyz8WlW7NBjqO7l6EFKdt2z8Xtl
RJmmHz1j/MXi1FbvCd7coxwA+Z/VHUOmAFUHhK+/KvmAqxUKNhK6SnxtHkda96y0VwPyIEMMxp0K
3EzBIZcy+zd9fTUZXm0fpTP9Y8UhyuukFMDw7hEcDavJWPRLETgziv1KNT0fbmX6VrW24xdjoh0m
FECBsLchzECJPS6bZzMsUx4Q2bW7IpPWUWvyws9nN0MUPR3dyq1eK0W9OFpiX6kKijC/WEl2MuBr
Zcum7WX9pQy/ucyyu3+TY/RpUIv0kSDC+rRVym1oWbR6fZL/M83DrFvZERd0rMFCIEuF0FzIupAJ
NnIHNmLeK0T3IrTLF6YNutaGJWEsS6lFycK4pns3hyyU/R9vVX1FfVfhWDe6GpUNhcamRezadjVz
dF5UFLOpeRMrFRhrjm5J/Hm645DYmlR48p70yviec8snC+KDFURyKdvW2Zt6G7RbtoXr1sQ6LSh4
50mL3KF5H4vW9i1ryg9wB7EeCY6Z3tAfW/Z7L5XnMKmq6sfpjv52YlSTR72oRWC1tXZT6Wpz6eUI
PHqGL16H7o3xXbDCJmeRMcBvF8qt5bSeY9y7xLg5xQNAawiTFv9Owcuj540VNGX75JSlb0pGvm1a
BPcjELAqtADGcEaBBVLYB4bXw0ERVrSpMmZWx6k4L3/sBd6YAJzewokCYksTUvf+2tTQw9r+qR16
NG9AFXpNfV2TAp3Gn94TlDLkrMZO752F5RyTcXk07pP22jTmEJNm4rcr70FeglQtk60PrCbReMje
Dw1LgxBC2q6sHsuEQfRasQPL20CrOBhgUIXMV/Zzkf4b9OwIyXUIpmRa49G+dKyndw11vaZ4DFKT
Xz3DuYVpf16l/0DPUFktyyMyBWZwJYVKokd6lsWlnkB+9bVeYc3skLSoDYSgg5OpcF+l1p5F/qs2
dW8isdjsjXeigwExW3WrCHNlGVseu0fyOe9eZEaqOtnWxUvnMC238HXqWfqeExbJdqeo74HSWXlz
fhNt/mAusaoJJxyKjFurY0T282GUML+zOT3amkJUT/6H9nkP6ukyVx43Qrq0kAD4gAuqfewxPQdL
i3Xx53M/fwBDmp4yA3BOQhex7KsyjfOZWStiA+AZd0plklcfrWJdaSyPuShpVTWdk9JZf+k5+Q/l
wE06CwV6nYF0uZwRlM1y2GAdQ4wwUhVhXPOsYcm6YXAsGCLk+nlsDfmoswtrezdYS7AvkgOdd84+
gKht/bpimpWw8DLjGQmhk66v5qge2/biOhNkX4nhrplnhLZqvKjpdkjaKkwbjhl1sIk+7gt/Y7Cz
wzdwj4zw6hdNPKtshHNqanBwgeUW5YlFkbgVzTfsYu+t6grlNJpWFRieXj3lA4n0CMpPg5PdPJIr
WWZp3smAJiw7pX3mEd3H9pzOAfa9f4gyJ+KdmlOnu2LXDgjp1SXhPqyM7kHZRiKXWWGg1mA2Y01T
4mPRkQ+r57in1txRkdtnW2s4lBPjJePcscv3lfbsya6yg9ql8yGyzBKhGhjA31pu+zBW03epbdkh
dT0dUXoxPq0GInRyQWJlMsKOjduASHtu+5DdKaEMoafa/pbdpuLaevu6/E0EVSBT2zeXhmLsQeps
Yjlny7KNGT0vQ4DszH2FBubtSaE/bIBOgnouq3C1KaJkX8irUDFXdiTvhkaliqN+n8L8/GguoLi3
o/us69u0N0FGIZL5/JkI3YfMTTvIx5/hEpFYrL7ZD6TsYCHxD8jMm1WPhLreNsfoX4S6J/7Vvi2F
seybhUpfc8g/4+axtXm7qLMbmASj7UdF7hVN/Waorrwpq8k1aY5GAMlY80ndYJ2q4l+RzvJlE911
L5s4wPCiPVGT6Qkm5wLWgj6BjOxxvu6zxOkulpsfS7T8sWyRu6RFUh//++BodfP/n24T/7wZr23A
Bu1kdqgr8kb7ZpKO91nkMdmp+142I16thqf0utDGraXv5CT4Qn5gpU4O5HGV8q9FzsZxBfUaZzr7
O4Yhn4rqnJbZOltr34XepN/cnizn1tNKdune5q/kZpzTIoWdK7bycZLy3zJ9YOxYIRUbuVu+uXgI
A8UrOO7RGByNvFj9wekQlo7MFYXm+svYHvqMXehM1FPQubQvak3DsHbquF8FU1ZPLZ9a7VaqPCuy
tl/Ok2O/arbX4GUutktF1vic98ZZmuKF/R9Gm0ehb+/QNCHlCjvIyWVrrvbayj0vJVzz0g1cCdob
kLY0u4vNOsxaKPjhTwMnkZ5+TIVwQ8N+0Ix+2JkWTQEX+B2MMhm71AGnOC3FZzF6+WUDGe2n28wR
V9o5vgk0Ip7R1s9S2SemHA8Dd8bbhgeTLkY+FYtd0qNr2X4BRB6ZNlrhhnQngEPNg1FWfCiMnHrr
DnXbsp24i/36+4e6YNwlyvaT5yhntwULj7oUKdjZmqg/awfoV1t4y8nYnFiqhQCielkWqozSKq2r
dCIcBr4QBrotFmwAIXn+0zW1zG5Id7hKVbkO26btprv7t9Wd5fTzo9qtvp3EtcFzGVDePfc+Ayeb
VRhZE+NjJ09OdclK1k8eW5HdqCfa2TOHdjfKifFYqn9kmX1Q0v3cIhd2VfVd3+g4dWeMuA/yeICS
EjHvHYJ50tZTb76Uk824N+uqV4JjwroTMiomr746xijIZH6s65UxQKkyadO6k9VSiQMxywmO7jO/
7ItrhzkGDONov+qEWVWtcpNbJi9cAb+dqbT3graFv5whi+tu7qESf9fSJJUMW2ZHl/OMVuzblHr5
NrXzrrSxQiWu7K/C4Le1bnfVEqtT2UvUyQnPG9KEIn9ca8080gAc9B9aS7Mu0Q+aeSAAmqogo/NH
tHv5+ZwzaUCaO7aIxCJ/Lc78NGaEkk64oUNjqjffcYrhIEzx3njVUVgb8rxlYPSgizGiWKJsSpJb
QkLCRaZ7kq91P4OkwmK4pgXF0E8s+XtW0WcGGJUSChEzytiNOjUWxqdZBUneIplYkqNCV5F0qBTm
J0FQY5KWB5Xc0wFvn/Nn5CWFVY+MCikcQwAUEsL4tWRtVMrlAarHYw2JUNfduFY9cgBEtLYkB2RQ
zPMi3rI/CVOH0iOfwtF2ulHvJi+LPeWvncoTG5HHpJQn2JOX7g1XokNRi73qBTOs9iLX8X3uzPVR
G/qTNSvZU98Nr6buiAviM4bInHTHZvHw4/ZjwyOzfFGc6WHeZEJz5xzlkD9wbO/qPjuOALw8KH1N
CWo+76O2223KssvQK0iMDEvTTFHT4jMVS734XjJyqhRaRWKOswZdtl6tlc367LAosBZrRwhVGldl
7oTYpvqz0kGSsfAK55powgIiVrhNH/QiPB9znKizDBaTMQZThuLuhEA9M7nDY0kxrzEjrOWjJsCD
tONw+vmZcKgIh6JCYLaUJkcndsVkdtyz1PQ/FagYliYd8jI+s9T9ecm2kq07HO5NsR7MXHF5Mq2R
hTYiXgrdOWRoeOdLX3+hLPJbvQoWyHA5V0Az1IEuXwqY9a3eBywuaC6e0+xDyovgenFtIypWlc6g
8gf6SoPcqgath4knDGUzozraGizvalfydr/QDMrkLsVBuYD4AJs1iB83JHEoGGcvYI+3m/osXJN7
eHtceX+Js42IvgmJywrdYd7nrXMw6XJQYQRWL8AWM55C1q6NakCk3n0yEuVk2BTMkVzFCDarPE1z
ciwnflEma0AmgRZx0mxn8qP3PeDnm8tbmy5/VO2zddOIpWrIQcir188FLrKGqBkohwOP0MZ5q/Km
Z8XKh5kblQXQpS0IXZxZaFJ2mvPNadSwcIbdpqm7Hhm7VWwsx37r+1bjHrJFSGhmpGX5A/buONG0
nTeOp8SQe1zm1A3oulAaqdMcSP5F7n2dnZ2a4TEhU8BLf01sOu4LSiB2AVgqv0t+depvRjz8l/Wa
r0wM+IouEoJY4Z5EAl2G8PYPjLRgetBBRXPD6nPzGdPxCBjDod1CxeGWAMJT6EGtEEpWSLqdnrOu
CDCqRloPpsRudkMCMcpAgIYwh/Y8Wuio1Ps1oT8TadE3r0QK+1mBHGRnt0yeliTK6/SUMUdzNkC1
tLNSb2PXKh42d/FNpJhNqYcT1stlVHeSQiYtsrBo8INyjdz1hA2hhZP+K3MQGkwWYOnmqGdtqAO3
k9RBqpbuE5dlsdIc0I1ERddF9iKPtbGdOg87O4jw+yzW4xWxeMoR0hAXvAa1iQ5zrlyNXqFgSz5W
6t5kxh/baRF1KlMPW+seVExfI25KItehYzAxeR0sLjSGOqRy0HJ0exR/MGhS376v2t1hp21HV/O7
a94eiE8rgSE1y94erzREVGVdr+5pw5mf9kPx1INGY89bnZoC/h3BGkPR71FR+BqKD9mOaBeb2KsZ
EE1n2zi4Pdo2Aby4ACkto43tt27eWtPwJ+VXojFcauk3cytUSXRzPRSFJuqtEzx0Krf31eGt5Vl+
f53rMYkGBsCWQjphlZ6g9sf6qB0S0pbKTOm4S2ghTHT7Htu9WM4c/eTEqUFBgXVw1dHbIRpzzh3S
wGAax18Nnfi6DGuoL5l5macfealhHNHb5w/S6k3A2PLMshchkP5Fs+G7jRIAmE7v2AB8mdgEXO/q
NXOgmiow5vx+4aB/tNedY8n5IvTBDMVGHC4J7oe6pb8XpUcJBsnun1rFioV+Bz1IH/a15+5Mff5r
eqZ221QD2ECJwqPnPtuK4UmScb4lDU4rIuodySRgrHfLxtzA7pF6pjZgCHpbLZ3PSWY776klg9EQ
SHtWa411eys4eMZ4NveABuRd5EV/DJ9XhUSYmd7F1hefZtdkRGM9SxuCyTE1ESSSgQ1II+iM0Kvo
6F6tANAd8kRJVoLtz7z2b+3KkOjglBHP/mSMtdmvrc/V+bbH97q/QPIzuhRyy98NFUChL4DuvhxV
DzaNonSq/HagUlx51Aa0u2sfCTNG9pJ7r2kW9u4veDNaEhX60Rx3Sb9vebwV1hq223Xy3kTzuBBL
wN+tyJi3yyH+mTwBE6DSrl/9+wze1f6Z2q/R8HhE/UrQj9QIlK7dcNS9c47cJo/H6Z/N4qGkJmuK
kzUdivU4cVAiT4OAv8amd5wR15j621K5xsXNtBctE/q30/8ZnMT+u3qU8MT19K+LkwlGgQL5o+Me
E1sJVGdDz6aXYWZPvtDTQLmKKg9yXu3crSRakix0tMU4dfSvaP81vmlUcOip9VDTjwjrNgNVNecL
u4k1tCQRsH3txCuxYFzTabWSizIop3Tb9lz5BUBOHo+r1Mc9GVinoe1BfwxQcCuuWE15UdQVfvGQ
fLDr5hQuTykph3l/LWWjv3kbT0PVXcaDWmjnVWblUS3TnqafBLRiYiRmaL/qVF0e+6zeOWZ2ntx8
elsXQx5zt7UCQ1NeobaOV6tc8qio8fLk9fukE2x9s5qXxn0dstlf1gkh1ZOmHu4nfcY03+V+uksx
jJ6jkPljjjxzeDQpyzSnQynuu21aBhpFhG+w63WNdtg5ffk1L8vf1lDJHcqml8YYhsBsZjcuHVYQ
22IKokqUOO8xU+ppuYQFokgG4W9a86jSsvS28LtiVHbsqihHWEjpvpNpT8WgcC4OiDtVBkXIDoqJ
ogMBxqSeEZBRHnRjscQ6IvoWHZ6hmJ9maQ4Bbokouy/PatZUvT8BD0RsYxa3tRwjN+mLUy7txi/d
sY16p+3iumORZqHDmMiGO6Ho8plAxPdvyxlr8vCKY6JRXa3+zM6kVr5EfVMzF5lHH/za2E33Z5UW
tWR6Z7J7kZbmbzxkEfwFbf6VbRPv5dPI1vLPqOZvBvVcq0LBIgjB1GhqbUvGqlTakHA78JxN8nfr
IW6WrrrcXGqQFf3M1CUPPX6jJ6wDQdLw7S4V3aA1zB6awc34ff88fJnyZOWqFmTKNOx7i1HKQKAv
4ufqyUnT15zo384cwNo+cuti3JBjIDfkMbW1oeo00ktnUdB76RSndVPsEVSiR882xqt91gVIyFj4
FIJ4QVa0RgLjl53DMByLwgtcsbJxU4L7xrGAdyB6SYNrhJKQ+m3CgMjqlKRCrhtm23qc4zsbeW41
L1SpjB+QmJjGg2O56K2EGkr7NIarpqQnZxUP4v4vT3sotMviabE1FV+bWz41qOcuisfV2W0d49J5
Rl3EUs4bhOZXo2b7i2E60P6z8cDzOLD00vGF98tipb1Mr14inbieGDQOar28inXdK43sn5aNs8AC
CMuisIkmzvejkxTcKmL0DmYJmkk5u/o32ZZ2mPe/NJeiizgX+j00fwmn5ZYoHnJR4wXhmy2LaHXT
f9tkrbuertPrRX+UC+MQ9HF+TguAB5W6NygbLSfN6hMqO51XT9BlJ9XXnFteT1OTzHol37GFi725
/MxxOCKw4j2uVwYs5l+FyjuRWZRkD3nJybfUU/Us9ZchLX9bzvvQv0i9jwmARz82ISZD2LulvoI/
wPX+dF1HNqXrm/Z3j4y5S8sYcsQ+YT/AxMnqGFrzCAlKmzNpMy5FUfwlrREh/X2WNDk3h1OjTuv6
mGkts7ZueYLdakwllTuqY5VBP7/XPtobOtzkPtZRWPwdtNU7iKJqdl7nsr6xBE0CwNypVMNZTeXB
Flr90rtMGLL6oSnGSzNkRQy234tydR7oJW5ivpfCEFBkkCDnYygbZ1OINDbkURM1XIHbWLKYZiOL
+kB5rVn8q7LzncK+242DqdlOjaBGHO9xtU2UOOaNRlMSFSieS1N/8pR+jEdt7o9DZ5NT6CwPdc+u
y6oG0tQL0+GRTIqOQnnBhkq8bE0pr5BsGOU36mMyoIdTa3P6MDVTC0ZSfk5WZc+v7bTE1n0Rms7v
khevYn9fp0oELzVEvRWxC6JmVwMdAcIm+tDsEcE+9smD8qJPPBOovCaBX6H6a7FgCbRlOi0aL+LS
9r8r1VtAUVHtVI4Z5Z39liTISSanPXvtFiRt5hx0lLfjVPOYc6ld58H8KKF7roLxA86vZyXj0bKp
lBk4liB7CnFieoxih40oa/DWeMAPs61Pq1mwXvkLw3Vv2ERUy5bxLYW+p58rqbCYXpKP1fHwjxtH
p/naELKm7HTty9BeStWgdTPYCaIU2fItatL0LXWy+alnPPmUNdlA78MAqlvh5TpJrSBMnO0nOJtI
cTNbIpSw3lOd7FU9arbGH6plj7a1PZXSVs/JJA+DyhC6NF4MVe9uZq9yh4/PijEhtJ2/dN3+UjaE
1UjMtKBv/i6NvrEC8dDiwItD0D+qSF/ug4TlgjYLKgKKWh+dp72QyTIiXPMqzhU28LJcoloOIefQ
BdH4Rcwi9iz3ZCyfYraexDa+GOJ72tzTlDcoMJr90mXXyorRtVd7D1WsNQAR6MbUPebIJ8K8VNog
5xYm/6ps3sAjvRqp+0Jq86+GhYCdUC0jibQd0nBH/H+oag03LDIVN9iW1xd5fyQx2awJe/e2F2et
eYXmhw0JtFNUj7qTdUej10GCzFNsm953W89/UUhO8TpNBM1OFAPW8kQ++rUZeFWktb52ev+kF/29
iQBFwZZcW78XVRzsu/11Nb/zbTl7NpGdWrFFBqPAtHFiqx1l4PV9oKi07hIiqoWvjj3IZZokojnz
VHHbxclSC4CME85hzdrY2XbLnrdD2eF6CwqLeBzu1ywdMbBrN20sXxe+q1sqzXmX1AulczmzSgBQ
vYBgJ8dzt2YMmO6vUEa/mKYP0EJvMHt8c2MzklishfUdtAljJ+S2vGVs5UUmr2k/bhdXCwtrkBgP
QGXPzdgGklnAGb0mrIrFtVF1L7umZ7NtZ+TFmiv5t3P27ln2GDdrLQ5TSw1oPap30fT/uDqv3daV
LV0/UQHM4VakJCo5SM43hMM0cyhm8unPR28c7O6+WIaXo6Ysssb4YyOOM3FP2751hFeNOkEWiVYf
REPuLS/pdC/GftwmiGHYYueHxBkdHEoDnRvFFvBeZY2NKMiJB0u/k5K1JBXML0ug1NOnY0fvSxF+
Tq6LjGV9nTSRck5qp0IDLCu/lKb5lDmIcWLOdV1xv9MuxnqYfiTVyNGM6J1XbKlcup672ID0PyXw
psPi8GbdG84/TJ1crTHl0HdkoPkOB77jl/N+SfbRF1CHPTyhMuOJ+4kslTI4XvoGocHAigs1cOFt
ii665SHfp6rZKyxy4Rje8R4Q5u3gj42Rp9KHuXPBzrSZ0TNKKrgBkEfHdTfdDC5Twvc12VIdJyaW
pJrPmoYIoElYh2y1ZnhyodmEY/J82Ow6TVTqx0bq7XbsScnrFvMNl2+HmIDeu67rbM44zbiEgrv2
OM/appjkvFe0EbPG0o+vedogOf/734goydPUpejs0JWjDaHNEBcMghtzWgr+sNTj/udTS2Eqx783
kQyvIETyKEgDeRzaaAnyCX+KMYjsUVvfoMmcjt2ifg1GOEfASqZ+rgwglfUb/r5MVzglNdnP/1xr
7k6VRLpOtwvgYXQ/JkV8369v/t6b9fqrM8Mw+PukumbX/r1nJa3i5wP5gf/9xN836PksD/Sdv/2f
H/T3ZbJ7yInZv/vvz/nP9wCFbfrWpKNz/cV/X/r3nmhR2sEDGPj6//8j+vus6Iz2SNHH//ja/z4O
i7oCdSic838/9Pde3E/KhnQm7Hjrv/TvQfz9XG5Q6U7rxsJLFxvc/O+DQ9OPJ3dKYGL+1zNC93R1
crF4BzrcnHVPtJzK0TPpzqk1I+3YVGaue38f/c+7hcOJH5cDoph2uHMrG/bbnCZcW+2I2XSiSkeP
7KdCClCabn7PkLajLRm0/d+XaUTml0Nuv0RV8pmE9neKCPgkctXatVP/kZCS2WzQDYanfLTxzKH+
DU/z+ubvg/95s36LZZZZMGnh5e9Df1/x97X/43v/fnQ9TySIiPhiVQtmj0Yvb/i730wRNp9z0aOv
oy/uznYcFT7fikFn+IRuOa8quojbaFbm0a1AS6Ff1PuwFcOlzDV7k8969J4sqD3pJKlOHc/Vq+k8
/X0YVcd0aM3M9f/+t+0hcghgn+/LJCuvoR3f/j6O+L/ZdYuOejFLb0aBinByc4SxVmecuqxCtqOr
4WfVbetIql+hxsHVUa3KMJVk98rklt7fJxK33RmNMbwNOYNuSsEmMg7wrMSsPCXKki+HVjtfGtVw
Voc2f+h1nROYxp9rb41fQ1HV7znmCjPOPvScvxOJWvYOzvhqWPW0hZYVjynY4UYbJwwMUml3PSc7
2VXdPQGUJHuRNeRZ/LJRxs+agCmcKStR2ZoYRNzVjZNb5GwPmLo3SEPAXlIwNiAF/aHEk71FxfyG
GZH2CgRMNC6tTT3IVeLyIOh88TRqYsAxgDicsRk2RfYo7ZQyqKYbPanIf0ZM20G1vKQz9EALmOmp
mu5ZIgkGyj0YbqAjMrFXUzNEypbvirp5lqoZ5HSFpxHjfGX8w0GP+PPHELT7NbcaZRCsqjdYmj8K
40zH3q4eKcjS6GuwIFnRduqtdWni/MphbvaJnw7ggUjvaC4sd7gC5KbbSpo6/akbdzQYNHslm1p/
HKQ/0aLtNPGCLKL5KuP6oS9LvEn3RuaeB6XTUTxM30yXeDJh19myXuK+SI+Fg8KlBPP2oqzaRKNB
Q3sBaVUwfjJfVVLcJzhWWehgzXq5621upXn8YDaOb6pm7BkFRvsQFJo1CjNKxBU736WJhIMdYxYb
W9kJS239oQ3f7J5ZKOvQ1uGhabCIp6NXlcujOwPT10uzITu+95BAenblZUrPFoL7goTNc4/EYtd1
O/mnIeiOgnqSJYujDYAHLVhy3NvuXYKJRhZLhWrWuTaYXUKl2cJh7yLLfUoEXNbE+pQ5k6+oy33r
5htXMpysXYSdPYw7+PggYnlFUtJtqAsNZhYAnZyF1SQ9OANYM0iT0kivdca//6py+ueqlDbpyL5h
kdcF3P1NQ7a6utwR7C156eS3claPlfst0ui15MjbRJX+llt6svGYllAhDvqtcNAnqh0uMf04wP5b
Ms49OslWB1Drscs9ovWwE4z9xBXp0htW1bErvX6YAltS8myqzKrJorHdFVetvdEvfdCL+aWa0fyS
cD/L8aux7Pdh9qYxGL0YqfIYp1hw7ULd1JCiunReey3diXJrlQhkGRXpg1oTxFt1RXUR43LgvqDC
Uo+6w9D199kibu1ATaYSBorP5g1L5IBzaJuOZv5CtBNhnwo92bThCZj2taM4BnXiUXbB35f06FI9
iV0XeHH98eNJURkzayRE52ge9K0jI82bnSnnCcgsHuqSPfW53sGFV5Rdzv/QUuI2qPT1gqbSECkj
9YVzOS1M/i6T2/q/ssvLO9zVj//5Yo6Qo5mzqP99Usud2jetot9Xsome6LLhheSw9/19lo4kGWR2
n+CMZ51zazU+OiZXl0HgWdA4rjwn82BjxOxDylDy8Oiu74mWjvYG+zcJuW4S63eJUaKTAV5A2o8Q
Uf2iLjRnJU/o1HYzapIUtdzhl8HP3T9aesiGmZqIBF19eY+jzpODolzXPIpUEQuRaR138NghlXFe
wJ54eSxVcqqRd9ad89WP5le0aolzanFkUxBLEu5jJcVD0z7MpBvgwttXor+o57gHTjFR04XWVuB6
UGnGch/qljSKtNxxjj3QLfOgFllgk26HG+Mk+ns1yx5dh8O4wKEvHWtNs3jXmJZpT/1s1IEzhHGS
xAPK+3r9N7Ne0OqQTwK4nXk23kHVzpBUq8wA0kOKeUqbn0h/RmPldeNlKeJrr9jB3GbnpubacvEH
j/iZN2jEf/RlRSzV6IHyuBut7OAHqXY3d5NviqtWUBn0NOnxQ7VidUrSHOw5uZkaQCylPSPR+bTv
veo40kVR+roSs9klxY/qOZPK0I1mGSzWfckJf/S6FtN4FVPQbjwUup1yZo/+ZJzMnjmaOwO13b5E
estpG5iZdV507dtV8nvy3U6AtDmy9FBDEzi/5yLQYZSo4ALNItfYqfaRaImbuLd1/m2hTGOUjx3j
ErLHRmUwfzNi2nWH5diYmLa4a0gFakos820iZaYPiU3lPAvrZWekoz9GV03tws3UYvddU8IIvSQL
Qz4ZZri1ZL3pa+vVtVov0vipkiD/6TcmhSJNoW5EtoXAVrPXdJr3UfypkE6XZfd6Qa1Dw0ISPscp
5oa6PIF2HnCsfE8Jy3IBqDujtSxI2FlFvQi10Tp2PzrUiIsuHMfqtopPbvi7JJE/DIeQ0zYhB0Q1
X/VsvlrikAylgayysjd9s0bQtmhlZz8pFOIOcpgf55AR+7lzVARrNeeRmd2qOiIgJaaYvjH17Tzt
3SY7tkm24W6yMQRsCXjtWGvnZmEo5x6mgh1QCiKc+kFVFy9DH9CfLZXXUNHqgbtc2gXmgzwkqOas
tLacwftJ7b2Ff36HKCecVtP6durUIFFZYSKEP2W1c+33MGmYiFEcM60K6fi5eUpIaq2iX1fw99WQ
JnByRHiAIjM/rtC7VRPXCnlnEUwAMnqdRR8MFefyY57V+CrtwCUUw13nmvDkWs4GpVJEbUjLZW5e
2+iLnYf8rQbABV6G6cBNj1pX3ysYEIoI3q6L/dX93quIuVN6zcajcE+1BXw0cvm73ozgIp0TLK0k
Gdb1DRG/H3bltneB7nhwNBYk8EOMiWcnTT0x548NALJkW9XrcVd2qPe76Rjpd2ozbZXwXnO+xHwt
l7vW8ULtZuIhyc5KTshBMfkqInptu8bU0SPkK/hwiggxlrYjqMuvG8y1Ez675+RZ4pbNFYG2KSji
z2MR+eSgPjrPdW74BYdt3KMmp92dUJ4nI/5XJ6+mlmxLZCjOtQUAixL6EdzzVLunaG6uDlF4ZMWR
Md8kH2H2uGgBmAIh+TBow5q9EB1ykOrZcHcmMusoDP1xIYIT3SI6tJnA9LAkDM9yHuYqfiVg8VEN
1Xujwbktd5Wj7okJQSDj3hnKA6bvrTPg47MqIOvyXk1oyEGmh34Rw+6Cnh/tZDHl73Kp78OoYVAW
FxOfz6rYgf9K6uiUjfFl1LJ3BXmkblbXImaBCF8ROnghJqvcAcFZ4J/sRyOfiIyIzutFockr7bY+
ymQCB+LAyHAEqDSgbWq0IEU4HuO8NDetYb+NfREs1ey3ho62HX8QfzzqH6iHbZM9e/kdycMbRWi8
wGHUkYHkbQ3EHtFKNCEyqZTuVHbqHqQYOadmBcA98GXidRHaS5bOCLgfMqw2XQc7HbdXK8rflyQ/
hRKhh2u+2FpHrdF0D16Fcym8dBZ/X3UgBEb3XNZg5ODjbY40IlMULutMgL4Mm0mm3LonTzO/Y+4k
qWN8WhLFraZ+tbBbDUpttzZPzRR68dCeMLGBLTmXcCILUMuLrdIpNZaO+c5WokOB3YUSVX/JrXhr
Ii91FVDLqt/NFulyunrXuvaZyGSioxx+eERTEqxpsy+G8pnklStqbG0YvmocswN3V5UfWa0WGXVU
AeULyHvLK2PSqZuzM9aBYbe/M5kVxerMsqpDT+1YvUADIiFodinteEKQ5TSrd1VTpvA1b2p4xlyC
rY9oIy9RZ4/fWKfDxZY/Uo1BPHyluYBVbWRQOyD54BfbNrx3Fg20KFTvwm95olzvwk69J61mG9Pv
OXYdPE/xmiE6agrI5aS4mQrRjYi2NtMzcKpvH9Qhf21zpP29/tZhW1QILIYOyT8spSGDhDYl8U2W
03FOmY771fgHPecnkbNX9DSwFfVeLeDDZkTxE8cOSB2VL3C8WfM4CdRCvIiyTuFZiw8G4dBxagi/
bDnWdSDdXtvnFRsaMLThPpXZb88w6E4wrho+DE+fIJ6Yc2yj/9Ww9MdR+ZMSYLg+jyZILcaANrtM
yXxPXfAuTnPiCBrSrK4tThzUpPt+fJGs1VLkgRIzmGEPZsw9huSX6RRNhxDO7rBfjVU1VeQJMm8t
1rZRBb8GnlIIBk/ldcowtBJDkLHq6vXkuWb0OEJcClFQ4Hec7AhVJfy6RElQHjJyKBS8i/DuHZyQ
6H1BYy2Y4EaTyOoyqgO8PAxfMfk8h2Vdgwlic1ftaZeiGKqi4pGUnC3Wu2+yYt7c7ASAizkm+q00
oBcFzBYJxmox+XJzBFo4Xo6o8+P2SVO0e2AgcydRg7vsRoMWIXQvfqj73alhHyghtmcYwIhc7dBK
9rE++Ko7Z0D1F6myjoBQP5qmelbkgq0kFvHp702Fs88S46pmXfyxWHjtEDmRVeRfxA8jYr/VWdY0
zGF6dRsy+7Wx9YACET/MueFnYk153IxyOroLYbZ6t18omsQjVG0lcsl06OCAkLyaLIVxe4zngy2j
XYj+pahp7RBIbMPac5IC/aLlvmouu4qhpajN6nGvdbq+mWq0wGJMsEUNxjYbstdmcuk7zQx4EcIt
hzihBm7+5NZMqFazQwLzUBuwI7mdvIxJ+RbjGVPSrrpL+AWdiOqD1jr2uRxaTAmivMicFYkIy0hl
koqWFkYAQDcheKhXdUziKCUzZxUmoIZ39dTCLyXgurVF7JrS6DZaDZYYjvioIpvoA42lFcHz/VRr
F5U0rTZPXhTaA2SL7a1gkrEcr1ARhfchV/m8aA3hJ8nBqZUf2k1vXdQfMpNdIV92KYxVk/7TisHr
HfWxrlda50Nw+yTYw5o+poRsAFvwurK2PV4t4kxRMvqYPPyl2sdifG4aTjr3qsRs62rCwByerSXc
DZq5mcKJ0/pgFCq3a/mPIPOEhm0vW8y943zli7JJrEfD/bBD2x90+64enF0sabs1dG9a4echi3xU
aTdlQvE5HqqSXKZ4wGitbPsBzy2XsVQiPHNym9mfZWpAYoPSGs+z9cwUlg+CuJT3zCnuSvNDnb7n
auQCrZ5GxQw097leIr8B3NezlyR9DOPao4B8R2etl6HmKWa5QZjp9aD2C7pueFzWZZssC0gRWqyY
Wkl6r0k8U3rIpDHa1+l3c9ETzhpaL0OtuqEgYiNIiIyunsKcgJ7ZPTXyi0j9BHRN86KmOI2F/oBf
bpP1ybMacQ6T8buXC8JeUxu8tJSgGAr0kd06JKPCqIwX5PS31qbckeep4+TNuQ+l4maN8m50v3UA
qPGlGNILj21jU0lbbyi+6V4N/kSkX57G+dYRAC1J1ZuYT2dHubgOd/3uUpqTR2jD2XTPWuYEqhZM
ZBtQ1vvyp0aY61NVuxe1q187yvX00PAr0LMxn05KkmNfK7aipc4IRtJMgjbiNmPUu5DKjznN/UFw
tW1V431pWQOjk7rknsZ0II0WP8b4b5nqT866F1fYz9oaHzP2qCqcjEiCZflsa84c5p0HIEtv7a/u
gZCjqwhHtE4VgtXcH5kEKP70nAWBm3VG5kDGh9repbq6j2cFrNHg+Bkw8mByadnu+UkoubGO88us
8d/U7NQEg7usvjlkCGE0tqOSB7GxEqjZfpHpa1lOHtTMVsWp149vJgeRK35VoKBQvsr8PEw+DldP
8goyxFM3Vj4tFQh21R/dro4tpYMEVE4y8s3G+jCTCHuwBsFIotTMfSpMip3EXwqiuSJAE3s/1rr1
sm+Tq+OurThEv0B5/5HQ29BZM7msvTQDSKV93fzMJZ5Y42ZpKYlH2m0oHpZh2MSra6tRfK07qo1x
cKHRqT741VcvvwuOUcCcKJSu1HRsDHfmeGhz1hMAO4S7x248zP1+AB0cZ/xlzH4lNLPb2ZsYgXw/
dx81aCX6dA8v6MMsZoQCUDkxx3apz0QZjTuLQaZJibLCn5/W/yIHdLQtzmbEF5OyFHQm8jGgfbEP
rXA7dC7tY2Vr3dqp3urNjymfbzhtCIHc5ulvvMFq1gLSZN2xyblCaiezfCCsiJFo/K3iba7JxTMk
pqheIYlesvU3sRG4LNRHqV6jkgi5+LPkBq+OW3zxk2beD4/8S7a9hVgP3J1kw/azHqyLIVOOZgSd
IyJOLJB9xJqqedAJfjfiQWDpcXQd/DELki7ZT/lPXf8bxndB1NBEl27bPVVJ7qsqwbiadajG8Sky
QGsVDlSDW6xFyhYXC+d0Q56eSacqArm3KY/vkI62WtpvFplvIXNpEGWMbgtCz/Cp14VvVeCNGFAG
Q/oGSVCaFf7T8UvwWs2a+lWfTQyY06ZyGNpRyBZuhXbe8mdMYPqniXOkpHcK3IrT4ZveQkbFc8SD
VtmNx0bfhNO7IMWeBA9JZ4+z4Q50dM3eK0KChbnEChITzBoLvU6yrumRWyx/mw698VQ+cmzS+GPs
V8IsqtzHBj58HqODMbp7EXebFcfAKopgBT+5a21m65wt92PKXy01lmBOs71JyNJASETidg9gpY/q
siB+qkBqudmL8qgI1AnoSl0yQlvlOQtnJ8hUAaJWPcZoL4iqZmSvXpy6+0Zfshub+IGALc2XNjFP
nPuPuYnLnQTATT23sAQWNxM5vKqx2E9a6seFc+uECLeuyek7CNMfww7Tol5B2yYrA/hVspsIrQRW
t7r7WKPaqO0xnMg1DKk9y5LC1irW/bRr95bNjTDEds99x8hf5n41Z/UHh0EPlczOnLS71ciMug99
sL3prOTGnWDjxO67IfI7hV00sdU70Vhcgw+W+dvmnIOqG9jl1bGXs+2bLs9L257bzniywGTVavSE
kwUmMW4dqk28REhOhSfzTxsAgEylvYsSXDFdqpoYmRTc8P0pra4O1zeHv2dRq6GQj5jAMZBFckip
c0hzhjK0e4u5K4sfyenYlV+mfrF4BmX9VGWRp1WXjOTDvAxkPm8TjK20i240YX1Jh0AbHojRARCJ
LU/PtkUQoIfuTkf7mhAlKPMFXuYe9TWaIgJ7GEATWGpksa3xEmukxqAIre3Ui1N1N4wQBDPWzeUm
TB1/J5wc7HMeP9koqskhj8kP6BNk2gUahy587lIwP7Lh+ijeFu1b2pDuCHsUKmfqsjfD8NJoD2qS
7XsbTFLFPGY+KPKJHKNwF+f+66zY+0o99e1XW0KzVd/OTNGljcC9/3TKa1Iiru3TuyzPdqHxTxkX
v82Soym05z4bAg0ksWb7YzNM7dd0LVatXwbCv/LluLguEj880xHnWq+fTECsDNlSjxKnTUp/1H1n
cC6ydKCPC18lcBCvOP0LYj8jPwaXnImPM78b/bftMw5B1+uls8WnADq/Uc1fY9DP8TxdHWQ0DjTY
sHSfBVugyVVQvrZdcsKGHJDPT+Snu7HJ+brMSbfmB9B5MnjRAiahRp7CnydlatZtzrhpIPE0fDZM
5ikT051xcjgdyhSxFoaRMMKTzUkZY+ZMlZ59HQRryg5p945O2ovGYkPd9hUSG6nXDKRXHCxBzSxN
nuFxwNqdD+fUmEmuIhSH+uN6NrbpBBV9dYg7LrQNgXF+DSyWDZ9EMOPe0ngGpOVlORqN+DDLdKdg
+mhtRGM61M2PwclrGIzd7aNqFNBDRJXhp5gQqqnZt0H0+IxYqET/QJJAk0cYeV9UskBWW6GhxSvn
tlMREwtyW/uKZZPX6IdmZ+hOcaVjOVvgRdzQxPKNpaOmVSNXxYNtxwWJJMY7kp43oueMI/GcmK4s
7n4dmP8ODWb2SF2gtVrwIo8UN4JdiMEseA2IAdFGDkhcigUxguEnWvavQKPCqlnfF2ptHrTOOlDy
uY/07nExmtduVLC9rppS4RXg5W70PeCVWR1hQDDMaoY34E4KF246as6Dr6zH2DB3VpkcSyd/6kfB
Fahvo4HaSIHw0IFSgxWxnKesCnL7li7TaX3uMiQmxFPhFFkXdLKeE+2Wmp8L90gLPMTJ0icGj0OP
OTLGGV3FU1CM026W+SGc0sASTyOrXYMzzMg/hDEfO7w3MGSbOK/2o/vD5OYVTzn57C56aKtSvUlB
tg+WypqObzmI1OGlmKgcd668Dvyuh+hygMqyH3AN5EP6JeT0och0I1ikRmi3OiwDxWKvYAi2mB/C
5UUUDbFmKpxuDCUOi120h1jeDVmyrfImKF1KodxfRbPfm8RSkHNuXMrS8U0QxWfHLHb1vQqm2Rn5
GQQAY0u1l9oDln7kAV/RKt3CMMK1uVDOUMUcuflKyHtzT+7xADHjwO628DkhGBUv3m7QIQF+cEW+
WrxKnDIHmdf9Jv2m8mhvxhUhmGsCdX03oxgwNjoBJrJ/K2tEy/SxIUtH2T01BNaQsxyhwh7FT9fM
YHSQjViahOb80NH7WyuneqEoAwnkQMOTO+4oAfO6NWSHnHBdoHvPxmtf1UFRVvfx9Kw75sbpIawz
lDCeiOafzimpjZ2i24zktVIFVl1id0aiBFpG2hjZEb7YhNhKQGh79bdz8C94s7srxeKo74aJLlvz
mIP0QIwqczDiZnKlX0cGpIz+nLmg1nrb/yxAdmhP0RMeLUE9SYpBGroZH1mcDFtt6B9GbmCg2ODX
rUNsUJAXCjEjmLvyKqLQcyES1LCvON8IQLFY3jBEXkpjIqO23hkLo+ysRF9d0z+1jf3pzsYNoi7x
tnOKhnkN9SljX5tvJGgHbeH+JjRg1upwFqjtI67Y2kp92Niz6N1rObWBXcGtklvqN3b7DpKmoqev
Y54Tze0u0FcHG7NyZeenVXk8TXXQpWzRTkmSSh3oUePz1HMuMRyp426SdwZBFjpwPX15WM+Gt7Hp
PAX3WZmYOxulgMk4LTsvXrODxA9rMhqZrULBXU/kp1ZVO+R9exw6QvzmRGwNAotTkzP4QcYt2sK8
xsyBK1dOdD405X3fA96WcXVJhYOTYKjp0WNsLmwayjL7ycqVi7Ty/A6LOpZRLRqRTWT2oy4/kXZw
q2oNaCiNCNMS5VJWzjPOKXeP4Fqe+BXmTSNhKwSQOqkAEl4xg2pNqQjyEcK9sPSnaKmKJ4WwJSWb
QR4H7TgnnMDoDxEEyoGjX7k2uUh8E42VL9R5PiVLNh5T82tRluJUFjk4RQJPVChVc1HNrvQAnctt
S2PkpVNGWtjEDVFJyx2Fk2joUn/R6oCUDYI6MmvbuAp0OQHuie5wLwR3Il/gSAXrWRCdKlKj/A5J
1W6tLkDC35xURWQ7Rh90v8wFxajtFgNY1GziR4xCl6Z3dJpOB2Y1I96SEhCdmiHWd5WtP0FE/Wal
7Ln4i2uuq5Q0YH3L2rnesftZLC3NcxpZd1HfXx3Z/esQNe01V1H90UTV6XI2z0RYgqpnv7MdKyfN
yE9wuM/WJMa9ScFSAQ9IJMgcHQutSDGwlbceGhpNjwsIpHijNuVnEWZ+Etf2gT6o41CmpJ0W8cFJ
p4ngM1D0nq3XNT6og31GzvMtOvvRDeeN/j1Z+bvWcMSikYaVmrVXmKMt2cPFpUoxCCPcQ9+qIo7J
0hC1i6WPZ7tj6ded6Sce7aMyKQ2hAdkHpD+h+ZW+pwnDYMnXvvTZDrdlncK3kIVLR+4+rdEEh2qE
rrdM2duzNyXBfiyb+r1MhjoYqdo+6yVYQ4KPftvNc3NpR+0eVTWuNavX3tqQxFW9lh9WO3wrpfUp
INHUAVexzYTFgq8PyjmbIJd0N4VdchOQUvwUEsGYV/fC3CIHeiBm6DkiEx4BqS58Z8Lgpyf1jy3x
NNsIA5VqenWJBD7nlA5tUqNPQatt2y8X8eHoLxGdvvumIhOsaNluSRjiBpTYnhm9pgX+3k0zv1vO
R1N9Jer3uPzEya8BLI58F7MGteYI7i2GD9JriQkkwYH7cMwJlwzRp23m4TbEgeFB4Sz4KfxOKfBy
QKiqmfpidsxzA5IPqiTqQxFDyfSjfqmADCqZxYR9wByHSkogYRTh6kVgteu0ApOVO925zmR6Y8bO
FOo89qVW6j33vovOohIsc/RjqeReN21zjNBTnSim/CALtQlkkvPjF57KcgHDIvmoqsLVlbJtGxoP
teKns+jOkArBMcTJ1MjYVadS94Cy8ahQhiQdm8B+tFrjZNMw47wNGcWdYRQOPi8DFDhKlm1TiwjB
Jj7hNzxZWf2P+IUAq3O7dck52Q4ti6Sor13LEW/gKNVy1aA1o2YBH9jOVL3zIqlLxhNrLyxNnDVA
xCpnKBbSPgqlWnZCspWgtcH3q8kPbZktMimGjT4Vj6r2SoiXulpolB3mcw5me0QsK9PULyL7DpGw
xo43XK2m0C/UAY9Y0zyglWc75Z+rcIpE9MZuh4Lbmpu68VHP8D1NBSSmO1dJ4FBBus2XKvXtRWr8
cVFM6HPSHvCDeaETzT4RfdJvKlJD8nr4rWr7LY7M2cv1gZLObkInEZ2iJrm2TXhvzOEQvCDBp0Ei
fcqH0tmi2Gek4znJko6Y79n1oilu6HYmU6/UtYNQJ/u46A+F5riHQnnqa9lCMKx5wjrXI/eNeDtN
5A9gM6I5VHszY8Ks2wY0eOo4hKUhronM7b1hm9JPDIvMsElep4ZckzWDpq7MSy/TNpAZQRoWSdkn
XMiqTf6lYWgfebhgvwR75vn/hYvb10X/BOv305Pwf5xHUIvVAp2UE5sHbrgh0oGwyJ0jxccMHxu4
QA/nKir6jCsoXIHpvq/7/ViEbDuUgRgO9ECBwashV33qGDorjrEhb/sHUU4HRS+7bWdithMxfkdM
+lHEFK3ivPTQV6DNDJH7DOZ01EbNp8ABEyV1QmJBaaOW8pJDHdIVMPrm1CyQwkqyXxTkh+VA6Mis
Rjt7cZZTZNY7cEQQdjmzZCc1YEUkR+KWPuB0gJTrymBGYu5OrAb6LC39ZnJOS4OqoOB+VYV6EihE
SyyKTdJl92wYxZNl1+3daHLVsU1uWegtD4mcu5NiNyUtyWdGxW020q5uUSnk9Be0ODFu1VZGuntT
3MK2oBqhWz5i9PWTICrdjDUNCpcM6om5PYhb2kiYXW7RACZmmNl5dFTGKN3YuwsGLeZbnppB3iUM
2/68iJ6OlpVbm0gbySILy3EIJKTl/PULyUslJSwkiUjpzyR6wjY2xpMGl7LLDLQHXSqYmHOy+wZQ
ba6LIAaPPmJPJFw/6X2ribiKe/ItFXzobaZb9zFdxLlhr8Ua7V2uMkE2SRIYNY5J5iq/ttCNCpUy
1bSPD+RAeO0gSMAgSxD8333BPlGdHHlJuxABcQMAqpB3MS1WQNAy+n0d7Sn3FHYzHFjGbJk7dIoO
SZLLRjGKB10Jyc5Q3MdiQo6HTPe1q53+Utgv7ewQQmDxMNkDmYlMvSDVBZimBQKhTITalCd6ATqf
sAvKDoazRaA2RU4wllW8lzGe/CGeyDsp/x9NZ7acJ7J12yciAkgg4fbre0lWZ/uGkO0SfZskCTz9
P9gnzo2jdtUuuyR9kLnmmnPM3MLsFz8b23yF1ECtspG9ZWDnttfYzT2m65r9Op98bmNPYyvGi86J
WDe9N+3LdYHGPRLwf+A9UtN5jBsLz16TMURV0+vU2F8OHEhIHiyL4NH9iRze/7CMuHRK0O3I3Pro
jvKlImRx7XKH5QMYoq3fouLObXZpdXFysyrcYlGmYYgbKRwat12uPmU7jsOWH8imWiXy4F6QZB+t
/qXQVfm0uPIqcfs8fKixwgz9gSiu2ng+Jcd9E77wbBFQDuj7rnq++RgAWWckeX4EN8duNyfnUBIy
LBNNI3jVEuKVc0faYg0k++1nGNsFFqSWC6b3UYvmggv0JKdAQVou+63px50ABDRXc3yerLNO6xsJ
s36nxHDKUDR7DGBQGTyv3NVi3A8Vm7M1+WRjAmnqsw5RSkrmZw6WemNyLNx2cTEKcc6NY+9Q+yOR
R/gq8MsWPlTbhm9myH43mf+HwXT2SpJ7iJ5gNXNOpdVWQZGudfSRj/TXNAALyBlbNiBXVXQHiw7E
DRrDAlm/6BEM10MDw0JznL3ukqcGG7OlfgksV4Tkr4J/sObGQoT+ZJi/G4sccRMVW507/HdXV6+e
jqHRzYHNPSOfZYjJp/ewJPCdcffd5R17bCLZNi4/FWfRblzY5tU5+IogeM8XB+PGZL/7Mn0E4vY/
sylIejYXWfpW8h7dhD7Bfre8+4NIbqDKACVlv7kac5Xx7rAwk/1sOae0iMJHOP6b+tG5mCnn767E
+CbAjzy40X+Lj1GIXqWJK3gERLN0uAyiFFTA3OADzjvA3aiW+3YtUxm1g0iXOhn2VPwM2jagBTCr
Qo94VhWqrufUewDTL11ET6pfNi8VbIBdYoa9ssSEEumSFk8uVjcBlPLyf5SrjrslqlFGvZcmGZne
kCxo2yGnnFbuk43idFxczXTM2Bis3r3IEsM+zt9snV8riHY3L+T6UubWXTW7PEHeRex//ENSGB81
NKS3kJ0aq3E8fcSsj0QH/Jd0bjeRtPxjXjVHUYyvav1WjXWfHnqsI9TI48UJOw+VUv1bNAbGqPR+
RhkrzYzEBj0fKCKxuiehJGMWMmGG9ls6IlFWuJa2Q76KfVPqYAdeYcIRt0w74ruoDHZhHVW3Uwaz
Z5I1l5zFQ0UwSJKVzGg7olCGGR5wRCbacpfaGjf2IDjqchNjDo8whkAcPNk89ptAY7XrQlomwuov
oeIL3NnoJOaRfaoZP//3/06qWxbOP/2wgHFafboNXVhO52J5jpZ3SzMIy9xab2GcBuJc1FMAbHDV
f/Pmq2kASyYtSkpQkymvC54xPZzp4FkunUapq5b+g+vaR+6w9O+I6EbBPoRn6ihjkQjo4cWtKz4R
4EInyZYTQcFVHBNsKwWINX1dshAucxazk3PFjj6Eq1H4GmbXAqyRRlu5Lt2I0fH+TdQrNTUAndri
gFt5RVqE9Ciuf3Vspvg4JPC1lqH5tCjQQT/DYhPdY3xOdFrM7W6MnItjca5LO7oN6YBOP0CAiOKP
QixvZY+KnOa3IAO0bt1ARq8+GvMzSpbXAE4O0/6vwIBdCPA7xz7vo0TH/0b43yHn4K4ihEfwindw
Ex57FFbZU4+sQkZ16S762NrTsiODmmNMLe0SI5IpqOpA+s25DIGD4bCgfuFTat5vi7qmvnojJcMu
NosIxMGMCKbH0IwhpsMU/tWUvoggeojFr3ZDD8pUf4AP5OKYOiV3lGAXWEtz4hZFqcx0TnPzFlE5
sJ8cdIqYtpNTwjJJN0HKQqz4QhpiFGrNZz3YIIc6F0swjPnNvERbkP3mR1AhFK2NkW5HtNMrkmPm
uk/ReNJFK7ft1hqQXYqBD4uc+KhaEke9bkgygrR7R2zuju7g8axJjMIcNmuUgnfgtJt1AZWWtECU
QCJA5vy0hPXac1DgSyCL2te81MK44ttPNhwohclAG1ZrV4hcLrnDh37t2ZBjad8w4G99iWHeGbEM
pWH00CnePTZwFTPo8DtizUP+nZdYWHMMY1btxkHDcfa4L06kfbC336IqhU8INxt0XMLtZ4h2fddQ
2FnP5NNQ970yYe3D5MRtzmPSoewbBXAPzlUQTci5K0UFdyiernZpd2VKk0mfMcRSFnKqLSe7sV4D
hhW2/VFB14lVmeOoqij9Dd27k3E3SRL+4ATcBrYgxaYurC+679YNM8smpYItimL2nCXdM8Byfhoj
wUjQX3VBd91IjVZuk/gfCDXTKoBBQ57GxUdObhDERlYPbj1QH6dIzAbh+LOyaQ+vSR/sUnSKpZ76
vbAHqgWXar+ogMS6C+9bkLlgZzv/oTwKeSf1vYs1DRS34IftGbwufr4b5crtyOYXyftsExEwOna0
/KhBvLgiTvaCoNdu+FE42XhlbfLbC8e9LBe0y4nk/LqJE31XnSb7dxKgB+RDH/MyAvWe7qiYRG92
K94P4oUUd73jLKaAwGB6hLHPVeI25j+tqMKsLv1z4nECxmmPok4UvUu+0mpnHHAkQ9z+CcbiAe1r
Q7nkUzKWt9Yyz6lwvplN+XSwKUYTIt4vO1jgGbjzfjkFSU/kMXrNVTeyEGWriJd7m1Azvwd5hTOh
B+xigZ/CGQY4oLIc8JpECQK/++t1BAOknPds5EZyqBxkmgQnYuss92IaymPoEsUxKeAU2+uvY6eK
nQcEfalE8syhxJJSUESluuw2UYkXpZm6lTTojX5f3IrwKJsa66UA7dD6onyK4ocZmDbzOj/2Gj5Y
vTTLSWkiwyg9rIlzsFwEKhGcB1BZYkA6j9KvUI/YbdMi2fQjhoOmfWljWhYJV3cg8d3voCNgwzLI
4HdAQQCjUS3mLU3IowXhefA1W1WB0EdL7HPLuHsYOwzzrqxYOKbYOXH+E/CX2PsSn2lQxZCkOW/n
otTnkd+fzhA0mLSNjwtoeTuPrKMv1TNDp7IaPonrP6bDeZPIhbcWUUvLJScQQI4ugw5VcyT21mWP
uoFdXJbFNtYCqAZJ420pV1Pk0AKjmUywY3J1tx4U2t1YWtERlyNo4qz0qMNKj4Rsu3MXhiNy9A8m
y4DzCHmAcJzD9Uv9ZEjxds4gaK1sWGlPEK1xxBv9QD+49F3XXtu+8c59XX5YcXdCcQt2PFljC33D
lituyNPeflzEr6ld/vU1UnuZ0TdU1+jqWo7XyKpm8IzxX94+oKgL0Doidaa97zjMmb4KL5qGMqjR
Ky2+udQEFfcQ36cNpsCbNOVvyuco/Em/GRxYIdC8swHBehCm34UDTuEZk5ziJXHnUXvyxgoFf4EN
6KDFbNra+THMErNFDr7QOOa/oOjORclGQXEvpvNa3iyLK1iTqUtsk3jgZo7P3d5CNVCcLKhwsuVc
ZNzgijiB7HSb8aXKi3EHhPmXWCVfZxqwZqXu0eT9hWskx34V/DeOIIfFnP61vLVXDYzAcYgUZUVJ
9Tys1MRmJlLVYWtwkH4sfMVPI+kWGXjdNfjTjD1WQTe5zYqLdEcZImxUEPdtjDMtk96xdCBi5nX1
mk4lh1CEBQAr1fAHUqzypz/RPO9Di66MHr4dwGqxG2Q7nAave3ZzrGpRVdyH3NiUsrKkLyeozxFf
3DhYknV1dC3kJOkXrH+GbS5eeKBzvXaVjpBNmG61y//y/qR9yuHcGL0Ncv+UxSyNZq8h6tIVH5RQ
UXeXqfapKCzu3ZgQG8eLdja+feYy+SXysqLrGbxUh8QMzp/2zX8gwoPnxfOeAo3nvQVxPzJiUJbJ
u6lf/PCIPE4D1Z/O7oj04RoqqwLYUncYAWhJFw+PLM0DXz8ryvKP53btj8lJn4ow9e8Vxrm5JQja
OOJjZaAndQ7mOad4gs1Sd1BdDe21/Swsvzi4Fg66iLv6NgbplDh88YZqhUDNCm1WfyaT+qwTMR/T
nOWD0/92ywYSN8a0LYgOouYsP0hITWcjEBoRoFJ26GeZsYM3BbabpGu+7XL6JIFG0ydoS69gSe2j
ggURCpvdI6s5tCJF+Rs4kuS6FTYlg0WIsCmk/TMNCUXMA/mYEC86jRfh1XFSeWI0fBDJtHcyjXEB
9cu28YeB2icRbMZIOtsyj/9TYsU1Ugs7tYdavzDK3AqQHMcoPqyPCh5yLLNYHlVrdRQfjXvGaH3y
E5SHlu0h9Ub6FsZrGJV77cAJ483WV5V1H22HA8DBFj4suL6Qb0CZDrSaeE0HLa+Jyd6ZexUTQiwD
tmeNM+28zqEFb/kOJXoJVlcet5xbl4PzzHFB0hJoS27EiTbNhAmNaZnRDGrm1q5jbF0NdZlhO7nH
pHY0Jln/VV2TSc9gbKWAGdy4pIawdZQTiQXu7qZal6159Ru71vNQZPVTvzgvuBavdbnkj7pmHZzG
CD+G2NwuCPPX0iPJo/0BcXziWKn64T1IOKuXwWCHDib/zkx9N6UpjnO0/EUothCCva8ROCVJMq5x
Af7CqZ4uDXuSnVLyO/W5hEX0oZ2QQt4rv/lQSWMfwwXLUd9iW1MeVASlL1niPMPszE4JUxYRCH72
42TTrFQrpK0UwgRCmObTdA9aeePog+w5vRNdBBwoxbS3yl+wQ7hmNlW2A5iRHYLEFgcvDl8nUPLt
s5qKB5kCzBGBOhb5lO/lHG90B2yMLr7Ain/y2C8HN2kB7kAu9KyInQYUb3zO7NZtbEt82mmya/DL
d2TQN9ivs9M8s4TSoomPxvQhXraIT8ZyBgDcb4k4hntbuevvY4qTmufmVOF3tDscVRI3cP83dkva
HAx+vwqi0+TtdZ3QiAVDv5NG3S0yaqnn5aeJkDeNuzj6TV3/TuMaVotLl56VQCYk/oM6CBlGEw4d
Z5bj9lwdA3CtapEJDk7C7h13zyzyLdB48GLLOQcgbNKCllTnpPopPfjRSKWDSvp3My8emyX1M03J
cua5eQ7YU+604pBj2KehgPyKKtCOF6Txce7+ooVgnDbll+djuYppI9wJq6+IleFeE6X/ixAeCpto
YLIGV2E/F4JGnqr3KHgIl8957Ak2ABErKcNRBt2qqBFvKDEi6NJtfGHwdc1gHjD/boQqh11MHoBF
sFl3c/bJU7Z4JR3bX6wmhJwR3ftgcO6d9AcMJj0h7vQeRy3nCYCQBUv8Mc+Sf9pqLIoLJSpZQkNV
mbIJDAfxhvjj7IomJYw+fC2lRGbOvNcahHKu85+pP1tblYaSATn7ajBBk6a4WzZ5zzBhaRpys9z0
ronwO4gnd/Rqftf8nBklz6UHE1dG/mPsatpN0yRCyNGUVY1866M6sm9pwQGgMt4+bOV2MECKq7bc
busU/T/h2/GWhC/C9ILzvYShrVyxMK9VVDR6KdltjQm+OqciE3sfA9jWD2am7Trn3sA/olODFXdK
YpUSO7Uv/SnbaeAUSTuuhSauQvbR0EZj64eTk3E1SRKdnQL80EQ9SiEVkWA+VzSXDxtVU+Xtui6E
6ZKKW7MSRY40KJD1M7m79f30V6UrkJ125O/GYHmaiWO885zg9OW/zlJc8K15cqiKYO1gRe4LLpwf
WoFGSYRHSpOP15mIDRL0elgS6SgAv0CY4Xtg1SM2TayXi0hIOpIV3tt9lkJfJ/9YY9+kgx7wpGUx
swHT22QaOyFNEMcINxys0YxhX9QVsd+Tu3hirxPu+/0AyI0iuewYWS9hxXRi+Fgc7Kp5HeTQMM2g
Fy05QwU4jpV70HOvjxLKiRVVSP0sL6i783M64VnS1pLtW0qHTvxULYsr1tqMPnzW75gWxNVGdU8F
X5zwnIjQGziquGhXPocVnQJuQEaV6lT09TaZMcZYia72zYzCQ9QahcdrrotQ/p133HOCmTCLOuxx
hVXuA3YaXGzcpzHtTnGffs+xIA5Ri9+jyIa1Mv0PcRF0GA7MTSz704BG3qj+X+TqdY/44An9QXW4
9+QR5mCE80acaJZhoElifbQqbVGbteILkuQVEEZ4oHmB0OPCs2UNHUkTRqlQjfex64hdDShwwWzu
c+SNjPzu71ziuPQj6zwMefvSEoImV2DbaXY1Wfqt4x6HZzV+OmVSwcVfCE9IHihw6cQpOHlZoCHC
qXxdijwFHi0A0G4gIM0Tk7158QwDjgJkpRw/o2wrbggWYM51asKxXueOuyHsnx3UwF5M0SPtKspw
Lf97tKD05Njp/KbWO0MfWYRDrsNNDI1u2Iuyu0QDyZqQUCuQtF9hW/t/hf9a5OLJr9O7tEeXgG54
qiCGDmF74cvKHons3snXkWZhQerZmA4TiuQvuqAH1US0zrTiITQ/ldZ2PxxLO89N73sPX5CQK9Li
gbNuPgOs7y89F98Dm7P/4qjiBA5C7//90nXQ8+D3TcxUA6AHlq6HzOm2Hn0dZ1nqbF9YNNdHc/9S
er19dnxCDGPrRVc/6aiDSXaoOWtdtpcQ2EHLWCPDBdsnq02iUybe26kB7LzQc6FZOHii4QIU71n4
tbvILR4A8eVLnRefmHk+oi5AUg241/CwdmAqhrVp5RsAE/hHgmWjLJvd5CYeUZtHX4eHoMHs6QVR
fqQ9hUt5SVGaMRTxLcMHRkzz5LFY3OFe4kVXjUffrpDJ8vxDGfUK6aHf0p+T7yJpTxcrs5/BHITQ
ZTWrcg+GQgTQilEGoZbNjjCfcQlvWnoQz6nNgcsKJdM405fdC/3ZLn67mo3oNjB0GccM7D7vxxNg
GXArhR+cM3RPsVrrpYE83QT6Rx/SXozjgJ2CCOFAfdZl8hzqAky9Cm8l+NTPKiExzuy2t8P6F+D/
uycYnptmXDnw6keh+pagTWg+JAU7u6aUP3ymG7Yta8x3XFMAzP6VJrsLU8knAO3SfQ38NVl7NEgl
krYsYFAAsJtijv4Y4bpnUZrLtLjxQwN+hIRMSP5HpSksynw0zwJXyyBde5uNJXbieiNExIrRTNQn
CetUJSAwi8bR+9pHfysUHpsCvfyAba6BSQPYM+MJVNnSP4yKR4Lq87c1xskvN454OS7iKkVt9kkp
wmtQt19Jhy8nr5tbQ1jo1ufMXCXAsKCFqdYDejcLTbLX2Z6s24ht7Ro6BDrzHg2F3CyXuquVZBew
GZukUHfaQcLb2AGDZgIlFLo3OPpg088hCzkMdBMrr+bkOVV28kVckv6Cth00LTUNJWTv5Z0+veLJ
9eR/ibJ77ORccliAnrkmf1tzw+eQKE0CHRELUwvIz/Uu1WS+CjLqDM0U6oBw3gh35c1HGMyw3WAb
g2afdgXx5lo/hhw3oy1YFDgp7sswZigKF6C9smVKpqz2JcZsWBOmOGWZnjcdHuOiR6zFNfmY4MRQ
FH9sb2UXU6tEPI96g5jUdlKcdHOhOAJ3S35ZEtVePOjycxHRJ0yFJjFl9JhQY1DF7QO6HJ7txm25
P2UdiXTDuNn6tAr9xTN17ymsPTuq5dVYhN4uKDH2jhmJH1NWf6lXppub3PDZ5fq1a6NSQslWxBPK
a5LV57yi+csb7R6GN+/b7ElJde4qCFQmTboz3B8q5JqSBFQ8fOTSWCdthYcQW29RteInr4v/GvqE
T7UoOiiy6Vdexd0WvQHooPsq3E9cb8UDh2pGPxMO7dgCRUDX1at2/eowufOHyChgn525OkEuICBi
TWev4svFaQGRAw2Bw/FQ6InWx7DSB8wGnSEXOeIIvkgLwpmXcQFZg1p9GNyUGsvdIikmG1i5WKRa
N7irelaA4bIZHfs4+B64Wx+gfMsYN8orHAOCpAOLHtORNxZ9faJoz4P8uuo/iY0JYpyTg8a6USXJ
vLWdNHibCMwfC6emPcDPztpArcGlas/YfJHxH/Fc7Frb5E+IDtnBH1IWLhDoET71rUwMW3iFLC5z
nBDZ8Klp1zlWhXxyF/CUg6V+MIkAn/XFXxlw9ejxsSCqb4a+Sw/Cyt6Jayl+cogro4yPrsTBvTgu
pVpUkE15c6PNJPiBe0igQMF55R3W7V3d5x+TnVYHymH3AaICnz91EDN5j7Dc2tpeOzrnQ5xg2pcj
4B/cNJokFMzvQZ+MwBdEfvxvLGV7WAyhnC0X0BLyejBsUeBe1SiqU1MHcufNxHGLKQ5vloB6H9eg
dIsk5BXc9Nbe1IFzY9GINSJZ3uFrDuh6lf0CCzjFz8CeQgcC4pMPi5f2M570BV4D6m9TcTuw6gpI
hqYIoO3IXy8AxHn5mgpzNULwK7pu8IjdCs6+S/jeowfjf93l277nbILSlbI5aX+DEKbpa4h80M8V
lZYZ4UzJ5gdpvbrpwvzmSJ9+5MzlGerTRzK577RmLafs2w8c9xX+VncNh4KYSDSkb14sDsy8tBZK
SqyG5PtacEf2gkNEtv3WxMhLxPwAShJxDCci3oltnWQyPMsIdlVDhYpwpl9uY8ZzsII8ggUOdDsB
esetcsPI62wGhyiqy/1j74ET3wSCdzN8TfXCnZ/KpuCnlu2bZ7rv0re956YR/nlq52ErnuyKwYMB
WPBNSpLngRbJo+jxYLI/rPezIv2W6VDTkOrl5dl2uIJnlS+fnSCp95hDeUUt7U3hVDpnAS8Wr9cX
0EUWcZUILtOsf3Mo1jShs8b+3y+R4ke4ABneJ/yLMuzCkxPhLrccfCB8J+W1+MYTP10A1J471xou
i5d+xY5lDQy7m8kK4hOMEMO2vNEvZVgcs5EUuBkVygLsVjqE5uC4RFiwxqwfUAP0Hx8u3EEqMqtY
apdt1WGEMiTWtZH6XvLm5/k+9DmLt6iLnT3cUXLhmX0t7OXX6BGlqXHULaNfsangBY2p5p9be/At
y+ae6NHFK0Dj5pShwLABH/HiMv+PaUBYZ/1FuIx+QgbqNK3tQnlMirBEMAC+/e6FVXaOjPc+qfIf
S8mR4EX3BdzlUjoSmWR1YfOnM7rJ3BywWZFPkGqfee4XajExN2cm+juzSzSpHYJ4sCOQP8lPF/YA
mxLrPLd8SlOGCBhxAC7haKN/ivIm/Tm8s3+nT3Eqyltdc9mqkx45cC7/MWPMcFlMtVNVYG/nbF4D
KhSbkBC2L+4y7Cb02ZeIbpQ33HvDpi6S58YlAGLXFTmumO68zkf+Hqlx3gWxBeIhGA8sBJI3iTGW
zy8BTdx3XPUK7qXzIaQb/Fm7DN6OPR8IyFHAbO5W6DJ4TO53mUbn3l4LRXLrYgh9ESsANT5jlmmK
Tx1Ior5TsA0q8vQ2nC7wB3i11PRUt9xEI+AxV9WZE9Q6oMNhlBwrzxylG7hPYdsSTg7eA6e8liOT
66AxwejC+hdrFq0+L71jXy3f2hmxLOqQLD/vxXwoySVj4LzYeKy2ad+sr5SgfvyZ0SP33CWnfbu2
D7ZaXp2Q9z1ggIUlTEwdiA8tb1Duo815jcJurTalV31ZUENLkUfHSs7hk+Abg3bMLskcKjL00Dgk
fiv0bGoMWUZb4QOi0Mafx99TLC8dfJvE6wj2ngaOCbBOw7W1+uRBF2zxMkPswOjP5Sf1OYIaOA0Y
j7BHz49CAjWvZ+6liVK/wRzj+ya0cvMrEiy4lM0hKRc8LnA84f0TcAYZ4zeBsxMuo0ifCCayoK4f
nk8SWKZjjKpdVy/S6G+zmPSAeGAz3WM1p63bbuM/Y24fWt09kPzPFJmyaI1FeQjmIHuUiPoHK9Tu
3gwj8Yt6RtVCCE+CqrlXHdfNyD8bv3B+9Fk83XKBJBI171VotQd6HaH50cY0WggEHXffvW5o1/Uy
gK2ahBbPyHlwXENLFGFuMO7vxumXAwtASOc2yeVSNcG2D80mRke+OP5Oh7+XooQ4tDTxiY0VtQIp
FXCt/9p3ejliFyx31qAxRsaM57bBjbb+jENVYnZVTxOtIuWK4ihvU8dVfLJcBgwG3a0d596tku5H
01ZnaYPrjVMft77LzBUn3vwmdBXs5288iOypLfs1Gx6TAaZYkv73Oi5rHk6zh15b4dKq/B1b7pNv
09Fm5foDHywXnOdYjurALEqhRy9XnA0rGqqZbEHdXJyQrG2TjD5cutdtdmRmmlKcZiE8Z8NCuKun
GsNFQ+AQ88xxpcuxJTLlFXD7S0Fl1qKD9lGaYaFdKg+uID2OdsjKbu5ttkA+05IXmZ913YackG29
XzpmQpYr4VUwG/BXBMwbyx3pT8lY+AcA+2a2WYa7Aoiy+oq/jouukyMMTVAYAIi9AoEgTTFQoeyz
Ga77nKEZECD31oC1f1u/dAi8Gz6sfMqV9RMIkoPFCiSZJdvqAkz+7jBh3arRO0KwTT8WHz8SQGPK
CzOq0FOpH8Wmb4R7a9OWx3WFB3peYM41KYEmHvoHN1j246TiRLjc6WRtXiMQTQP+DdzZ5blQsNls
SbOJFUt4WrYm3AXKMEAWt20DmbHUwcUdxT2SgJtVfqH5WDxgo2sxlXdDFioX4pk49M9ULvZLwNJh
ZniuUnhOQsQI7HLV1QhUL8Mvz4f+ICjve+UcdM45u9oNojBiNxTu4zBo+wmrtrdPAjUwzHj/GKSd
I7R8lOtkstiPRV/02aUH1mMf2awFnaR2tu3HcPkiL/6qUwrkqQEAN7eY8GVoF/Qc5z3FSH2OCpR0
waKVkVjS+zzKp9KP9M6XkrOO3B9f7abC/ofUifOkrRBMcGGORVxzByB56ybAiiPLoZ9hoPC3DZMG
4iyzk9Hjx9I06BF9AJFJeWTlS3pFp0LcO01o3Xcxh+Q1G3g4TGx05HgKUptweJWbuwmfbBCd24RX
5xtWh5Lkaa8IWvrLNZ+hlvHizU9l3c1UEVEvVNbZf/0Yw9yyCfsAX884ajY5EmmtiVXSXsausCMq
W/f4iKXvXhNdwkOyIc8QTAV9yaV49FaIVsI3h1h+kUIaWLzr1M/RbgnifN/40UJPPVv4crRBBLHV
hMzdYhvMxh95T8mU1p37QPNLfK2ZCrxyP7K3PJfQ1qi8/5JMFzs/8bFikFsOnXTf1p+e+RZpS7dY
3slbahNx4I+CPJW+TPhTMEsHKaGW11lhJ24FxQ4paf+6rOR5rJgaeK//ojn7ouYaTk387k85WdQy
fgHh96eY19dDDXa8wKNSuuoPgJaW/Gj/VEHW5beBYMGs0dzTzD039jzfp8mA+A4UyKElPsWYsp/o
ZFSfiyuqy9AyNtlB5X+qojriKv0lK+k8B9nyGRlh9vgGIG0DuLoorp1WoG45JYnYrY2+LBMm6p4E
Ypw40RMYNXW0CS1fPdaTu2HV6wVbAcUIIAzkhSqhfJmSPAKTHseMZzjWaEfJkWn+/y9uOjxpavZO
fVKeeg36Hi8UD7ZOJFtoitjo53K1/5ZLPgGOA3jXQhp4twltureMpCW57t4/NZSu0ZMItUqbF5W7
tNBILz46aQddOyLyTJqEubmMLr7bnXRr2YRF068ot/udyL2vBit3A5rgoDNMXONQ9BvZTQgc4IiI
uUi+T6PYEB+hLdwP9oVNbi8oBm6VTnubnPwYApPCkIS/qg+4YkmUJbCI09bJGB9NYDmHCk8gH1gO
oZDTanQ5PwKCqwN15owj8sv2aC8rI2JioyVjmt0xlBJ94T2mX3yynvtwdq+stGgHmaxlD6mDm69V
E9eg+/XGVfsGW4JAQcV5MIjxu5PuSzh433iH/5txLcYYx2f3SyhYF3xpxTEIMGLYvjnYQLpPbcyW
bQJwKOm3aHrilUNaXaYkew1aN9jKYiCbUpr/hmj+z1SZi2Eheih3fLNF/z2MfJUE4Q7AlTbuUl24
QcYoeQUPIXNnCN8642qzCv4V8Aw1TzSaNvKYu5bNIqIbKFZPxyeOGQEBTTw8xU8+4QABOqTdteut
2tae+SVZSnPdjIOV249hC0dTjwHzmvLJ3aQh8uNMC58YP+3A8Z+VDN2bl4x/Y5QYTHv2aU4NcGY9
ewdOeF55PQU6CYSHvPpwFt4zYUicSka0QRGhf4ux9xEwD/PNRHBgl0wg6uKRprXQY07WfPihuq6X
XAaZhA/YRQ93L2FcDfCtlhZKqKQGhGLDpT765u55JjxT/8ViCdQD3y44VUubpz+ykKQ6lNadsbr2
d8taM5s6ZspyXF69Qt8pLI08yZswP9aY7MHc2WIzjPBbsmXkxWpvfBuPYY3tae+q1L3OmRufe5gs
LrbqJzpZaZyimyV1cXWHVfysOAtPVcUONJ5YiQm13mktaFbQtWkKdY426hgIDPuQjQtJg1zobetp
kvOj2jjAW/dqolbBteLhRYKs4t8pblS2w+ghY+vYogKKuvyT4kJ2LwJYCIBKPRdW9Z9JxX9lDSIh
Gt77oFhtp1AM3ai7Nw0YU/pNdg17OoyH9SnI0xPWETK6sFBa/tuIpwDScvVdterUk8LdFDUqgZTZ
oc6A1jRlyqK8s3+K0vuloiHbp+mAA40Hcu+lFNwKwVbCWM6rZUKXCc7GOhK0bEJxD/SYnDf5XG+G
HCNJ0st5V5GWFROMy8Tx3BsqwlvHLeNR5s7X2OLtxSTONVIfmtn77ViErOpO3WvtvRK4Iea+Rqo0
wOnOT79zVxyJ2Pfw0iLYamn0lUYvHInOzg6BExFgWUEP5QuZ8M8qBQ9A29svbFMI66mzHaueqMc3
1xruQIFDdr5Ovu11n8iN4S+dCzTwzeIL735Pe8wu8SiJdhgDcUDCnuhKjv/RkW9TkJNQIT47ed9j
wsGdhF8U1NWb/+PsvJYb19Is/SoVdT2IgTcT03NBIxqR8jZvEJJSgncbHk8/HzbzJDOzTndXdEUU
D2HJpEhg7/9f61tKLRDPD8yFqHH56NOQYIzDfYMpcxF3aBDNgesdnxIKyJzZYjq+Dw3DLbvFe4zP
gIAG+kYIdfjzkLLJWOgaUdpllgLZC0J9ZZhkJTgp5HFdBVtAHKhYR3QkaYcaj3SDBixrKvFZrgVR
t3DNZS2Kh7xvTL7OHu6kCN2aBRNU17yMCPpg7ev0DSsoWEiKrrgfQWhqgk9n8r+b2ldWqk/e2HyH
x/DGO9zQTrgvKz3hS9UcEkBITaNcdkG8rxrzwJ0yQsqQ38dxeKsk9jV9s2+6qO+Q5u2QR1BKuE9a
kwuYmu8K7dOgkEUJ2noBhTcgdRx7NBJbMY7oo7kGbNPK2BWmj362dSImAOYuBCOzaqKJuBly7RRv
eoOVj2QO5Xh132kwJsqgvlcrYjVoubRp/pgkGoY+B6xDCHIdbKA/j7HcYlWhj+H+1cEhp9SQ+iq1
Hez0ZZ6nXPS83ZipT4Pl3vi5zTAvxm4xBajTTJTaIriIK7gE5M+8Bpl5V84MypB+exM73E2Lg+hx
ZjiAqOHwwdGgoYsk1dvFXsJfTOgDtpTSLvbyGYks4iKtwTagTS1K0J+pZsHAqLyIsCRiOIJ6Jsro
6MdqhkULMxgxLJhEtqOAWhmtzj8z9S6b+oqqHIP9OZ5VJVZ+9EOdcVl8X6bqC/rSeO11hDcFUe8s
amVCqPDmFAZp5bSdIKm8Rr1NB2Csg1VL/xHlzwxZYL6FOkRzucg0YsgwrJIhHGA0sMt0NzfNdCMk
xjFV98pIpnukuyEeCpxulflWVYEDmsZhyma6zi7CPOKnSJCsFtoDcQ6frc8AG25SP8ZHHLUP+sFl
AsfNn5u5hmO47ElP1amwQlmLkEwH3nQ945fyhMbTEDrjAr4dVe/pNk5hckYjuhE7sR75VS+jnJsY
tiV9qTWgCaz0CYce+W/mtVY4zmVdK4+A2QHa2LSKzYyL5zTU1kY1CWAo9edK6zSQDLNseJyOrV9f
FENGnTCLfJpxzrBEggIckp7rIuByjAzSiY+NVVwV9jzgQkvTtrfx6H0gTyXPka7WVMcmjBYuFKSL
PfcfiJVB9EX4DLvE0FfhOEdvCkgViQ3iuWLUWIA6nDrhLqNJI25lqC/9XlcWU4DyKqHBMJXGUw8n
f6l7+bOLeYa/Aamo8kEuJn6I1px7i4GJZTdqcX3LhVlgn3Qr0EPZj3VNir1XQ2/AdzuYARvJTinj
YzLSCy5QLB7levkg18lnRiSSnR6mR1wDCTwMtydGNZ5PIDczVU1AosenpfNhp/3kshrEyW5Af3V+
jT/3ky8y7xJEFAuYKMMdHyrvgegGPH5uyJh0XvQLE3mvNZYEPaBzMNoe5krlhfcYy5iF9Y2KezWC
EykQoInByG/jrgWlrBkxMuAMmcD8UEG/uEIrcKP7GYyEeZVmNxcZo5ijVhnB7Wi/t8xwr+WCfEjS
+KbsAFTNH9/taZXKrT0sABFyuwhu5QY9J1oIHEN6cT5Um2FhSuaGq/O6ztD0beajppCHyRMYwt5Q
+z+ONCLpC5bVJXHcFOBN8ebZdCM6O4CGIteF3V9bVV+rNyHDTv4ijXXnDtXOMAzxrA9VjTSBwCQb
3+RzUrr+Wmj0NOVWh5oWPeUmP8pFzATAC8PssalL8yaamnttPgdDFGenChGtfhyUwz/UQmad8ymF
aX2qRR1eQynJnxEbzIdYY+xcFcanoWlr0iCXBGXFV645xFdwyX48k+tygPEMboElUdNFWSkf9Sb8
bgx0DeURp3XyuFLpoOiWNSke82lipb8q6WYsCA1ZpWbYfrNNhaRKqwci1kzxi4r9Rq5XIoTvWjbj
+5MieZ0ChILsXoyjf0EsvbkpgeF8E59m0LffvDzuNobi5xu5E3EPbjLpr2kTBaRUpyb0f451+y+3
a/QXfAUD4N8JbPW8usJx0+ae/gwGKNlhxIBBpyJx0kaGB13YaMWFSILhMh8SGipxPw6Q+qMKTFEA
yXjekuHIuyTYq1ulkz3QtkLo7tJd27cuOW84RLne2rr3kRlPWdDV702IpgXxTUXBsfcvVd2BXRv1
3sukjls3yOABd1xKjaYT9/UE+6uJ1XLrOmVyH2A8W5SK5924aYmhx4qeme26N7Wokeaa8RGNbf6i
0Pre2rmVrzVfzV9GIgy4aVflEcm0/2Rl9yXNzRe1tbpL9F3dsnBxceSKnQBJGoorW0+/G22aPMWo
OkBXRBh250VLx7/lWajL5OIgZtJbjAHabsfkKUfyhED74LTDBBuyXJqRbd/4pQjvfcq0hIynLSJ0
FjtqW/cT33CysSgU/r6H3CjX/dyjKAp9M6gMxkSJzpNZCs2Z+dn5Qa6z4yrNgL3+tkXuE04OW867
/7ksD1dLUBEBRfrzfn+81HnRHmB0y/1+eeWx78rl0CTdgUmrQkvfFagqh+BR95KRGl2gbwwyPTXn
lav7IdCLa4+m3aPjIn7A76GqTv4m5r+JllGVhrmzra+tMhLkO5MFPGAiyyp7hWL5mAJgusJY+6Aq
RFS3cHyubMoUe3NQL/vWERvfJCm5aQ8xLIrHULO99ZRBDFW64c4atf7RGZKtgDOcYYAehFFdjtPk
2hcUO/0d0Al8Y0gZc/y3aZUyYIFGHF+pyOMgXpQOelUWZeN8GCbegJtDWrQRFq1Oy0gwGIHjxekv
oooKk9z/fJB85hLYS2/IREWQXsC4a+/dwXavp7T47JVCvDBNYDLc0V5D5yhe3F59VvXEvxFVV93V
g7iWe8GlC7cJ47u1XJwQ4Cxqo52uUCBNe9VKb1tnnPY+Rl2kXHZ4bxlteB8p3WdV9PqlXJJ7uPMe
cvH3PeRB/XyO8x5eV5j71BdP+lxi1RMP/MD8MLmwtuuyIoz9z2W8htYU0RvJiSsEpfge20ONkTmo
CNypyysx2kDOC0t58x2dcCptfOqzMtgOtdJRKh37Z1Q3iK45klhIHUtIPAHnysPrPgTrK48k7eiq
cGztcaDUsqU5F2wGPepeyHNYyR3cWMEeYofMObD+MrEqrKtAd1Ji+xCpZRSBUHmwTqkm68qbHwyL
eMWcLhWGkN82yF10MtyhVfiXDT5eGqjzESoNnrUoi4EfN4unLfLgyrhuUts7ns/Uo41cOz7m8W7y
H/02t95rWtQLmrzTnZP1xi4MW9JWS79+GUvlQu4RRXNyLxrY68QR8cGtEuyRbZ69YyaTOyg5bs8m
UZ2DHQfmVZYxs/cG03z3lXKltEr3GlAzWROD1ezRuOu3qe7R9phffQr7mxL362MaKOqmcuwcQZbp
Pvx8e0Cy6B0PofpvvL2hieKDsMt/4+3JF/cRq0WoRv6Nt8dE48fbw8PsPRSV+59/eo0impcu8k+f
Xkma+OnTO789QqzSd3wm8kP6u0/v97enAeUhmbKiRhPmHkwqA9uSTwUFeU4Su90tlIvhoALYrqyk
JlnShu7RloSoB0l456tFdIEwu1k51QjLGTm5M9mgrMYd+Ji7jKrCIkcfsBhbhaSBtj6i+s1WiCdz
TFkEpU6TAjDFgh0S4zLDqXBlKcGrkmLOCyZy1ovQeo+Fu7OH6WjZkGjBh34fhRg3Y2JqtEyzFdpG
ZKN6cy0MQ10PxippydzoVN6jQmA9ha2NoVe3KvY15vjM6cBuIYLDeQIFw4TEWNAbT1/b2qhWmurf
+CS5LKO+fPfr8qNQxkfV6qiNjNz9OgwaEcy0xgPhGGU4etTgvspIrymt+hkbKPMVxW43aQraLla8
TyS/FA0GdWcb5XIKuC9DWPBotFAimUIAKIqFp6htJDys3jgNsa9pivI73MQ0xlaCHHsSSujoTt7e
VRkEjfpHDzl1mTXU9VoYuNSXqA3rtNVt8r8K9DFrrZrbj/ZEs2+4pSGM5z0ejaUgAl34arZQk9ZY
Vbb1ofHnWyIKbFbcbAmMUD9yxbjNHPPHju6aPkZEFXnKUU5y7VAw5BeBByUf18lC82fCBiiUsovH
fZjjz57AmtBph6LWwpPOoAlCMLlRFBo0I3DFJfzOYwXhfyn6/DPUUyR9zLzLyrzVG/cqa0f6EZqL
Wsa/01H4z0MThpBxcgQ22XI/wiPWTfwfw6E1EN3o2drrgJRhEWT2SHYO88CVU9ffac0ae78vjymz
zYsyH7HEBbVPE4aeN1A87GGgB+lUx0ileTuWpWwbA+MZ2aZz7QLPXOk/h1nE39n5HjY2RZYZBuVG
zRKY4+vkeJ/VxBtEUgAayA0XOWpTsAWEuegWjXNdxY8PYXfW6AG9ArXFv4X/CpLPxWdaI7qJLPtF
t3Evmd2QXqhWeRsNyQrmFh+vosUrtyLGwvMmIAQFU64Rh4dyp5jCXjg+N3o3ASqfOvqRfvHCagy8
S6AbFvzDKZepxsrxZ9JSjZFM76Y3Nxy+4mbgTqUC7U8Dwgwou9mF16zFTKqjzXzs6a57TRcgfNWO
at0vnbaLd5Q402XUONo6okpP0RoFfiioiHhcJ8DPrqLUvYKvStO1sp9aDYy6G+ovlY3nNoIoqw6k
IzltfEE7LF9ZcWmv0jSnu0blzq1zAshFS+848iGfaEBSjcex9nZ6DLXbH+Gwlc19qeZ82SeaJnWv
vlNx5Jrz6plDf1nYMHwY0vILaBiFJ6jG/O5Tn9DEJBQWSiNpL8vqxVaHx8EL36mUhbRhICxVGEJa
tX2dmvrJVZ1viFZi7nTJtnLCdsldjKQJJ9rjEmGgRaLrZPO5e/zgCCW/Ci2R8nPjMmNNyri2+w8C
KC8CC8eW6XrPZstvc2ynB1sBCBSFaAWtCK5d33IF0kmUiux+3Yc5GG50XovEi7ZloC9bmlboQGlC
FcFd64/XRe1gGGLEaOn6jqwyAvGS4dKk5klFn+aNAo8tjtQ7f2pudVodm/RY+zhFiWEmjBsJHl7B
fu0HFJdiAEVLWr+LnO/OpuxAf3UFCL+JhBudFlWRvA1pbW3bhjSAyQIAAJE9hIwCPzY0H4uGOl9T
+M+T2XzZI2PU4sPSqg/mV5QUMSKX7u3ovYZqjl+P7GX8FsQTljVukX6WR6SJtxCG9aVE9qMBP1i1
w00IPGyluci31Kbj6qM9VDGDx4h0xqWZd+BvhlzlR6O8qoQv497D7KsElFHxrlNQp11JhK3BvxN9
bq6COS35xvQTgXcDHWQnymq6PiMu60Y7GDVLooes9BINXk3mLn+gCuQqFryVhZQHCcIuqWb/56wG
hmrxGe6sTLwX0/hQqR31ere7czoTF4fVT0vrIXfwqCBHprVkW5tIRW4yWPoGC/WD3sVEBQMLS51v
cT1+MujH0UQqIlL17agUtJ0KAOBz4lwQ3nU12RR6fuMWzZM1aM8Q3y7LXL0GQvBZEBJRYmzxex/R
O99ZxDWTBi8a2wgt8dIneAf1jVuP4Yq2aAb1LCKrCyqMovO50hvPyUOHIx1OdrvoleYWYf43LUgZ
zndaC1kJMbZTIp3qryJvCwLj6StQswfLq5/H2XszAy8wwVwkOZMFavQRZqpvQnTB0SoejSZd4Tkm
aLhDbgj/P1oPJn74UfPuaX+n8NI9BtDAxFqioRdBx10kqdQZVQ8xxne8+MIDpZcGw5NZEPGFWTTc
mJh5Lt1+euiA8K1Md7oa2/Gu1/xvreDr29Ku23d99t66031uFohaSNbpibMzVWTAuRminYUTP9tc
CFxB4U9sh9ajZNPIV2sEF2SBx21dRqQmeNYSvc0hKP1bs1VIZ5mWvekcEubjmkU11KHz4aKYDlox
UuAtn71cHE09uIg8PdwhWn0SEPo3Qz1+lXb9PdZaGmlZdkvLe6sm6aeY5dwhRvhygJiuOfXIFSp7
pM2ycHoiwBr0/BTaDejdSoZblDk3IVTMu0Ib3ksCWSaEQ4wjr9ti0+IK5wYYL+K3yHacpd8046Jg
quRqBAQkQDbTsAIaEZvhqsZwkJaIpinQEohElHWXkN9aK9DtWtPb6JE6+xYRJxlD/NVpuFuMKsEC
hHtqW8DHWXMZGUglZMjLRfLBpMHdQlV4xBaV7CPl0maesU5ocqpz3y3EZLw0AKW36GPszv2yc8Uj
JwO7jEWouuq5SAOa8FKfBCHhun4TxA+dA2RH8cjPtjof7Eg2e5Ip1pjmka5Xte4IyVIK6sdqhiyp
aOJPglyoZHMBbua6v4uAlbI5cC7Ddax1phFgkPR8LkKfmEc0ztaPHkaaYqtMJdEvT9Qvh5/VqpjI
nkq7Y1MMOPyHGWFNCA3C3PKmS6DVWN5qtLjuaBns2ajlix2j/z72RvCllY9GRRpDNVQTVW+u450Y
nqZs2LUWVR30JgzpkFcOJGF0uQbqdxgOWIvAyYgH3ORvhhe99Vpw2yWEUPUBFCDXpuuudXALKtKo
OvQlaJ6I9iULzhMDs+m+3ztdiVUTxwBuOqyzqlMeWnz5ANEwFgEFpMi2CizBrUeLUQxF/VPHrfJA
wxMiK/OpV2Hc9hVgNo9UEA0dTFZYZE8UeBFGQXWWYSwWoNvaMa4djau/pdl3Qm0Oqt9Qjk0QtL71
porzTqdnqMRlB0eRWAz6Br2SveiedpdX0TN0ctAiGml9jtsRo+d+te5tJlS0gbSp+qj+slPSkqJx
3QzUa8GQkfaYaLcm/D3E/WvApvgYGiLyLJDomlnsLXcgtNItlj5aPchZRG1Bqxu38NX5uqIsXtIA
XRMT+dR2+JxUjo/wFC/8CVuBj76FsYDWhhdlRA5F3bxHekh0OYyNYezdi1aBe0+7wEUxiU7EItmL
C3KQA17mLk0OnbeMs+TONmII7FhSF5iI+Vv5wqap070OKNr58pcfMX+XQdXrhQEiZ9FhVM0aCOPQ
uKmbIjr1YrRbdfwu6oYaoBJ3Kydr+qNYhe1GYD5b1mb8aZLvuag0entoUcmoMxFec93YhpV+UdG5
27g2g6XJo5HsdPzq+j7qwRWMz0oR8om11rbKou4wpcptn6JG4Jb3Tn8d5A9nQlAN+C5460u81owz
iG/u5/kh8kuL5t4ib8UBYQ802d56jb0cGX9N0G9X0pxyqPnZInQ2aYMVYSjDS8ise8OzmtU4j+Ix
r33387q6oFIcHpSw1nZ8VuuhAgdj5gKNGvBw5h3+atYoxQM0/shFxGcZ6TrNGANT6r0CAQ5TTMs/
o6h711AHrsIIylqPJG/ylVXHCGKpp2VEG0j9GoxJXPtcoheOXtPXnBc713lGZzgBbOupadH+TgSq
dc05eCZOkLqjgOvVW4WJvhFhIO7ttlkWE98e7LbEKofTg1Z7FObLIl073DUZdBWkkoPyWhS+igau
9YkS9MzHsoYhlxDDaOZMTsuQuOSsmJ0weXIBF/nF83RnTdEmogJRUTz1PrnUapvUoddbAZrHYuT2
G7fsGdM3ubipJn4TJD9a+zmNHLg4UcClqe1rhRghRF9PqaDlQqOP9qxoQhqQdAVNhslI0pjj4X5g
vJ6vI8uFo5e3Ox8jqavOpRCnKDd9+OqL1IRLqNtH4ty3iEHjbUVo0q7rbYyCtYUEIxxJBH3VEtTZ
TWncF9qALk7RHgwHyptRqzdOrTwkaRRtMPzdply7GKRXOXls3uwjIW45J0pL8+sNtkHe/zRfU/HW
u7VdLBFwgR7uJkLq0+bSoF1oFcZyStXHqEI/EpQT/xZQnEk6i474BaHVf6SGhU9XhRuSIjkwCwbk
BIYckgBLPrpDfl1xRt5EBU1CkCYK0goPNFASmxyeEHQ+TSlya5j94bBIGQDb+IdGF6FQBRPTrHN7
0ycamcCOsss86mV4xbQbv/kKVVO9S4L+s5xFcplPJz/NccL0XXRkAtPjGe9BsxTxs0WPLjR1G9RZ
gz6Ac1iQT0rLHAHvDyFeV4WrfPoYW1m1nJJcB3IcrV1RHMrCtV7bnChq3xR8a6/1bMQd4QJaQAmI
4R+0xMpBowG217o0FJ0gCpXRHSqFDmlcgU0HvwJpTm34TLrsq9MF3zyV4ayKhGPJLd+zk9WoEiqf
KoiNS/cq7ZgdNVH65JnTJ8PCjenW1NCq8rs7lS6hd9T6Oi5kI9iiMIj5ynOFhZG1NwyoQko7Dfcq
HnA76OKji19zJv8rzVYz8vekjyg6J8oF1aJ7PbJnAuBlaoXRvohxS8J81Wjy8lfF3cYfu6/vIR/g
tUriBrO3G6/zjEKpMPMnow5ubKa4pBy46hrH9z6jUbQrgOMuTZVGaUyOvELYgOu6C1VHTJBM+Eyn
eB3PN2rNar8JF6RSYeHrFmPBzBbNsZUkR6PUnjoHRreJr2xRdygfywFlZMB1QpnsV9NE6Y1xAUVd
ws/SrLIvf8yVrdG4G0vEj3VPNpGuJ5d12fAk5PrInJB8+v7YuAUTqpZaj0a+hp5Xl1FM7IsRM4vO
30dqBSuKooxC6EVySVtiC7bx5myTcSagGwxRLcv7avA5LDuhEq2KGmiqwgpxpPfBZPB6TmwrCHkK
83E7dsybUsu9dgyEZGW4RoZ60NBELCjD0p7IaCUpRKXnzYs9gKhTfMyIdsifwcaUFan0ZSF1vNC+
2oBBUXPVXOqw6jbYYqG6ONmHHRQfieU8KA1I1BxXFbOqC+o/7qJB4eKqWGn19lsSEJul+e53vnRw
nXS80HGyHrmPiAjQX0WI6nKK4zs/GaNlO+bbeM6tQF8CUWdsASJ7xc0EqKsC9TBpDg2eAiF0To9t
jrUsx4JaFO/8iAYyWAyt0WA441ebFo9No5P+o9XvKAsZNbdrqrpPuoIrKARsAU7jM4yc96yz3jJf
xQhsUgLgldDz6ccRE1BWvFHdxiDWp4+RAI2Qessi7unE6gtOZcPIJKsKH4UaaAe+CUnGz9Eg3DYF
9AlQKZkuInCX4ei9JIYZ7gFIiU2fpivLJyciE/dNHbzEk/M8Qoq+aCGoLcAh9Qvc6lxH7R0hhM6F
O01Xijuk6O65G0A4xA6Z5A4wwb3XcvVA4brpElxRKHCZJUR+BrmEG3YKGdBryJANGoKTSY4m0dBb
2kPMbQ6qVmBF5OiMm5hSOuYHizIoxZ+Aa+DKhplORLLX3zTRoXO9cj2kc15cYD44PdOSuGbQ7sYv
KU7UZR/pXwYjENQsT75LEpXN/Vu1iV+YgHxQUKg9AQM63mpqh7W4aJlB2M6lDeGCoKMvxWSYYJTz
bF54JLZNWXFRKBh4Ckz0pMWH2IGgCmb6K/G2e4O50maKVWxxKCYSh8/C1YbkUEbBQwR5ZsVtBYQd
cMy6p/ZiOyCurOUkuDYro0ListCp6oNBwxTEGNL1vveAP7FPJDhhmaRoxBtPmQaco01cXCYoWMrk
y+kxyhZTdSOC4BvG8IuIqcSB4UO1VHtqUMi/b3WNy5WRNg7fsy0gcS6bFpiIDt+V8EEimgy5y9F+
gq/M62FLmez0juoFAFsx8wvCgHpxirUHgYZt3CemYV7jXC6pH1zldCqQog+AWfx7pJNfjaXRyYgQ
2VM87AcUTID2ajRI/ge5T4fA4Vtv2/s2aW7CgqrrmHM7VTzxkM36NoZ403JCrLlAG6jotKHiuqPE
qwLbqqu3PATOrpXe9yFVv6Fmh2iCCjcEr9QWKO61mTjuOOW3kImSK+ZcOgZxC8edjKWURZHAYIzG
985gzN1aJkqx8MOYpbYqDbbRn6egYDBnLutbqjXPdpcfmFg9pL7+EXn88zP8kpjs8nWVxtz7Nfzq
/NI6g3Ba5iQUrwWV/rbqyIfR80Xdz2WNQLxBL4jz+M3ICjBxcESoyM7mpaXWQ+QgAWSLYO8q64mZ
UG37e11U4yGxlRKQRfYF0pnc17AkFwB0cO+2cxaIBlLLq5iFCXNtRpDco1TYRwthSk9k1IU6eEvV
DJqFVSIh1xpyP2rVNLeO4ZJRIyhc0PzHHZehTBKuDnCAobiGtxGhKc1dN8SGGi9b5aAmE4LJ0dtm
Tvk00WNoK/OQZQMMG7xy3LkCGKTZ3uoIi0swGTs+oXiqxzCnnyixQFxHWevibkFOxKA4q7/DpRaL
wSInN0gja1UU/CnxXRsOoJ6EO0cUt9c46AmtxUCzCvLvtGlm2x3JdIVFKKQr7p0scpDhYRfuiUjC
nz3uhCbI3SR7QMkohlrM2Ratc+sbIXCCnmulpzCx1Ve24X7FqTPbN2FDmXn2IEiOWPzzH//7//3f
j+H/BJ/FTQHXuMj/kbfZTRHlTf0f/0S08s9/MJSe1+++/8c/HRMDgWlQL0UAj1bY1Ey2f7zNWV/z
7v/LEwqTGQW01BAooWhWaA+DXTNN3rVI3JpyEPBjrfCu5Sr5LO9pgPMN4i3+voEr+pXCz/vyvL4N
YKnO5wCt7F2f18tz5G5H2X60d1Zl7ki7866npPWuSXUKiJkJueSz6rzeBbe3tmIMiHJd6mCrXPRa
+Y07MUWXnzvL422Oz+Ue8pzy2NEZ4XAzE3dUsjR8a4euvaNewYN8FjLupdWZB+CY55WtA6wxbuZ5
7e87osTE7fbHgWqIedTJCLOaT3PaxQuK/iCXzy8w2t2Ps8oNZkvDJjKChL4YI1sQ8cFRPpMPODTE
ZYgZtU+qX9dDnqDxct5ljjD641B5xC/r5jOhf/9zt2yei9KdGmIzP4icTE0mSjyVD0HdXqhmjCmp
TBRshlPIVKAweCo3y2VmMcXB8DqBz4Pvs1x32ip3PO8jV2ZyJbKM03lPi3KLPI/cG+6Asfmvv+d8
n//le+7xLdcdnGSmCa3+j+95Rms2jJ1mum1Flg7lK9TPdF1OjTgaYeztp65cayA9O4CRsQDAx4Pc
Wpf6Y+UGYkuKWXXsMpc41/MuShkCqMVbgND65xZ5nNzn56l/2So3VBXSZWIbzccwt6rt+YRqrX3x
PsI9XuR860NMYyJfF9myZ168cB1M1HWjDHdOWSsoC3B4F2K8k6vSHg9bHEWg0eQRCsUFqtreUW4N
zZSgMFt8ygPw54/0Ljo6H5HabeQeckMvLlzMM7dyjXwPFkGqS7koHzwbmxuzxGYv9//5Ps571Gr/
432c1+HkObS1ILVKpS3FGNm6kN7ziPISkxHrKpLOdBUGH8BS0e9IDcCZzuDhxgLrt/IyaLVy3ekw
p4u2Ar8uNLMUR/vg4/3quZLII07r5lPHdcupZ5O7PDaHfYccPOp3p5cbexS/Qa53a7kPMWdMAlVL
A6dnMTwWmC6RyXvuj6fQJXiqAi/dn57KHUD2spYgewXM5/7vjxznY+Te8mj57JdT/PIap+OhBRr/
yan+28PkyUeFZOWydpH1z/8I+fqnNyqfnl5FvpfzW5N7/stb+fNQPy/JuvnlLH8e9sunJDed3wCf
URIXYn9+3b//tP7+jH+u/Tc/KcOowr3v0Q2byty7h5rZXFRe1V3CR7QPriOwremhgeyDHjPme/8z
0i/LTre/TwqD2Yr71n1GWYecXA5Sptg+5C5lGnm2OQ6o16ceDmhAoR2MxFpBSMDwD3xHMDKxq5jD
4XPrbhKtdAmX5ifqGEZ7DYq6C9C/9t5xtpXeRvOD56Azb/mt4JNm0WGkcNtgqT2tk4tyw3k/HMHa
RaDbdRVw+Rpg8GlztKESwLOsMrgYFMX67MOblxsNX2rbEm8yhR5t55HCle4FBk0R0ueGqRRHuZgV
VLJ6Tam4Mqr6o1w8b5U7y63/w2Mh/laQXNSVfCuIhBLYvsOAamF+a3K5whq3ooZVLuWi3HDa57yc
jdmPveU6YCHbgcCdKHSj6xwS5ZPSfqWTbjwXMQbz0QhJUY1L45mcKmddFgEqlnnRtPhmyIP0RMwH
8SWY18ujtNlD75aqcjHNuoxgHBnRm7qwD5aw8TUO6NnDycy9C7lSPoStZh8iSgpQeLz96RC5DkUh
hgRYO+HpQLn3EGTVj1PqYFz2zhTvm8RuHyDfouO2vWJj8yV7iBzXBJSIuERuJdm7Ax3b3cmN8qHp
HhnG5vdljLErQ1lFMGbNcGY+OjRKdaUaerGRWycjsbYEbSFbmbeOQvtxstxlPpmbVMWua5hzRJ60
zk2dv8ax3iXLjhHOLrdTOCGRGt/JBy2ooEzZJAFASAC0G3XWK62S6XIwlfjur+NP2yoguafjT8tw
nd61XAd16TR0DoPsUwq75UMSTH8JvZFikHIt1/7L059HSq34cFaH/7KnFavweeP0GJaAlOKROG3d
M/CJzYtunOjX/vwAGAlmbmJw/5sX5Va5Ie/9Oxpr3f683p1JFNGJzHReSzGr3FO+fLA7H8SmPIMZ
OLCPhqkmVxXvilwnH1SvK4E/z7fbn29Bbvj95fKcUcDUFb2t4tX5rNWavJTYbhYMcbIHNNjV/ZRf
Tjo90GVtj191zt+8q8L8oWJos7ZU0hPlrucj5dagquSRfhcB6ZuPVOe8LlNr0EbW4bQhPKc49mSv
GFeTEAqNDQGHgxxMj1lH4d/IZ1AdmGPVpwVn3sZg4Q6U3TQnZv7Ys8K6v4hTYWDxZp18GM24IMYg
NVbqOPxYBw2p3RZEHGLG++sF9GLsD0rcHM6nkwf89cLnPfsqvqP6q/7tC8tjTNiHl/BKSVWbx7dK
S0mxzsgplAPP04h1HsrKZ3S0AyyMTtBuo7Y/QpZkUW7xGo/2+mknkCinU1jogODwzOc9DaF/Hum5
EGI019on/uQTi+z5BBXzDEWJf6lDhRCL87Lc7CgwonrUK+f1f+7353JCQvr5kMwPbDQ553NH8ws2
GjKa02vJ3aHcnV5BvgxiA2dTj8Le8v3DQd7n4XBMfczw5jy4RZQEjSvNjf54epi3KJnFFrn7aeXp
6byJQS1+xXl3eaKAMXlP+5cEMHm605aMptvm/Bo6CWnocKqop5umZdoR6UB9V7YFNATGwTu5SMGA
sam5NKxRTZckb1IjKrFpnZYLDdPDHztbE2aUivlYvvRLJXLe/puJhfrHBNqi4k0X3dTJjeN/ruP+
PoGuEoHKr0jcuy6vI6oeOrI8+CJM/ID99YfYg+FWJT24LZbO6z057fybddDZVJJbjHZ93kU+C9UB
Yt7Pw+SzsbIc/EsDao55Fjuf7u/2lS8bdhRnhGoBZYdbv6A1kt/Ih2F+5hiEJQSauTuvNyND7Aad
Bth5nXxmsW/pRuZcUY6haMFWrLzZnD209bV8MAqrviY9+8eGxOnniGGkUfasVxgnK7vS6nG6KWIC
geu0G7/JDRMBOVc1neSbwAkhy3Xe+A1VK2VturRXvM1/OaKfT2XMpwoV0irOp/rjNUiYNpdFIahF
tUNzp6mAqyNvCLcdFvY7+dDSEbdwjckF37DanTVSgpWL8qBC0I/s0FX8fpCOl5ykxgx8jjZYXI/B
FBMwZuPT8Kz/T9l5LTeOLN36iRABb27lKEPKttUNYtoMvPd4+vNVUi2oNT17/nODQGVlJiWKAquy
Vq711Ldrs6f35GdGjfFJPGAmv2zL0L8Tk240L/4ymfl+s4f3+Wcb/eUsrf8pnuOGcyMd9YrYWr4M
pfHs5oV5j85eAt2r8yBm8fIm78VryafnsZvNe53e9Mc8sx7AXa5ftlxOXR9z+SoXHdLJY116D2Iu
YDsGQgtZZqIpKE7T6BeGu9q3uRdax4uxtvnN5CN+9mp3UI+zqOYT4cYz2KLNWfkYi5Pd2K55pbXA
kGBJqG9og80fvKigXyhYvmgxvfX0sUa7dEiWL8hBfUAVeHkQr6qrqO1Pf/SaXXt5mGY3e+Az/FmC
B8+mVSmCf/81F7T25Jpgts9iavBBBX6NtfFy1pY+D/hR56mHPsAMySLjZYVvZ6Zad5ym+jYfCoXq
y1w7OG9G1UkLUVp4gwT8KSDe6trLoQ2G1Rrbm9tBnrqwsKNEF0JUq576EvcmhSORyidvzeraVd8R
SMCRTW5B1vPgpumah3faPivgZpj8QIICYAY8YXes6mHXgH73ApL85lMe1B/Eo830p77S+k9WEkCK
ntXzdZqWzp3dK2FOKoQ//pyKvvMOFN5Yf1rS7kNQLfotjYBg+U8WDfVazc6W+wkJiLNw5LgQLa/5
Xi5F2OnXTqyj/qQBmhFbvSK55Zjwdyu3GN0SiMEIjSZCJdPRLc+OoaULn3bfTIiOGl15H+txeZ9k
yU/LjVc0qWoOIL2Vbpcwt3/K5NH26iI2CV1a9DOt0P0ZQlF4TCT2V9dj5KubRMrFQ0fvpFs5RgZv
nCQmLZVlftApJh7kzmmh+FmqrN6VQBUtNRJTXGnGxOHeLz/2kPBfjtV6rmsLZxXi9C5XRkG3p5Ps
ZrNvbtsL5byQjLbJ7XXEJi82zsNKh2OmAy2jcBdALny75gl8EOVMEdOCWOiioRL6YpT5IUckC9Iv
sTs1NGIvHmO1axd2ZZUK0Ju+BiilbpcM+astlcW5CtzLKpBURuvzTVBO97Kx0HOOTAp3XW5stc9A
vwiq73pdIddi6CDHe1UVXnHc0iw5Ley2YRx3LLJPyUHiRaGfHHc5xkAx3lmb5UYm66D7RzbXCfmA
dHtxkIQpuiyoSYeI8JKshgfrUTZQf0qWR+56IbNmkS9XmQMZ9Zbp9UcTj6qEolBl235R1pLLrlks
5/K49Douw2R1tS37Wj38lC9utntnl+XgZjvGSpg17cAEBC6aoEigDokxPUzuzNZ2Wp6pSLDMgjrm
wMHc/EDj899Quy7PEWi/o/3Vf2DL8pzHdnsa2FV3SJqwvulcA3xL4d7DXdcbLiz2Ses59z0tPU6q
5ATUnB1fGIAWXkajd97DFvwwqsuvWLurOx6tMFX/ssi0OEpGcsAgChVfkqUXVWK01lliGi79CcC4
da+tbhd1AVQLAeYyshSVmRHEsb5zkuDF0y1o7kf47J+R8RJXt8dEKtqarvugpbZyYhZFca4DV4Lb
uO9uxlFb6hO5dcueW5k63op11bQXVxlSTu5ustR8tsYBFqU/hkgKcTyGzAFSBVAap8sVtEYRNfcF
QnwPbVh5i+StGf5gC2bO2Pkeatnn/3o/t1h5MyXBG5v8zXIIFt/nl1zs92EwMS1k1yFdYsvfaHua
H6d9pyRVhfZpu4htyfXhbNVRvXk3sQ3lrqwPtUokg+E125Z3UokMlShzKsrWMFafJiag5uMHC/oY
4xI6Q3Dt8ivIOFPz8hvK7xoMy4vP9raJn+T5k03eWZnY8jW95tz87xW/6Xq/HyW4rq4j6GJ4psd5
gmW/X/EXw+DldRO2f7lRaPb0ScIC9n22UaqBasP5KHdRVrsfV2WLlU3uxPbvft10Y4zwX0NKochr
QUYmnT7etRCsP/h997VPBp68qiRnwW13ksJ7SSdJT/2Oc7QTu6XXQUpyLIaRi1RDXVX3BjWU2T/F
irOkWnke3wRm1ym+N5BbyP6dBUmiPfROEz4kSUfXTDUGl2LLBjN8QHPwshp7FuZqpOjo75bQoQdM
zamgjtsrezTg7HlN5DToKVqhieiF8pOJtOM7RJKL7ZiA5JFSzpVMRTVPZ1IWlGIg8We06YIhe60C
arYJM9Ifx5R74FFM0L9VFcbNBTr04cIeoZ6UNZ9cLAoJex4VoAyL+deyUK0IZW1oGVay1zkiOy4S
Z/rT1b8sS0eJM4iTGVcFy52kaVb9rrRSWIxfd9AcNcyH0E6HU8vy/LOBUsLLrhsiCrbeynEE5HFq
qOktTmaPu/NXlzAzwUvPCz9M2/TehWPzmFO0CoqS6EhVwffAtYmy0fHEUB00yp3b0WpyNpWtcV03
iF6oCSf/aay1+cxfYbANwDzNtBuHIYlpPm7QHrbdb8aq82A2jLm5NBkmJa9vItijqL5YN2S5IuQN
4cukH0Xt8dVPCgvBi/H4ux5/TSkZiH9M6ehYMpC3hnqrNSEma1SoUjJz/L0lnWTqrOXerJvgC586
zs3DIH9Argy1z8BWymv6tBzonK948P3LlnjbJjvehEZKAtvdf/ta8DRftEGrWlvYcP9pS/7O5pfj
TT014eVmNzJUZo/Fgmn44aMnASoF0P2VUfo7HoMLn1QaH/cOOKzhRGtmoJkN39Fi7JGh3fMMxEli
LGKmZU3Dg0w3dYcqS2bx3rt0ehgpC+1BUe1vwW9ySzIT6Q3IxaCaVKk3v1YN/2T700/0znl7ydcf
UhIXk7f/349jx3n3OHYMO+BI13Uh/4dIFD6t3wswWuVRJ9cW/5EdcXnTeH65N92x2lNaWmhRapIz
x4r4nw2aotrLtFw0NdxsS5PYN7l24eQlpbyjm9FW+Vkx5vSO2DkQH0kgRpmPLNpKT8oiqK81faUL
yEQWaKhpG3U6/3bgH5vW/sS/DcaSP1amPcxqJCaZlAtcBk9BGdhXm7/cgfNOLnyPj/4WsMVP12yc
KM2qhGKVmDCcq1PIOINzGW7umvoJVn6CdwEyNMz5+BNs/hKe0BRzESTPANkBRKTkfUxsVCV1UBtd
0aAqHcT2DPL81yXq3QKFG6P6mGahvYsnem3hf2b6OMOWyjwb5woyzz5KzGM29pdnJowqxzysFOzo
uh/zrw0Ilt270uxoZtp6UQBTP08r2ujeowdQ0Sydq3aKL3M0dI71WJRBqv3as1c9SCA8kVCPq0rt
drF9Oqktr7jSx3q5kUubrbB1zX7zUetQRkOXOtdO38zIrW1FOEExwA5Hblt0o29UEKxr9FOJjaN2
9zL3OYNQ78TxF8yGjxxNrYhnNL52kIlC4Uw0d+WbV97q0kYApJ2Xv9NlrdIvvyJQ09XKs2YYXt54
eetkWL0m8Lt1psBRL0h+IOt2ZxhNQN2L59yer4Qrvm2j+rydwuR0ggd5JyU9N1/Ke3GxM3kfUL4Y
evfFhS8wtt5JNNJUw7REAOLHtqU5+sB9fvQ5DsVT8nTOQN8hBNcveWI44eVFxcUw6unWD7wbjcYs
DuWsejcuSpl3YNi5M40RQR7s6QVgVu10pvlT5sRUo8oaueP/GdS0ALsa6l8UZ1HFhv5dbTYMdUnU
viEy4zt6zrwrsYtJJmWYunTfl2gNvbOLh4pMOsO7khFLTf8CdCsFZ1V5knqWlJ9UWUrqUwWfqgfD
Xj+IuQsD9CGrFlEdVfCa0v7oJfWsVy+pYkkuqX+95hIvd54/SPFM6mZZDX2o40FuKW1LpU5PZVTb
2psiTemEqoks/rYVX6QCM6zaec3n5iA1GjFZYUtLJl0gyA6ogs5QmrDaEOo2wV7nkRyAr4jATrSo
CmnwdJ00ilMKSuLq1ka66pDY58eFwu8jzaiQQArPux7i553MvWYQHipOJqzLbOrST5nnpgPIvTVK
T2u1v5x5i6lwACsc1AZUbLC6+eeVt8KRpVwctXmKx/7FxmksO9ltPL3GSS6Jg78KKPC0NtdN4KSP
A1WrU7/0kktvzWE/VbZ+LXaUA41bGbm+Ox8oRexlJBe0tupd20EFoHcNh6X/nWTxq+uYlokvOlJ1
kZ79hM0JiFWd5R+q1a+gWw/1G9+mHQjBZf18dfrho+fDVoDgdvgz7d4HgTSoKO90+i6ri4uJpemN
kwxIVcCI0JzIGMbAv7omHY+zYorDmkcYJ9mZxtOAmGm2cJfI41gZVaBl+sPFILO+D6ya+u509rVb
9for/UII10dJcGbMSfPVjqyf+owEA02ZQCPQqohYRX6FY5+emaFwrljSV1/3VKabYyhsmcGZZHoN
nVA3vIZA8xP8pCB5YWv6PsNAvNi2/TlPm+bCHJqI09ZYf9g8ojK/hkzH+WxBTx47hXG52utfchQt
p9VR0jvny1o6MApyPC22hYaaE1gW+A9Xp9oyAdzRpfWATQ8Wvmm6m3/Ls8VInrXixAT2v8Hxhid7
pEHMhUZXRmNYjk9wmCIjtNqHJdXHJzvUwwvThXVcJkfTqx+n+kM0DgFkxy2dy8lkt5cy6WU2qkwk
k5FkVMnGObAPvUotyaykgd8vBQLW0ct7aSEEcpkZCc89AAxPUAjYD+3sQWY6ZS3db+1A9+riXFNm
cZ7eObtZYj/UOLuDWsEOa32ZdDD01jNKiloWPtCwT3d8sO7HHJUftrkl/IKQitJlAZZ7rACR+TXQ
LUVYfSERYoOpMDnpC2rW4icTjqL+VYmPof3UHDgv3m9BAz/EMbnYxK3tQpZcMOrTVP7sO+WHqY6i
v1eeVGjFI/eQp3R+D6X+0/C0j0PRxc9oUEHcizrnR3g/xzMnYw+hRciMwn9i7u3JmK8QmG2vjEgP
9qbXLoh0jB69MfSuQ3TT0II2sE9Vr+esqGXE0x9fb1iCj33rvrxeUjXxxwYW4OPrxXPan//vFbDh
ur8XJKjbAuG1fNOH5NhxfU//fQUcp25nTmluf5jjj8wnSn+oKw/U/KhwreECj6BZHsR2nA5ibbp2
EI81l6i1b6G96GCQQC1bfBKXBuBpNUG8FAEaNJ018segX9Vd+bOcgcRBBC4urD1E/iepRbngrGi8
6hYFVVNszlIRJjZXMQuKMwxudGirfEcbvfU6/JFacV4mV2+I/Y4oDgF0COgjVkR/qQsjXpcg+2EM
VU0zKrY3MW/gIm/C3/hKum5Mj0mOYBJqrjeJZha0fLcePW3eeK212XQdqIvcyUUmkrRnya1ckJ2J
IKx99dmmN2+5g2Uax824pRCbXCRNgGwrcl/qFXwP5RAg8E53sZQ9QsSq4i4XKcPL3eB99DtKBDLY
KvYLchM7OJNRnFJB24QMIaf0T+I+bS9kQkr/m9880OFDPUIscpGX8+rqbcrNX+62lJJND93kanWz
cEcHoL5nS/NyWVAd5GA8vfbRXwZCoibQ96LQP4FVUxS1x+ktwnuNLbxoPStgcqUPBYEe3WWlwBGx
fiLD7eIpRfZtWMz5pRUU+bUb93Q7xJVDr3aIfPGBE0de7jXDFlfZZf0fO9NAnfy/gda7DhVCCA79
wEcPHC6xdxtTtsRFDktQ85xZmk1XX2vsvRWIWhiP10OSGHsx9b2t72Uol05NyF3DzghS0/FaPMQX
WlWKKF7aXPZ6eR5RiPxBi2Z0UsZd8IH/RNpws3C5nkI7uC1RwztNaXV7HiiijFroIhyRRazSNP9D
0/crwoD9fYoIUgvNNaSmDdv9UL/wR0qHtzJyPDD0NqD02P8W2VF2r/eVD+VKO+9oWrY/t0mOcrQe
xHe9v6afmvhvWYmncb3szUlRLKmF+RYkw2OQtyR3zQyrJIcZ8wWsz8M8wWmlGAy7plbYf0TsZSg0
hjg4niK9Ug7AOAD3j98yNPdcFl0N9Ol62t/mOiQ3VAPq59WG21L9xpZuf+uGYfpIryjsk2D7b1Cf
6m+7uXtxhTXzIonL/topYSWocxNuVN9Ldk2FluDxrEJOFywvSXedMiaw/f/HI9zznX98VuBhB5Zu
IZZneP+Ap7erMWVOv4TPvVLjsi0vPtDkC4l5YN1vl7n0L3MOtg6byS01wOFrmO02G52/2S6OOVqD
4d4+xs+AHbaUjVm92E2E6LaUR7uKpFvleaL9+7ZAuaPVffNj5pbmvRqNnWkdR1aS75sJJm6qUPrO
tKBHSP3iXl/QgdOmGqEAta2UHV5jGd3eif0r8djs66wUoGZEybeJmUZKajrDvplb58luFS9/OfF5
YWTqlX+2uh7yQpXGmmacjX0QJ99o/2RNM3qs42gcurMc68XXroObl1OQ3KIYNPScy64srPZunHR7
L6VOeyXjrqRhWqbNFKnDM5mfqiVAHmy0X6astPONC/GH4agtzrYp8e9buv9eqnsW29Ur+baT70y5
o4fzS5FzGrPZe/WFKkPWxW8mty9QCVeTBoStl2JPS2iWF61tdpo20Y5YLT1dlIbxwdHiaGeUqEoj
WG58CIsu5/CLtiYNZWyo0fX+3g2KK5mUS4z8ZtBPxqOEh1rG5gJ5HZmzXfaQkluGkjvSERORoVGi
tOWo3BL6mlvJYl2AnXFPK5uq2pAZNKt34a1cxi50IKtegg+lZhtosDDB5gtyjNaisZHiog8HADR1
Z6/Bx5AtxeJob4JjTk12bUsZ325yGDmLPq9u4mQ2L2eK4csAV2ME585Q3QwRq8y9jxDAZaP7aFel
/RVyQju4qavGXJ6BgKJxVVcr2/KyeM7N9+Y+cfJnOsqRnfuHN0k8HQBtUrDqMqX0875eJOPFiNZT
Y+RsTIbvfd7UlLb5Y+BrcUpSJEgPnSZOq9NgHE8X0lsll6JEdzzTjbtiDl96rsSu4AFndssmbOvl
kgl4cvdWyzH9Zv+3HKVCg7WGdVauXvq5T5cn+WLJVmu/Avv9YmWdz6nRDFnK6qZ7vfCm84X3+XfX
zl7XL2bf8tM0AdqquXuTNX13l9dOfUrbdPG9deLT1svXZ1aMaDH87hG0gcV/LLQ8U+PA+8Op16mT
JQjner13QIfTP8idpVneYUXN7DxdKVZsEyOnoeuZCvNNO90fs4i30aIDEdh5fx59jIoU8auCfww0
LeiR0Tz0iAZbf6ybzHhc0uDLMJTZXkxzpg9QTtSfZE5MGQdq5B/LnR2siJB4jzE7u0eZQwFg3MH4
gGRJ7q/F6WsyCZ/ryKIq58OOMFxIaSmXk3G5pavTOvhQg6v61btKVjk71gGJxndmGUoc+dCFda+D
Kryyw7y7i82pu6Pfu0PWOt+7UVDeiH3qve5O7uaiZCMGyPjf7Jvrq7/kkdRi+j3/9pKv/pJf8hQc
rt1A2XRZ1i1HdUoNubF0FELUUC65uuvq1T1DXgI5x98ntuE0wAv7ZtpH7wfNz58j1FkXyA3xuaEd
zDvEckHz/dpthkuawr2D2I8uMrZG3wRZSJ1GnGV6c9T6l1hzqIL97Bc9WG2qyZwMlIC2jNiCwOm1
6rTZtmqVVSPlh7BjeCk2KVGxf3+xxYLFkLjNx0k5AV7o571qta7UkzN43t0LDtvUGaA6rpRzx6Ch
p3RASWa3nUrKhAwX04DcKc8toO12bVzxDQ06BEGC57jr96Fp23+jqnPGrxt/1yM4ss1CC59GKiPw
H0Ds5jdueM3DP9tFnW0/zInbnqLa0z4rPhzPrih8WMYxXOPdY9sH4Vuq6RbEEBH4uUHbRW693mwH
ssdODtURIndy0f2Uc125jUugERYF+s0k9tllHxF5yHFJ4bJKPplzMdzJQOqc1QBTr1OE+U5scikR
Pri0Y789ItXEVoTjQiftm3Ax13DowYJj5TAPQ19sLfGDYPjkIoi/I8xPxiiXnBs01V29sYnPFtIJ
KHAbqxDYw+Fm7dBtG/QYaHMfxR9r6CvVEqh/9CpoGRKTllSZXBLVSr1yQG/Qi/kol6xK+eaz+r2M
ysBoLjseUSpILJJHAoE2hmdvXkWLhqPL66tYJSyESIXyKuIsCYIYveRWQxaxtOm7hXb06dgBxGg1
xuVJ0AYwghznjr1DryPBKfyKMwxYro1Z0+AM8w2n3BU2zcZX7KK+mWMRXtiyxhpVAyOUhHR595Nu
XwFn2eXGzs8c+ylXYFqf00T62kv3Cg1P50mDL+OSw7jmVGYhOEuf/B76JOY2/6jWUJ5UQN1pQC8S
RtB+l6KgeMlz+KFufV5NXvjNzzA2dBuOa/ZQTCwQaH3Oliuap/Zo5+UfEuunObrmRy2zMjUw2tI6
Drzib2ftWTe/uOnK7degB0Z22cEeCScQ+A5oi+61PK73aJUzUo1fytTm9y9v07o01amdIeC51lr0
JPsgr4DwpG+zB9kiNVM2X+i9uxyp4cUjW4wTA/a8E7gYaMnR48deEXBqfLX9yMEeJOwZ/+pKhBnT
oXcOCzyOexaS2bkZWtHXjLVmVRvpj5qKIrIorv8U+I25gwrBv+yGKHkMEzhOxKVUSAZqr395rfmS
bTS1il6UNTtnd6hfQjBJd/E50P7wLKmiAiaizPyqJesTwH868ekyXYccRXQdebpmdddnU0cBtypN
7ykv7B7ajSK/Hen0vDSzceSI1hgPGfxC512wJk9aj8ppmJrG16gynvoZ2q0tZVv3d5VKmVuAwvop
8Z9CzhjkWQS4LkOQJGbf106Qzs/1XkayFZQ7AZZp83jqoj67P6LUNhcVBeax3ovbZp/WbrnstOKq
jab7cfHqr30IaWjsOellOVrN16kyTt12mD8lOZL01dihrKvsvqnRcZ6jcp92VvD4e3gdVtmlZLMQ
UrPAihzDkZnczcW8nGQKMz+a6WfeHpYc81Kjghn7p60C2dtxcbSrTqk/2Td/r1ub3UvnEUxW0bWP
gNiVqJOHCgIcKESvXNphPJk937+lkakK6VG2G2hSDPfCl3MjictohgT8RdwW/BrHj7ee/e+aqGW+
a8twXdcxAs/TXR8eU8cxVc30Da+BtUxROtHz/L0qEPqUBbQc1MrdHxfZMt3ZOSchMOGiz+mBeT16
StCbNf27dB7MO2yBpgnVxiCKIZZTmDgzhCax7Hz99E8QOcHOid/os/jy+iOabjPLnVy2RBvCbpsV
W1GYzUXlZBch9SO+hfv0x9DvoZWJvvu1Y55WtRXfof6QI2Yeeud6pQiw9OJuDHyeBPb41fOj4aOr
R95FY7keu7IJWi6VSzwgo5RcsP4hMeTHyftc3lTd2Vpdnb48rorKH880oyw/2Ml3Aan9Gsh3Rpjo
MiNfGb8GMvPLTWJ+zbx8l3TJ5Uv6sojHc38abnhgsHeIYGY8CRCLvHac/qEDt+edCB8Emn3gEOsx
OkdGODhySciEikWYyr3Z7K/xQhhhKCYKKLlgGARQveubtrtr1SVZqACFrBLFlK3RG/tKv+RBTHKx
Y/ONv5g4VoSTFZoQINSOe/QVN5l9tW8v92oH/P+SW34Mvxqg2u/GOfxYVdl8G1NLzw5DYsJU8iMp
qW5ZiRF/6azyCnaP/Lvp0coSwUryMNpDca3HBloRNPp+sb3sSo7Xosr9/IIc69oiOLhK38EqQvDr
HofmMpRL/Rn9KffRfp2Hk7A7twZKYyjJ2s03K+8zxaOeU0CzNf/EtzTnole9QfQQdneZm3Z324St
WoW8pIXKPDKsq9GodoNuG19mz/LP4ZNfrnNadu/RgoB+NMmK70tQ71K/eesBc5j//+0x0jd1hhLt
F8HtvoEGb4jeMkIACMYMl3p8Ff11HArWV3w2jLDcie3PIOEjrjjnxEUzg+eVldbF5AIeiuJhfCrL
Znoc+lsZBChvPy0VvNG5Fldg0nBI7CXe52X/M6wTjgaX3nukS2E9SEDSDQkqJZyJ54X7kixP3ycL
l7q6PPqrZFAk/kTF+tsMYRK9SP8C9BLwV21ol37TtFcbpmsDhb2zaUMFEZ0J/da7CQF/vbPJy2YI
cnemy6mpwOAgsQsv52XcN2oT4wi00km6T4Ff95eOQlXKhFwsNRSba9efNOUhps2D304BNH/NysTR
FpmgtF+qgv5QIFyAFgOHBuPg/wfzCDw6v5d2KfoEHoBhLwBqzZPHeXc6R20rsVnbQZCY0s+0VFdL
C7CqC3v0sg2tvURM5HnQzXzeeZPRHfruWuZQXU1udRZXxllpJA9aPA9Xx6HMVDP9ylk7oHytHFMr
TW6t3IYLW90VJorq2aU1oH/o24PFmYcZ76Oi86YLWD3i/ZxAaSmX3tfiPXoIwAit4V4mDc1oYEaq
zfMWmoL0TIIdZ4bHUWuWD0s/Djt6+6Azy6i4u20CKKfsqDcNzkOYz9FTV5pXrTdan2etaK6TJEFG
Vw0r2JXPVqMerl6D2jBxHvIiiJ4Mk2KpyvUuyKkRBl6GeLhKdIsi4jx+dCm67oD2lydxSbHkBHE1
+7ZViLgpsx/RoLKvUpkQW99wjtU30LjWHifnZ2KMK/ex9dhW0CVve2fjq0/W0zu/+Jp1XyFMt0s8
ZC1aVeOWYdl16Deocvg23GbFuUZC9VByzA93mO1dJK5Z36Lny1lKFje3ibqLlE1mNQgwj3f/Vz+Y
mf9jsfQPEijPhPpJt02Lkyo+o779brEUlXY/ZpB8f2qaHylaDHdZ6XqnfdV3fylWwGwe3R9RyMH9
tGrzh95Aj6JRxy6W1ZV3tj698Z3l2EWDo0t8i7FxYIqNX3wro9gHA0SuK9jip85DEQ7Bin/c+UZm
/vtshTLXWZg5dLWpFeXijfE1nJzf32Ga2A+eu4tnHo74JZ2azGlVUOxe7OK7bOwlIGghFFThm0nu
9BF1ARUuIykNSAq3y5ILsR0DRrqR+RL9Gmn0UeZD+SmvEHU2QdxfUThAo6RvkB9VZCDQAtzrWVx+
6qoh3Y3O+uLhsBk8Qlz+4FFR7H7kBOuNh5XqxftX+T1HoHEAM7hecIKgSHRIEew7yN12CVf9tjLM
APEqKOU3+zvfVzfxcPsg4LyBagoMI8ZFqafrbTm5L3eb7U93/wc/DZrN/70PMCzF6/TmENajb9jy
kKcxbcfmC9h6156NRF0HP1jgfQMWW9+sic8OxWVbVejZeOFVtnfTAki70XSII61Gdx7XII1OI2j4
/hqc+rIoIvvvOvegu43sv5Y40iDEa4NH1FiAUYXD23CzitzHmD7jUTeDUy3vjEtA7NonY2ERASv+
eqiAwH4KgOcEmWE/0VNUoKBlguTC7HRzdkDhAFirGrL0rC+RtoG+uWqjz3DgohvdZsalzEpKP8hQ
5lGzFKiPKfUJTTqVcuqX5smb2RZ8QwiX5Zc6VtZsbxlYRKmjZ3vg1FkdPfuRB4moS6WmijLIXWVG
fHIt/NnkrHdnEyEX0+AoaOu7ccb6xba1K2XpNFx4FAhPj309MpY4Oh2A4W1jyZOWsGrO+hJdxPwT
Xkxepl21eT7fp8aMEpdGkaKMrpaxz79niQejiuPnd6yH4htISMLzmsLhZ7rf7jiXTH+E1fylo+Xh
I8qML7nMyJ3uWUrCzas8KhsiV3KthqY6FZb8LtVhGI6ghVbIluxRz9LltuL0p1aQP7loqRZduhq0
yqvA+mBShPKxH1toWYgQn05zbtjL6wcZ6Zq13Oba/D5JDdkrfCvqZRp3vviPj7nhvf+cWzQes9X1
Tcvg40sXxu/73bF10hkanfRj2Vd75M/SczbF9WcgS/FZZjfeVTfU9eehWT56bdbdWyA16FT6lKd+
9VkzjeLWoasJUlxiKqMqL+Ekzc4lRlKM+QqsTaUIYliiVYrQZvMxtJ/oUoYiPs++Feg5nQS2bn9Y
Ebk+L6l17bMSPvyEx8Z5P0FwayrlGZp5wp/VSdgs/k+JmYrK/rA4IxhUFWOhQrSv2AOdRFH9zYra
5UvalX9RlVzvNS3LH4O8fUBKd/kS9yj00XkywLaEVxbWR6+kdrLHeIQAf1rGr13clGed07SHpSut
g+eg7mTCYvld/5xpmv8tzsbyrPWi9mBATQzCZ0jYvoBZQYxGAVU2QAuQMifPmv2GUBHUijUC5kQx
B9wLHo3ZN/t00JG0coL+OglWtedBu9r1wsMUmmwAX210v2sHK68hS+g7hJo8mFLf215jjy7irWzi
15educs45j9MGiBAuLk+tFOXXEE3vlw0zVR+bYMJHrQ2+UYdoDzz4KLcB9qQ3JuxZ53kaqLNljeR
ddK9RNZEzm3g8O0woGl94i5ImpZT8uixYv/RIVmmJXP9Jdaz6NwrVm2fQj+7j0a9O0f2rf2sXCsv
936wIDtwKPjiinwOyqvyaFpfYMR+i+pt7F5BU23/rBLr3c0820fL+uvm/9/HgSZ7gLX9ZO7iU+H5
go//S1Dp6efCdfwzfwk9AEZKN90tsl1HzeGxQHgDEdWq/B5r2pEcrPbdLw1PpjdBlKhRaS7Kc44U
yg9DMR4cPUjvuikoPsRrEJ6WjZFcDmoI3j689OOJWmk6Fx+MCs7VAW4UaGKr+pMfJDu3hoYsd0KW
wtmoDhezFpWYGeLLZvpaxD0eym73fn6zlJ9N8A+otyjTNESlOuLidsm9+ITHY3MhQ22xOTJrhu+a
PhvA5mKoytpFg3sdHIcMoSXToAZhVRuazctsp9a821BgHu9it1mJresc/kdXq3ZxUEBvapo/iqgY
IrTV4vggl9cJt7TBHEEpDp9tNLp8LtmERaha3I59C1GChl7Jkg3VI811fOUWuvUtRazF0yLtp5vw
Xun6/FmCtIKH16yCaq97CapTfh/Wse75sSIBqrM7j4pKq79o1g+/Lqxbu26X82gpx3u5y5p5eH8X
w0l4X7LY+A8/uwt/NLOdes2FZmTZRWFRcMpXat6zohJDiO+TkzbGPR+28kPhGOdipq0LtSE0x1G8
hqZsC0Jw1/pMdeCTHoT6fRH7JR9cJMOrC6n7BhkyBjrn0MdhbikO6CJ4SoaAYz+WOifuVDdfXWcd
TmmkgUyEIvlH/oMvxG4G+ku4rdymxH0T7jj1l3S0b7qpKb6Dk77odc37MlQpyhu5bl4XU2LdB5YP
GbbyyGL76AEgsTpfBgiWp/CgRVmKajl3U9S+3AEzTXdTmIcHudtmF2UTvwSS7avjn2taDfdzidiG
kazhMy243Rn8jetB8zll7/UiPk9Rl/qKGjslDVYJQB+zk6QIjafcNN1dFy3WJe919Wj7EKyLS+f4
p7qRhc8RZFxnCHbpB7NpQRg1XXzeQHgv2ZKZP5MxFKyFei+9bJ0ZvTX1/LbVI1ouTpgg+KomNpu4
bBHvJvTatS8QK2TZGJ5mqj/fLN2Pju7HHEstoBYm+8WuY59g3nrKZyqu4q/5IUiT3+ybvzX57/0l
v7JL/iRsdESXopyF6Lz3kBRBedHzLoPYTO/lARXAFM1J34KCt3pA6XHOId9c+McH1LgG9Z0KbYwV
nrBlcN+E+uCWoMOhcyQy7Ouqcp0n14QSxjRgWzYnI29PaYiDo6B7crSe8zagBIjIO8kVLKYvvqWO
GpLMygX/rG+jkzApqUFbHUrw7er3aGG1w2WcJ8N9HLb9feGxDm5reKlluE1AeoY0etsewMb394O6
xKYZnAFedM7EVyZ6M9UPxv9j7byaI0W6df1XJuaeb+MhI87eEQeK8vJ2dENI3Wq89/z684B6WtN9
5jMX+6aiMkmoKgkyc631mqn3Pj5i7Qtyo6UUbPI5y0esL0DWlH27fM7HpZYD6+Dlc8Kq1A52aZ6z
agzvcrNUzlWUPMFvDu/WLmAXipMbhnZYm00/K2elzZ7W1i8j1rOSFPX7vxnhA8X/uEYeioX+NmGh
9Fz0Ptll2R6v15eksWCdoMG3a9jF+0BHag0jhYZs9TImNfLpY2CkPg8Bd3O89Kzdba5RHveVZLcO
NSvg0MK2qoNvpmdt2ShF09A4+PdFt7OuqQc5iKbtALr86W9GkB3CMQ/ltq1FmeSpT5Nfr/E5Ylqu
YfMp7VwUm6Lq5Azp/DoWjpFqkYuHYXhGHofZER+pplHah6Ac5CvVb7+s3WEU+3xpafTWJtJZERKE
UfTPTqJS5JUfTLAAMSzBenxhYUuKPMN4gg4QXNhVFl6s/Z8va9+PYWv/57D1LGw3MGP5ecjnOL/F
wMRZB9Ys+Pjzqd5AMQbwTzI9gxsO8I+KjKvIGMK7LjfPnT2idDSEYjch/u+tw8rJ+D6sQo3/Gjiq
y4byriw08+swAq1kbX/OQLxtolnkF62RwVSv7dGLKOXyf/o+dM67j6G9hPVBb9vWMeh56sasuakm
f16Uy9R96cuEa0oaYUufIlOKdelPbRFZKJPW0byPR+4w9FChf/WAsC+tIku3qowx/doETVhcru+S
tkLuJTG/FTL4fU0gORoDlPt4t/TFa9/yLkhajn6O+7nv34wz8Ao2xCiczwznmr4cjS5FtlpZtHp9
S3ifhwkQw/OkG3h2rW8/hi/5UR1DwH2zxXYoSq4pV/aXNSvXJaXH/jIJMXlVsYzeE2Pg1DU3/laK
pyU7AipJbaKn9Z2E++hTDs/B+eXdvx4XYfCGaSCm9L+Oi/tqT4ail+5kcBg7tnCxa2BL+ahBAv94
t/ZpS5+x9K3vPset7wpdKR5/GQf3oNvbKEbukhlcfmLYtyuyIfqphSDlL8fmOBW3H0iHP0fq8vTS
NkKctEaDV1aN6nbl7KwvIBZeO6xWTisfaO3CI3rZAd+oC3VoFiCFgSvfBvZgxhQzy2E3Lb45H+1s
mHATnLDn+jx/uWTeVvBEFmbS2h8qu3m5ZO0v4vV5ObqrNE482TtTBqxuzLV/wBqvABzIkhzSHypZ
/Djhz3dA0u97f1JYfxmPoS/4e6DvYA5WfRmMiPyLtaplVCMmY2pe7Ifc6NF4/dFe611rlWt993nA
hvZsOHH9Tto/ONhVgbqc3qsPbTLlR//nJhNM6a55524svx9dm+vg70dluMQl0FKcsexwV0lNDESn
OcCL1586/CmOk8w2yF9A+aOcDxubiPIAIFF7SoV+VVjIxPUotNyR30Abn25Rm81R63zbbYEyP+Ew
iUQNuumhMhv3kibjVbQoJm/W12LG9sfOA/PeNzGBy7QxOSfLS5swicXLKeLHKesZa7Of1XSvlGO+
kwZgJimok2PXRu2tnaqg/lMTxDatNO/a26nVxDYe5gC2oA9EqZik6O/OWAfnCk4a4NCmXTDaGO+G
Qe2ly1qtL0u0DyCtV9XbtYd0teqlqYn323JszmPLwxB8PAStJPrHpORmI+++7TUTzrOMiyQI64Zd
ooJcnzOmUnbdKPIJ5bLw/DEmjOPvYwImywPOKW9SnKvnUGv2JWj261Jl8nWGUcJDXh3E9qO9jpmi
7mNMqBjZdaQm+XVfyYes6G9HpVMO63csck07oz29uP4CnVGnQeWfwdH1B/Ui0M9pMz4C18N56eNm
TUd7qw2TfJZShEvlzsT4B7Ltee1DN05evAE5vHbOZqqc4wID08+B64FAGoxDgDHeiDzheX2BxV6f
CRzrc6LE3aFtxcfBtevvhn32/TihbvBjJKUkbeK5gyQeNnV3GPr5m5pV+fVHn15mX/3WUg7rX3x9
wcP+Yxiuzvk5yqxTZ6jxrQJP/th2GgYnS1Pqo+R2nqPA6zHw8ta+jwOq/zVQ5fDjrBqp6Btt9tbh
/+l12L2HRxROF1F0sslEe+oeyfrv7yQghqe8mxWE83gXlJay/w/GSVLebYpm0Ko3IemzN8CvwOYy
7ndZpEwPVDDu1wxW0WrfhKrMd58DlLyYHjS/uE8kfR/mkeLaY5vv1sliiKLcAyqU79aJZi7s7KO5
HoVc8NfmOthczl0H/3Lu59EWJ1GAi/a5Ill6kY3y4A5BMb00UvUFV2hxU4qC8sPSb6nG+NkfJyVV
PEAYLYiss72ER8xywwvP2GMv6SZsH7s5Z4FpuJJCpjZsxnAX+LJ9xKTHPkY/3v3TvlDGJAEBj916
wvqyjl1PRYAqdNU4Ij86a7dNpqoPei4PV3Iz38Zhm59sM8Nvy6jFlZSIHPtHe9i3aQi4JI5l+dK0
v2R2wOKyduVFbWyzEiuatXMINMZ9nrd2asu1bLmUL8Pm69qjG43lfZ+zQbahNl755sFsZNIXSzw2
x4vawZxSgaSlLkmjUIz3jdJLF2uLNRyfKTUqd2tzPX1sdLI5ywl4qP7l9PWKldrf+1Z2amtSE1XE
Xg9dhAd0o+MjCMLUW3FiSz90HP3236SpVybqX6sxEJc0W1vIcIqGYK78CyWuUYMwNgiXHyuYY+ni
dfL5wqoXfjRnLX2LxrnfrQfX/mKRJprGOgLgVqLp95zFafVsmEI+cZ+NrlGW03NlYWiBVmR1WjVR
s8cJiarnbpblU9xnoytZKBBaNp6w7WaecMrW44AgJwxu4npI3ML39S+NehwAWHztZKyeLCmeb9M6
8nd/N7QoTlKvzYcZoVvkHmDv235v3UWarm7DWphHu2jERaapcGYHDMqaPry1wnJ8n+NyX4hgeJF1
ODLgIo2rPO2rg6zk0i6cSu1GQgjMtZAB/IJ7uLOeRMb0vbBD/UGxe80bw3LYpgqBW55kJnoKWXMX
jE+Dn6v3pSpFpzIl+lwhVUPSVG5mwI1f4VafzRVWpety5SKKgrXoUL1TDDEupJnYrUY3dt3UoUe9
lSQjvF3xq7aBfCOBwcfWkCTTx7EV9bq07OXYj/N+HhlQ34m1sECSDBfhIBrHGxI8YltrYjolej+e
zFHxtwkuWjdmImQ3CXrtWUjFYyXrwDlZPCl2OWRSHwI9NJ/TNJNdMab/4jIY3uI+yF3gKEWTXNoK
uo2ET9Zh/YqfzfW3tUnT40pdWod137seXZvrr1ubAhTEXoZL207W+FwM8rGlZHeHX3t9ZXIPffTb
BjYPZadne3O5LaVQ/cswtaIebCwOx6XUbHOpGbZ1X4HeaQINlRHTfvJLcVSZ3G5D08wu/80j+Kvh
E8q3UN8snj9UqzFuU36BowQGbpK9Jfnk7WMcxqStNtbJrd4q+q1BfWpHtVRCbaPUb9eXYDSuhI1t
7toaVYjjAglJZz3BXM5q0kbGCFGdDyPmGo5vqN0umpDQdKSM805FIcZih+aAm7Gf2BY5GBu+pXXf
9+2zthTGR816hb1b3Us5LsCAaezdkDZ/NwC1r3y/XuGfDBDLFcR6hdD3dLm1b9NRPopUmV8p8eoQ
hRKi4xzPy3lkD7ge6Pz2LRiFuNUIKw6wT6Zl84N7xMJXrgacI6aOmTHLenO7HlpfhqKcMTrvwN3l
Nk9cPxXVLuhry+OJLJ7yMsYWO0zEcW1Cc70Qk6zdTLHx6HeNuQXC2R36JJH2VtEml2oZdp481+Yd
pQiB7LQ5vkCwuqIbULTBX1O3dZgrWbO1l/BbNszRSaMM+uYSvBtyX98gDAhgERz9fm36y7haSl5T
GPYJdXq8naK5Pya4eYsYa2JtKN7lIf94Y/3ZsxyKE1k8KlKA7xwsxm+zlRt3dRTkt5MVOYQmJPdg
n2C5Gt4kw3UjY1zysbxEib2zMU77WLHqsDYvzTC5Apef39dS8e9WFO0X9S8LyzJZNqn7WzZ6Q//f
7dwA3C5aY8Qaz+xvex+J+QyNWG9aBD7Wl7C2vqZjEp1SlP5uDZFNNy2utT+OYxGaHZefBi7kz3PW
6xC6TN560v/CdXi0kv1UqsjwLqy0lZ82pBhqSEV8qSxdf+lfWW2aOVWU5CeBDcGftLZy5S1RClbW
8z4ZbZ8nr33VhA/keu564IPgZk+26apW8YdQgM1AxLf9U4Xw4jBnLRaYfzbF7JuEhlC790Mcmuh4
x6RzlUrfBpE1YJPYQg2LhIS46tL5Cy1syvHvtCibGE19U5S5gei0/7q2mlyvb9Dz0Y/JYGFAitT6
2v+jK8v7BSQwL9lkNXhbD9bzIQR0nkQuhg09wHm9upOrYuvXmvRo2k1xQQWZSWdpIrWPyGoR2pu1
SQZMp65UTfu1CYcQLJyW9xdzXEmPQzh4UmHP0Iub6q7uy49LShK+F8lyyZ6yJsrk/+qSkq1+v+T6
CYrUfVxy/ZbLJUf41B+Ilv/6ybKvWS38viDRxY0Xtr80/2f3Xly+Zu/N/1nO+jHq53P+Z3P3f+9/
+1bUv13cbe9/HfnTiVz++8dvXtvXnxpeTmw93XTv2IG9N13a/uktuIz8Tw/+9r5e5X4q3//79y9F
l7fL1YKoyH//fmixIgQZ+ZelbLn+94PLT/3v3y8jJO8j3Bk+LvbjjPfXpuVk/R8mJT8Tq0pNl6HZ
it9/G96XI+o/TBN3BmEbiqEpAkLn77+xF2/DxQzxH7ZYSCSWZiiyhYXD778BvVoO6f9A9lXWIBAY
tg4mzrZ+//OX42+yuCd+/E/+3mWRBXaBX/xl46vJqslqa9vC0GwFrN0C3/gLHWEysCdNat/RkU2p
/aQ794VlnaxqH2U1QvQsSrsuD+t9XujN9cnouvZ6irLs2n6Y5LSmdmVNyaEbw3jcjQnrVtVg6WOP
YY3YIwTqWi/ijYTOxUaeS7/BrEozvbbXSY/gsPAUBUPlWGBc3xRfvTbSPgOrXc2Zg/X5gD84uc71
hdR9eE6QIdi38XxYVSjMXIhNyIszjypa1Flbb5OVjjpGSIsZfT1isI2Uyvpij0XoBGqU30/zS5JY
zYNW6eN1EMxfx0XXdLZnJpferPWTmpjhWZba4oJgJiVYlwZX87O9ZBXKzVQJ+aa0++ug04JTb2vT
lZb4wYU6qOhnSGiR1ka6j1aMZzuq/gFpI2yQh5HtqKndo+7g1W0imm1Rdy6K0tExIDWHDm1mAt4r
EAXpMmm8NiSpPJtNdpaRahf1fF0u1jPri6FFN3I0+EdzvDJjSSCYKouLtiz9i7WZ1Fu1mdsLRU3n
g2WNl2kLeDf/8QKyIQIRxMwkNReFZT6AlTSSC8SSniNMLLEcN1Pb8qbY1I5SPGCk2pE0R7YARey0
EBtdQmAY6SJXDgtlH6hgEtSJ2neiD8cuajQIDp10QCq/v5ZqYliEIgwvqKRdNjfdSZimO1pdv0Oh
4Q9DrSsnMax2b6NYeR20VIp6kaGUFIRWcZEXcOFZhvDHXd5N5EQvpTiM3XzS3/NO9KfCxLS81eVb
M8wu0qmiCBvpTj8kiLF1RgvfeF7+68Nr3TTjLre0u1YKBgAAw4NUx+xqJmAh8xRuKnQ8vXaM5Uc2
ieOm5XHZ+GFV3/XoxQn0NQ+Npt/09TAc80qgJ6NiYJ1P4lLpSEPEsrEniWM6xajEZN2M3JnxRMEL
d9i1Mo5OFbDlcC6xbS9g7JoZt8lsSM4skNIphgE78zp181EWp7jGxXCiCOMI0esbkp6VGzIRO5Wt
vUZsflwFFSjnrS5yAn+Z+EFr2dtGs2vIRIq2AA7DVn12oxJUbN2EwTYRsDqMMb3rY3mLTlO+nUbz
3BrxJYaDXjgOD8SATlxaESIt2mMtyJa2Pd9xCG7G0U89YS35Ur929Fi+0zrlXJvFi97HV778EjTl
Ia+KytV7YGRZMZ9bvz3C3Aw3Mkgo4CrlWc2/4jZw3fOMOEaIgtiMHziMrItZA/ToI8jsxPo3X8MA
fcGhHaoUuEiGxl9DSr9kBnIV0aKVF3TPi/BwXWc3Wou0SogCKfDqAFNifbAR+G/T6yZWuLdsbLwj
iahFoorXTLd8J8ND4v5bC2zK7YeucLVhGSNOwQiQZTCnyGOujdw6SRtsnKcbM06T3Wg10aY0tdKd
jajH76qhEC2Sa1GiXjlKD+jxi8sOPWG0sFX4LD0xvfWIf+/o1Zb0JQ++TFNWUfwAf6LE2hUULt0r
g3x2r8KK3xWHDYoQknh8YU9ROrkVxjs5e4pQujvW3ZwvOxkTG4LJQ827O/YQ9SF+qfpeVuutSOcb
WeMJaJENoFA2PmBpbwHvHHQAXinb8hnEjsk7xMP6YyVbWx4VaopdusulQBwqNeAvH/l3tZov0qf8
zN42sSMC/rOh4NE5nZ4eCp+9lmK0i9LYH2Er5L0vNOy+/S8B+WAX58p9aKRHbhJ0UMwXoYQdGiyL
n80IUA4oh+SE5nS2tNSZQsSah9R/V/ToITKzK8l+iMhMIGiSb0fZQBQsQJPemKoHbYpu07fGt/qN
HkSuiUylC3Cl2WUxggloDw4NEO3R7Nkv+smwUcvptkhb/SiNob5TVe7ooq6YPky/2qkBzu6DX+wi
bX6ltN5tSfVUG0S3AYWq4XtR+68VdLiyVwv0sHtl0xoqtiI84zp26J495+IawG66kY1ZuFbOkybH
A0IZc/IAvzO+VnuhuADP3FHTEPUwFO2USa3pJGpzrEBAHksjzriTCCCjcAr4xysYHaZl5NgoKV1E
eWK7olHSXRRskQRG7w2wPogI7cqYhrdaa9qreugVbKgs8hCBepSVmzHkixaWWrl9g8ZlolYQYFWA
L1rphVUU3Qdk7AIxk7IeqsqF2brpsRBxsZyrH6VmH2up6aYjmHepyR6s2nhMAsVDq/qlTs/KDE9K
JqSqRU4lxnqsldRToW7RET4V7bBjyr7A+ITaEgxSQ3+lnJ4ylzmyAn03KYq9MDE1T/Xaq/rZ6yJr
1wZ4jqlIAAFzCydPAiZQSf7ZNPLWlUs19tRyRtBWaW4SEW2VVDQObqGmZ49aed2zs99EeMDgwV7t
Kq1+jkN5O7xiCfSYZ7KxCVQLLzsZxFsq3m0C1c7WvrYBNltNkN7WenvQsyep9htsx8PrlOtOQAhc
uwM9bDfJdCHLFL/t0FP7EdN7u2RRtprmrFt67ooeARVNgYDRV9E3eFff7L54gG+IzBWO5tFgX6so
AZrAwzayQjo/pmyUTf1JiG47EyMTZWMCFer3QdLtgF3PTqg7ej3NXttNsYOtj9O22UNm+O48KJeN
Yi/IomepDUunnZP7CQ0jx7TBxMBL2QXTF+YjeeNjqOf2kwjxhXFLvIvRlsgdeRjulCEgj6lNbq3E
t3IZsa8IbS9t+u0YEl4FdskE3fX7KWn1TTFu4iJ227EFZ+BL40YiPncGVl4HCX+caAUO4uMgO+Nk
PnVGhAQKV1Xr4q209zUFzzhp9nDrnhW9eelT2PTKJAdIozWSO+aY3IeGNPNojOf7ixxt2q2tDyyR
ESuGZkOVLwX4mjxEA8xQoodG6k4asogu1nbcTk3Jr1OyYqPXyvXIpoQnOXVHMj+uEOjFBoe4n46R
bGylJNqFernHicrL1fE4tvFmgSRMBg8dieuyhiIC4t1UR/+QCrWl6lYb7pRJZxnK8zgakYdUoOQV
hoicXNTRRq5ZvufFST2kzrZJqfggAfQcUB3bZUJvKFsZptPoCV7vmg7V09K2rWHPt+ZY30XzSzvk
81dJ50FYzLsjhNxdw27iA7rHlCjJ9Pq6rd7N5NV3URVEjlHY0qYspI7NtHoXsiagzv4q5TP2capJ
jrlKklMdKbojj5q9nZEy8vo5d2eNg8v0yt2TvUk5F5iNDsTdXHwteylmU6fM7jTXx1wxSGmp11To
PFFYR+iZV/ysTZZWh8auZHeykaf8YsZx6piS9hBLj+nQHG05awjIhzstPCSIKniFsB+HMb/WxYBj
olHHKHHHD601Xwir8BRZSf6oSLWDLggCJDyB6ZhQep1OcVuhmKdBR+8VxpWTQHU6Zals7OYgfzLb
7KqIWhV9LoCKEYwzFu4+1v3j1OfBlkLut6L4osqVetKbAS6pqsBlx7QRRVIsW5J6vlAzGJvMsaFj
IsAfheFLKGLDsUPTkePAhEKtXPWKjVJQy44H3MvGloz6MIwYwSXJi7Iw3iEm5yl/AD02rywtmlyW
ArEp9V5cGrXfOhWsVi+0VLLvuuQWdWS77MIDd2wqiqDyuUZSkNvM31Spne7jILnAk8feNV17E4Vp
tZcwDPN9oq5q5sEYRmtvJfI3CoLYFdg3DXpsewwuN00d2NvYKEj2sWNpctO8zlhG65KqXSnEcDVP
7SuhFjXxZIGS9SdJmUHa2ttuVKERxoV9QY37rOf6Y5kG34ZheIwAIrod7LgGbTkX/z8HGVag79qw
T7uROdg2tD1ecu5sTeWmjKI3EeHzoHX5YvVuOHkLWA6iXO4GSfjQN3bK3C2OjUTCIqEoa3TtN2Af
xEHF2/LwhQlCq9amE8YbnGjUl8g0zbbYSPFoeOlDjfswW93wLW1FxQOt3LOAl5uEPz8iffNd0AGY
Neo+uisH6wEEn3UOy+lqAl2Ky3yfA8pqc8Rid0Sq+Pd10cPQokns62gX9/MecQRqGabulBCPUOe0
IM7jcm+D1a8qFSRLkm5Fds6DYrH5HaurIlFvpAZJUWm2+zu5PBpEHZvEOmaqfFapYjntuQ/zG6s0
H5UBZRCjAoIAima2y8IJurlw0nyOd1knVCTma9cA8tlWKNqUJKUuByT83DYaLYoFE3oeqb8xRam7
+mA9slMEtWQ+xlJ7MKz8OpBkdAw69Kgq1P9zdWst3OjahxXTNDEO0Bk7EEvHSyPtzEf2cLljmCU3
LeqvWR2HgJiLg5IyxxfFHWuXgdg7k6OdQpbsLyzkqbektrfTMJNAC0FtL05U+K9R7JSq/IgPRH6M
FKNxcQhp3Cqc5H3WJzv+ZIWj5D5WSVP7VeTFFRMTN/FcjHiT1DtpouaErqyrdo3iVRO6qkp2lSU1
jDqlLk+Dv5lTywG9B6sBfYVKkTNWoHaTd77P7GOF7tiZhAIVRnPITBMSxQ9xw1Q4ZO1Gn14mu9JZ
l4r8KAD7mRVZ8FFPgM7Od1bXVl4KC9St44hbOBBf/SR/EXnTuqUdVE4dsN8OpmBTdmID3byX7Yuw
03OnqrVko+Q1juScnC62pFm/GbFLjgnPJDO5kwZfOkWt7mbq2B5bxThkrdqjOZY+zvFw2xeh5ej2
KQZec67m4KHwTXGIoY/OwbCZFO4cU2E9C+T2qxIHX2tz6HaalaOtYauDuySn2H0zjbLbLae83lgj
/9CobBLKRIUnjUZG4nS+T/0lEDeUyo3g0bmVvlD0MM0FFDeeln21LeGfPBtvoI62STeR2enr50nN
DLYDxqWCrhh4wKpnui2fycjkrgbDxJHLS3RIy03doCWmIXIm/Fxz9C4tNtayFIiwgF6Q3LPSqac0
iD27wGSk/IMI6SWJ/cjpC611JoTJKqP4OqKxdvJbPtOIxXmI/UNgSjY2LnqzE096XE6wwqQLEecH
mzu8NUkK+ZF0LH3/SupnIqG5Qr0Jnr45DeRyBtYYKriPHT+2JHviNaFhbsLA7r2yzvEwTuR9kcz5
MemoEEz2XinEi1rGoxuq7CrGtDM8ERIwEgdeNal9LITCkhaFntDgoVXJ6xTgXYz6i7prz1NWGF7R
advAKGfUvFq2Ssld2BG/2fJF2vJY1VHvlC07wZ6905Qkm1rXXiZKn+6QFF+H1P6jzEscMuwSIaAJ
Q1/fbNEuTXHwy3s53yaV8q0q65dGM3wMECZYPRpEo8pDQ+itz8PY6adlsu3z54A1rDxiENrfhQAZ
NpKpdl47E9LburxDoQbWTltUp9rHcN0uplNVh6Bso/RtpqRN9qMDad5pqTfE4ouZhvM2bq3rFrH6
E0EcWw7uoEO3PJJ2NT2S0NrmVIx5uMPOSUSMI1yVtWQvfCyFK2lgnZGsXa+EuTeiq4jIDoXSHDfc
fYBFNbP+1yEJcJUUsVuVannEOa0/DkaaOm3M5kj3l4A1fZl0UnFVaZy6qfo2SNFd06LaTsTG7Eqt
b7bllIR+6VN40h7ziC1lBYuJlIQdElml81628AcKwT/ZsfEuKUZ4IEY8RGmVndaXRW4VBvoAhLQO
NtiagTqKjlY0PJitWSArlMUsCtRFxwo3RVXpN7LcIeg3VhtDVwO3NMgH1jUY3MAW+G9ohqPN8+L+
gPD/ECBQkvherdXeyK4BM0J1E0caRyRV2hQgW8n5xbo71sMVXJ1y18D021tE4yTWxmtTb3QK/Rg4
y1nMgtZsakXSd8VoMcFjRo4ez25iGTmpxfBt0s0LHILr7RwaGIETPTZy9a1aItFSE4/ZQBmj744x
eWz2j8Mf/ComHpRbHGA0iFrLrBVqqIzuCPMLjtltr2Z7i/vUzf3oGSMwzRrRnGMJdEm0P42F8U1u
S4KMJt93kq25nTX1m0yDumBYyGr646afQibUIvE3ckWpe5ZJpJTlH6AoSGqmabyxSkveVZXi9RrS
V5nFw4oquSNXk3ksO/UdzS5tqzCzX5iVXB5aWb6oKGpe1tEIpiYgu2gV8b5yTXiBV2OWMjuIZAfo
IXMsJTyQrJIOGbtfxMYQd8s7bdhOiXpSTMJ2qT7oDVGvHGvVpmouK5PaI1hYTADS/JpF8aZOX4eu
87dpR/pgQjpJleN3O8BUJJosPGAVZEXwJGZnU5+tQkXmoqvcySJFiAw5erwgqsjtuggXzWD1+gsU
RUl8h/Wz7BeXhhpSEoX25wTMoR5LMlNhpaZuouWAvgzP7KZ8YyeyzTedQtIUt4GfCC/Q/Ocok18V
ddDcrUatOi5xjY77htxReI4SC/B72C7buvEcB4On6MNbLmbZRUUsQVygIpAFNIRpwFCFly1LVyjJ
LLfaPTI0JD37bFpK+1hvNMW+zsBeFE2KYTtu9w1/yaZO610mh9yYqvLFp2BxrWdN6bYNaguDWvF5
bN6Jg6EoKtTr9BjgkyWh1C8SR/GLF2b4xq1VA+VsMkw6EYTTNubsIFZUDzw5fi8LdwiZ4dUIN4qy
bV2roWA/ZFlLFlf1nbrKL4fgGYtlyWkQVnDCqUdT3HiW6nBRfCjQ0YL7GCSVG08LxlMqJ5Y6KP0i
zC/QNh43RoYaCz5WS9bRE7mE/mAwAiWqNgJC6UXcKa/DqB9NJQy9gbo4mcdqm+blS41M32nmv5MT
aqqz/NLXge/NZXY5pFqwrQvrLUcCeaO05l3ZEgtGGk40s13f9iLt9jrZX+RE7a2iwRfTSyU51J16
mMNsa82a8OSBhdyuyvlyCR0LuXtqquuSCMSxycOwa84us9p/VyMXwNrgmSYiIG3KPyVGt8qyNnKs
NK5uXnZZmrlJR/isNqztWqk4sh8/VKHPw2L4r+TcXklKHnq9NODYq+dGVcDndva2xNOSgHeSMeAy
0EKZL0xdm3dtll4Niu928w4G61XdZiTo7al1M1PsowigIvV/ezfeUcCat+pQfouSb8E4R9vBsP/I
cDbb1lZBohFpL7emmrwZrN5FD6QnCVU9tFq4y6fsvuhDY0eJ23dN+OIWSiqOnbZoOkSVKwf2XaQU
BzzXhJfhp+PykQkUmuBKH1XbNaMIcRDLvo6i0OJbRt9EUVQkDTPic3TvIh7wbde8zb6i8wTweFo6
z5CutcbGRvRYwJd3AkRz65ZVRfaFJ8niXksL2VE085psODWk1ERo0pJOFnUqQsMB1FkRV9DJmgPi
i04YqCnrRVFuxYhxWWBIO01K33C2gZqczkxXdUkg2VN8GNgRzP1JjngA1Kp772bjGRkqk+QhPi6F
71qKfzdn9VcQJkcVtQ+R98HW0OIXRNQNkv8J9hGpzuTu3xktIuSKVt7N+uhMwn+eUQ+H7D5awKua
fWfGbyJI2D/PMCT6UfXUsbyarAS3d5m8CX+e42B7St4h1wdmcJKHF90wH/Opf5OL4RpYy6XZIGNJ
LkZ2m1gFQqy8SGyrZim/Jfs6/T+OzmO5bWQLw0/UVchhSwKMIkUlK2xQlm0BjdyNjKefj7O4rrnj
sWSKYPc5fzyW5aPKmcmptSUnxi4oq/WOlq1sYoBGDhRrub/3TruxlyTZlFxRCVJtgJwmylC1HXp9
v5Y6J4uqmp9nX1V8tpv2wfcIhfKfZ1eBqQ0Ji1zmydi2+g2OwCyWqYyWxGEWxn/IselwZHYCHM2v
/q7nuXLfW97fXVXPb2gGtpPsbn7+CjMJh6eO2Gg5fPhscAJUm3rXwNBu29e+TS+0oC+xX6AwkC1V
jyl05tIqcMq220vH5ANuuUhR8ynWHMoe5P5W2+6vbhS/kjTfEz1yad7KCUsgrslmj4wZCKWhd7l/
DoeSDaPVuAXiGc592+kxv9WLxXyAshnkrk8PBPIBj7FX73qoT0VbJ1KfwHyiaZz9MbMvFOmQm2Ue
g4qMVFNP7n7Iyms5qas5h8vVMz+rIS+PdZDBBwT/xhEBkIE7Wyt6OueGmpVqeO7XJcA9l4KVW4W/
yRCGUZBj3CXTA48P8WlLydIGU3Smhoz1w1rooevNyJKjzwxrfkyd+xtWm7QUn5+jZxOvjjOeqh0O
pvJ57Uz+s64otnOIINB1l+UgFIY7V62Hjjb6NlVg/vzxOa+MKEygXaQ1bJpqviHpTfEJtyd0OST1
KK6AflB0yngS+fzkdptx5XERafOsuvk2T3Ubq0IsUWEH7cZJ/DW2fZXF8NnbUZp1RNVYsFUAdYOb
AMtMNgl/7fI+GSOXkxi/K4LZpzqJOnDsve11H36+g3WYiAToEpLo9UNjDh7rUd/v5qJ5DcFOL/jY
qzC4NZb7YQcpLQP5v2405ENllM+J6s465Kxuh6SNkGH+Vk5Gqo7fz2hmxU2JoAGq45Vgggnvk0HK
nwsiFqJiOwEUHRByvtWQfMRW93uY+UtWZ9Wm1IQTDOJdKj6Sw9yg82zbaeNW8z7M/D9ek8KS0EhE
hh0/sxA+AH4h3bTz0D008GC22o1BfpHup5mXVOP94rfnfVcHZ6VCDQ0g3Riv46YhAfoETxSn2vxK
grLe+yI8kwWlTrbuj37bV1Ex2dcKJwCdXbn5YPU8liTmB8J8XoiaHVLRbXxfH4Yq6pMy3dJC2Mxo
SpagH+4VpfjOjYN/B8w5QTFr+au7IR73swSdseox2+RT+2L0ZnbKCnSk9/8wXfq30A2KzepVv8Yx
/VwLgh8sN/nAOXBmBq12QfoxkJQR53WzMYhs2qoxgdTwb2R2H5vFdAAM2gjl9odTDn+XvPoQXbjr
k8DDWM6J0FewASNCe1xVv+cku8f5Pq7r9N320+MceuXWncebQ3YLQ9L6PQv7ixAWxbw7/W1khbVA
Q/7rA+vMGEPqTpHMnGPoOM1jO6QAQRyPoUPxWCnYBO74ZAjoMIo/gElkXqKUkAGNH4Ophm1V1lti
sU7DQFS+Cu+Za/W9daRF1l512Ia1ui33p2YK01+4tJdDvvYNYgmUWr1yeelms6m0z2eaHVIHyw/h
ehCVoKgw5TWO69aODfh4z8wh65VHNp39hdtsiVBrBXGl78WdnAQ4XEj4qmssrTCC23XOXx0r96Jy
AsidKTsIF3wcBZc8JQqDv0P3dgQObCGsGZET9vLTUJ+7hCxaWZhQvAYdCwGFBpiyw41z1+yGpGIX
Pk1NY/fhGEa+D0nx2KYsSKj5APOXxT96uU9+Kjzbosao5hreuZKH2Oimn86FNV+QWEa1oIdQl0Ag
+QQM5XtNv6kMZ7OSthsFLooQINhqa+ZYZBoDZtHv3XBnEi2Jbxh1CvB+fR+pnfNs6fd+0c9F8ZLq
SR4KRRJ0W/nfbsBFadXmh04HtffNq12o5iFlDa+m7ja6EBF9/yjAHbZm5tJeAAJi5ib6MGQtW7t0
N172I13jp/EckmMNa4nYNzoz/3GD8F3URwTf+cY2qUVovOkt1zYBAQrBQjJ6G8/x+NySo4J5FK9s
KNgA+IeSKbEHTtD1uTFJp04mFVd5JZmWTGrD8+ZB83Nf/DvLJ6+U3cg9s/SlyauzS+Lp3lh7IqAo
k1tJCoyD2j4OMHSx1bXfDRDk7AYPnessW3/wnyTJByobtgPKJW5m67Y4r8aUfa0li0hhUfGSpP2p
c5KRTE374FisWoMt0WIUOy+dfvIy+zTTcxfU0dSOXzyvE6vP8qZAYcEa0oMfEkQKh8yK/CCD7oSp
8iBLiziJ5a9CNL6dRM37W9K2MOo7rppfhjb86+bAQnX4Y47YMSpH1CgemJ4F2GvQgAimvfzThyy1
zkhIzLCtQ2ljoeM54yYltrq4mr3rnbxUvGWz9bQ46rFKF6I0x/aonhfDEzTNWEY0uU+9MuIlIE6S
iPMPXz0t3tle7Y/ATHrAuJpRZ3Xo1u6jUQsZO8BvUOxDF1eAKGpctmbVH0bfLLcCVp5nqXwYmTWq
xIoT1/+wufAqJz843ESzDl5yoUywF9Tn4fRchNMxk/yoVtFGDonFnrHsMqv/KmiOCxEnYJhnZUfc
sp+GP62pT36fC3qGsw2xMEOMHuCNJ/0Jb7IVibLmkiunN8fMkPEO7+1inFVKoHcBCdvzfbdmnRr0
L1kf2k6erIRTHTvM42jLa5G2J+V3z6yVz7KrM+5nRmBdr28IwFIbPnE505lqbzh2jl0BYBZ+CAOX
1DAm3PpvHRpl3xZR0fKsOhJPb82o0o1ErNXBVWTjY0Zq1BZGF1JYWDF38bzpCBwmh6I1eXWAlUR+
1JX75AUopFA8Xgrh/qSmCQ+WyeMia8w7yV5l2cudsUksfU4F8Kkhmgqkd/xbja99wJq6lATIW/nA
OJ+sT5PXvVLFWu9UyLyWLubf5Y6s3J/7bMAbU/Tm92TnT89i8OwLoVG/UgeWFo1zL8l3C5L87Jfo
wEfEoGyRiB82RlW/51V3LIlojYvOhnL3+vLshOIYDqTsN8mba5Ue7VzQ1zXNP0Q/bFYNYgJ2GulZ
Lxs3XP5KXh4ZePTg8T+ieyMb2UsPhL/NphVn8Ex6V1HafCY8FSWT+MExxVxt9QjfBoGI6I/jEiNn
VdPJa8Jv8JkHeww+DFn86UdIwird1n1/zmvIr66/ECG87evmZGVjZEpxK1P/I7Cu5Oo/JJqyE72i
0rMEYupe3DUI6c42uMYnZ6o2bLhfHMblwQ+qJzn1b7W11fVAW9uq3zKhnu2EI2BF0tf9MEqSJiNL
Wg/vho8REQhWGaaPweA+nAW9n8bBshtkRwh2mHmrp1Wv4YWA5PCSZyK4hG1kpSNlAo56K8LgT9n2
S6QmekaSmUg0Fus5Oajy2dPmI2FGxNq1K1qnYLEvWY+V3rPPfkBkghitD7ABaoLJzC8KLlDDDPQu
EPm7rNIjYptTrjQNhD6f9GJwbqSbV8fKWcpr67nVbmjHSxB4r2O33Fof3jWzCIH4/xcMKjfLTXVU
z33Mc18eUAqCpzjkL+mZJRWV+IWa8Khu8feQ7j8aUB4e4UR2VV2CoTk6hDTkSBLoWcvsPVrCv5YQ
LzQCfvvk2vLa20+iMy261DKCyrNmn0r+lobh/FPGHRBNHb2tBCHmeMkhBuZFP5Kmg7//5HnikEDY
cT/uHFFQ0+s7j1PaOXFpBNNJqnvdFXMgpxg4gWDv8KTZf4vZ+CP8qn+ZaR2KUVbVVPVIVPbls0+O
UFhLeckFmHc5iu3KoU5s3ztakmBbJCT0e8FDVZLHYEsVkYc175qeUAVKevaAg/NvKdEc3fX4Ft8v
MWZ0NWvBG6JalAgF7XdLwoU1h+3VyGRM65V/Cazwg7K9B9V5v7wZ3tAbJoZZkkvtUvvEYXmsDatR
PSE6+JasAB4Nk5NYb5Z0SYAeXDsu5PKOrYTbmkTiuPG673YK9HGpXArDxLk1EHSHXaTSPrIbP/zl
1+pbpUGNaOQ58chDobtv3pJA9JX15WvRZX9Wob9YqyyY0fZ3G67vQ2ZEfbsWpKZaj8lDTTR+1fiP
diBZcvEjALVazSl3i4YFTsmd7ZRfTug8jAn0UAPwQQj+Ff3TSxfWDwCxCjlG/+bgKCN+5C4V7dR7
V1YbEhuLbSUXqB/9TMzDa3J/qnBhDIv1MLUNHFvenKsAdifVyc9I8uKYkXLWpGDgnv5WDvqmlnje
Ol2eM2flb523x6x8sZu9Wrt/VHh+26saSXMmksIJ0SQERAuuxoUN4KAH1CGe4X1C2jeQNZnsishW
VOtQAFejIE4PaW/8MQDQafZ59e52e3O070nJDA7qNpLduZlbmI9FP62TDeAKgJJkT5xaN2I/Xwuj
uoSltVBwYudoLdnfak2xELfNmg3PgAun0Z72bUvIVz9Yb35r/XSW/KHiCeJcvHklsg5jOqvJfVi8
fgT4WfdlQNJl7r4SWpSRUzbRHtBzcPk8eNWIvsg0x4Py/xIEwu6WzVz7REG4tXvLl/7RNg0AYqAQ
lg67CM/lVD90a7ofe2QwlmyuZb7FJ3bJje5+P9TX0OT8moi3Tjb1JP7lVJsFFqR7ug8Yb2dGUU+h
UVL5v0F5D41Tqjhw0o88hHlDqRetiY+UwNjlIVg/T8JGEZvuSkA7g467yr3Z6EkclTkoYvt9YvZH
M+ufGyeMXLN9GruCimJHWqckj9BjSi9cGF0MHbdj9eUtwYOThbAaZfIwY9+0C8lFbNjYZ2h96QL7
gYq0CmNCsrXAtbxgiyOsie/zoh/iV9beY3L/YYTutFGd4UWkyh/HFrvZ5J9ykn3LtOBhk/wfkZzy
sqWwdnxfQAb3yGkmW1yU2dovjeOhk1VPxKGn3PpjcUnMdIsB/tNDKpo7HhMdLFZJJ1KuFrooXknv
v7kBlBiDpuvbjIjFNKOkcJiXeYs2Nsk6UZV2vx2xPsvJZw4KwoNbgOt2g3OhHnqOQ6NCCDkSMd0G
r/Don2O9bGndmvYOUEloh4e29R/qtToK5dywBj6RqvOTDuJiOPlVewVT33pH/miRWsd0K7P1y3Tc
XS3XWKXOF06laALX9aUfoziquoGFrtWHkiHBaIW/9TP9M5rVrg8fdMbh1GRWPDLU0U4DJD/EYZj/
UZphuLHlE6vkXyZNGyhdUTQ6H+AAz06UI92aV/OLdDsQnD42Z1T7ct6lLLyRL8SN6Aq+KKEEDbRB
V9RvWThubAq4GqO4FoZ7Lj8hYmiRqq/tkh+nLjkDvL6LYXiklWiJ6aTA1dihT5tmcgnWXYtn37gz
yJrn1RTLuYSRiRq28TY0bgAAmH05vS3crl7FJl+v7Yk6hv81/Tszkea+sdN8gzHiYVYtUcjLeYDw
3yTgkI3JVhdOaO+aBMqAFucOID/beoAvFekQddnvu0C/kydzzE3evvbe1TGYxYPZeegC5ncVTN/r
tMx3VICv4qqL72n3Iek0zkDz3OaofVFVDkB5Q7MYGzFbj4Ern3o+ok5e4K6ZH4e221Sg/uiu4OXs
L5rZjktof42ITsY1XXd15THCNTo2eyCVtmXAF2tL8VXDAWe3dK0Bma+IPV01P8/6jZ3jFTrq1ifo
ve1wivNkPNUJYc1O75J5Wp4c4pejoRxvqpp3cgzPAJMw/7A7Fsp0mWyawQoiMVEdHGJ7i7BsoMYQ
L2Y67K1Sbtd2uLl1029XWT8ggf3dlS6yEwoFR4M8v8b+RkFyMhFyt5nzDLzsbjNNDOjEKG5nLgkS
qzhZXUcyXw9Exx7MOcAEO/oAxh3YdzfaZ4NMM0b+eIW33xZLG5t3gfj0NDcFulz1jbrlVRTFb7Pu
45GnfJN3UkduhuxBu8FG2fbJDwEkJoWCgrQzLMQ7fIzAi2p8LEKB1I6zGiHzU1mg+rKrEC3wvPMd
982oAHSrfMv9WUYs4cd++DZwUNyPZDEm195yTqvEBx/XS/vuqeyPosYQvojPio071y65+ap2+TKh
/JCcN1vUZibsXH2tPP0pYMTHgoWtK9gU+uEx9Nd3rgcS2EovzlkpNyMQd9gfPKP8mVgqzWZ9q7vl
OA9mnK74xbntUbom7lnW8jN3epsrY3gcKzhXqjLVYp/1utK/912GBKJ7/Q+B79+AvgdXU+/pr+j0
EQa0iQ9qpM23bniCzAXbWVGDWPfHih9nXVWsAuB+qjfOovTIAIpSb/yt1fr/1UV0ENjw8tIl4jam
oJdZKH+MInLRuSMFb5jO/OWfndi/HAo445aAZewUWM8wsE3rCVUCAV0BXvNAUpUzX11hXyoVfOsx
UBuaO8grAdkpnxqa1nE3TF+T25+mdDjMkHQ7DjjesKJXrI/pbwYpOafPw4ybZwBzpAJq2Zj3tsO4
QWFNgxkqqeEr6OKlHHedrtl/a0JMfH5y9uB9JcIkGErwvV4TubKTiBeRAZiSUbohB+RAqCMqqcZ5
sBC/wVPrbMeQE0yJfsiZHszEeBnvgssByW+x0/VEMIyXsLSMWYjgcPgJQmSjKCwwnPJqFrsw4k7y
d+zWZvxTN8PeA568+UL/GCRn0Iw6R5gzCGjHp2vodH3jrTou3e9k7gxSNPepplLPaqeBLZtf7so6
UVbuVrM+RAusVyzuAGw4b3Chco3nv+r7BNd5QhP+J25O72SbNbN/yHT7LabwfbGT9Fh4dCBUWcZs
YixUPwb1dUjsp5yTpr9rKevENLephggduwot2zCz8xDzWK9MoMGQvK0j0ECxLelR2fUYzWK5BONZ
2h4aWPAEIMLg0ZyWdifhoM3hqRoTUmFzi+S/4C9U8scakn2yWO8wsrDwDJpBN8adPR9ySZo0rH0V
rVDSF22zlZZpVoDMN0PsLEO1mbLCxsRQ0zIDFrQ1Et+JmLVzVLCgKDm7p8TFyygImvT/L7Xf4XMQ
T7Ktf+wxCue0ObG87ev7H8LsP3Bv1DeDJXlfJTV1RwsNGIEp4/+brv//RQ/tq8d4IGbg6sDtfpLa
Tfe5adycyXnja8PH9bv/v9tgXY1CQ7eF/Qwc0hKZYDnzYZ7EftEgim22ig0M1x7FeMDAlVw6CtNR
T4svMRXvVtUbO2v1QNwwy26TVSwHlaP55svhIMvg53xygLBx/dgLehxzbF+z2q4Od/VQlgu6EziA
NyH8AodsW8WJPbMl2eG1qzpxLnLvffWNW7GSKUUgA2QYhvGGYfKQmc1lbjqft78rSQtbvwk2o6J3
3DUF6QW+53YQFIYTB5qXxwx2sxuBZ074BfMjp7gyDNTKeR0VY/dcZ1QQ+OjYRpgfFNtNCU9D63fI
Igrg4JTnjgDCKIQ72SgmLIfN7ji5M0Iy1UXZ2jxN/IY1p7El0esHZXP0pYlySEA0e6MpzwFOm21b
wMV6ZErMo+W9mBKRzLyquL+/BPL/ewYKHG2Nl7z42fJYSxhEQ9TBlnBYiWJ3GY/uWGG684Z90/fH
HoKMHmF0PNna70l59LaMSpXSpGYYBaXPOsRc1J4GMN2Bbqsw7KBRPGxHojYe3GDeOiYmdWJLf5ge
fcgHZzDO1LmoK7+JhiUEh7DLzvxVdPV75VdvILxyFy6Tv9e9elyGZStlY1xJctqP/vCPZRsXjVW/
oJL/1wlg5a4D9ymmBiyVp3zS3hgxgvbcsdVxyWDFZQJpp2p4Oh+VUzA+z23fXXTlbBcHuMotyTvS
UxqBpIeRNaMI9BJfv4TERUWwMfUr3rBDrRD3NDkiz9mUd96YHBrD/9vKan6tCXhceXu3A8t8DNp0
6UG0sXb26WYKFfNi55F806d8x/DEVIwMgZ8eDNb0EPS12rSEG2114D4p4nB3wwB9jF60G9svo033
pXTbk9F53cXU1JKyi+XoNfqD0OiaRwUwNdhhEYcWAD8xaqRAVwfHVjfsjz8p3AJ/7aHDUui7KO8x
KqDcmqgxdbMIOSAckXjM/KrcKq53Ym3kulM1Yq68fVchIlvkRC56TW/Lu4qbofkhvNiOTHLeTy7b
ct8shLR6KItgfrzpEa0Gn2HaGEuvefLT4oikHn2NYx/K9T75F+sHCrhne3UOVJqOtEHiCpP9vSKo
6COZc8Zyi4hTKDu1s932rZHXfnC5m/kpb7O5PpDKbUcNBsJVkRFIruKdwUT/HkwSBlrPD0nFQY7C
kIzYyUHY1GrO6N7CqOrJE1sah4HPcZ3ff3yQTggd53rnVx14JjZR8jjMwzyMH6CwKLW5hwg4HC4E
FzBwasGVAtwK3PNbO3thI+tjlR2OMLrWtZLuzlG1g0x2/JXZBamBAuXK2j4RPKbYCJ8Fkfmx4hjT
wuebE28auRYxJkYgkeemN7vwP/J1hGqquEClqc8QHxhT85msx5Ds7WBhMaCAKt8NZlLvDaN49vv1
vFQ91Ly4/4sFSjjgWqqasI84/4B86KZ4bMzygSrnz/x+u9IZVW36wtWRCTuwMzPvqXDCJrbN6Ula
CPPCsrL4Yevu1Ov+l2UABWhbfaVfPNMV0LlBKpLsz0vg0OPs/zYb3kChG49SZ8GGCGq0JPWlRax4
tdEFAym3SGQxXQ0yfyvDnVqHZDuBO22bWvC3aDsuKcQhibxllaF3jmHrLa5QLMtpD1zipB4MCQga
n/PNnFXVpl3VaclFcFBtuDzmJnFmmS+DfQpMoL1sL9j5DeKENiL08mihi2MXSnEppxTkJpP7GenS
ZlipfaD8gBEGY+XYxn1eNaRKjbfwXmfWYDTIKuFgF155acRQbZwZM2tnlac717q41XSYfHQK4ghQ
/9Ik05tS3PnmIq9d2x0C0zBjIXB4ue2+zVGvYhH2tnnDA1WPPHlGUYMiGdrccfT97Wm1ytvPyjEA
zPLgEFoLngDefzskSmUJvWlPVcqbcu2bo/k2Vv2QOXcbH142p+Fs9bmx8gnnZtGFb6vVu8/phGIq
4JOzThFR0NXDvPivpSyBoLNTdQcoJ4rryHcAkmQXJ4sZJ5WBeaNRxPgyfEUTqr5dIWvx0Y/ho4P6
Ns+RSY1pu5+dBkp9PC3tJSNpYZMkRRF7fwK/h5cYrO0sMSqX2a6dmdqJIcv3bUGRFDFMDMXHVgRV
1FXiKe0wT6khfFIzehAMJfB6FEBOtZiuVmNgf0e63dPUJaiv5PdYYdR6rbLVjfzRcTZT0l+MyfjF
xtPe4Y9/SVC8sOkp34IzKiGpzOLkI6m84S19aYYEeb13WPSYRsIaSigudKCy0weWvnJTD+5dqo+S
2F7SbteLJH0whifT64dz6Xr/5qm92x4+pmQh3j9fPocey0jOdGrZcVYHp1GMp7vndWdjzsV6hJI6
rMSVKJHHgnsJOiHI9/cjNg7cSp/zPvuYGpSMCwjtLORfxewbjQpNU5gu5WWy8AQD20Umq3aoQPdU
TsCMbJ12ay3+fjIhZOsCOpi4hZMOR3H0gstkZ7hwHPAoiER98qze22MzOZkFl26QkTcrFmnikhZg
7Wo80O+mwOnxmAj0GnDNyYnRj0VVy3s/SHrKSBP7sYcx9jLT+x4Qk26W0c1fO2u38mL28+T/r0V+
18ruoLXpfLf0RZvPOaKxm85X58mHrBisBT7VNl9LdumQFJK4MUNAdjnzGaE9ct8K8XdWJaJvY5R7
DPw/dNiuka/EcJwgDvSMxMvQT1WffCXEfMZdKV8cObSgFLa900uJFG3mwacYc1MVmXVriivYuxsn
SnS3fvG6uA3H4okOIjoLGv7WS5EjU+Y86QgKxS5CztxUkbduOwi/xFJ152lwgmOOUejY2xoRhUK/
U/l+d7DEED6skC17tLhEX005XexWYfBPgvyQrq2Ppfe1+Nmng+yA3aF/dQEyLr2piLvFP/Qrsckn
F/jDtmqdcbaqURyslQBKZ31NBbQ6IxoKF/jf1sedVDVYndD+dtbwlcLHLFbgHNeSfstJNC8heYF8
18mKTfCSiABmaDKNdf5346T2aXXGTR9YFBQEyJL9rzDQmL1J5o9a36cJnezDh2ZAzRqu6i1M63iq
/OZxBmum2lK5R3/AEZv5ZIhmqGnt0d7VU59Gof2IXBAdJbsU+uwUc7Gj+6f/f+EjReCQjenOUBOr
6FA8aV2fOMIvWWjbx7k5qb6unp7xYBL+yvp8y4unTv5Kkj65GWounrFv3bylwEVCduk2RAvahKt/
a9suvMkQoMTpg5dUUk2bpcgjm8Doj4Y2dgVa3UtahBfcRvmhc6W/SUSyJx7KePG6frqtwxwHoaOo
BZhApMEXtilepRjlH5cZ1Nvc+uOhrBNcADavx/b+DLuq7wAQMiM75X4Zed4Y7Jr8/q+cNAkQFLC8
h05+kvnU35pqO5pFHuFhLz59aVy7mnZ7wLD6mVK/zWQHD14ukenws9kHJGxsLM/4TALV8nlUKOAL
+wGD+nJycb3KFiAna/7kVvprTB1EiCaa4nz6o9zU2/lqJvgg87oNnDblZZSFs/rVfNhm0jnS2Zq4
41YjdlCgP1QfyT2uo6jpJGptdbKwzQ4OGefdWtqxHC6e7w+RpYe7B7lyzoyxzOP67PgpNHk9yPgu
LRV8gOk4/2Pr9TD1Q8xh5G0Cg8G4ptsqSzG0EGcCvEWO0JX4i/QKzH1AhkX8hqp+6WC2jlblPJMh
cqnpkdr/WYflUKLEuBqDfQoSD9omqVc8OF61EyA/Fz2Q84dTqYB8qqPQT1/rBFDAq7MdEakBNY18
8RnHNeYZHXUtdl2H3cZbwprgC//jTuRc+xZ0wKhSYxea9KCa+TWfwzrGxaM3NV96WMwBj8tdP+EN
/9K5463GIInvEH2fYw7jLm1ZaZLEeC0Zjn9yzFRqXu3vEU2j9qt006vK+kUxGT7Odj7h3/CW3CIY
5Dtci/LI92G65bJIgsl+bLG+RJ05+FdlBf+6BijJ6Ma/uiafsBQsJQZtIt76W4WXErx75zMvoaE1
eXdVxg7mj6fc2DedcZBMJpPXWPvKTg+VS5JFM7ItYuyfTyuq1hNtnHeROURuIPMeaDfgzjdQojL9
c1YssLnwx89VNze7bMHj01oy2VWZpp1BuAevIVic8RESmU54OB6csu5rUtU+u5Q1btsKVMFrGx1J
EO+oSfN3Hmx0gObK4VRpTDmrg2AbN2qAbj6+f9EdL+J1DeTwWvtqiITP1CYtqWNBUd1+7ew4mOcl
dty//To5nOP3TERz/et4qMCtVX+nglu40BIBGJnecVnR4NiKq8M59blYDUqCxO4wEzixSe45gqa0
PwAcvRIwrZ+xBO1Qqg478w65DbPejnXobW1JRl1nOf7Hoq04nMg6mFONvqL5DCiz2ZCnS/uEo2+d
mvuj5/5ZUL7HFrmlG0fa6jEkds6vTeufJZIXMC4EQ2A1l2Zoc4g/7C29YhSiZOOF6yffVXm7nVgs
4wZBS+IKecLVdNR58JlQHgTA2d6Mxstv/DYkWga9heW19HiISU5HJDbiBvTKNM6ADzYkpVnIgfGD
gehPcd3QDVMPza/WxECHzTM2Mj75bTbtLAYPfCbh1amM/NDK3D2g9DoTgWOexP2XMnh3pTvFpQf5
1CdzfU5s422VrGJDR4vHYs1HVeUf+TRj5gwUvDirrM0EC+01UWSEoIC7Ab+P7II2MmahbwxYhMoY
htobBZVEb5V2jasVSgqtPUByr2nTp6XJfjQsCRahAF0MqQZFE/6htNHSURK60OLDRLj2SeFBRX8u
sZvbPndOYK1nnL7rYZX5MZUDK1A4gcAjgpZPKcEjcVX48mTmCNagFddEX5dEEJJC2Ou8L1LxOLmW
QO57Lz0pqufezf+5Ja89VHN71XcXkNd81lCYt9QmILFrvPfGLpcj9AQ7WTZFWZXt9TDgrW4e0OaM
J93b60aZvhkFoQnw3hnPHaUivhfKJ5uQnA07rXWAQZmxD4UDs1TV6OVqFXMTy3nig9qG8GxJjdeo
sextzdS4SZaB6MjQSJjs7TsLiwq+NjHLhrNzXbWz7lWC6IXUJvhjriCum+6La7PayHTQb4HVYuDw
5q0XIPyqckEfyEJfkym4oAMSz2JNvaTw5fgiQ2Dg3BL5n/4/9s4kuXEm67JbqQ0gDXCHo5myAXuK
VBeSJrCQFIG+77GnWkVtrA6UaX/+WYMyq3mZZfKjpAiFRBDu/t6799zBX2vq1iht+nYQJrWMH5/g
EOwDZMSbsNGNi5s/YtAqvHKeb+xlZ2QOJrJLsEBpeMhivdwSPoWAJIQeMZACwDTl0Qg0k7aRH6/t
sX6zAygRtkuUZBVPF+bkv/Ss2/URNB8bMhajsS90pe5JlMmBjtRMlpp9MHys1EOYTfjFGQdF84yW
B6eq0bnTpug14AaKda1JpyNy5qxN0+OYlJ+TUkwgE9INqh4Dgx7Vx3owb0ba/clG1WykGXIEnZt1
lqyFr1oMz4NzcPP8i9o3BTjBqzxm12iMnG3gaPQPegRJDIuQAFjS30s23Ngmk8/GarqVCV8MHJCp
Nfh0f55pCSXZmarq1E7cBQMkAKejM1rHhTxiuwokIlrLrz/9ua3XUljoaOzvMZs5hoQb3G363fFf
2sB2OW2kE4tAcWxiXdwpN5nkHDLrb92FFzOhlRnRPUTGtKXO3YTSP9OpwhmBI2kF0ti6w38oNjXI
Pzob7TO0NHM1UtVr9Y//x6QJHgxrAwUMfnsEMH7LWSdgBUSvT3VWiQc6r7c+i26VmbX3yuxfgiKb
DyZFGYJN1L2ahVidMDjRMklKT/ncEeLN0BulgMcJF/TsoJf8ZMB5HcRhmFou5YDJwg9N7SapTnEJ
BCIRjwBaxCONgc/ZxG4dkHpWWAwmDZEDjajnM0ZlihJ6aQdJihddEFQtQetcc1TQz5mQPSL2aI0A
nkavjytZFcHONTHD0658mhL9KIkj9NJCXnsOml0fOJA5kNo7c7VJ9ewjGgZjDxt8ELTTUro0FNUf
lN062nftVfOHe+VUd3thPHFq2kdtcmoH9vkGvZFnuowRZiPY4Rk5RqIQOJbNFQ7iBJExK7XJZL0o
SMpiJPuZBTwZwu7J6KZX2SKSNlXr0GbI7uwUxgbwR+wFiXofMoPwnLp8meTwCdU1BYwFMidvqOKR
hZqZ0+8UNacxpM+aHgOWMrD4aaZaOwaCS8X8MlNYo6I+K7ZJiTAJgfCu1+beyw265nU4xcj4JmgI
gTrr+UOi1ekBeBnAGBo7u9QqsXsgX+kIbVwNOq+F8ueYxlud7slfWnPjOdeShqdTBpFXJfWf1DJZ
CdVQ7qrMhHsnolsc/yE3vdqizCvXBBSjyWzQmc5m98uwrGHb1PpLVxi25wpt8kRa38q5eIHvAr1e
xHcpwCR1JXL7saJVETjJlpY3/AB/YSPRGfMkuJwtTLszncTfk3axU3YzrQs4cWC+kFN2tiQm2Tmw
DpVvfAmT+Mzyd0ei6DoLxfgYchP6mYy2HT9w5P8NSiSZPgbGqC7xMDVfvYEsEhFwsk9keJZ+OKOC
NvIdyC3sDkWbe8FXWs/OPSI4Ikrm5GFiVyGGxAcnMU9XVxYBY8uHzo6EFwXZq94yGmBZtZHdQNeK
UHoGDQ4lbVEKG+hhzTnfmRWqK1h4jIkTCbiqhiSUEykw9jnjIuLW6UXH35gReMO0O0uJ5Ncg6VAH
HdAAwsGe7bppWKGwkUoiJaiRaMZbXf4ow/g8TLYiZMjY2aq/GC5yFdlwHetanl097Xe+wLZell9z
j2O8HY0NPf1viGEPSKDHFW7pettmmjcORXCocKObwN1xVNJsd2izcnzlzJQa7aNoW4rkqDylBAWv
ZX5rWkSIthzxwzcQcQJfeIMWe3GGAcjsRh7gjizOFXOjYyscLUobuOybGhIQE7D8ZeyC7URHf22j
V9MEgjEk3vu2BoPmGv5WcXEqjnGxzeYQ291JaVXKP5g89iG621kvH5YSigPR2tJgPkBLfswxLcFP
ix6bHFXyOP5GoKbhfQEc1gGxRrNDQabXapeHhv7URZnXm9nx7FrzEwwyuBGO/WpSXaPA5uzf1rwn
mEYsJ24yHJ5aa5gPg8LjzdB9M1W1z4KbbUa4e8IZ/z6pYrh3sTkd/CDZ57nDKd6n640sfZ3jS2tb
3DqzhcvTBXUd+FgKaz386A00XDAPPQ4ytM2WnAyaibTFEtJRw2x8MJVcJUVQrRNTRBs3jN7aDJF7
TJO7E+i7gaBxqjJndJ840vSAlwtNNzNw3d2qJMcd101XieFxOSuIsIS3cemKusC8lj0NFbpTEDnp
ao1yEzW4ziwhyYLPtOM9HyfY2gSCJiZiO3I8Brpi8202sYdh7dsaTvkWqMxYRUOOedK/t3l5oEkZ
78dWPxdTgiRnEmuNAdtWL/QMiThqPmYCTKeV8oKpxNbMwYYtAIspBAFncIl8JEdh1xX2mzJ9Zz3w
htzEhvVXz1x3PxvJFu870iubBpnK0CKktc/4poz1LQy3A9SZfC8z1vywY7807GJnj7TL8jh2Pd5o
K/ycCH/LsMfwRY0UZ5hBtbbyjMViMsf8iz6VQEMoOT6m7CM2cJb2pvHoivwdAyZO/AUOGlX9TUe+
vWqRohIewB+yZhx+zEbpHGjZWqBG2zRVDqltZIha0zPuJMfXKT2K+r3U/TUMFOHVOIzKOX02wNc1
kMF6G1csxyRjg/C/ewhspS2KxzXA5JQGJ7gEHFwZV6uoaqRQJnjIStGPTKgWqYBWTTXPK60KLQ7R
8T2OY7Up60WRhEqQwTr+XWzF586g+8ZJed4ZiqkF490tqYjPii702tBTn1FK+laV5qspQtzFM9ig
lE7BsNhKKmBlfmlT61nfqLuHXQQXioULu22ZO8BJJGpi4WA6tieBMnWs9SMzIdZQFV6qEckl28TG
1EGMjHGgnzAY1JVeHcKCmBvyWl5IZqDWQmBph/IFJBrvzmnjahPRwAFDsRg6eWGHipsEXSwsmcqa
l5N55xy7RP4FkErAXQkcY0KJbpm8ERaLPUztej1aNZHAONS14NOswR2Q+flFZeJ7ekUYOHsjo4KG
kkzLI2YZyFERRHeoB8bHORziE0UdD3bwNrDOeqr7ItKYsoJM9nUaZA8SE+W6OY25jiZlGYcQ/Wwx
DnLf56FXl58Ho1deqUZtX/fpqZhx6Kc+lLJpsGgvNThB+DKzrIdlP11xEtstduAkqi9jGl7gAMld
FXGTTkHldYHxRNgpJ7Ic7ZtzZ7OLdvmYXFRb7ZWGukL3QTeKmpJ0tr8rJzm4KX2NnNH+2umH55nu
OL2Z7ugiuKbXwP1pL5JKSWOcfJrs1KTpTs0g6tScoB5o7YM9mu5hRpeuVwF2txHfuT/Tg6oTN9sy
noNu5VOeT2HP2SL/GnM6VjmrYlxZf3HUfeVQJWtFmWRM1QO/fbfSQg1SjXtOrdDa5GQ3eMUU7MMq
/tsxEuZK8Z52KalQi30SQsQhWwJMrR0fWFweIhLovyrsabsi2nCUrY5gkv4oW7lPTep1wDRH3w+o
u9LGMyxiw6ZCQ6g5+c/84WUKGYaH2bV/gVRzjyjmwK/1ya2SZeu1/blsCnAFOammcy8e+2Q+JliV
zgSihhzZvHiPQXI6zriYLXOIjqH4IHs3pc1RpKTXoFPLh/EuQh+DeWf7tFSsbG0WBS9lM5vbIJoy
FN4lGIvIN8k754HDnDpV2sQJUGJXH3p4Sz9fKKeb1QTDyQ4/cmcu/K2k13jE3FHK/c9TYfX1PpiV
h5SAn1PpH52yGtQZoXH6eVBEdf7zGf6Tfz2rYxrcq8DO9Z3uLINAnBEMaozWbk7z8mCWU3P6+VBP
m8ld/3z88xU/VtoKYVy0gXhlHMmSIzlhpEuOo5WnP59knRJHIeW0d2ua1EI5x58HUCaMj604E4xq
mSYvkm6PBJKvKcOmj/UKNdhw+XkYR2SXiAL4WHaHKhics8yzEWXitMRXEoxeJ+xmPw+lybPJ3eVF
Uh9bdC0XplVUN1htNyQScpr4r29bZ/MbmOZsr5Zv9u/Pi+61INf8zsSglu0jS8DEoCUAdisosU1t
IuRQZsMrFcJrWcIbSzDMjJhlHvoxmbMjkQUhaaXByXY1DZ+hcj70cTy3dkCxIVB1gMEI/mDTwNzZ
h6yvWtxswGXaD/xowZ6WJpiptCKaqnvAuJaApIzKQ2rq84PIcXkBXFbvBOie4LnKP1bCyKnJpnfk
EUTjBHP3kCz89QAILMYEMzyRRdQcojiMToFo/vXs53PB8rmfZwiybk2hsAmj7HyFd+IVit/EbLJq
A8FLO/YWam36TvLl50MJp5YJCRE8Ksep8vPVnw+7trUOQ3qfbRluC7M3b2Nsmlvlo/xDwzt6Za+m
Y2BAqBCNyauZRbpn8MLeYhb5bgzwesn8rZNT8mBIh5JahXhh7ZFob939Vbvd3zhPk+9W6dsTLQhe
czAnd1YjiDIaApYCfVlpGPXBWcIi2057LiLV7FRKazxwHXmi9li7OjGHnPYrClzjEfqPcdPqxrj9
8xmow9oi4aMWfrNxo8l89KNxOo3t9P3z0QzxfsOxxcI14rwayiyute9rz0ZVcNvEpnN0wkrfqUpB
usFxdKnZuwK/bm8/DxKjNyBvktrmFEvOkhH0E/6TOu3vXDYRf5woIA4GwdbsFWEus7Pz3bl8dqcR
OJrU6muVZNXTrNSlTkTyrjkGZwjXeB2SXFtHWBve24VbxPn0l6KKJivAcjYTpO13Ny5eEtQ1j1E7
iwt0qBQt7GCT2jv0wZ4Du6BS0nzPmRNoDUH/yZwE+q8cHUrlQd/JSdjcnSDbwBa0mwaH+Fukcblb
FN3FBE93mpltOKoOPKG1CWK2KWKERd2ZLrlutCKyzKp2jZjtS4jP0ymV26x1PMsR+3oCytkbity9
ShjWSC4Sc8fuO0d870d+H8wH06Yx7Wr/g6b//5B+If+vkP5nTNTd//qf/0Hp//kr/6T0m+Y/HGm6
jm0h4cCIpf5N6Vf/sGxpE0ljER/N1go//1+UflP8w9CVkraJsl/ptmP8F6Vfqn9A/jOFC5FV/T8B
+v8PPL/APe3qrulg41LCMaT8Tzx/WQOzszF1cgbAgNNVknNmax9TxlC46iO9ZeSelL8b1TOZJyrP
Rk+xwPV7pBMmpAFvjvX+Cadf+SCEfkidRblEExPrLXi0o6PKiOrZGMVRT5gSG3ryKUaTI2nWcVJq
sc/gQ6udNMOWBnBzXWR9vEaog3k/Q3LiLHi/GfOxnbbjDZAcHVLo/Gs9M0JP0vvdha26/3zRbyij
shn3SQHxy3WLO/cTwqU2g9YWxSf4Tf1+AgCAftzeuuhaL24E9VCLfUhsuv4Jdfny34Ia/hWH8D/y
LrsVEYGRRC7o5hIq9N/iD3h9Hct0yN2xDNPFruT85+ub0N1G6qb6NRkf+JnGBceWLLkFQvhX6eBd
Neo6oq04fEbEVV+N3hIvYT98tkZLTWOlT6I1jA0O8vBGKFy+E1XmnEKmb6smN3A6Ngnyllmcf/4i
eXvmcxVcRJ3Ll1G8OjB7kUqDiSpxKxNjOd7yua7u5RSRiDNWE5Atgn9+/u7Phxkow0NBjILpjPcZ
N/c2Lcblmc5l8BdHB4kCluFWz0n5Olgo6vDQx3sDhvaTWSbZIWhcLAGqeVBex/msGfPyV2b6ySXE
VM4ROgMMKmDxuHOv791WDYv0cHylvIi8yUkBuJG1/VJk25G9/4z31euktK+ITp1rqBoMXjljHzp3
ieXp2ECcoI7f0C+hjQMJgyDNjd4ibL2CYQEMv+jgJ3FIj5GLu6PIKzKP2EK8nTgIZgSyv5READtI
ER1/Piz88aHuOGfKECScKeGY9qWOlUiRJ+uG2fzR4wxQDklWmBDCfWi6yWGWRMcG+e7nl52TDIur
lTBRaU9BZ4dcVwYlCv8DIniaONAUe3ddcXRH3R4i56+rPfkjFs0FpnfIkPfg+aJpoyZ4SZ7odXkZ
TG9QHB2jrEQxZfCigWHeN7MarmatFsEAPqnONC9Z576XcuzP0sjwEcwKw0w7q8bTbfjhy4gR8oGt
H38u5Wxa7cbWi41bBNofsnxfYgpHRurj/id45ydBZzTGJ+HQrrB8pU4/DzPp1tCbimljkP5ghnFy
aOuquLgIUc8D7HNK3SsNyOHcNulGlmOzHloUnIXfaBdfZ1ZFuW0W+64Jfo/adM5D6eBJd+1LqwFx
iiDmISWMzUfTdGik2dXDz0da2oeHkdASBv4NjTXKE6DryFMrxahjdkco4R0Vt70EWYNwuAYapSLO
brR4afMwdvZTP2kpXW6byOaoGDDTfeHlah4K+Ep1KcsLk80zPdzq0hlNtnczN8PJggYuGFxrZZud
eQ5C9d3rtYRGkP6iz6Nzju72wo/LMzOAp8wI3KckKQ99Wn+L0m13iBmBoNezeqDIfMT19BuIvX3T
HH6I0Zr6j8B2nlTirAA/VJeyAvMjCHM5zPTi8umPPTdvqiKZ1ZxbUKFsMOe+d196261f4wa+sMK/
dQKfFgKud2k/yfBJ0BgnOvhx6QP7ZV9cnOUhmOV0MiNmTiIrrqVLlEhHPsihcfr0ACWbVg6Wzps1
IjIZlaV5TRdAjUSyLkJ7piQr7As2+mE7zBZoDoqTaxnXxjVcJMd8EFW6R25tf6mREd86YxIbg+7q
9ucbxhiLNzFjDzo0nKgxzEwHPTeC51LxQucqYi4Gs+w8FuOHowfurU878IL56Oy02nBubDTurS1E
vZ1Q1W3+/bkg7d09rkzalMsfkYtsaBws89QjttgImcudO+T5s9ZXpLqTlLommyVjDs6vCk7Y+/li
Ok0hWgJ6IkXUMTyBQPsxh0A0fp7983OjBoYQ3cBVQdcEUd78bWV0SRPbfteK1sCbXsn9P1dkt2mA
4Ndi3I7MTN6ztECg4Aw7txaTVy0nf4TaxgHJsQ1BIUGSO9YlnBBcevXcZbtWBXTVAyOB80hzLSAY
L7RKwlntQN+rnwib0USJYvmudvt5ANf27oAePY6ozradJnay0R7B4V8nGy6naxIi4MIxciqAykSk
4Igzy/mtKZx7TFhL5jPjXWwjRnuc0vDUSLFFYbkLq9fKyB+NXmNgFC/A5l3YWLs5bLwJdlCa6/ue
vmeEq8cW2g5867FKP9p+vox6+qtwmYvnruOFWAEwQu05E3vIq9bEZG4nakoNnE/m/kaoh1zB8JZv
JYx4k2M8AsO87ZGDqn7cxnDPndLaJrqx1kW4mbpqIzRywAJ7ae4zGJHsWMB4ydMoiuk4sA3oQwZC
NbuTx7xF/rzKIh8XIcIfUo3vdZQc0Big5SRqVD2wnHoganedzr3R+QddmfAA7McU2UnqD5ewL/b0
0Gak8iROeCWhxkY/XcB4UXKQtk45l9AGIVK1B7opkWPQBoHjFewXZEeCCYnU421ChEYXDuc+dU/L
i7i8ELPNpA9MZtdl+84PTp0NAJIkcXRVhc3g8H1hPIvxjc4ijLpXXTKmpw7m5IA5gMDaqiC5G5a1
JtZmCGGPhSvNHC9NDK+uvNmnzWMMZ1MLd3I0EPmayNHo7c79Jk35msR+TMRfCRXWlrR6J+lR+CEf
MC8zPTNEAodmbLZ6lbxagYEup7g088h1oAJnmEDi5iHwY68mRgZS0dnvEOPY40mb0te6cK49yTIA
HFhlLEzVDD2rfBtPHdqIwmsQHdm45mEBjyHs4dWMPN2S4YkYpUPnfxNGdIA2B34tOi9Eu7S0wLvX
TP6BQcBEjVitCEQyx8ybemSBmrNKh3lX0AI2DGwfKXPqwL7rQbNt4Y+UC63ddp2PkH9N572l2zn7
BgxvG1256K11RfoEJPx15hxUi4rZ5T2ZM1NfIGucAZg4Y9Ci5RkOJxn0D1iltmkZbB2c407vPFb1
IRTEkvKL/Q7hnwOXuVgOPCl3gjleMtnkYB1mBThleOAtujNp7xM0PKPfoNwxd3604Q32t02bj8jx
sX6BjkJSxH6+9bHhhXuduJcKOSw+0JWDJKRX9VEvy52mNDQT9GaF42VYcnG2vMZBc1m+S/SMw2/X
I+RTi+iAEw/vnNReVr3g3tGZBZp+HepxT8/Va2JyGrRp1+G/dMlkSGLh+YH21JffVePsw772KnhU
fmbCcI4QjlCSNhPyrva10eUJH90tFfGRnxwoPfqBZhu02THCKYCYbu0Pza4vrN3yebe2Lwl45yoW
TOzbdVfoqCJrPN2Zp7ihu0VRhPNLWtODmTorAQ57+W+jO+doNLl4S6FyyXLngF7hAv3iSDMc0Q/d
exMKHpdyucaNuuqoP0qof6kzHY3mvFxkP0oBJJVsgM1aEFou03afWPKhinB98cMNAs8z0jH4IUxB
stdlLczA4hUUFs1baIiN5KTqEHnb2dk9ybp9J/T3aSBy1kNOz3WYroPNudRgGNd5k/G1rGc0pxFT
m4O1rWfYmSLDIwSYgncX15V5h3rm0LZuTdy7U3JDo7/RLQz8svSYpN+UYjaRuG9SzUc5xidYp834
VmOSr+bkslyFVlN3I+A7WsQcVBBBjOkCW4+RS/7Wo+5e/r/MnhsIAVpoJGg8tS82WoT143sT+Feg
IesmtV78irAFQ987CDnaqHtgkVhnmdjV8Hi1mRsnaI6jA1p3gsVs9w+KBTPIf0tExTmkSUBP0SaX
/jX0683Q+5cupm2UMN1fJWV0zuEp0Dzf6Br5GMC56ikguIZXqpsu8Tg8lrazCUaJ058U2RpV62jO
r0rvSYQwTmhLkAjLPXqvd9VbF7A0a9FuRENmY4aym2MNiI1c/xUnyFHSKvqYO8zMM0jOFkblME0v
rnwBKXj3/f6UujgKbV5MjAyMtEgDkKazt6S4kjG6Vm3Ha2W9xbWfMw3qzlEwvre8fy29fMun/RQh
Qy9L7Wg3zlPTRechxy8XfMjm7gfurxbvkOOED1Ze0TS1TqlRHEMLfb2Lmkx0EUtB8J5p+YvOwCFq
GgYANYoFreRvm78LI3ij33dJOmjEVqKjHgTNYZrPGskmlJH71EeBZO8nBarNmoQOr8d+gbmGP9nc
hcm0wInwKgiUHJ0t7j3NfAIlAHoE7h/O+mc/Hb5dq/9QSFr7qQdAwbGuEdyF2vwRxVB4eJWlZvHy
J/c/onLPlW59Mi8yV9Ivv6iMzpopvRImRJPNd9R/+E3y+ZRX5gGfLbvLXSSM/xIa//TErM9h9J+a
8Qph5h5E2rPZNTe/Nh67YR811jPI7Rc3NBFiYC2tGYb2ev9mLbbTsSofl6lwNuKlsedzMOV/ylx8
FPPbNBuvIH4JY6vrj7YLoBzov6Oi3zE7eJU2nuLYLy5aYj+3FjkmYYyZo9xTZu/qZt4SVEhqgfxd
2JiJuXz5ktMLOC+Imt2cayhft3CHBLgbecKm/qbzJsTYW3E7XvHnPI2R+25ZMUEdGhkG31URnuoS
OkOJx4MdrqbMLuRrknO/m+6jGOKrVlwb4TxKrA2ty9w9jL+XCUgHOAU3DCA2NtciBmcE0XIoccnW
zN2I6nDVOXY7DinGcdSfld5g3Z4+8zF7qAL3UbH+0XQ8EMax3J3RjFKRTDNTNzau0X7LiFIqM17d
kq6/1iJtkhh0xK8G10HL4YGx/2hwrQv1ji+TwcWBJuqvKC7fKqd/5D3z2hblu6FxHh/wdRbp94wm
0NSCft21zd7ixs/Z4dFdNCszGUHQcEVL+FiAxf0PY7I+Otc61mTEDA0ai96fr4kxgRZ0gLZU0X4e
wqu1hBCYD87Cfx8r7bvl/LAyv1sJfKlLDI3EBg3Anf5V1F268tuUnIYlJZArlcr5WcMeMJUhqXAs
ZkZw6QK54+A4GsdkGgWto/whit2LuSjpSHjaR9Ou0AZ9EyTyM7LTYzSD/LRq3qy9DdiiGTiNJadU
aMdZMLspOsiLmclKSwG2K+0SnCeWohbFQWnjAe4cQ2MIzCSCIwGWUjR35p7JIbe/+2uO3b3OEhNl
al+2eb+Z9fEz061FfbtqC6KZEud9khIznGRzXeaj9m8Xu0Zhqo3CYoA3YlvbzoGcC1fvvbnvTqSn
b3tjwunQ4poaN27fkglunPux+oUS6o4Zbkrlzcha9t4PO4DrApih1/Ha4wiysiWHpBAaC84lGp0L
6CGxARcJhtNlK9PcfjeO5YlRAJhuvWrwo6TjFuck8+MoX8PHYk5ZYb6SMb0J1k7PCqondnaQEU0m
18SofQHQgrgBUGCVcDAZhNhpmmSUipcvK5GqjcjIg7CH9xkQTMsPjQZAXkRp3+t8V0zxba5HggFJ
K8qS7mPMn2je71xnoYo4aBEarH1DUKzm7gtA+6kIiwMtjntr5/eR4n2Xx+hje+OlN5pPh1kVkHQi
yRiy1ohecMezyzwKPEFBoF1nRTvm0pdFj27X3VemvzW0GB4kQogl2MNP2FKo9k3wsSZDT1bMc6uh
4dXsuyBOhXfiSeWQCKL+AYkZnAWsi4Hwgg7Vl4apMtAPGRzXonvtOwVvJzkj9NyBgfxVYTShCPdC
CZRJvBSle2zh3SvIEkb6SUDWGk/jBW4hoiHlkxFpHPyBUynHYphpOqiU6GDKlzrIts3A2LX8TIca
bFC0dWP2osTeZmG/w5e4wT67bqzxKc2B7wmWH7qnbx2hQ1pLWaUzkWzwVII3GgkF6jjWZTl5Df62
xWVSsrZv88F8wHFGj2I23ilin5wu68+tyyXEA7UdtIDsTJsMaqYxiEgTLT5boCX8Gc7l2OyGM+4r
BKmhenFGA9pHzc2WXd0Z2ZFeIgSWj3TW2GYFGOPgwfAzr3Ksp0ArHmjuenHU7sLMvSDY2mHKYQv6
i6F7kyHJbakwqmWMbAM9yvOrjuB9JGfJzYd9qTPCnqw77g2vKOstfPPz7Gt/89L36qS4cO7U698F
c6fR0L0m8+FxN38GI96SxUC8RLp2s4B9zDqifWYQH/teRJ4ARF2qL107Q3vfmV1yGE1rU4j42UZc
3iEsdMVFY2YvQ3kuy+hLs4pDoBnbzAK/GyJfyRIcrlHw4HI21WVLWkG481OGXBCbIz99LbEBfQ5l
uhn/2HV/DFFutCQmKbfcI47BwCacdzNo9oMutp1Sm16fL5PpHwZnQbov3JRNrdGc72t3F7vWYyT0
Y05G/QpkaAE7Pfi0MnTSLQClomn/1ob/OGXYCqTzK+8TPi4PygeUrZjkJaCFenhKxahTJWUoEThf
JuAKnLHZA6zYuZXzNykvJC1CfVw7NuilRn+Fc7N3S+ekA4GMB7Hq/PDBbMttIh/LztqJaPoTGeoq
gZjXUMEaUXgm1t3YAINlaSc/BRlTtDdlJy/FVJzpSN4cB2PIwA2nh+dZZ2UU5Y5SCHPmF+baQzhC
XgnCNb7xdd/FNHOgC8bJZ98IklMyIsyqfe3YmKaCY1qml8aot3D8aGGwagPL3maF+KUJ9AQJB2i3
PAOw7fdkBONuoZzsCcszURT5qefHw4Zg5ukcWpYOaQ27T0o/JFVtvw50PImJP6/NzH/3gVDVDYGr
kYNLrSsfJPTWlFsmlR+dSL9Gh7XTQvQpjFcGn0R+6LuAtWxS302NARd0aFf5J4Ahm8IcWfutv1xF
XmT0Yf2M7qTOPwf12x4X9RMGHPPb0dpTA4ip6geYOFhYzOmtH2IwbyFNUVRvAgXcBC01Qs5GQ538
Jn+1pMBodvuraNwN8tsQIB4Ni0nCvkOZHMxrPMBeIrNnzbTxrCGBwLVbRdLf8CbbQjNrje4JER2o
IqkuZQ6fuE7QFylvCORt4LvaNJe5U1cpeagVyphigtcOS0Hc4JHuivTZt37n4sj/qsomZclEdwGh
a1D9K5mWAJ0A+w0u3tI9VHnkEOFh0s09EpodRmgD9My4MUnNiNV8t0Ae1iGxAtp8jFoyltLhMqfA
UcBQV71jrhqZ//V1MGUce0/m7K4CbX4FSJzi+gbCwdQ1RRW0DnKQr+6x65ej9BjDSqCwrZBH4X+Y
KvJRxHkJqdI44/pWsAppng6wAFgfntq2gfSp8HExai0MlqDw2ADkjlxSNmCxBzbSUjAoukrvZmEM
qzJPvF4iRaX9lE8ITnJ/W8ayOCTNRtVO7onCvUYhYsrawwC/dVvALhxtbgndANtorga6j3rIWXub
1SQ+x8reJm4grvn4nC3HNtudfldkDiedfJxJt6GN/TzMfypKZTMO34eCtBHf39JwpchvDllFdzeN
jTWDuL0wkdeo3VA1u06Aixh3uuU+Q8LFBF3+hpdzVqF2ZThCbM2neWgoJNbpArqFjFabvueW0BXx
tMTJn26AvuDjPY2px8GxjiWFLt0es3deVGdOK18S/xWiGBo8A1ExsUpzqf+JG3mOenBRdoz4S+NX
dXi3A4cxegcNr/bb7Kn9zDpf4hrOde9+MNx2xvRgtMY+T7WrNkRraTO87LEFrHS3umCyJr7lMNT8
EyBVWPmeEtqBEZMi4prQH+Oz7wuM+Pq0y3XiH1EsdQDCorjYwbM3dcR1eJKRCoR0BIBlEeXppTDs
YX+NY3SisED/76zlUHqWq/YzlDS7qwEIpaNHDN1N49bCj8MZHCVrAJ7O6o5Uu3tEIutu0G6x4JCa
MzxT5UXYBTIVjTcqGV36jIbkaRqajWW2m1F0OEQe4e39b8LOYzd2ZMuiP9QEGCSDZpreKeXthLhO
9MEgg/7re+XFG3R1N96bCLcMqlISGXHM3msX2cXk5lcEnd70SNgy4KKpuQTdF/6PfATsxNqtXsCD
ym3wiwApv6f1wPE6PtLAw21lwIuEUhMKEB6rMDnY6tMSL3b+ahc/Br714HfsRA9LlELNsanjAV1n
1hZzzxpS2j48+u184ihe7I5RI4KJlp1UST0c/BiX4Dl3g63fDPwawN6gGZ1T9NYoh9UeBwJJtdsR
MwtNoJ+dTfxWwUlSKiAw3OwcMTD7W9jRHqoL92JlckZJ/QkkgpU2G7okAh8QnatimwYfrCvPBBrj
LEjwazMo7ZyHRH111rvXHKP4jH7m2g64qrs/Y5UBbFHdQczB1Q6ON8iELL6znFgdD4B/SFDWeQqR
CAE58XDiV8WXBMu44LJjmusE/snpuo+ymrZpxtz+plHMZH9bVZ/C4CAyc/Q5RcqlJiTnnfCuC70Y
FQDa5dG2fiKhfgiXC6O3vn1XM8Mq5Ow28WkFLoJM2/uSjWJOTnm2wOD3/R0ABJiOBQIp6zEtc3IB
WUhVTP+qtUR/2DndEzL8eVXw658FUAxGdqTonNQMAQVyqmMG2qzwNvLz9n4yX1ySkJlnM1yqu5OT
7IaYSR26SmAIZhFcC7beJVhGQl24DzVcU9GIS5qk4uKa6MAiulvnvRM/prcvLXNvR/ZkWg94qxYd
bZQm9aClZqAwbZOSR3EO7qt+6p6ssj31Ojv01WJRpjLOxGlTXG7MVGTf+dr1JaWXGH1gzHV3HNK6
26B6lc+2AP9EcgV+Xc+6Rvi8LgGbEtYiEEotVx2baYz/mNG9MOp8B8A1H6yM+G7bS8UeT843a8uZ
AMt5pldP5vPfv2xd26DPNpqqj3/690sTya+sl+/AftvHfJTVQ2C9JUPzky2ePKvJ2TRIPe7/fslG
SExuQVS0Ei1hYx4mmDIR76Uo9EbS4d/3BXTQPmSalolLBCFgH8YFe/s5idHhm9h+Eg0x6TkRQttw
mO0n3fpPap5vqEXFldA485dZEFEsC8+G1Gh/dbwkpNFzacgaajRCSBBtui2vURfL514V52SMk89g
eJ0IEztagR6Q87dFu/Y7jikskpcp7ujljbm3BGEa1pS1P6PityetkXniVDJYDMlFxtV7+vsnxVh3
nzgV1VTALmA13nbclr6EuVO96A73aDF7OOrGYdw2dui8ag0IoZcvYdIzw2pVe85uMW72lH1YybT5
TzKL/0dkEfmuCG3pRnYonX+KLBpyzYNyCPq1FQPPBRbPnSuj8i3IO2vneSmnhJm+E8TsPxkKKd0W
F1f7yWXZB229r2PJgtEpHwj0pCgq4goqnxHMblPnRdDI7/7Dxw3+z8cF8OlLzn5HsK92b5qcXz+e
MpWgIRH/VVhL5yagO9aNm1TpZsRqMBLcZHU29cGcbG38Fw9yzOJr0d9W236r7wtIivsyXuKzv3R0
6zP2wJtkIi+WRzWXiV77HkaUeuBfCImXRJywGT0oiCt2zgA68uj+75cl7/5U4vXff0fi/6qI8Fg4
th/YQYTKyfH++R0lygkzOGX2mq4d1D9ygPvW8DHrGgKIYJvg1iCBiHhg1urr7GTJAGsRqrXiFtdj
B7584heLAH+eHlyc6vv/8PluKqZ/qnB4s2QQSCeKwP38/fz/4yc+JJEcLIfEsoJfNrPfadgq1M9M
MYgGXBUL848M0eEmQId4SYeXxZ5hW/DTu/79kgzx9t9/Igft1j8/ET8q2/U8KVwZSiFvz8j/+EQC
6ngf3eaj0ohx2wtr2PSYphnFDstFaShsun/JC54M24FbZjnHJIW2WCUoHRvggUflnaDiEcpSTHeS
5W7bM8SQUWO/ScCSqzYfg6d//5mJC/3fn1reOhKX36/jBkGIvvKfn7pulKHsZyE3prJ6Z0C9Thex
XKyEECyvYUUtRAleOl1LgisCD+h6uByN7o9omzZOaTvHeiLAOk1APpoaXoiIWYfc+KlMv9K4D5iu
VA+YIsDX2aBHQzhluczXpmrVIUFbkjdcbtDtl3Uhl+viiV81zNlNKOp3o+D+wcT0N0xyzJBRpTOO
g7aF5ttXj/VC3BUn8RotWr3x+46NYm6wUMAd6zr0PEupkg2gJjZ5pbcZ56haWXL4HEBWYGrDv+qT
TTTNzW/A+V9lgpm18Fu2Vbf88IWSmN0e92vkMV2CPeiX5Tr3ESaT6VCTb+d+tBXOZk/1/c6urX3n
wtXUPdJmAGhHh/qpmhm9R5Cr1m0/X4auOfud/GOwVBYZuB63XwgqzblaO3xk44CoSSvvTyyi58xS
4sT8+SlwNeFaSIPDRu28wH72LEkqZDgi/CDoeZj+OKI1OOLh2VmCNttJb/P5y2wDyHPse3jM7NFp
Tis1f44Dlp1Uvs0O9s0pRO/tgZSyYN6vi2XAtuwyyFrit9J6qhflvw8wYSZriJDj3/JibGiOY4El
qGMwEdeDOtGDbppb1kgN4QOjNm1rwze+sojnQhlWvAIdc03fH5NiRvE93jmO9+iViG77u0rij/bF
/NlFLMxIqJ9Qtq8wJjm7CX1rwcXJYAnSmrL089CWf4QeSnwCGsjASDWTQK8FIbGNq9ilxY0R9uTp
a0K/1Q2sfzslL6wxxKUem5eqQQTSVYPZtrlNTDjJS+kynosBPQMzihSOM5tUer6qgJlj3yjy2nfI
PWPGmCTicHtF45h+dRyTL65vgq+i/pWPWawqXlk82sZGjzchKDHPocJS5d/ospOlOpK5zm5TXsok
AUmvW4R4rk9oMdYyRAbRvmJWQncbHXE1p4fZgm5eRjCm4/JY1M4bxcy3DrVDNDINuXIz+7mD1xzm
CKOnFA4VGL26SD4HRBOCuB4eCidRAf5CQgZuMgnUjHC52Cb4gXmdabGQ2swMep1zXcd/mt5/dWd/
JoIg3mfNQyMwZfStX74RZerKqv+R5MBpdLdJJHKz0Ip/BPrDaaejWxWXxC2PgUlfi8TP1yIIGLne
osVC/6E1SX40NivIPMira8uUeTva5BG2oLETLR6nsAqfZIu7WRI3fnhUEwkff7+MEEevHmuD2GTg
0WNr4y0B4XSljoD/18E5zBzIbJ2rD9ihw2ctc5ZhjXehWr+Z4awfLHmtrRZkgndtcejG+mkQE+tx
8Psrk1g/ETm+pEI+gu269F7ZXge63nGK7GuK126Vd0TqlZP9gKvr01Fpt7dz8K5C/vJCX2BBGN5b
m5IX3dMujuEd1egK4ZI+VYlb4WLlfQsTeS7QJAbK/DE6GMlYmb/7gmwzCjuH4DHvh3b9T+MyvI0S
H9MeNZXsG2ddqOUOgpV8ICDq0fJKOFI1g0w2MWFOFYiIs0f07hJCC6zhyr9wAtKtD1G4zAeGyXt7
CppTlpldmw7JXWqmEdJG5BLyJYuLTeZ7ajwbv7y/MKre4SK2LxWoGKKrAa/3Yry2yDZxmSEls8G+
uMYxd66bpgDN2wdtg2YT04yeCP4MMGymjw5awQDR683Tp7HspC9xNNiXLuf8DSyldjOoi1XcYK8u
3jA15hT8uDinKSiODKqQuAEaKNsaV5Ojef6JJQtkcUpo+KQNnLhRZ/J8j4hFo4vk1XlwDWK+ommI
Y8J3DxqpWNul9eVUSXAuB//ZCgvn3noeWZju6oEdP/S0hggvuDy53S633M+cST7NO8kNaEn1sOmo
rKagulqusfc9zg2O+OGVIdI2mV7bOuUyk4IQPMw1D4pgc23VxTPklmdi+GBqqbG5m5XedTd8kt0t
0cWIx8R1OEnS4FuroERMNckjwzHmG7UBwc1R3yJHGBowtwRWAvock+5MJ73DN1kcYhvEEi6XK0Bz
chNnBhCZs1dZf52wbpC2zaRHDeyAIDepJk52QQRUMy9o2aMufbEjlzG/VV/qJj9rm0wVn+479VFo
SYvB4w1GNXTV2k4pleowjhBfVNe0DX92JA1xvHJiO7xRaIKumdbBQ5wCEByc6QXrWQPaw0kP3mwA
zHhJc42Ae4VTMh1Ly7MYBMUvBh7fk40gKNddvcEvSWI4+XwrabXyzs0TVEaqu06AHY5SRTsD6w19
DfA830P5AZK+7VR/mnzlcbMkwXVBr4YpsBEnGILx2lsasx5GpzvlLZxZRl37uBkP/PTTy98vaYQu
HMnFtRIcOYJ9zNaoYrymVpzhZks/ly6R91y//T6ua5ToPapJokQ+4ln/jIeC0X2HHCEecmS1CzWY
leNVjF0F/xT2KCiV+GqF/rDruUVWZgqj87++3EOwn4HrH0sHmQVrGrbZlUH+hfkf3/e0xmF81Vp0
B1KIq20UpD6rgzm66FBlh2SwP9qbijxmF74GRgJdA4NiUbnOSVc5pvA6Y0SS6/7cL9zxni/Puojj
O5dZwkiULGRacviGUp0ZdLOehXc3npWDl063ksUckXqHLK6e8ZJ8Ag3uME++LhopkK/K19zBAI9E
Dk2XuIUIkQIGb8B+04Zk9oEu9eQXbPCaaIpvwB5xGiaCezrtAe5Eew6AQG5hTIpz5kS/8l72F4bO
GxpQbmZY7sRp0a26frobyqS+R7N+xzy/h2+K/9AJdLi1K6BvbZRyhY2ty0JRT9dI3lIvkoArlgRF
jVqVqUxb3DlCP0FhUY8mhirmlOVDVCD2C/34DXWns2riUh5Tl8Va6yQPecp+xKtScwYRN7Is3RRR
f6xTwmzl1Ovj6CE/cybsrS6cwE08s/kZPbpxL0OYpTKLQcki4c5o9nWJrAb2Og/4q0nb5JzGC527
x9Ay7WNFdzamM/Q4I9SxcMqzE5TyfiwY7vRuM2/L/DJ4DPVF0z7xLl4FSbYnFv0/+uhKpIg6dSHO
r8Hzf3WlHe/qyBwyhKrbpFyQTbVkx3owqO88dR5ml0Kq091B4RXAqHAvUuJixty6CxPRb4WbnVSK
yF/eMhGZkhJ9WfSbxXLiY1GUL0ba3jmzqGX6gBjzZo7SnVVDQ/T92juMRKpDUPDmu6bfNf4jC6/y
YjSDx4A6auMKxjS6ok4jSyS5Uv1Zd4svwVIAEkVGng7+AnWLdLFxatHldVfVkns8O1RMFI4fM7Yq
xma/+hkVWDLAYHN94NgOZybVAUDgHAAQdwVsQ7EKFiT2TSBvjlBie0J1Giu6JtZfGJAZTkK/rNg0
ggioT5Pp/vXl71/W7DlgMLfvZZAWl79fsCl0q5GadzcbN1tBdWSkH87vvt2LxwDJ42bpoIUOLuSJ
gsN68Sx68nE3TMF4zubkMfPaENWrsU9+dUN5LuZkZqgSBmoqzxXUt8AWxXUom/IKbg38jcDk29lQ
JhzTwoS7ffn7J8Y2xbWaYUtzxebb3maqUy4WuZS+Fz33FsIhQmnLpUO26QNLAMYyk+wCy2OMnEfX
XTb9WDFm5VpKrIIYk4i330uqc1d1+uBG1QbTD4DxGXCGqvJsxU0KVKBgwoRpOqEnu18S632Y0obS
TnsruxEDYeXqbsFhxzmHbG92o19OsDxXBYE3nv8YZz0JNg1tW36fTcgDrOIetfa48tFDEOnjvftV
f7bS6bUwyXdS+wys1ZNsung9aetbEv5s+qXeZ4AxaGlXukDUK8rpKSrLj8JCd203J9T91Q3PAAcN
LVjmdRVMdXkkwsGscO1VK9TEt3T0WcERyaDR1ec8L8CITiPvF1s8xSbEuskUQnLERO7vG6Q9m3pk
LwhpTq0HiWTIbZlaR2yK8O+DT4pA9wZL8gJPZEt0/HuzpN6G4trBIv1tBgL+RuiNJDuUz1nt/XJS
a9wT40BzSaI5ijE8H8mdywxxE2GLigwulGDEeN8Dg4ppvtfAma30Wgyy2XRzc82K52aGJxv6atgx
I0VlJFBp394cGI+HltkMMgswHzSEN9olhTlhmcTNYq7O4dIx32WM2xDtgvhunczjzsNbtvK7BTHq
D8If5+M4aoTXZbnB4vmzQUK1de14T3lgnbGwclgwHOZd+uorcISUzd2uTh67oUWpQKITZiyu/xzZ
gcNwVxCuzoTDrMOpSaCMbJ2c1Z8ds2mfV5FD3ickMiSGHRudbCKwA71gAsSY/rL8dJtm5xsUYa7F
DICq+WEI3Whjt9DTAsahFbOVQx13u8R4z9k4nwFd+jUZCkWD/LC0kRT1ZvipMrMcG1Pss3H6zuvi
YeyTem+Pv+j0nsaCAWdQmdfE+Pd/j6ViCtIVTgKuMTZXXtYgQimKhzIAMs4je424MdPYqK1pRL2z
eQz23AT8x0BzpHmzsnptHUtoL7kIL1h+fi9ta51r0DWUr+VdmJnz1CcNNoCGvreGga6b0wQGbOVm
XYucOG232m6vib4ly4fmZwHhuade2UUWcApE41dAY8SGjb2iCO0/kIxyHNuqpWUHyqqjt/F2rVVc
jBvPMcsm5UVppW7PROLd1W32pb3R3hLWgLgNqF7D38S3hSywIdorKA62j/qMZMvZ8K2WjlpuqP4f
DmLwrZJ+h2HHfCgm6YdKx4B1LMQYM4Q33MAdoJaqPmMQhh6DlWCtyKKM2L7z0PTTwYbysPbm8dnS
MVGnvBdAqxDtclCA7omrvZaYNUoq/TBNcEY4yaeE+boFmoXIIcZYS4weUU/8pyZH3AlQcETo5cGu
GMWxk/pjzhC4zqpZ1nD9C8MaaUwPVfU7bn31ojzrBmO5Dway62ofZgZ5v3+qrHhVTQp+yV1VSfzo
QVFFrx1f/MEJzipKCVlZAAD4xceoQ2A7BfC+TLzGAPHCOnwtpjk7D20MwszVf8YQUSD3DM9ne0l7
2gxGeq8YLM5225gt/ESDfg7cfdAzLqhF/eaph3waXgsiJbhmuwT5PoMkIgbE2ppRNHukO9gybndZ
NGDuMW/Q6lxwNUxJs3ZidEDOLsna1aEU6qUqll/M/huinD3YZenEFmedp9HvgHud2YgFKy7/SVpn
csAWsIGzthxCqGpqmM1mzhtC0qSfoqWa4eEHmkTBnjN6QoKmWv86ZrxWKCNo21JMMrMSChZIf9cG
4BWVrcN95NOSBsqvHxpEcX//YDUKL0EKl3NJ0eEtSUFAWPba+4N7sB3/R8hZfIEa8avmHJPZZB8n
nxydGUrEKjUdC0Jv3MAtIXKTPe1YNs8BSOki0TWMJnmtJ/Rl6F6qPeyTYh+6b1XbPjg8DOsi779h
5CBCr9VRpwS/Vjd9MnQJBiNp/0gMM8nIUPv21sgTylLnqXlpPFfsEjeuV6Jh7t4kFqoHN9knXB1R
ZrxrI6zfYVEc0fyccF7/qCvU3q2X/eD7jE6thyqD1mTrOCznSpQXIyag1iouflF2by07y8BjZYYY
J3Kqqz/juWqs6g7pzY5c8ch6hZul+VTNp7jV0zkLPqqF22aSGWKROP11RrEpTdmdxnK5E7X3HaEL
Oyt2k5ZgBKBrlwgjDI4badgH0d4/0+bBaB3z4zLzQw0nlpVVvKUEOmiFjB9+WMgOFyCKqb60U+QP
Wbb8cvuJljP/XYrGP5FxuJJzv9xXgxYrWplqVw2DWqWhvNRxfx8Tenany2SDi3laRXpmyZu0JydC
HOVUwZOXB3eax2Rf5sC2XYYMvuyeJt4uqmOwWpkAy8/ohq2Z3xOhWrXZbjDm4lS8L7xuhC8uz3aL
Rr0NHxG2hwePiV9YzT9RlNHE+VG8XxjcMrZId5lMH6Cg7TTzhg2SbmZBsCw7jbA0z4bubIHg2OBh
3fqgN1deT+Efp+ELhkT+95xZ0oDEj0VaHXvsQjpwb6wL+TLm+yYnq7a6PfsZ9+vbDd3taXLIRydo
X8ckecFt1erwGjTWwDm8YHbt3f2Em5BgsaNtNwsyv+Wtz4scPybG3nFC0NDg3vAsVA0ZFpYgWz6Z
Vxd3s1+clW+NR/23MZkO+BleoeOhdJ+LG94P6GvZOhHyvOCH7bL5X9xfyiqjS8GPRSBaQ4fVMnaQ
Jjny43C47Kv1vBgixBJ/i426oGVRlCa3k0rMw6G+0VL5fKSFkMGGMii5q2H77Dx1KVq72lc3Wrqj
koat7qZtC1SxTX+cg/6lc61HW58DhR2iGyMa9xIsTs0gyCLeexiPUQrWsJqdYkOa095lgrSts4g6
GF1KmeQkuxT5m9uPxcEyXQTgpfnpx9ME7KD4Sv3pIfJgswA/XcuZl8xpQhZkkD7zWCEhNSRcxNpD
3eO8Ef4a7vPvNMJCMsngiKLqvHDtHUTe0rtDKxmT5Zm0YJDD+8yaCmauS7Z2so82AsW/YJcQ5WMJ
t3pr2KDAWmY6GXx17ki2KAOclSOBKsQzcpKQpqdFrzI5E6pb9zEemD4l2KG1mfAeIICEGybWo69A
rvuC4maCKJ1NAlFHPMwPHGEbEzfAoOiKuVZ/9todYTeepqgxp85KtlT/LejBZ/zwTNDAULuLiLDc
+c4OpjSUQhQwedzsssy9czliWXjLa9v5vwFClFsWEtc4H+jiEaCsuxpwom2IKcCwe/Q8AIOiSu+z
SlRHljQpVXXuPOUp+VY2Qwh8NuBX6d7DDulw0IiNLoMGMXL7IPxx2NJT40tlAKeIpJ+s8M+Sa7jm
t2NLP1bebS9ymWQOE80UXyUc+J5BciYyeR9GfDOqHJ/kgkpuSTmjAqx/a9fub45xKs70zmTiA2hQ
Fl8C1T7h0TyPpgtWmtHgFaE1XSNo/gaZK96JetsMxl9ZUYbYutSvAyUH6Zk5GY9yfrGH/Mily+Nq
xfc5FsHNAs5q77QLuVOtIJIQQ9KM/sPgEGTwhsy3U4J6IikY5/ErLkKCVEcVJXviZSHQjz5AXYS1
IodE5XjCR2kTPMOxWvnNcRRvi1UfjcXeCgRAvvGJld14AcEoiPKI0FTxZ9RyM2JF3aD5Hbtqp0rI
LbPnvI86/dUH9PFhb1GQuwyoe29806WXQtKdvjoef5a8IWLSpB76VcqFA5L3Oc8QZcsoG7ZNow51
ZH+HbviZDN3F7flRNBEnNvVRfmzjqH9wcuhQZeJSXc0FIoBkinZOXEAAAwkDRCC7y9LJvifq2XXc
6pxMLH2i214g4ahSRa0P9RCgaps8Qnd9s2Z99ZolgjHMW02g5p0Z+vfQ6NcARz2BKKmFDH5MopPd
36cmSzfs9up9Syi4TPvPlmIRnWb5PCr3DlswEvwUZ3IjRLzhsukblV8Ean3mdvjoUVGcdRwjrvEQ
TTlYJXae1HgN2euPjLZQXDBosfOJBswUCA0bmopoxOJIxce814qIB42CdVEN7brQuyFr390MgTIq
ngyulmTzGs47YEP4SLkO1TQ8OI3YialFcqe2XvUL9eQh6xNeyqFeE2G5b1ymam4P9K/rbMTpPBgz
tEFTJjuDextHMGBECAartgK4LmmqFmTTU5yddRStccUyj23SjT0Hnz4P87mmJ2JT76sLThP0jMtf
+TEEWj99jIyuLlgB7E1NO5RqbNJSalaR87wvFwbwDPYS35Z7c2Lk7q0QesAgZDxVhM4p8jr10AT1
ORkWQv443y0QlQJqYhUTcY8VWB8KEyiqZzvcCr/CgFvNiFrtJ3vpFbn2BHiDKx+2vR8enRCnlp6l
PhluGuzKYJqXsmGK1nT7voDqqvqUyTRi2dnNDnQhFcAnq9poO313EncbeOOZKMrj5MiXRuu3RcZw
j0UB6bdgvqPvSeUS6zISNxmS2VDaXWsvIuQjdettIpD4AuTZ93HYb3y0akke95dy6IAajeu0RM0f
AEjapESiYAXjm2IflWwdH75jZNtQw6firbQZJNR+gSM+ea/b6NcMuqyDn7vBH0hYXwyP05rnYqsI
f+CqZZbPpjOCR9/a4R5PO9DtuMOBModvfvqiXYuhwSivaeXPO1vyHPfLRAgMP8A8albxlBGO1atv
3zjV3vTOtGvI1Fi1ylzYUOiH4KanbnnTtEYSjGKH4XEakD3VxjsTPjIjusIh/olrEq44pe405Hd+
7Oc7YuinDQurjtDLAM1Kwc3egMRAqdHsKIC9bTC7y9r2Jn9PuR7h+Z4/JSqBwpfj3TC2L7XM2QY7
JWPDJfkQyvqsbZmfxqRxt91lHPqXpi+xlCSf2uwZlkE/J4NXF8wb5QR8qgpf+iZIUXIIwc3FZIOc
HfcF9mfPLMZ/dxwCkNyhJfEgxzMCnr5bBfPi7XKWhgxc1Tv7k3t/wm7lLPczQ4wT3sxxVQXFIyR5
6zWt8FLkTEhH2zNHUwLO7AZ5jTDKrIeF7OaRxo+ilm1f7fhH4eRkMlgNtEqi6ZhiHnTpv7g5C1sl
yI3lTSJrhj3qUPk53h2Mx34ZB6tUh/lWJP63lKyvmxEM3+woyGdB81Bauc+i3ryx7osPsS5jInqA
fmLpbT4nIGN5sCfiWHwggJv3xIXIgmDQyIzEGANwmLo2O/V3Qi50QgMQgar2HhfUc4lsP03dOntQ
ExLVa/ahA3NsWKgM7mcUNVj0UfvyXFroJXk/Y9r71MAq8UqGYtlsb3TIWCUEhyfjHBQ9DweyxQn5
5vomGMpjsoVHGvkJ7yTqzUtE1uE6LDBuWnn6NsO1ih2PNvSFimoTemXCwcfosc65ZPsi+Ujzeron
pwz37ORAKm/yPZweANz5FnXfvOZAsyR11dLdz0L2J7huFK/yyLjg0zj524SoTqRDsQ1paFbV7H34
aOKarhb4i9OFE6Zk842ZMhiAHqCcQw3Hm7kYhnp+N7xQ6W4Dh41pZrWPSW4/UiHGm4799hY8169g
DgaMJX8XqPzw+VibhIa8Pnlhzo59zHN+WfZ3DJzzHClnWsuBXedEwJYo0XQTFBB4ZyezjyRRN59W
Rj6BWHokhY8u8nHSDmJsRDxBEZGIWUeVjIOpfOtiznwWG/mmaaHMQf5ZZ93or+06epICdu5oUS3I
oHPIUpbZBvbCEUAvgHciOmo0s+zVHmNPfhqve67L1t/3YOg3wfinla6AwQgsxXH6hxmjfskMapPO
9rXOWYpG0JRVK0ky5UjeWrcuZWI5q9Fmr92KSLklhhgBJ++2n0WBOXlpT8xVz669g+XQlf1LUXvj
nhIRlA/t1eQiSffv8e0MpIrIAPskrnRqD1I2nPvJFMGpaj7MpAeUHxN5mZY5c9alTN+zHrvYd1jw
e027XJ3qOX52pvQHPcKrIx1JWS5OY2ixVoMDGaZbNi32bh6iP6nl7+eagJag0jc+s97Zpb5X7M12
nVduygVvZJmqHTygfVcMvxeQxSgwmP444fR7ImRnRBTlZLiknIkBFcxS0boKqOUYgRBJ7heHd7Mm
LQEgE4GzSBnCJcSATUyKgjCBgDf+rpbih8NZAtIk2C1Tm9IfJnReznK1O7gr/Ti/MZzbiqg8MJ2P
Ng0/0xJzq28TsWfXZc402KcT5ryOBusn4m8LiWHrC+K+0q2wx6PP2oPlyVb0gmakSD+jeMZdehZ2
uOuCdm8JgvWQQK3hD8Rh96lbBsfIYJbefh8TIhKqq+K2TKaT231opzliuFmC8c6lMkXNtmrlMB6M
8AEmCAIBuq+gcL/nsf2Mavu90eNHVH0FnfjBEkt7AdMU0ebkXkdPg5cz1PHvFoOtyuuraiMsaibQ
H9l7lCE+hgE+unIbudJfVYr2RX16qI3IEMAusSR4Xn2M2WUIfVG1NgYelxpxZHKLqoUxQL/TfQgC
mNM2ti4O/E1nAC7KoGrHAYnsC4oEmRdqG+eUWvV+9pavoHTnjcvLrfwY94T1CzFmg1jUCjcQMXet
UA+4+K9zvb6dMxLOUfM3almMSGu6htuQqif1MBRmtj5wQXfrdKZAT26RmujkJmM9Wm33DQqy2tZd
bxPOkz93bnzy/JMbgYZkegPo8xJDT93ZhuJTCny4fks8IyWnXUp6MHSUKAVLRpo2z4MWLEVif94v
Ab1vlOA1EGfUVruojYH7qSe0z5empHtRWLg3vsZNLL3fPeoZTG3UrN7k7Yci/VOF+R9ntL66lqVQ
SoKkmhFD2BN+qXFafqoSBvrofNk18fJ2uZyQ2QEKRl7nxd5v1PeH2BNfpnZfAo2OzNTnGzEhX/4s
lnlOl7d0lO/anbutLypW5t846Wp86KhBF/OH7oHWy2VBVzj7MOD3VGWifKvd7E9vquqK1UVoaPVt
4NsYj7oXmzUJBODebMLUD9Aw52wfACxFPELOLLZD7sH/YOUwaw/pXhfYa68VD/Qt2O0ggzUFDYw/
Vl+1E6DjdtBP0c3ct25L6SABsmTlaPEiFKeyphWZ3FTvk6ElxTdvHuIKZ1JCBhkPRXLGcytbPkje
Dr9TG+GuwgK7AjL2VKfJRyNxHGkjf0KVjlgqBChbeqgKUC0xIg2/O2W3u3jqP9KJwy8szS8Z64dx
wQgcdH27ccDjdH13SvkteTNXVtLWf24m+g31PUsOoDCkQyX1oz3614Y+GzplvDEoHFd4ST5ca8Sj
wI8PAS/u2zbn7UgxKqNZIrRyfATlDrl3BLCqCe1QKj+EPmsg899EndeSpEa7RZ+ICFxCclvedrV3
N8TYxHtI4OnPouaPo5sKtaSRuruKzM/svXZI3Z/TYeLMmHBUJbdZh7emDPodUXKw26fgo8wr3mC7
gEheeIc0b4COuJJnGxkxyC30CEtEPDcObdCpRg3LWdHrXaTQl9sBASSMXMyb6xGIEFtoiIQXWnsh
iy+nsdfmnB65l4m6NYmZI2HDqnuF+YVPxmhX+TFJ+nSrm0Z9URPgDAIi52HyY1xEEJ2ZwKRb8ii1
y1TYzI/EB61Uk8uL7F+Vxyen7xACgXd9r3GQsTXqfoaq+lPESJVq8dmbmcYDy63Fx/o4F/Ja4NNd
+aY82DxHDcIZ2/KuPaGqTpD9SOoPZwo5No3lMsNOQpAtC2FEKvmwxJAQdoBZE4yUT4lpud9Ynb1d
A1Kjlnm/Ttgww6Fq6KMIwd0qr0TAGZuPhMicmSoO+yKbsxe5KbSwDjKxCJYgKyRgdcnqr96mhnnL
lzRPH3bFFpzeohVV22QgmqEoyWbm+1GZ8cnMo25NZ2Om5PyQS7iFLP6RR/437oQuMNk08y+yt6+3
JSAtyki22FxsqzSafmKh/hWW4XdCeN/Fy5HBxtUMjG0L5J8eJI55ggKzYw053oje/G2nCCtQPjBH
U1gzbWpJJGhkJmP6WU5Hstm+hBX8DEfvMSkPaZ2yPhpdIF+Sp6LS1e9erGl61qQ4D0finj5skON8
/1zz8JlQxT4xle5XqtePQduzsSHHiYeAowjWfy0VP0lHDDM/SbQLffXoIz/r0+mmE0aFHYNewbdc
4Y5bdwBNTTXEG6jpoF119eC15njKUyJY5IKVx4P57GA+Ugx4ubVKi7rI9Vj7CAiTll1y8SqKAio8
cmp+BSo6mqKLAf8Qo2iL31rCwXIVNnuV8V/rQ1LenAV5VlS/wjYwVi1H9Cowgh8E8L0O6CqANhAL
4FJ2wRDztgEIp8Ryjnpuof807BqqUp5Cnf3qRp+JaveJN/DTbsMPRRH9VufBn4wpBGYT/2a1wWdM
YNlazi4z4nTYMdfYTZW8+mEz7ZnjJ2tPV4ekDH+znfgu6uyKGn3DZmFe2agWPIZBZl0VTLQRscbF
Z44RLHadki4m4s9644kW6ynuT+Xo73UlDg0jHZO2bZMuP27uQRh2YxLsUmsPrh3BqjFhK/JfkEyd
wmEht7Mfzs0RfNxJuQ3cTosZfKM4R7IALeUmRaV3iog3twkGdOueZwP1aiGeSQWiRk5ulh9f4A0p
5h7HENzXKu5KagVJZyNFucOUhPiDILcwlr/6gLX40pyxa8oXflHQ/jUWIY8sFpgbvCXqhmony5ox
sUR432PSOJiTidPfVOl+hojp1he2pz8I17oOrvrRchtvmKczrfPqT6cRzXKufQdTsamc4W+9uOQV
yS2cH1X2px+PuUHx0ViYnGyHiU9Cprlr+Tyk3vw0KuCOmijhxul/jLbd3OKqQOCafKcUFJRt5EKH
5iSOKUX1KmRe9kiYC0bfctP1v6mQD0Ha/NCaqzh5jxGyHN0CLZfntgw+FAuHmZyOyKQXS/Mq2vZ1
vM/U9GahMOWK+hwChaGZUf0GwdomXkJRrYR8pS56EV3YHQJBUEcrtpUwwdmE6LYKy9mOYlSrtrOY
27YRxbVxqibrb4yp2bO6Ja/Ze6DmmNeGqy5+zDR4Yubel2WD7c39KmUPVc2wiBGaqZ2E3DVF9GGK
iNHIwFzREEDR8rSCaOBk69nNPnl3yGEMp10MWqA29VuSzF9ZPT9Lrf9a2KZzjUA2wm+1DHpd1BIb
ZWVfrHGh2oRwvWfa041NUJUmcQuJ41tCTkrv1Rx7LvNy9OSC7RBHeMADxA0XsiDug13v2nDubThb
uRzhC9QUqxyVI13XxjTxxY5IWIIizh5ScxYvy1duACaUT+B4agu3eQIL8iLRsg2wgJDvOVlzrdri
RRuh9zuKYNmg3lljotZ7FfTLNpuXyLiUiXZuisFH6ffWqyba59ab3csQi9E6aBW1t7tdS1rAhbIA
N2WAPgLY3Pgl2vS9XzLDY/G7qfH75nykCG0NnwpOWmR00EMMBNhTZwXXxCCtCIQJ8msUamRC/v+L
BwOoSjnK7SB/wD2O9tAV2c+BKM9dRMn5s5UG5d8Nw1XJjBEjf06ixlqLOvkxtITIjdH0gc7harXo
0ry67be+aWIqLCuLZUocv9XBcHMIxjqjQ5E3Bk7jlme53ACi46NJ9vxRdWQbD1lZb6PRYYCcEmZD
+DsCGv3QFZDWV46tnpTpsVheDHTt4qyjAnwcgWcuTpDmpMiJe/LynJXfDM1QFMNPG8xDWwXhW4XV
fcM40cO0TstAYNGcw17Ir1bE/Hj5BmbDs14nrwxxub4lQTB9Vu26ZUjG2TY/xylXsJB6fIwnyzSx
fnlnlWD6izt7Pv7zRQkBW2AOh+JCTUmvbL+14eA/Z7H/J2z8+NB5A9feAJQt6QbzZ+Z54bMRJT3Q
IPy2LhUYBCXeOyPJHoFHkCld+n8m/IyrxM2da5h2gj85EuiSc5ejKw9uIn4t2wLr9JiaOdOe0Xiz
cEXscs+G+ZIzrcnCEA4js3EXUnI1Tu2+CALG2Z1lvM8cUESnNMXFd8qrY8cSrB/yS7OtSZJvCBAy
qkGzYCrtmlO85K0yYGPIBbtaw73iugtfsZWzl5nzVxo+KvomHUlccoN1FBk5ndQrT5R/TfwO6GqG
LDXT+amBuLi5ewvvL765DDEQ/+0sXHIP1HH9euTYvNvooE3icfDUKahi6zU2l/xYXLg7b0p2RSvb
06Td5mI6z3Ym+5cGhGMxmi4gojVolObFCbeaFuH5/kUnw3nDDPo3ARYNznz1nqFbhmf6rjM9fXqA
WslEEGcZDbzFHiz5XcsFf2p9+8/97WG/R/oj8Kf0MCVyGYyV+SWbvgH7gdXvu3eHRM3cjFBJBc7e
6aP6GetsXVNtRgi9ABeE4Ge8AICSss53tGkh+EgJIntbwwR211MgySEcA3yOtE9lIs5Ty6+bqC84
WcnNbnRyo0Xo9v8+c87YlltL5+fcDS7O3EMmdftnLyj/ZhMoaUA4SPVqtPEfeWo+Mt6ZnorYR7do
BPKtKMvVMOLUHD3j4f6uxhaMVirb18Hom0vfk75rzAyp2jrVF+I36hVhUpQeP6qJlMK5Y99KwjoY
gzH4LIOflK/DW1+MZy1QSUbQtdmroSdvQIa5gZm/TqOYN/cPSmRRQk4W65mowHzWYnuqUNw0kb3F
exLsQzrPR/QiJKH7qEOiavjZ6Tr/5UfiQwX2tqnH5KA6l5C6qqW60e1twu21EWPXQlL258NA8BCa
jaTgc6/M5jK62UcwthPwVOABtDLebmDM/JxocmQzovlst3qp7ZnDL5Jwte4IZbNmDIdXRK6sLCD6
cnCsjcO+OO9iAwFW1F0dy7U3vtFnBzsD3+Joxz83ifWjzFz70oz4iZFpAkxoRrWrXeSpIXDi+wt7
wOhAJtiH5dvtWTodY6/lr0J7emhT5OghnGaImaNm5pwFsDIly3xeN2TCmBvdRPUlo3qSHDkHTWzV
YRhyStjJ32SBoBaZxleFxA0OIuCZxDAtmm2OEOWaT0PGXhxK3vX+0gmM1YPDyA0ncHDzWPJfax1s
Z4VMxdFR9cYim4BJp9lDctTYuKzTlMCr8L1ifhnTeD42bEkYWPhYI6IW5YxT/NEQxzgJnxljZWeJ
DXmVOj56O6f5MaXgO/Ilw6iPnAdcIu0lyZrXWhID5nit8ZUFirGXPz4OU/MjmZzmknhduUt8pRBZ
CAZgkZhhSZaET2VRVV5TMM1krvnFwbAHOis/9QE0NgI6q1GTJ4/0om6q5JFb0Hzi+3+3Ce1gWtfH
+4oW+InuYnH8g/GFLAjW1jbgEAp3CUzGBpB1mXiRcQwgMAMF56UDOpIEnaqVtLAZqdoZa9UH2QQ2
wXSs8vo8VBDEzeGKUy08NzUBn77FLkUHHcaFCgWvQRm/GuY6P/fIXc6TOefnlBnjLmw7g8R7hW8r
X5yh95e0x+vn9CzM8iaFs7A8C1llrUdiH3oBc+D+bxluG10JfV3Xdgh820JPYDlG+3x/iWc6Y0jc
PPbIcCPTfkvqZcDKJuaQE4dikGMrGoo35UflMfFAJXlxWp8yk8rNdidz56rewlUObxWjYvA0IUEo
NOlFhjdXsMr55gY4TOQ8ji9JJacLiaQnoqH0U9rgMVqQ02EBcMSKCshMXcB13ofvyBkRC8ctGq04
Ipkzs34iNQJHFL87nn9QIhBbHab9wRuIllVe/1h3snjog+aHtQAlvB5IQRUenXE+TSr+Y0hbHSuz
0idUr+NjFIAxiWd+ztyXn9OAPtICDBAJ99+LHIsnJ+vKW06Gzp6W8Ev7CJw89IZfrQZoYBnTz3ny
mAKhOWz8wflw8pnauKz0JW/AYw/GpTXcy2CCIRXAIR/85UXp/C2KZbRn/xWc/DoITve/MjszOFVW
lR0mEmY71ddnk6nWv5dibIBmpVn0l6DQ+UEy9tT+gdSqb2fsZ4IaoZ9nCP/PNv0yfGnvcn9pyKG6
MLm6/bMZ59k8H/47VCiB/Y2XYWpjRjWQMGPoBx8W1enfZQIgNUflfMjJQqVlCpvk7Ks0ou+djOSE
rsfe4sFwAO25zpkVpnO+f6myJN6z0mM2UlQXsbxgpCUynQDH8hLlMBfZfFxBnrE3Xho+BFHyYqdM
aQQk20uCEwzdpQkX2Btlu4sKY9xrt96YvU9I6DxyylSENvlyvBRTkPUrH8x0jWAQk4s9bQeO660x
ofn1RPtMLeujrNzev2C+0z1Hw9AeakXIQ+WOxyrwO8DpFJ+1OWPcddhe8Di3PNl5sb2XwuXAL7fq
nmMsgy8B4yc/bJMPROEZALt8oKXxko9SkmJfUyfvrYwVkdM+MKrvHirVdg/3L4mchCjc5req45tM
HdYi93eNnrK8/vfy7+8VqPCx37INM/f1EiHVg0Q4zHN8y1zdsUZfyqaZ/uDK4Ub1Wm/dfnBZTbjC
WecOknxzqTxQwqFWyBPW2YQqCK7lN2JKf99BEaXRPwIVrvddXnnvfg6LOVuwBMr3WCkQ2GJmAT8y
quw5T5sdY9P4JHtSb7alZs6axMVOtmH8mz8OWlWyvFtE0ZtsiZbIF8dR2lIXGlnNRtAB0lQ37S2V
EzeTGz0kIOpAhyjzVCIBYjH4XM9oxIzQbh5Lucgo68y9We7u/kXISUBRZHzXRckSwuz5DLKz+ir9
9DLX1S7pwvzBWgInsFhw5tjyiW1ifkoiGOGDsODRdDKn1/dHHLtzcKgMqXetXZAT52Tji+mxN/a9
JDpGCu2DSKDNaYBMvupuYNi4w2SGpcNJWMKkXv8ae/3eKKSNnJuljjU0RKreTx5r4FM3bmQXRddU
mQjq6y4+4Ah3N/gVip2oG/IHtGWQ0KthLGfNr66lSwmoI177qQ62riWziy1YgRSx4BwyqTfSSJ3c
WP8qw5OfTsnTveIkADvbM9mB+05wcDTyzt1vbN9xYIENS/o4e0qQ1vxIC8TmmUnQVta4j5kK6HUu
wKxvbOaAWxJbg+xotkodLCHOMQpvNh5ZeRiBfieZb12KxbieZK7aFRqnTrV8yb2HYm123sKmOeu+
Dw4B4XmAXEnkWCEUCzYRiL0zzmpRonywF7Zwnm/tYYQjn4QewpIZDh0b445VQ4AcXznjT69dlOXT
gCZ2qfidbjaPoZv9tgtH3VDfc7sub3xidr8KU9xstzXOZhxRY3sbHzU/g/KIRUoHkjxFPOqSaz6g
CJAwSO8/sOgQAdyPVkz1/zta7dD5HMzQBQ9Oic/mQZxn1ZI0ISUMa9LWYks9EEszX+71gI8lBH0d
DcOdpyJxnWwJ1glWHpbNJZi20Tsjjh/Nqj9Yjgfus11o8PQiiKT+sgBUB2TrmNus1N0rlZOrGEVW
eSnacTuVvbcnHuXvf7UgmjHj2nX9e0IYBBmksXcJAQz1mV1jVuvsflcicFs1C3YjnN3wbAOu3gbA
a4EPDcjzoyrlm1K01HRY+5aP82l0pdwIt9j4KYyPFUBwKToW3yROs8QaWFjqNlwN2Kz2RObe6DF7
ArorODmkEbO2idTVxzwnYhil0RR960azM85jWDV4iIKx7K8xF/CmH+Wnn/swztrxwbV4+MYi674d
o94MMjtRY1uvAxPNp6Tqt4yCuzBonlisYWFTzXxM5mlLcIv3ZUwW4egdkfIoIY49M5cntIxgzkmn
CusGX04HCjbDry9T9mRWoBzwLw0qtyAO9uXCexWMY1dIEn+1zMZEjLRlVaJggTRp80TcqR8GBXeS
Cx70mIpk5ViYgRl5ekd2gWd5H1uwSWVSbV1z7CQ+3JDu6Erdo4SP7LObYiXsOxxheVXjtGbUs9z+
9AxR9zbDHxR4Hf/3p5hKfI5pQeRuzT/D84vImHxsrzjUUUm44PJtW5K1uuqFi80c1gRBO1fN6HL9
r72D2xAf7g/87IxqEdgf45YTVLixt/n3scetvXGmQZxSN1A0FhB70qyl+Uzy4/1O6fjFbEsiCZSL
xg4nXYXJ5LGJkXgR3fqZ5K3gwgqDEwlI89NgP7WZRO/KZJBWfERQsAQi4Uca1t7S+AMHEZuOTRKN
VxJuFVCpI5ROIBwuepmojR59R8JlC7MHNDrlg4UH3T24bVCdpiIarx6OTOCNS4nbzOlHrJq3f4+z
0rE+EjWCYK9yD2Fo+29DBZUGK9e/O763SrEeE3PYG7YhtgXElO0Q+u7OYmZGLkbTnhibXDwhy0Pb
U+je23KsD3Om4SoOT9xozVNMN4Kxg5VsW7VPU+5+GUkQXQpX84w0rbhmGKGA/PSMbF2ecRU3R1/P
7GUsPHyKeJF75pG0hxegT6wJBj5KskxPmudtnfqh80BLiHQ3au2Timf3QxQMjYPpWBVZfrVLXJtW
DxsA3eFZcI8SqMRwa+r4w8wUGDozRhmIsTnfmwsjDy//7iUvpKQn7GY71kP/PFVmu+zYs/fWHT+m
IWFg4Wn5pIMMCQz38v0lGDwMUBMJEkHmv/9XftiTy/6HoL51C2H4okJOjxDV4Pbf6T5jSdsMBclt
kc9JFHnWZxT1w4uXpY//3jpb49eiav2vfp1d7JpIosvmIirGpm5PyOPyH7+/NASTkFJaJFsPjsyl
6XuqOnARLOkqPFjL3wvd1jlEcfaYci7fmHyAUu2aan0fRTi9JLmFoQM3eMg3F5j4N11EObh5yZXK
feoPo/LNvRvHegei5tYUOPjsUqXPCmFsS68ss6F4Nz3KyyjvOlxRA8W01/pHBkRnqN4fBZC+kw/W
SpL3KLujP7GwAV4Lqqq45BNoCXdU6vyvyE6QrqmJj2wjjFcDeOXJLOvsnUMfMtniOzdqm11JAxcl
VOxYiQ79CgezINIY9Xuz1nl69IgKBjbaXZOaBUM2Nc4lr3xrG7A6WkBoz8j7f5Jj0920bZFRy2r9
uwW4BjCs5V1O59eSIKVEBMa1dYPvYuGbyZ5e6D5gpEgkrSmsrTPA2cu9s+8NsIZLkcNWRW9j11N7
CwXQYWa2s+ZjynmZpwYDG0Xl7YnhgQSpYi9Ko8F/y5fmEhIwJNODEv2AMIWEjSZunYfREyRyFW2w
H8uSzZrjiHNnJDeDaMNVrQhULKRlP3tm/VLZeJwaQfHO+AfxqTD1QztYv6BDTBeli+c4NpPnyCCD
cQZtW5oDUJiwxaO+bAra2oavjtEigrblr2Iyjla9Q5HfzB0ToE1Za0grIEaoDJL2FFUkyi0fQipX
8gU0EZSgGpuFWMxOgwcnGv6oynDxiynN/jIm59EPlpxzVoCEPnGdz14PCC1ZkHALai6mqsazHXrb
++fSFgH2GC89obALDw0ssHWZj5QsoXf2oITsyfNFpCMhivsudG2bBvhiTLncuHXA1s8lsK10KYsK
MStiGnme3akpwemFlFZZlh1F0uxn4ASnRGvzgom7gbpDHVSKJj32PTYft4pwAC9TactHdFdaLUyD
bGQV70bfSeVk77YCY41T0GYxD7fsfkmEkkCSSQ2ITqR5CaIEUVhCsjbLinnXO+zXKfk84jfsfs0M
evwU1I/rwva3GkzB1pl698FQ5S+7nmquAn41ForFuRD1HtVNs7fox88PqYtbk2EM55F6dEwxPbsi
YoveQKAalvBrOCmUvfdDtNBzujU0XH9G1OOjaH9FhlMcusnqsUZgSW0GQ5xKoAvkfk83YjnwN9wz
Ai2TAC8ERek1GfJvmvn8WRrmV5qOxk7kfnOaG9oHPwqvXieOiE7zVxDVOKP7F7aqz2TE12ue1GDj
aNk+k14ARSQyhmvUDPqBbfDzABFo393/X3loknwLHG4P48DBQD2OB50BgMp1SGE4J+RTj4uaaF4G
Ov0y37n/lbQTShPbe1RjiuEui2sM9dBxEHzYEJJHnDSzJMaBNpylA/Np7l2OON/JD3D7gw3RBsOm
XdqrLhl/3Mck9oSMk4LQWArCueNHyuzLqG28p8tcilmFXt3/RZH52WNG8MhUGN/+0PDMaEZDKkGA
+u8CayoeCF0z5XDLaIkj8kqTkT8h63Ffv3WOYGbpYvMvK5sYmDq6MUQlpSaPp0e8Yw5WVkLSfObM
m8oFIG9IdxMu4MQkss3t4NQC/RZdh10S2wA/yUU8UZQQFSZEPZEZ2Jd4wt7bWK/ukpMmhBPubZUN
m9q4RpQyfzNZ/gw7CgsKTrkfyTEqHCzNHeSLQ4h95RiYXroSfHv49sl0lQxHt9oNmj3eRw5qU50s
M6rPFcyDY+DAMNHE7MYJR8+S7pv54G8Nh2YbXxEO8yAFM+SIl9CGT4yMa5L+b4kYkPoKa3DBQ7w3
/ag7sRFDtK1q4HqBzwJvKTCScMoJO/7fL9bsQvMPaD6sbIV1HjhX6GQcxFpAB47G0L4bOp9/Gkne
PNelg9piaYiQapmnNtiVg1jWyCJ5chbZiOEWwXoiiGtPyfKjnjQgino8DowPdvmIuFwyntlQiZfE
1/XiPUsp5puAPtB3K1AhTPG3Xoj4jw3LsJcVAwe/CRf0QVI/T3H4Mow5vcDIvkKGiOSyAVZKhNsq
qPMDwWLjYxZ41UMfFsOLFs7ewyN7sJZbD/11f2x9cUoIAb0wQHMeK92zCLKp+rFdbURMlowVvw1N
TdCz9ldl4y4k9mxa5eBDjg63HetZ++JKu1yXRRzffANmcUm0nFgGPI2Pp4MLMjxK9YOjF8DU8p9q
kTud/BhnN6LuZImCAgVYftsz6DIz5X9ccGOfYtuRj21cDeCK/E8mvdlbw2bFEAl6qUjTLRDUQ+k6
A17Gxn1fhYw+SpaojPqDgTfUMBtwg8uSF9fx1lAGcd+ZXT5MXv7bKrzp4Aw5nvnlV4p/v2Yj7v3F
YYtHiEOItwS4etz05i4SRXsNOhwHbIcGTBtJdQ7K9ssymHzL2hxJMyVst3Tojas5PhaVx7xM2Md7
enYFWAllqHO0CrS82Nrmt35C0A83/xwK17tZXgDSE7A0+dSAmb0aRO7yPZVF56GZoAOg83CuPg7o
zbzcbk7D9mUsfWeDYBnkal6cMZHMZxmoakvQwqVGl42pC8Mv1e5HV7a/tNLilDnETxigLQGlNON1
wgy7sA1Jbe1z+Jyw0zpsLTbM4zRXh8RFWhVpfEn3nanqnHTfKRpFu12E78S4LdOx+0zMD4U+mPol
9YbnqY/A+Q+MTs/Ll1b7nMylg953HFFr9T3S8KYCljO02dGruFaE7t9rxtmLgCRAGptxL1sWKO1c
IAznM32q2zKAnG+Gx9pgzrK0NhpE73WYCU01aiIfeKRt/NodO/8BCKsgT0ultnF07QgGn80aD7gA
/yBTHCY87o5jPlRG3KzvW4qKYh+2QtmeQKw/UY/la1QI4ZUUW4k7WLjXcgY7jb/w4pWOi5uKm24s
mVGwWToPjrLPAiTaVlV5dkg7sg3Lfob0psr+1lJdvNs+B1sn0nbt9RGhJkh9CT8E0GrK6AVWOOfM
DpJP8ruqsVGXYkz21D7Yh2Sb7bHacne1sljNDseo1cwMCKKxX5ObmhM/YJyGROaPwyJTKQz3F0gv
Wkpz/pC2kQF0CaElZiHECjmmh1Gmz0j+kR+S2l1Zi1Ey6fJH0m8POq2yz7oXe/ScisAq4w3l99qQ
0j9HyPgvnBtM0qOfLS0vhKzxQvmAnC/sT3NSItkGqZQosztPRqQ3ym3c1dQ5z34Zyn2Rz3tEmNkV
vhgJZsYtZELGwCx5KSwZ/fTlunBNsATpbFxtliRIyn8v8pQ9oPr0giHzBaq/eQJg+BzkuGPM8g2M
QPlI8GZ78O0h3YzF4vlS0BjBva7wMY4MUG2ArugxAECHNXMwamIDtlMaISdNqpKV8fKU1eUYHbxl
ldHl46nIA5Myw5y2US3oUwQWvyAqDZzuB2twhnPh0nN3TOCakecnfG6XnQ753Nyhpn0BCiY30/I2
JYn59z+uam13B3dAx5A29ReOQSzR2rfWs+Uyy7JHl3ffdvZ10dOvU6JJDKrHsWfBPI3WdyZRgzMu
nj7FFPXbTvowyJaPVVUV5gNqCaah/KhT7b/ekcZIrU6zQBIk8zpkL5RXZ2dZjgo/0SeKYtZ2/sMA
U4FwZ80cbjgNg4wu5lB9eXOUn1Cf+cA9GIx2Xe1tk75qr/fibsjs7rEHxOdKFb6UKdmmI5XHLp5q
F885V4qbwh9RfohuorJ/8Cva1sgE+nq0Xiys/UdND4uNwQjWgCLqbTtDpIDFlVwabwSfHaYzk1JU
59JELk5Dkq2bbJhI1e0SxKN0H63hH/oSoGVneo8ps4mro5GX3X8B2PP8FxA4/VqqcRcyf/uEK7Gk
Dft+aR3unZ6LxOgSZE3H5pT6xtbvbgj9z8tjONejZOxLXW2Yk9zkyAbWndG1p7BtPxJBTKcdtN9K
sMvkkCFSKXPkVeW63wtM4MKAr9bcK70pwinLGApDNJNf5uLev+15FjfZiVtwKbr/aL6xhica3939
l6K15mhtykmfejt6Mudor03bfJj9cLgmcXn+N6SYkw2GG2NfLSxc2NXtlw7Uuzn9aprkyxrhWdx7
B47y8JRn/XxgOIVcZJ7E3jF+a3CUD2OyMWdJ8VMw+6c5xm/gdAkbl6x60hncN4nggO0K/sluURAk
46zO0TwywV2EgUbcpq9uMX9EBsnU6Ccagiw0bb+26W/uh2tPutyMJFiQNhrWzkcAbGT5hJoNXSPr
3jO+fhPt58HIwvwHIj5EoQPDdK/8AcJny2TWXwV1fWuWeOhFHWL5pE7e378Gg7/v2GROE5a9d+dn
OD6cjlzQtIccIT3ZNxIg1GOLCeyZCSD/WUxw+1LgNUEVNp8109J9OmtAuQRfbfGaiVWbxfDMZ8Sz
0KAp+Jf2y7So3xk9M9TMwppZ6PiiOhgTwXJoGG4akASCmsDxATdhlHOYBMzO4jgNHn2VsxoqDWc1
dPaJZVi5nfywOmZgftAENqzglro6ldD9k4nEA8MJi5M3/1KGg4f/Pg2s6w32X+M1gg24tgf867U/
POdADm5R7J1KYnjSVfKzKaS+YgeLV3ODZoyBD1Uauui1qqZ8BycUO0wvYZVV1GTYGsfHGinZYFrR
q21T0SEaukYCSBcCLoD0mRms6przRbo5gE1Um8D9gvHSquFn1aLAcNngn5MhMc6OeewJ3duxzDK3
95N0mQIaY5c9RsSVqBiYittv4kUGMPS042Wks328aD40WSdzn4w/pYetcJKvEzBH5O3iFofsnkzT
aA6VHnhfmSNshrGIdpjt8CsvzzvijAPixoyQ1nShAqE7EL3cezMMwV6b0y6UuYUa9NXuM8bHqQ3M
CmthzBBAejCnabpXdzw84x+8WPcmVkly2TyrDG6Fj/1cO8ytFJ9ulQesLBbleoTz8qwbRmFMbZmC
WsofdkI178Q+zAdDD4D22ecDAA7PcdTvE7c8DUiH3MMiYWxtPuPDPAc3cwTt06eEAcUA34UC7aMs
FPEBFptDaaRL7DC4heVpcavhUVt6PMOIHXYmHsdVQ66gFyXjrmUUna8/VI4ZRHTZ+KS8rEMqBzg+
q80TbNOfllbZLRa8ZQarouUT3ddlTB4VO96mKj5LVBwHv1x+a60OlsYVgcxIeDgwjCMgNv2KyUNt
mnb49jkBNkU6vhfxbOwnG8du1sHqNAoPdOnyUb5fZAqu6m6gg7hfFilTQCy3DKe6ugcDLL/mWfOG
OKjE3jNWwUvRYg6obdknOP80LKVM5otjT2ermoP3KvzwkY7tmsnsN8sm8z4gY7r4cR82zgE5ijkp
DcSkEurFNqjaMhDixB2IvcW+axKVDi81TUH4VhEH7X0pVKSIm+RIauWYBAlZFvjLk4iRNY79cufd
7XPge81VjpdHldN3sDD4gmZ3b12MaclTqKk772MfOhb/5vr+c+dD2oB+vE7M5sFH/3LEN9lc8Itt
xmVjUGugrIXpvNEvIuS7d0EdH8pA9+P5/na3jp1taj7dL8bvJBNIdouEobTHrMGNo51vtuHB9gyc
kYksPyh96c+CNjl2Ngl4WRyIvS86UvUMgAdj5m1Cuw/OpvPtgLdm4g6wCOxfcQpA+oSuPVF3t4DK
7oh5f1IpkrFlHmESVhIkKOMnYiQZwNX7OvPDXZ3HILXYUhhBQHPtx8FVOYSjTAwCWWkMxZk0hmbV
g6AspiL416YK6duPjDMwJSqK73EEnMUVbSBIPLD4Na5NgGSZ+fFoNnsU5eljFTewWeDAH3kuJ5LN
1AvXX70UEfG5E/P/MXYeS44rWbb9lWt3jmpo8ayrzDqodQQZgpkTWIpISIdwKAe+/i0wb3dX1agn
tFDJpIK7n3P2XvvbYJXxbQJH+TIqWIEWaUG7322PopMusOihJgClLNYkNFXv1hwrjkXpiZlvcrRx
Rv8e0GQ2WRxaMfBm+QqwOFyBavLpGjtWDXCvrm+NNOYRa4Vei3rVgAdxQUIES4cMwGMfjr/KoehW
4CTqK6TmN0dM+sdEKnrWI0YHdc36m4ffHA52vXL7UwUy95RkFmgXAwWM5hjnnBzdoX/tUHfepx6C
oUKs9fQQv/BOvAYKmc4gHfpIyuLkYRhvfkfLgZEbhq8AdV+aOMD55qkcHYgzlmDEhzqdtnkHZsK3
CfJ0uAwNtq5mVOErzQMU7APGdKoN8ej8OUa0H5Iu+H2YYK4YnCAKIii6DVwPyyKs7r8zAh6HDc+c
j8KWbK+wr59I8AwWKRntT12jOUfDDNJlMlnOoqfbvs5s4Hr56LX7ssolaV9smSgMQZoDFNhJXYcD
VtKu2LsysT6opDo2i2zHk0bCkETVtB1aVZ0dP3hPtOGOkHmFKiB/gRLqH8LHX9VlbbPJccCZsvoW
+8NbFEnipLiUYV/ki3yubFWXu0AMGrVTuNetvmdezgEEcQmnJ4Uqbls0BvqnzsEJgT8/IdhyV06E
wdPL0Xc+1vMFIb4bVNzZpWrS+JQTWAMyaCWVGq+jUR8hkUYHp0O9VbUDybfzKbjAFFchDV1zV8N+
Kr+RjEKKChF5eiLAxXV+v+cMk1PA7jQ00+P8qW5BL/X2mqDH9tqk5pksXXdX23S+XCzQDHrY1drc
BTETnRNGtBfaTwim551CRjFzlsFazRONS4E3b4kcGWOb9it3DQ1G2NRceq7UunXDfZ+j17F0+3tZ
OwSFtSimrVSP7pXoaFGQt6A5wXttx9M+BC5D3AJop4dw0uOMuaSo/Jn7CD4busGvhaX9GhjyQi9w
fwbescxfGnMqP8qOtPe4ad5kAF86m0zro6t8dPuqxalHlA2Bv+xIj2PDY33UAgbKUxmLlRP72nvW
WHTyzZhMi7mnaZX15gGhxlMCTzucuevzZKe2OPwFEfZ89tts69tI/B6lTmNUmLOEbyCn5/nlZijB
ZOLSSrCbkSO1KjovW46hzoo/l36GKb5JnsOuQCFUcHkaWTYuySOpvwToZZ9ONGzKK6JyRElOOax+
HxvKXAsYGAwQcox2JyXpmdHQA04Og/Xkw0IpOJmtHx82Kb2XIOrRiQH0fh2MWjxha760AKwR1bAP
mbhk19M8HS8T9+fj1XEl7eUcyczVHsAjtg6HwIc+ltYOVLi5E+TOcDZkj97ysV43aW1S1c2N2jJI
GFw4rfWGih0QOQGFtFyMcxNp3g45Xk+DEd8Unry5ZkFlR55BmdCD8odgrROX+OSaOcE7qiCnoYmL
C3LgcaUjvTxk1bPUYueaxUzRvdY/G2YLk9D7Ief0Qzgx8UJI7LuDSxJVEsxxJDhhTdG+JIwdto9J
LIK1naxfAk09N3OFJ5P63VDFkRNX9cWsSD/ENIJsuxZUagB3pZOFb3gOGe+rcE//ECfW4HX7ZoSZ
k4wl7H6cO1t4JiQMOeIe4hnTSRZqA1Q4de9hk8BLifu4Gr96FklgCKiJ8FRPKf7AzTD1YJ5S2pfl
TO5xQL5boc/Us4/Xk4i0RWdI+3mQPX69qmYUxSkqeqleAzMEnSKhJvUuFJ2+nh0x1c2CqfXDmuPy
ELbQDBoEpzBPpPvHR2HqkurgWozmjUnlF0W74EmVybFuGvuvz/swxdqejiTUnxBAsEux/9dWjdJT
LCbe1hrsDoa+x9GB/Vsgh7HQAFWMlKEaclXYHpOHYKQ7PqRqr0cdsuqkAu7pgJB6fERoPpa7GBx1
G/cVnHD37k55dq0CJ712gXqZe+jETpTHXNbhrvVjXofCuPW61X9E+lM7ivg5TF+0SCSXbsLRl2eT
d0zsdjtVlQX4EDkNVOr+hkOkYQCFQy0HovD0+JT/Xt4YAKNgRjLDJvI6kRxM/rjaDZmdknMpV5Yx
xJfHTYKisvWgl0PRs0FDq3jdosddq6kl78uryt1AOOkywH2EaHI8PuqMsg63RanVJ6Zl1Fw6/DlH
RPbOlswN+6aP3wygTkSp8CBI/Xic2BxTCyCYtXQuxqJcJnaYb/A7WqZs72lNkFc82ggIeq3f9Bra
cyKqYdF5EF2LYTaeiDgTH3FRPgddnH34RbNODFTzVZJab1mVgZ0gTXzRGOiLsKp+4CIQy9pmgiMC
/yUJGPA8Okp2EDCzjVAcocyiMIA+bUWhvhvZmblHQquLHssnh0Twq9gsS2D5BbG2tjc12yJBErNA
TCrGN9lHJtw75xlPiP6Q7iNCOmsh2Gqjsa4KycWW0Wu6nQ3vhMgYZNvr04oioIXvr/nXKG9PLbh5
JF6YKmH7gSoYbTo4nRWTCi/c4L1xo1U3uvq28ao3N/CNk1Na1oxf8bz9kKkXo8uTs+zk91Yju9Hx
4/KqTNp8QQCIXDJNpkPzfUwUFhpvuj5WNpxRMWHbZIePdgtkf6BTFCcB6PnEqk5/lW2eZ+7Hxn8P
giH6IA9PYY/32VYb+KXjHIhltA2lJo6qnWDxppxAQCwDxm/AadN62yD2OhiZcSotaOk12dhR2Pdb
eAW/aMHphwQ3wkri3FnKeYqQUk1lHl4ux/RpeE6RRWO/f2XF1GbUqtMf9aCSC2Q0dNiDMQHeq3Zc
dJwsVZx3S1uY4/H3tfeQEW3bnIlA0FUxbDkEmQX14IL2/HTMoGjQhtD1q0rDeF90xQdpDvEurNPv
PJv4hpSofepTwzzUrle9e/SbV0pT6Np7zgJ61+Yr3UzJo/ZH5+Y2z/l84qtU0O01P147g0yuvphg
jrg/nV4n8KJsmhcvFnKlieSnj2P1ys7PdNDS8w1kEvbVoiQyM4FQUOgDcxpnBIHRC/LyxsZbpk09
HZAXwtqYYuAwk/hhB+X3KCHyDLAnSu5R79WTaoQ8dHVmH9NWPxgDybKY+uR3n1GviPNfVlZ7H6CH
qZVS99Mb9fd54rBWHuBAkVQvhAuBojshROqpq3ihCpTmS0OyE+C0BpABfmNhzDNBrDXZCf4xsgkQ
QzRlW5Spem4Fr2EtzC1sdg9tWOYeEG7Bz5C5/wFODMGyHcVf9U4T+8CADtR3hlhlfTfrlWzQM2VS
nuijp0uhM8DnOkivKpCv/gxW6aUwVrYy+6PEJLJ27fDqSVfQP4Rq0QktOg75p94nlMTxQJvh94fY
96DfohHBGxT1bxbT84NV4YOY4gIPcFufkj7sL3mTQCQrtOmvo4fUkIg+Rnb4nuiSdnGxwc8KuZRO
0y7nYW47Ez1op5vJ3Rx8WlG5yE6EMk8f8Apoc3Jypjxf9rP7Y4i6o9tWDmNzrCFZxrQM0c5N97CH
lAhJX/1AL6CY0u9q+8hGwFJ65yLCkTJ/1wtRHIsMNwKlqfNeoiJdujZTRnBQydab0ASBnf5u+x4R
RY9+ixvbx0eun5kg5gStqucZBUuR3PSk8292hNE1piYqZHbXnEyd4hnub+LpsGImzZFFn9/qunIr
Yn9aySLUgMxwQTzKp7QpIkwwJXEwgiRlpZvq1DP5AoQkUIY8mhBh/i17yAlbB6bGEOQHuxPWtkxl
d7D8jT52xDzM3UfWZ4tZMYim+WBPfOkgK6AojeJ423fbxOr0i2MH7xMjVBhQZCkZeA/wMIOt0Lru
NUNtRCJ9PX1EWQCCgb8Ff0PtqCINxWeD+CaICiSbjbVmmm98yRLasZ3Qj2PUfplmHeJgwSeLHM3a
K6/pX3GwfGuRZ66ABmPGdzrtXQ3ePmLgfu27aoHMHnuVbM0XdnoY2mXOdF00CaCufh/iwuJz3pE8
IEtzFXKnvdspVDtilz2O2kaQeMtSltnV9IL0EgiJ5yXN781P+m3qlCPI+N2HgQiKrUWUzonmAFTG
ttR2BgO5JZREYi/RG6+D2f0Xe04JD6RnR8qkuYriKLqyMXznOIaRvyG9mSiJbZ7lp45e5sGZu3Cp
mf2C72qz8gzGUuXj9TGonNokOOd5+YXRy3DUBo9h+bSCfTDtOEPasMB7d0eOudrhQ1dPxbSlScBQ
omJ6LnvRbx4tZEj8q77TmQTmAFfbVvUbL/fUoiyzeJGoovwxJBU6mli8h11zrxjYPjm9mT2nvpac
ML+5i5mFZX+PiBQp2N5KZo3EltRWDcgrb95T2TzHeoMud/4u1yH4Wirf26NZr1gUczZpAhu1Ur+F
qjTekAMRnsE8D66dWDNX93bSiKMFjcvizcv3WU50PUnJ6OOslznNAG0lM8hIfoMKeBk1HBndpPMy
YWep0KXwHDA8Bo5TIpCifyBpZKUG1KuuzqGG9M7Vpnezojkyg29hMMxJt63w2w1WOPDM6OPTGHVM
+OJoQ75kvCZxaHREl8jSPU/C7EnP7W4GaTtYPyDjatL7qAMoALIgxmiiiMavy17lgW/0IbYAFMgO
iWqXh0fi3H/8UP8v+iyffyf0Nf/4T77/UVajTKK4/bdv/7H5LM/fxGfzn/O/+p+/+td/84/l7b9e
//hVyj9Ot/Xrv//lv/xD7v6v/375rf32L9+sCpJHxpfuU47Xz6bL28d/wgOd//L/+ss/Ph/38jpW
n3//80fZFe18b1FSFn/+9avdz7//ST7if/zzvf/1q/mJ/v3P/5LRZ558+7e//0QRRzqk8bfAC1hD
kO8EdEd87mn4nH+j+X9zkfDi4PZd1w0C0wj+/KNgGYj//qfl/U33HRoFOpQVx/EdftWU0Fa4Q/9v
gavrJjem7rDeG3/+9wP7l/fnf9+vP4pOPJe4VAmrdB1zztr856jF+WE5Pv+VHTDbBDDC7/8p2JDq
qaqnKt5bUfTTcqYtJ5urmJEwmuhQmM05F8QOPdVmp44MYEYuMNkSqw5Tv3NHWo++S/0zpuNyGqHo
2nlIB+bmzt4tTgoYuCprjU0sPzQMgXAl5bPrGz2zytGg4PE7ax4J2GgUENFiXTv7DTlZzLAZic1F
mqpXbGHpgdfvZzzW7sZH8XfSw0huY1l+ZRSK7FNuJ5MjsuC4gNBKz6l/0U1rxB09eURNbx5RHJMA
44AfP2x1saYhPRywvK+h51TnaLR2eQTelyNoduqCjzyVey8k+yN1xmmdNST1jmgYSFFKtLUxa53i
TkRnfXCRIwMDNtGxWW1FCJHgTFJWrgcXAkFH3b3NMpldr4yz2drAUnuoFmJ2XzO/Oz9uyJVUZ5cz
5pNr+cY6NM0ThAGUEnXZmcuOoSTMPpNpmtv/iiNg4P38sgoYoefHV5FZN1zjIBTQ/AB4m3iR0taE
9Pl4KTAJuvwaERzOOsYmVamRN06OifTeQpAuJwtu3fnx0rO4MtCtmTOhp4YIiapl4bS9i9k6/+vm
8S0BsjjlEyLHROYdrfhN4Bs71abtk7xnjOmyYplFrcMPs/nGnr0mNdOVtpwEcvaRcZ+gYc8J1973
RrZLPAxa1nxIfHz1OC5WUbdUqpxWAe7XJxmPGjFcPi3q+avHjR4WQISYj9hVQwXtjQ7+paoKT0GX
/0w1EAewiuUO+I8RkSTEZ8vLeOX50CWLHCb4CfNleHp8hQJvk+GaYabL453mD85Uo64JcebpOP2i
ehG7WbP6/X3E89tKjdxjKy++dTLI7xp+qkWfKPUyahxNEf+UizG0yAKRIaNxAOWIkaz2AlvRAQsW
G7QyiSwnW9Wg+d4m39iiLr2gY4CocxlYxMHSTogPKJf1lZ4a8V538WT0QxvcOoAUK6UP4uQmCFoT
v4JgFvcoCUL7rUY2txTUqB9tZn26ldt/anDHIqehP+Nlm4IZAfkqxfdYzQPXEP0ypONwAw+LkBCY
XlddhZTsBQKCwkUWLPKQ3q2dDjuq1x4Ia+6tbDeIbsx4ioUJ/vtLkVxxLp1jw64JgUckk8/Pgzyu
51QE2VfS52brCGhRkpQ9qI9ZQHq9AcAvzeI9Mk2ittgy7b4bCZ2h8wyUon4ZNPMUuQK/cReUPwKs
EYG6dVQhNLhD7IWFlr7WXrO37YnwuTr0LlDM7Q3Zzk+o1cMtVAr3JAfhMhTQk10TONpcsEfEwtfl
90CvVqxvxa+2LJ4BrX/EjgpfTBdnifJ0hhkhDc7GJmt5mH/mG41/ZPIF6EnLflUWpSFpHt4xnIzu
SceguR1FVa7NqrhFYEVuCBQnmqxffafwfxXReFNmFr4GTbJRsNUWzMu1Z93XFw1tvTmciSQ2m1wJ
qxl+JGY40lTw4nPFIrbKyrJ4s7TZHNFCbWwcylAEyUjDXPmLqLnXvp7qe5QQB4Tb7XuOqn6HphMo
+AgZ0bkXrqE2nUBqlrjQIkQwkjqW/KLJNMO3C+hN7Y9EVGo/B85ImkO7IpbxVivCQ6eNM1SNs3vl
e+6x2I1ZgYui6/VlNxLrMirw8mmLzSJtXhm4zAuYcl+MoC3hkMTPKUd+FBeFevOgThdpGCHhiVri
tfsbcyLxTLrThXmVs82debkxKArjIUbPWb22EwTugtI0jNvnvkvjF9/pTyN8Ok/ow5epfuGcB2A5
BgJdqdy5p+nb5H1PNN0BF1I7gPzXekcuFzFg411PdbUMpudi7OXOp29P64MFkSTnyLqXCbb+diy/
lgohfc5F04rqNkG9nZo+BwhUpYeC4I13HdZlhQIN1qKX7FjXgVhNabySedTdh5SFIlCDizG6kG/G
4PBuIqirUfou9aRsdjmNYx4wDwdON6m7OsO6EcGK6rEP+Cj8ly04XC8PwNDn9rQoTQ69Y8qU1U6Z
GSGlMlZxrPt3eKg/xUB2CnS/em0GsE6o926PJ4N/EBkJBv0iC0mQ9Vp1t7Px3RqC8iXRUn/L9Ji9
TCvJQ6mMu+5VznrgbLhhNG7cgdFdKfqeB4dY5VJI7eJGhJxkiMsQKFrVkRPhid1PLAeKFCC4Em9k
E2ofLp1EMDMU28TT4YVo+mPqMxrvTD968x1nbWRtBxlLBofJ9cYPPTiXfl9u8EUY+M4IPae7AIuh
IUE1wlOxoRiCNx9Ty0yma17od191yXrpYnPws1qyHQdql8U8Ok35n05VocWKxg4crpZtbExMBKRq
5WurQbDIYvcufUg4jkUqpjSmVY697A52CNwzHulzoXv9ZsDJskzMcVMHugaPc0JPojNZcPu3+vGu
lcMPvzYqfPOQ2oncGXbMyU9lEvUvTWq9urIzNz1frczm++xMvVed+ETG2h36URHbhkQ+wYaJF1i7
mx7gZ0svXpUVamtrfvjKEm/FKPsXrpht3En0pUXyxsiuu1tDU2zmMcc61BkvDDkA9y5xvoXNNMxq
mupqhONzHWS/xoS1iAjOr4GMfupJ2q7iCpi5bnafo+gG3LDMDoBXegTRYP8iiRckFC2q/sB4bvF4
1KGCXSMjbx34CH+jJDfvMoy/0cO28K/168yn5gsS+ew2kbxP2hBuDIBnT+2EjmUITO/Dz9HdVLWM
TnUu7qXynUtY/iQ7c3jmmPcV1ie4V4dkpihoFmGArcpign5vkZavSkRcoBuoveerJyYUbVmV/ikT
uvekFzw5bwRPVA/te+kiAQ/qDzIC5Py61yg4RLn1nKiDbTODxGAtcs5kPxVVlu+gyuPuiO+TGRfH
SWB2oSmT3Gut1pZqFO8KHSOOw9JHvcznJG2CN3yqGV020AQYVdyRrJaiMG+2GLxF0WX23iIylysH
g/fjnuM+xEcapz9jw6DiDyvtzeRDG8KguOd6Fuzow+xgPCC4c2v7QwycgaxEHVr48PsC4Ma8igG7
yD+SXiMEu6t3ZYdKqO7i/B6maQ/qRbwjxMMnW9qCGKuGgK3RPyq3KpB2E7yU2Zw+FOPwaXC6Y9jM
VyldnqU1ZT12SbFJmEK/up28+ZHVM+1BdWExIV6IoqURanQfg67rS42d9wmPwUCeYsNYJBqdQ9jw
sSd1KCCrnuDjdlIfNGZa9EeI7w/F1KanxkJakOr1Ic0McYDxSEiqxD0LE+KAkV2s67Gt3+Zou8iz
Nh4n1ZvmJs3zkFpfUmvyd46AKae7LABZAJ3IqGpxlyaIPFLDJwJ8+c+9GSJg9x7ZRj2vituBWA0E
0/qW/mFfNWR0YJVfhpqo93qYuhsz5bjE3rhhYBXelAYfHuV8j7Gk/ZrqdnrvE6vZIO4V6yEy1jFa
YLipOKGdhmswttz2g0yhITPtQzByrJsEQudghEvSsfR81OxiqynDMzcGtxBpynvM+mwzqL6kkn5B
UPQE0gXvHknWzwOHxoMF4mNhze8WEL9kxSwWTpqo0qWRWGJv9g1yWT8Zj72A5J+P1pV9mnW51/FB
sujUBsdK/MgkdnZsAi5NuA+ueF5OSo+gG/Pt7/dGg7bkyuyi1uQn1u+N+VoopX+wShKP1gZYPaAh
PbYQ4InsCQSIPYlUkcwQZmRN6ONrUY3MPEynRlqTJWdCNDW//hjHVdT5w7GpkaugbEU5EZNBWfYG
buachWAqMSnoTRWuMtmnSLtqbyk4QS5FGhAAYiAo6BubfgiHGhDG2VF6+EMA3y7Dwf/IrMrmpK9/
aoi3F+gK65gZH+LCc9toP5BZZReYct8BCrPY21nHILjzOBVgvTR0B/hZSEIIRBO57UbHn61CePyi
LliNZm/usJdrCKz9ZcTCUptm9oZj65g6sG4G2/40DNfa0tgLkU50w2a07HRtx0RTNXmLWTzXuyfx
VXWWXMkKFm9lFhgMdf6yOdUeWuh4nAMh6uHU9mKJC/6H37TFRyFqWn+Qz60pgcwooq9x0zaEffCh
RGSOcwTDCMDi2tpC1XgvK2/cKVpPZCzwRg94NSmIVwF+nHT0Uqqi5qvQkMTDIrEORaXuhGMshs9I
Cu32uIk99dWlB3sUXaQWqeXr27GFT61bNmBBFEk3PSz9ozEZ30wGT7eS+guyc/Td9LRkEzcyJg4Z
8RYq1xnhVx4CLZlWel8jdbLkEryStezox+3Tyjvrnf0r1RQoupEs67rhj1AcQF8fR2jj7IRAzK2y
OZhxdaxsBMSgJpNvbF9fU0M3r8lYmIc86y8T0/WnoqnAkhvDfgh0+023qnyT6fomsUj5Haqu/uog
MNGAAZ8zP/tK+12nRE8YsWetsQD9dM96Hf47Sneyg+sMqJKqL6mN1adq8IOgtNi4nTa8MNZ4E0y+
UlUNJ8cWfJJTjEGRRH1er8sRDC8jQ7EwwuIJRVWHYMk4MgzEacfUH3kaiA0v2abZyQWWtIoH++hF
+rQbEnVtY61ZONp4xVH6DFCFDBzRv5qUIs+Pm17QBXYMbM4JEMenh6OUgKlgDXi7XoAkjjZOQc5U
MM9+9TnO2bFh2WZpMfA2Vtly8sk91aThP0uu9fSNp4tnzj760vFeKs3YFo7+UzlBioQMBJjXsZa7
iYmebmLhqRn/2T6sg5ZcxF09kkMsvSVtezh9g3UgLNJ8kT3GUuHSKnBJ1QOEUoSMgFq0tDuknR8D
CaTHIjHwhk8MtUvZ5ITYZHRcoV02BmmgNMRWMiriXYUdXGnaue7SEjVZ/d66RbCl6cUFOb+fXemt
SFVR735J87xCbr2IazqUcszbG+aAgy5q8lUlohziPrqNBzb6OUAYv26Hon8x596mq0XRbiQoYtW7
bEhpQESXBZOZ4dmSLE7t8L83ld0vqcixXbuCaJUxvPAsgpXgotia2hzj4YBBnHq5sb1hfLV6V60l
Rns7RoNhDcDcx3QWuP/MpYsLiJQV8vQOc+hX1F4DHaJ1T6jKVCbphvpO5E99Etf7urOr3zfN/FUW
SZrJguCEsWy6HWmulXcKmbX0FR4AROnnBOmv0756lKF7s2tpFQvNKPfQWKu9PljORmEDaGjShUSk
qRCFJzQioo0mt963yVxg5tZBOmo1JNF7rbxgZSRq70NKD2UBTLmnAGrihVnW/hdAsaldJBQF1d1S
c2yPCMmz9iqSEHqg82oKWc4D1kyE0Tdfbz89dBosV4Z+ND2baKpo7p4p5CVZJncJWWAg882M3a0y
jgg5NszdSddsi/wJcLxB6Dvad52BLb2uBugLWU+9Yb1yLFixBuk/ICnoQFKr4UX5xqerGL0Rf/Rm
9Qm1K8Puq5N3L10ykjtvnuJibN6n1J9xW0DVNfxra2je4x6ei3fOuW5a2OGgOs2vBXat17xwDx25
4PcAQNqqS93gwGk6OaP5FcukKnrqXz1YebJdWDgln4o4PpqtUx+Iqfjw04ZkMUOXJ8jPTK68UKBI
NuU9R5hj6opLJEnaFwITvgi6rW9a18ul7yOLt2dHhRnPCYQFblIHiy5vgq05b5mB+2aMP/u6PYWd
7H5QH30Lgka9uj3hAxK465CR4pIVtVxmYLie8BrGiHEaDbx/kZMzOJ2HuSywO8y9VQ6Rs6EpuYBy
4S5pQNS0WAxvbbW2xwxcDtugphOgJ+aBqEGDEOr4OnAs7lI9WKgabBHngg0rPJGihga6KBw+qmrW
SekW0T1eRAgeU3DgPHuhQwjrSLEB4QNVwydmxg6mTc+J0AcHfgPIOmetGMnSw4WpsFfZc0NnKFOC
WfRiG0+9dS6zRi4dSf7L5Lg/xiY3n4m5QYupkheu/WRBXNt8OvA/keJz9KDR8JZhmyIGvSd0fVUV
GOXIIUAMFsJiYhM9paV+GMaZYVQB3iV6vjo1wDtaSc1vFDQjHffa5pl5rVzr4DXie59WOYHRpEKZ
2WgRI54f+8H8GZGGd8V+8h4lJmIX6PjLOA5g7Of0OMEs3ZQYPhjuViCG1xTv7dLTQXBNkbO1JdEs
vkgQ2AQIm4aArNTMKWnKEvnq7fTKeR5zTTxnYfYWQfYj7xdBiYOwTVGUOVk9XQaH3cYY+qWpBJRy
wPIcWz85hqZr6gX8T3V7UDDllyIkISdLvGxBMeYcY8tTb3FRrSzH2ybaWFwwSoLimNTOzl3co+RZ
FqbzWko3Z08tvuTKXcfYEZ4J0XQWKV63ZedHO7ttxBkoDv525RlreMQLLagLcPKsPbWXXW1p5QfX
zXdTRZBNmXKy0jPtnc3UOydyuJlZeZL+UKFEgdWcNvR/jfZkNvmHPTHBS/jghUTHkllv31m9iTGY
dCJTSlKNW2NYYB17Zw8Od1Pi7dOmwgubDpiAouLQ0SmnJ6eCJ8Q9C7tREvt9cKNNe/J8Pg7s2D88
1eNmtVsNn3EvTmH1s/CYY8g5X6+Os3ali6hYFKDNNvCRkEfEYGMibZmatHW0jDQux3rmJ3TadXHI
w+cERcZSS5DaA1ucSea4jhhVYrdFqPRN1T5tfvpSws4PdW3WtwTUIr5NdlUj0fZQQmjrEhzgAC7g
dL9F0Izb03TpCNpfO6/d9MpP1l3u23SoYZbbviQV1pw+XY4Z0ZCe7T5a55b3mRB2uhYJrHb0eBXN
zjSCGcZDsmzWeK+LqoUhiEFQRJictYZkabf3wbSY/doL44/ALW++P47HXWo4nD9ZSJZW0cGrUbtg
sOItP+GA4xTjc5xfnAH+IKyJNz0zyLcfE0q3XASXyvreemELFRghieysalHX09mp8vhWm5Z18cty
BbmgwFPU1ouEFfmCSHS4PL6y8dYtyc68BNgnntLQG0+8h7C3m7Tj4Anij1iZcI+lxHgSLnqC+mxG
tXdRJMyVJO5se1+Q+6rK/mA3Wvf7xncZ/vpRxuYX4mENRUr8alc/Q7S8J/4cwfmjoeRb17oN9w+O
MWEnU8n2UydLkxfyIEvnqQ/raRWZA7PuyL8QdwjzsB5IbJiGBEev8x7xWs54WXM7Rq/8U4CxzcII
nGjnzCbdOXTbe+clxeo3ww3B5T+58GoWsi9ekgQ6iPSED8VGdMSgJzdBsgEoR8grEmc9/dJtzjiN
4bALwsHr1b5DEbmP/f/+ik7CuBGacwoDzT8rPL3noixWMlb18fGjvOSY2lbjvmwkRGTXA1Fa74ye
AtytLKbwqXGu2o5pVB0kLKIwj4v5Wz/mwEQya7WCBMS3883jF3E60p7B4bb2AORnXXWu6mhc0JDG
lkoyBedfRtQttPT3kNzhQzq+0yeYmd9x9m4DPCmn0ljKGJNC0hj8ut4PvMsVFfgrah8ozJ6erESY
iGfDRdNqT4gVWWC0bv4UzvTKiCbc1sbNsHzALE13kBsMZEwaerItlZaar2GZVqiRyFDh2JFlnvlu
cX1uyPKuV2Ah/Oe2cvd5pW7t5EBQjD+bPLx2nYVz1o4+LLO4FzlofPj36zaP1TqvAxeott0dMhWs
Us2g5+9ER8PgdAqXjIqiPTSN9u5k0NtIV36dbPIABhToz32BMbl1kvokyTrdJjqnS5elIXUAnVtG
vzR62z0COdoCE/CeBkQ+63T8NXDyWTRqfKMcw4KWGt8ZHya71h22fsgGydHtS6SnkvI59hZclAAi
K+dz8AhA62XxyygRZdODISkhcgmjjwRlbm2LbZwDjuicJfOhkBw+XIAFOVPEh2N6Tc4xoT/wTUBe
ZF75vXk3yWBYgVDNd2UR0+OuImT4le6i927jM9LCJTgHAKblOCN0J068absnyTEiUhMBsP1OQFd7
UV72oyJR29PAElQG86x2Ki9wXMpL6/n5uYw+IsBXKtXFXu/cty61rcvjBp4OBWH5zDa8E9M4Lg1l
mZeytKd1Q4nzNGykU+vPyf+n6ryW40aiZftFiIAtAK/tHdvQUy8IWXhvqgpffxY4J+Lc+9JBahQj
qYkGaufOXFm1rKZr4R3gNZZX+taRmEw8WaFTg6ec9n3Wqz1O95G3Q8srpFY2L0C31wWu6klN4zH2
2xfHT+wbOpj130uCNr6zOxtLRtFuGrC1gpwjv2UqW7kORbUTmf2VDTUMUxgrN7Ya1U5GCfqOIUwq
yIk3ulxEwSXlw3XG1YZvBtN/lwX2wU+ckxvZVzgW1abHfL7i/pD1frBYa6gWX17aBFxEMrlUSzhW
cGbouZjNkOx7QfwydjoTDnn+Ebejcfz+7vulUbZ5m/H0T8jWl5QiXG0p8xwn4Y3bOV0v1A3sVE+d
Xc2fOJDYwzFt0RQnWwURPxNPNflsxr+SAkWmo2g0u3uwvBhmY9AljsLu1gBOatfZEXREk+l7b+0r
88mTZb9v3OpeKHUlJKL36EreirgPwbgx8JictH1O6f80De3dnZZziBfQB0f3q3dvVE4bnfLtbSWS
7ko6jl5Ge1trSk6byf/UNAqdu3z4f1++fy2vqCWJU8s+2UPGqUEXjzywkmdg9yQZOI2PALzY8qoN
G/QMgGEfbdiEBAykovocO5qMtF8NV+WX8s0PlgLGqv6s5k3pQDrwAwq3At9Cvgf0AAHCik4WJ83P
ALh2TDPHW2qO7SEzml9xaHMZCpV9xo6Lk44urz0HDr71FZ7JzL1zrs1eUH6W7dvZNzvxLHQKasqH
fx2OfvJpwKohJKnQFpdvZ++Hx+n41A60dbajlVyDgD9jdHT8GfZducubud2j6Mefnen9LhPHu8mY
cam1JnHiytimfRJ9jKrARmbAyZ/ZrWAF6ppN3Rf+0YNicqfp8xJ7VQ6gdDqBsQnwdOA4eQrsyH4i
fWeT/yvoFgoJZya6x66JwlH3aXWCPxyzmFq+LOiLP0XlfPZZr7x0E4wO3cTJIeml/2bY1a0pDUj0
tnCPTitt/CPudPdmZZ8zjsubRiXTr255adEMIH2V6yDEaMn12d6biNma6LT6VRLwMcJ4ek+bWu+h
7ZcHLy4KyjQ4fVkZLe0xkdYTEQQqxGqQm0HV2ddA2R8qKM03tmXw3wb3qNLkDbLIDH+zXvpt3Mf3
dyaO82PQQYQMF7BwA/PjaFFrB7cuYpvuYVuQLsRCgUjRDRR7lm2f7G0qv5/8yeoO2RgO58H2G4qq
NE66xgRuXnguFWYZPWYRD8hVWTO8gc26fU/BvT9+gqbhr5ZG3OVwrk1EBiESetXdodZ1XSfp1oc2
9t7VQMODxsS26KMfOmn5M6m7w0Qo8JXVp0EqFGd4Hk/rzivkhjkM/B1C3q6yeSw6bAyDULwSDFKX
zPVemq5wd3BH/okGkwgPELU23dpE5BFPhkccs5vec72vsLNdOFIgXOgGhmrhXVi0gzKb+5euOyEl
Njw8CjLtDXboOUGitO5MpcYWvztKjyr/0MwKXM/j1thn8V5rEwiQnWWPKi5WPf97qpxMeWBIoA4o
7ywa3gWe+JAoEpUdW50Pf0KEcMTtKjgntvMoGvs653F+8TueymAJ2Ux1xlEsJgoh4AyVypkPdEDv
NKsbgNwPNxkG7oLdSxgR9lAs1LfT1BXwMiBvplBYKHOWFhtyEqDcjw6Mwbg0E/b8GBjiJ7G86LYE
CzyWWIKa8UwPy695mNpdLrgpKdd9Z9E+bSUbT3jw4DK4lYEUGVd2MZxw9v1qa9s6dbCQ7pWsIO1T
jCEm9zIEMx9YfE2575qAdePfJTsnrHpPtSjJeFeYlq0wn5l5cGfQT3EdXKqQQtHYLPJIl3ybdUbK
R9ZlIRXYamCdEcpBp5aVfyF/TOAc11NUYm5RI0BFz19H+JFYs23Hwst+Rk61qbLGecHa91V7xnyy
G/89xohvHAMefps6dAFTGj6qNFk7oStYDEN8wmfFjZ0Ai+Ap4tBE5E68/7E9/KnseL5Pn36Mz3RJ
0xvTb1dLuav5fG5LXNWjjKZV2cME7BDkSieB1OnlrPNK+WIKFrthjsrIhL9K2GXJxHlVrac2kvoG
IKd08sSmXOJUy4MZk9zGdzVAGgW3NeV+5zlkkVrO+VZOB5HwFGILdbZJmX8OnZseWmP2tkWk421a
5MxtbWVuqf9hxiVVy14JQpAtxdXPEG3zsU9x2Zpb5EvuUXFAcFIXMUfk8p6yDFlPo3RWpvDJpCbO
tm2Lf/Cte+qrTfpl1sjryENFuindGmdxI6lnstjV8cGE2BlXgcJNo7kEBwbW3tJfmab0GjRBAV4l
XsNVNHkfMIuo+pNzW/CisPEK60FgLn6uCXOvBythLQQHOY3bI74hVkhZSVsKDX4Bqg6ezo0caVHM
p+e2HMcdyyCEfx5BU2w8CdgkkkJpJPpkbaI9X0hoP/qezWogwb/3zXD3pgBligazVaH6ZV7wX/28
esMrZJ/NSKDuVdFDOPAB2F2COmAdTD5yS+zPXfZ2xjUiM23Q+WcgjfkNuKx6CC5DS0WoiiMUdG2u
M+7PJMCydWjSfhR71Flha7oYeQVAGvRHwSPRbh37YTlzd/W88pnt2DYC6tXEnJHa4pQyZW1mHA4r
2q6dk1O1X/Q+z7ug6cDHAFQjz4sJwJnRygg3qfgt1708WGn0rwGMd0RNDlG3gvIokkJty6lajRWp
0hY6M9VjO5et65oGTg5VU5TuUzw0OyvpfzWG/iwgCR26ONvAMYvZQI/mkQQ2ETw6UpqK4XsOqS31
FRcqTKAndNNiO8YvgqD0prQWYIMDgrrpa/0u6ZhjDwMB3ciie4kZeDHI4NzuGKTKNN1pugtCDHU7
0ybH0fVctNWE6UYk6zHNkp3vgJsTVmMeit7Yum3FgbhM6R6a3ZM9p1/dGJq7QvZ7LfVXWg/lrfCs
DVnWG+s959xkPy3XTS6s/7t1QtX1hoaYaaPTvjtZ4m+qPffCVbux8QXtCcMx52V4mnqPvWFnEq3l
trfxDBHu6HpwKEnx3+K5709d5b3jlmREYfylHnEf6ZD1FWqDgxwztcZXQHvAWk7V75LP0Ip24Wdv
8F4S/sWibF65vT+VSsPAsm8DPTHPHXcC3dzjuPLXxDzinXKIIbkqL1e1yeVbj/LaYrBfpXlikcPK
X8b4g2Ivi+VgQU+w+68BNn8qRx87IW5CqyAJWC/NtMRzKUjtyz2uFmeF8bbbFM6IvZMd1R5HKm2X
52DGszdQgxqkjLNWWh9Tu3/vc7pLIYNlu6Sddm4r98wiMTGZpfTON6wdta/DtrdpNje8nwVaeas3
WuMWVWafrWee7jZ88fMUS2LVTbrueBZWXXIdueMj7lHFaC8CoE8nlQmxsg8+liQJyk9OzZo8pSJE
Z6cGAxqG1BACSZSwDGcp2v6A8LgxnKbaiLh/DKkut2UAS9fULsd+y1l1eUgRlWJsIlkL5TTj/1gA
Vp5sYlrVDH8YYBjXVbaPbCQb3lgTQvi2GZNNVjndzrFHjQ406LeFFgjS5VA76ljwGIiw1QqiFu2w
FEaypwIc6K1kTyuaBeUMhdH9UbMCqQ2zXI5a1Pw5Of49m+eBwxOWv6P/PvhsI3p+1i0587WdsOXm
yGoRIj/7TnXt8DLiY8jWbtgGJ/qUDlGlts1U/skIPHfzglQYDw1eyU0WZ7gh+2djntJdK7IvnZbP
fd6ehHQNthGcc+KKo2TJdfPkheZvgZ6aB+HNEe2FpAJbmGJP88YFUzG7XKJMpS4uFMk78eSshZf9
ncmCZn/jaZzQh6wEHoGf74om3mc2PfO1T7+wE57GsVRbt7QoKqg9cuJYB8AFt+U1ieRR+rzBAUgJ
/rDshwATgaLWPc+zgzvGhhxuWdUFQVLWGpHfMPOtabJCntE3Y5ViJ61Z7pvxLragcngZbD/IuOux
yVpaCWkMmW04BlEuwRQY3rFha8EDvB+fVMXF3jv0y4+4gZkEMRBjHUYO2XkF0XgZFMbZLwtOr/Qt
lRLp2OPHbvQFIHqF7qwT1LsyeTeDiV7YOdhZDjtftZRvaRvGkpG61nYMK+PRLy9qbMCqNUV6Ign9
o8TwhTHbDRL8u+2u5E57Cy04gbOVO+uqBzJzjJhDLkbdGXvZE+8k1MEb5SgCSgOJJv5a5d73uua1
CwN1nEuYkmPlNq9W0893i5WWAzooHlpGT9Py7t9fuaHY1V6jn76/k2C3byAMzTRwDxVVIRhmATVn
iisxKzDqwDSydpms0rsrfd5hnlPJ8l2ZvgNfTU5A9LK9RXhvl5jJ34Kw2N5KKKXs+6G72GP9ldue
PhQaO2iRhC5c09E7OL6U+9q13UfsoGjOk7nvlSJXqRE8gwwu0dCkB2NZqcUVE+yEA+G1CezTNJe0
npVWcyI+Lw4eYEEBmCQ2YAotQXVTquGF/dsaYCQFE6gVk+/mcOaSbFODUKcUTjMFJLYNyalVq6jP
y4MuS05tGYt5f/KCbSQXQH6jDAAHbrfFAlufcBtiLwxuDRGtO6sxdy3pXd2T0Cq2HSM3jlzoSxa3
R1PIs2LIOeNd27iTMjcdptj1oAqCMYP1Lj1YOUHQPQcGgfbZf5QBcBLGdNa+nM5vum3QteHS4p5O
5GOmdnuX23G497pZf6nsnIpuU4No+pSR9Tm0PoVGHZ1ayHgy3WIPrl8rqy02GUGa55b7x6bWWIpY
YUIWp/9xClLcMjaxs1HRRlGUm4SQ+5MvL7D7mHXgK0wjDjSJZLqifyK69cuL7LWxdlP8aa0xsHvv
uV35S8Thu8mC8M1fM4jiY+0I42YAC0uLedpmFCMeUmlyUJxy+S6W0yEwcAwc2VzJvWoAffxfXdV3
0Yx2+g855vmO6hCWAkb9IjJ9ymwfUErTxTukyEeRi/CSsv3rWL5vsDTMB1jVDiVO9ZvGCk+RMBdO
Bgrj4BDa5p9JgRDB4CjtKT3grQtO2FSdvddT9NJFE/SoFP9vHHDZVrn80TrcUIw+ss94VGavhQwZ
Tl/RID5E2YevxuR+SjuynlKdPhP0w1Y+xizGLFDElLZ84EmJb3lC0s4u7V0hOmedzPT3MIrFt2B5
YQyD+kRb5SZrsD7BwbSOUOjkaxzNB8HFc//+jo9ytmo8wbMloaCUyN/VWV6+v/p+kU12zUVanJoO
39lg1jiOfMp8/uvycO3xQnCBmkIrB+SQj+HN6vV8dOC0rtylRm1wyA1E+L3JRzAFhFb0UcsCRgOP
JdUYJttmx3py9CFUUftl6ZhypMR98xcf8AJqtGnJrvrZ22f58JiwKTiG233UyGWroDeI4drFw0KS
fi0lVqtEFM3RWb7tiuKOD6BmzVHfh8qXx6iekmtiKNxqRv9ZeL4+JahlJ41GdupyMGiJSxWq2Uje
BEp8rk1Y0amEQwyro98f4yD4GcqqeuUPKjZA6t19xNxzLYf2pYHft20VB49edObT5A7RzRwqfMQ7
Xc6YML24YcJR0VUG2XBJCqrlOip1/dl0VnyCmg2m7fQp8TO6qE2Xki6dnYcqFC8o3A9oR7b82YDv
+WbYV2PICWQI9v1i1hDubN4FvTA4gqO92WJ5dheAQAjp90DOHoMQE/eLia+inq6+ltAmOsqaQIet
DZ0HKF+wKzHhmNn5u1GpMNL//crHYQBDRiFAxOr8/YKfSp1hh8ALofbZmGtogV4bPaySA4kMiZ0v
OOfK67tHPmY/MogYB4qf46dwXaJLnNu0IxrD9pSBcJCsBrmjJO04n6eEnoQ6smkjGMeB7P68Ry81
jm1J2Fp4EgpRaxeLAejSmX3/ZBn6a0BDO3fLy/dX3y/Mn9Oyf+ItZK5+40FaP9Uht52w3n5D521U
y55zbaNX04ryMwy/IsioxWjMWJ6D1COvLH9zAG4vkuzniz3k3GbSaSMYqXaklAbS2cMjDuNirXD7
HL9Ru2U2BatvtFZJcRUokOX7mK6hVd4naK35UJDX6sbr4OHQWr4bg+S9aBewVvFR9f1MPCiZr+6A
jGgOPC2K5de+/wNduMTPLRiboXJAVo0p1beK5LmdG49pAK2mrOkqOqt7uI7LUcry9qSZw0fV1r9N
sxjvpjXe40Y5J25CzsmrPfKP9pytDLtzni3hR/s2RoPjR63XnmsxK05YANkyeJX5lIVoCAa3nLWy
afKBe188eR0cH4OnB9D1+DdiQP6UMBmtjB4PW+Dv09SLb6F5S6dJnYWLmxiXbLFS+J5XAQTJS6NB
3iWFy4MqbS0itMvNXirz5I0FK0bfl8/LNUce07n7+vb9SMGITrVoqQ625dycHFbaxLh94KBjAfPA
SI8Z9tr4Lf1obXaNSuow//sOxtPV6VfTIKGppqEqOTo44Ubh/VqzrukeZuaXHIzWbS5IOoTuMzsa
Z51PvEU9+P0ncJLJU0Mtyo4zEc+s73Ku5cXKO2fz/TKifq89fLRbDobhk+zyZi8k2Z4KhAi7hnI4
qJ6zpWdqssWMf9ccwubVxzeWabSwTvQKx/vwLTKkx++/q1l65ikILICTQLdW6GIzKp2LJTCR13Fq
l2XN0lOil5fBBtrnZy+hSQTQRlnsV03FCrLpaULLa2rrk2AnVFce0cq9czka/THv3O138YrjD0uZ
EWvXoJkhtYXhuq8aHDs11am1Gl9CRTH5HC/ufZ5p/3UBtq1CmoOgtbCNmz/gFVhO1MWpGCR20gk2
FfAtVmXmk2kIl+gQVDuu93DFh2xi8RjQR+PCYlfsqj+9JiE1PxD1cWi6bsrChkrLy/dXjT4Yow+b
xa7UcxsVOJ5r9hDLVTK5LCocbYS7jOl3h7fzd22MFk3UHW2SpVTQEUi/WYUvVylVjdAv/PpkeJ++
FbavFpEyqnA+ZL/NhZ+cSqPBFF5162ny8zck8u6g/YZ6xZKA5UA6Y5WkAWBBRtfN/7XF2jbVwJOh
f/t9gUXZyLIfBT672pMvAY7t75YIQYpKt+2jxfR1iJoE65yI9GaYLecwwQo8TxXWb+FnNRqDnLZl
mctnPkU5hu82vgY0aKwqdrVHI5by2ZQDTEapr1iE6O8Ksitlb/2KhFz1RoqUDVctmr2vmp+NG2jM
WOb8SJicMyhUT+ao9nlHvstL0oQP9WPyhf7yfThfaUuBthn9FKq+kVqyPhQVaiuVoKVVPqrI0MoX
GottTMhGv59yqBpx1fkfkX5xs+7+TQ5sENvWcky2s9D21U5lCnTMuHqAT41Sfpm+wYQSV/JrsqE7
K1zTmW5ezITgW8YKKFN1+fp9dPCZj6ymCcjAoggqTkaXZXF1iCmrDsV4Q0gkeai6+KojI77O0SCp
GOvmfasZKKbehkdHgOxADYO5xt0M8sWgM1vhYQJhYIq9Pyq5LeSfFlv3vuYkuEsGpkosWT9pvFGr
VGWsGIOc+p/Q5CBdeS+MCpem3EZpktxRTEJ8om63SUtZ3IAW2Tu7xKrV89OFSfUkzbSndim4ZnPA
Jkh2Jyzl2KImiy4lnMycHHkv5uEZ4mf5E5tMSCBp2NIMBEoAKf8WmEm0HhxZnbt3kKjWxxzUb8NI
71TvJRGLBKle2kyiKSnqzYRb+2jqAj8UEIOTU0T+sidEcoYvGSaddUUQtxj4UjzC4b6jCeWnQzkt
zKtxgN9Zu1vbgT/USUDBMZu5E9MwzQ9TH6zxOP/vQRy3CxEAWz6X3YwCgtv3wDDAASN3HuFShUZe
HkiLJcyVn1IWzTaTikrRAQPh74fPqQjuiQpvGH3r/Rhj2eknspmlP+M2rY33oAzdA5bhTUzlx7ad
neFadOPfcalGSWCS8gD77yfhmP6ZVNVfGSI0jYNdnALqgh+eOXVUC/1/v8bHVT650K5K+jnNiOYU
YYItKJhfNNFHCKP5w6Sa5ZLmXrGR2ZCcctQYtv6o3H3mJYeYN+HJcD8tnYgT6uLx/yqFxmkcdp4L
ysDK7XpnRTMJsISbaFZUHwr5uB4deUsyd52VaY9lsPHxfUUVvVF0fKs+eXb7xv+YHUJ6gcdnF0cu
nTBJU51s0qCrJnTDq6Gk+gkX49qDBLrXNj+rObGm00huB7AQ53FvEKsOnuQudWoHgBqHOHdUHxiU
/LMXLO2wcW7whGK/MaScGD1VLo+5rxxY0JlLuXyODPtzgDC5XzZiPCMnF1CoO+/ZeslzWy5h7oJU
kZ+rYP89hWVLCZGp/J+WtKsDcBXGeDgaLEtg3uf8c2hBQo3v4ns6WtnBlcpm65vtynGhlfsYPcJh
JJJXOvvEwnweW5a6wAja9JiaeGRJDLymvy3g46lQqHUlTKBQ8KlKl89xh8OLB7knTiPVVat41yh/
friuN7HHx6PCvAxhJw6PHLIzsNCO4Pj8h9JDunQJYrJ2Ia6XokMiYqEppT+yioRkJDamfRCjf+B5
do6KEgJMQ3NvhIq34XdvnckrWXN03dbLdL7ufYviHJ3es06KFztq3jMzORvIaLhjYBTX5Q23AYYB
AH6Wte0XW3mMYjwKBoIwM7ek0J6MJAQ1hJaKdZIdszssGVs/XEt8dFWk/gD0SDHF5NZz7c8J57qK
MYVdewh0f+6p6A643AlML4j85mhOlMLSDtJuR7/Jdizb6cKOxd88sdVeB173wDVMUrAUw48wb84T
4cR/dubv7Gjcm0Z1s7tn7p4O01qDrTaFdB6IrcOW/tNyTOgXRfO7iyoOJHVmb9rZFkv1GGFL5MIE
+KLTDQu/M95gZ8BA3PlPJg7iSxsk0Zm+2Lcpu3OS3PmcXpxLEIfAkiI+jmk/pj+FCRyJahDgaDrs
sTLxrzBRNzj35MaBSX7NE+GcpuzdNCuAqsK2Ws7JD0wdEfMPgWjjXxKF5jZqJeB5Ro9jwT2NAFlR
UZljzy+0ohiPFosKF+38UlimfxJ53K/SITBWbKj7Y8v6YlVA2jxBlFUU1DgLYRsLFGb+9kRujdw1
PEbg2dayi+n8M1o3JmjbmREwjLd4YIeXJ6nLmSyN14Rq053tCJdouYj+TLVnLnUU4ZWBGrAxNqit
6gbz4mUpw3pDZUGpGrLnbX8faFM6U4zwlzXfZ5AnDJJ9Ur5Rer2yQFKlyswPY+/wcPSo9MhjiApj
P15AkJAjHvOToaeLWp6NJF3yk5uLB60Uzy2H5TOTAPWKeuFlVvPfsjTr5xxlt4mmxbPXbhGef7Jt
7aj/AYSis7eugGNbxsBGc2kCegUYZ6RWvdzAMkBf9dqc/F9FLMSmLQsKzPA0zK3Od01DT7DQPJqT
bjwWgmc+kuVa0XguJxPP99y9RW30ktidRDyFpcibgOVZXo2moxMpImLdJWLXNnWGViV+jDNRd+oj
7VOkhdgJw6CgW22A/FzGFOCfjFLWy1NPSom1uHYmaqj9OzbBewXED65yPe0qp4RyZ7Ff71vObrls
q7U1zZ9Zzo4H5erVoPvzYIF439qhfPEnDHNJ8KvJCfHh4FgZfnxtLVwrhH1uBGzTzaDG6d3xaA63
JinPE79r01YSCgM/t5VpZuJHPkx/Orfl2hIoV3i6f1UJPzUcjRR9ApYlgboOOVyD+4x25PCaAwcj
ko19tkVhRLzL5cVKsK02bTLw5JU7+FjBYZqwRE+cOGpcm3IsTn2EndAc+RTr5aX7V4n0JetdrtCi
ofBBPjm0gFxrTX1DjQj8o5nj/byg4IAMyXE0Nm1AMcCUT83b5MOdzN0djiz5jmvmbtsujwaQKnQh
RdaxoD18X6Rj9og5uq5t/TzaLfR3+1sAx6SNWZtdB/UwaQfQyGKztHKEsHZoVgqfnn4KZlCppMFe
LJAnuAzMO0UT746bxGeUOHpTUsP9YHhFCycJdrC1cj86P3mZJpETxOkGYhdmsB08b2+kwvvIVCK5
2wc+om8lYLKC9NNUAYHy77YiL5vbyKRHyYKz02CKOeQVvyXq1TN9hQOpEt5Z7VjP5mQswfq5eJpd
9u9d/UfDgLgBAmBhS7gVWGW6icInfArpPm4WU6CkajkbYAeMqI5rESC+Uem6kaSipzTtNi7swyPW
w5cpjQl9JjR6oZFswZVgdC163BgBtAh/vhnKRRXUYMTUkL0UQcCyYg4WGYRKM2yFOTpc5R3pr8sw
bHD7xBbIKavbVhM+UVOHX7NWrz2Pl+vUG84l9SW1qdy2SJYdW1xwpzCx39PRb4lxpCAb1BSeKOUN
MGEepA+As8fohreFdGtWqg+lfwCo+iVrSYAnpjGzhH0nPH9mDnPTdTU3f1wfkwwVxxZWcTCWbHC8
iwlJcyolTmPelItYPJdOUZ+bIQsv+Py5I0wJBTM6b69Qp5mFuhQQnWveqm4uuDP/zHyec8nA5x+u
66rEMLFia9s8JfMTiD11caxEXwIxOluJk2QF92OgsiEFDzFTvTdo+0SQNcC/WCMH53G7ssppy+Gn
Orl2Jy7KSMSFp5eFVw60NOC/A/scytM8Jlpmm/P3C09JvqKdyMd7dS6G3N3iTmQP+McqqvBKLZSz
tUbSfKXZOnRcMCOOdhlsncEzMKOW1AGPj8w0x1Nat9WZ+Fl0goUZe8kWxNdw8iwn2/Oj+s2jODjr
SQdnPEWdLeTRcHYidr3TUEzeyS7DaBWNFUL78ndzYlw5olxGPZRxAL4eUC8oOMKa3kuOnw+6tSSF
QWe4D93Dpn3k2AfJv0zY082fuW/nrdpNNbns0toIWVAXqHv3v5eKWQPJsoPrKvsUhvXwI8GLt0uc
LEMs838npsu6S44+1d5d0yLtMTanUuN7aPIeBR1GPRZADOho4GwBMX041Z/B93mndPxHteWR6lJ8
SEH24bN4TIJwP4LRwvFfwC8ywLxMGY4JzmVsgGz2t/GySKFJt1GIrfTk3uXkH4HRxDSfUo1TzxlJ
M3xL+8a03vBPUPsthvHUcgZf2R9JY+E9H43zBE/yEjs+5mqm57Wf/yU/QlZB66Nb9vGas7mELuce
Q8zQW44E5bp0MMAlDV6F0A7WUwDPoG8f1kQpcZ0z0MwjhtScOz8LEOc1o2MDbG8arFvjMZMYWCuq
O0Miuyhlo32i+rzcat1BLimEjSEzO/kVTEVg6/01C9bK9UhTeQS60iq1n8DnUjva3lgK7GADMEi5
IN7m5SPTu1l6bX+PIz+6PgquaT2New1abU/ZLUygmWRiCf4/ql+VgTvetPx8K2GPhPD+KKQe3K2f
YRpirEwQkRVOXbIawqWIbxB02iHHQ8tPB30jo5hAsKOEkXX1no1kdGVe0MfB6h+i4a6d9KBoBN07
5KPHn9oC3TTlze9B9AU8tyS/Wn2XX7+/Mtvsh27n6ZB29CNH7rm27BWBq4iKVe3scvB68OlJXRXc
03zeVrx9Vrry/L7f5BwiXHSiE2zqA2kM9yKwBrvtjQIlOBxZ8MG/kzKEzD9x0bxLM8broTDLpsyO
p8k2IWrtCrqglzDDcK6i4pj3PWaRkC7EhTvTVXF6IPR2yYFLYahAFk8ps8NXpT/t1PigAjc7xqNF
THKCoKOp51HSLvdD0f4L2aOulB5+C3h/64YhhN4kb4XjA4OoF9yqeHqJDVp6JJ5N0OrUMrXtc+6x
YF6scFkwHgGPeFuFc9BrwV7yFFxC7SjBNT8dmrDVY6SS8xq1G9etrV3Q6gvIs2iFXZmSNMjIqEPb
MfhjVGG31YmR7bLC2Fc1ceTU6M1DQllNdwQMpbkWoogAVLe6htgrj0PKQqG1f4Poytcs4LCEu1je
JTt0MC/qEOU41OnC3DvNomWDd1u5JtqHoez7oGNGmx6a81AHjyJ1N2AhsLqbJbm+IsQHks6vXmWl
R6fpv5Ixfna85M+Y0XQkItGQG54S+LOCQC3Nt/Ftwp6O7MwsLZoHhgnOCGDy2SwaVWvAfCfH0M8H
q+msR8xxLbaPADh2FuXvgJ7qZmtbuT5FZk9lePoc55n4aRlIsnCkcvYDq2XUZlfb3WtpqlWrkDA0
9vIVfNZRTTdtMrhDWx+2Bjv72RjtGzRwds9rkpUBuaXJ4alg4xuebEwwmIK19kY+SGN8i/yMOpcc
ZNuQfnQ29e2V/zVw2pspWZIJlk/U6rvpm8U5T4OHruAfh50tN7NBu0JPSfVIWBqnH/tahIEoHecX
W35YRTLcpDNsJVfuKSjKv4knnFPdLQcR1zlPJp+yiTXsNmKJB7pZcObWelekZfZipGTqzOwrHaro
yD11WkcdZUpgz/QPRNtd62us0WyWLlXkkHqkWXovoprU4GGKKCrDYcJW1DdeiSvAwpktuWvd9ncf
tnKXs8ThScjYOMo/ORDt/WiHdHDTx7DPmuRuGf1dd1gFh7RHmpmwzWBLjjehQTrWtnx0KrJc5bnK
FsOSTnDnLM+5eRB0VTsJv9ioAPtFdSMLxDZWFPHGaqxlG7eYO10U9dEdtm7Xd2s3blF780Ah47n2
qomd8Botd9mpiqkhspNf0aSIJ9SYQzTHCMz0BjajIV7DiMi2RedPRz+MHxGEXZ055WuNUYEU//DV
jiVts/ZADHp5CQzW3RmkISyaHjWFmGM8AUZHxR2+kJrjXlBVj9jO7ee+NFF9zE/We8V2COOjVRbW
pQ6jZlPZNDJbLPk3Ivwf9s5kOVIl2rK/UlZzygB3wBnUJIg+pFDfTjClMpO+B6f5+rfQfWavbg2e
Wc1rIpOUSimEwP34OXuv7TL2Aov3UOY4FMe8agkHMU6VjOtn/GR7/sTqhmsXtCPP+Lgedmb1hpsR
siXozHvbsyBvtAWNgBlt7GyF+mzJzr+I2n/KRlj07FinxGDvCI15OKUOsBOaJNcet3LATIMZu12f
vVy2z2OhH5Isx8g/Ks0ZtfhUlj3gJMQA7SCRQ6LLWA2TY9DJgXmKZVJOAlDc0bD4O1RghXF2d0+8
SMC4zEmsBMWi+9QLh6UI8Fu64vpCuulEBZxNY3pH6HqATYbhHaSH0wEZS61u2Pshz12YZvYdrqy/
gk4Jc3AskiHeRLvnd8KCOW9kIh4m6fb0Uq2MCFcQ2wUoDlKM9ZoDlR/tHkjWMHF7ILPcdGZv3jv0
5reMOjkBrmkUy1FWgxtIraudvbTZqaNHHyCX7fM0PcGU+Z5qQCBI2nC0aPb5ODEIvFVwELuqm3Yg
aOMgcllWauutDN9E6Hr7nySrzo2KDbxEuctNfexlRBgX1oKqJgSkncld+klEiw1gF00O5lRiMD9n
bnWcaibnYzEB5mtBXJRld7JN83nhvL5dzFEDBqfgmsfeOdg4x1ml+fosR/GRKnrF4WABBxMWvaXW
voRjuev1EMSzTl5iI3maBNgXShCifSi5g6ImCZqapw+0K+z9KKngrHUfTog0WR0IJsrQs7TKK/3S
HMvVdE8aQXG3qpb2/N60sDomegxsSR3pCutcLT4TqyLu93Ucv0+EREJpzXB/sw5OSrFqmXKPTi7o
x9baVfkaOOT3TJSl/YzfKmiZQO5DRJi3phOhy3RRMXCm3wg/lZdhvoR6no9cZPD+8TPF+iPDw2eZ
U9YPk2KB8+XeMYwm8Pw45uTdmIFpOMsWmKHirnUROxCEFF5lh73BQ1VaOb8cjmGzOZwWqH9WlE70
bZEzhI5RsJ0P7s4RI6fxwn75qYXzgtetpr5aEZ1UpzqkX9AQW9aQdu+uHXHUd9nrhH0vp3seuHrn
Yokkho+Db0O0CCMA82aoRI6wVLx9o0uur3kRV2dcIOdhbPk1R4LOuIkPPg7H9XVAU/vjNTMoT23f
lGMFy62o6T+pmL341EUKJBQDRQ5IoMK0GrfhsiwvOkN6gnoPq6s7uPukUFgvrWg5RxLOdY3vyZPj
lsNTfK/G/iku2d/nxnytCn8tgTP3WovnZaaclQ2Mpyjxch6L6I1UbwSnMWSmVpILElnOERsSh1Ms
UIIu/pORUbpFQMg3Y8ykiH6J2Egu+7MYHSqjSZ1jyTILpaoHKATBJme53CFtmU9ABy+e51p3bWp0
jA8I8lT6FkJB89m4hO3SaYepo+Zv2Jruvkduh1Gmf1LWEJ/6NfUBS8+uIxTplEsjZned7ENiVkDi
a8/b0IulmcEF6aMc20Ph6eMQNXTNFZwjQ55HyEYHqxnQDhrRr6H+gGX9p15k9kxq4cHRNkRkv7pw
uIuPHeSDDfyjhWzdBB8Pbfl7kw7zTKfg0svE3yxMwuO8EJ9eS1tx3lRtHCNzReNU1OqYE1gGd5Sl
uYdeRXHpPpt4hBj/q1dUpj5SW3yFTn1uIRR8khMK6zQ5N/ZY/UlifeMv1QFQk77vsXDesdj+chZx
TQvHuRoDbKkus42Ni0/eGliHja75uxiyu+o+f4YQKGfHeRxoaneTi1EWduT255Q4IrowlkTdOsUf
Z6y8l97I8eGVE5QeyVrTDm5xm9XUYLQDhrcWMiI9p/js5tAMR/O+mjyikdCB3US2qvYALyrOIBX4
IA/dU7xSBbqyRUkEAAlSQQPZBG01BlJnb6gpf3aqaM/R/UXNBhWAnUXUeY1xx9Dr4qXpNz1F/dAr
vmiIqFJWij0JmYw/4j/MxF49hBEvDBato5Myvy6XCt9vGnXHepj6x5xWeabZUujbDo85Yq39yJzS
Yv8oq8bkMEK7gHiYfheaA+dMGgHnpciIZIn7mSZNqbCil0V3/nkTdeQHBD/vVujJzqqVoPw1Tay+
XOwgwkiB2rmgjYkO1+hWDWzj6vr883HF2PSIHWYv6oW8ysqMdrriRP7zMztvhqux/vQ5RATfVeDh
8KQi2kAw/vMeviLUoT8fj06fkcuw/tM/n23rEd1VhJQ/tSMDURtvnDAOjxOm8kna7jkmo2ph7z1J
1bukrWhshtEUBS1S67MdeagvyLXkvls//nmvbm156Bxmxs00nml3Teef937eAO1Mi80gLVxDngTy
BomODuipac3wlYCI8pogQdjIuXPeJE78fRIhRRBZrHBPIsOHmtyR44H4VRZh8UZf1MGYTZTISOqa
V6/bduK92VriYe6TbYtW6+AVrXojIOm7IGbzrhv76KaZoMKkOqTZ3phvmWK80LTuVxnXadAXi/Vm
OoS7xzKhS7J+2Ej116Pzd9ckunj2bKRM5deEZefNoTF5gwGexXL9sKC9tm/jsGUd8ew3ejrpBunq
qZvGgnzZsHtN09efnmSuiQS3Smw2Px3Ldol87ERkh1Q1EWA/FyBMxV810IEE7JveCI8CutN/5shJ
3tjPrOtCUvMmxzfUDkLfy1RSkPRrIklTpG8O+JtdkzjVkXLMxW82mVjxY5rXvujXAxuQGrx2r+n4
/PPDkgyb+uJhjPn5UGBQ2qErIqKz3yRmrd9oSf+282q607lZvdQrNWttmBoETwLJgB0E/qwPlMsJ
JWPChn+EdKq5LAj4xkvxTpwMsDsUaiMBi/eUjr/8QYe3ncFZsp2h4GqFzNRZTZ6SQO6N5xKYUzWt
evZ8dHvr522aAKMzMZSiU7CVIizeFzFhmouL7vLzYUIr01zEa9z1za7EYRMAcPA2uja8dww5EEL6
1CEhYJTvOTMePpt0NiIfHR06D3fF2Fbs0WN+ogkVXzEV4h1GmvXB2f+8NAkExTj56JUFpMN05yDq
QUlMOM6DIe4veLnMp0Gk83VooFO5aa/es4WDq2UIBZDEVe94/8tOmm9uXIwX0npsaozKfzfQKQRN
mYgbB7RhgIzApvSpjllSo3EjXttfBvsUe6NznLKo39Hi8APO46w7Q73swYmfmgU2U+S59b0t8y97
NceOyuOk0yafSpO7jtw7+kx8EqscO3kvEvuISfKeqmneoZvhrx7r5COhJR4MBc1wOdHijPoLMLg8
UNhk1+ijOxSnABRa/BX+XB5pNNBc6eElVPpPRy47AfXLQqpyCXIJ1cSV5jWmtrE5h7oU7w0x5RjM
mZikwrHfrUZ999WMp5nX+Ji63WM0jMYLVKztkKdUexatUdvOEROIjMDVODE5UCNKZky944556hio
XlvfYGAbmiCR1F2TzbCes93PtY4W2W0X3D+4Rrn0Rbht+zp/7MbyjnTh9kb1xLgS4ySfQ7PftkwT
ITP5pMm5PLgeUmPPyPwPbBJdMCfTin31acE20aMqJwaezvo8Nfl4xbJSPmIZesGKMH/EC49Dg0IQ
eZpGnGr0xju7WdAtmIvyBOQQKwGj//XzTWPABbGn7sasInIUJvnP52M7Ng/tAr5TsCgQddq8L0ny
M+vxYH68ImEqbhyj6kjB5TezWkr2VNbxjSWF90pbG3ERcu5iit9q4zEhE3NnsI4fBaT7jxGNods2
3ln5Be026T/1XoZDdibedBxC98M2O1DiM89mYjb1Y2iq15/P97YhqSqs8hyLtnwjECaI0AJ+mOYS
EKdj7SNJRlS0zBo0WNFyzpnHvSYuL3Hq6GWgb31x8skPkvU/MQxgnNjV7kV32W0qdPloh+GtB18/
iBrHvNia48+oIn3EKjl9VDjBDUEUth2+dAWBsQbtUPxn8fIhquyeZ6REaOQALanFYzLr3wunbZuy
e5YVU404zDZKcWAflse5A87EXCDaqHkkvJHoCgCTKNBYf0RgDA3dCLd96d5aiP/vOQoPtPY0jpuS
xTPkcXPwXUBtNodDK4anKmeM7NGaZ3Q1V48ljFHzGqfLk+Wi0HchYhIF1PRn5bJcWem1IR2TP2w6
PGQ9C72K7YesZdHWU/cb4rDzkdEzEx1/O6OjIz2VpclOPMzYqDkfJLgkWcH3ZoOCoNPhI42WHlge
yJ1h/ePpdWw8LH53dZPIfcAl9tGBpjqY614qau5xIVd1DiQOdj31kRp/I8JP3gs2/NNgWuXu59Nm
PNyXeTM8gTpRsHFKeP7VF03W5COccwKTJmaLUaq9l5yXZ9dL/OHHzg4ai7+L1IQjSvt0jKKjzAcY
8Qx0WDa85ZQOs7W1oHK9o/jGybFee9tGnGGtNqiGbXOSHMyrSAKpiYz3ie7eMexnYwc/JcRfP5Ca
RKNvGdzpPhbx76Xo72hkM6xG1AJrDUgENj/YLURkAzIY7L1vQuuCIhBg/qk+mgiL+JIxACzkVH0Y
xvxUWE7z2I9jfA5d2DKcZI4ojSlObO66GHSUUO3RNKzyY3Sw3Bg3dINpxzckaxZz9dR0cOLmyj3G
FnmPUecvH/MQ3oUia55Isda3DTP4wG/08kH7ArqhLhFfYl95ElBWf76+GvurkYzxlsVsm8c0YBt8
0qx/7+OGVrcFBwF/WT5n5m6yS/oPyjTfsYE3QchQSyfWxfaEOlYl96/vq5MznQtBCygRPMlD0y1b
MY2QMR3xVWIZAwK8jjF5cowYy/BQvTbjqyYe771iPnpGODfxnDv9hz+g5qTEAknzVUcOsgEzl6ud
57nTBeej1J13LXwDWoT2h1EmVNmQP36+ctbOU5Q3UKjVc6HNX2kJuGVGm14lrd5PRnbhNIAYIJl/
z2m8XTw3u9GaWbfRU2TH+aWyQwT/Y/UmnGLax2nX7xIiIzYu7TDKNYiVWjQfal5oJ6TSO4JI+E4S
1ApRbj0xR+dJ7vr00jpsDTINCJNGOArtkrGue5zIg9lF7GXOYvGbp1gzEh7nvOnbI3IysauhnNFR
ogz3ckaksc9x2e8qbFmIf4IELmpAKVVu6hbjhUH+k1q38R434aC5uKry1QUUq3h2xXL+eaK8DD+W
UuGvWvtoaIvsUIRlejI6udCD3llop3E+XBdnwui4qBYcdvjsJHC3klgFbCMJXW/hXZKseanLrn9U
+TqutTilm5NlfYR+/ZBGJfeYTyy8g2p2RWSNHI6PVue+ugNaRIbwVCw5xoO2PUmqW3QNkXvMeUXj
Oj2Qdqx3yew9zsQEle2IjpFOA6e+pNuRXzptnDC7RNJjAgwHYuoxQNOrVv2U3cD8feVZP6Bre8PW
+QayYkF/hQjLL5fuGoJZ2fQDlU9BDiod1RC8hWiDpM5owc8s0Ux7XsLKIPvD+EuJB5lIkZVjKbru
owNMFPcb6IqmexFxve2ISn7qZcWzaTJAGLIwyDGnApYR7WE2zeyQNma3Q5jDDtw3B07QpFn3hNUW
M9DWjsqYozZWfDmmgHCy8JOD3BUrHfkc7jRjyqivMnNIe7IQ767XWHVJ/tHmya8YuwDe9/yM6OdW
9pg6eKrP6YIR2ctQRjhqSwMSfxfAaliALhr89b/Lm7bAHxqSUdsgLQ4S+8XqDUpvwzlHIbryTA3y
dqyhEeLAzkD1cpgVg/Pi8TcP11aG301v9RhWu5Ac2lMBuvwt9mBh86fKqH2PsWyzTTLqNzDi6JpL
CHARfkUe2HXIQmi6RrcJSKJjNXJWh8J0Fy88BpKYCppupcGWyrJoM8f9lI6FB2c1bc8snkQ2p0yv
oCB01gsDerGPOmigdI/cD2WA01DeQ6qN9B4xWXkbu1TkqVn6n71lvUZZVpJKwcnFZBnfEWtSrIvx
kWhOzRKgyCJ06/fWMjt2MpHf2vx9jBTRYbzQG3MGSiUMwGSDGDLedH6Fp4HFSHXFX6c3OJjYBCfn
qW7xC5sYHMiF35aEQwXapC6kC3zlb33D4AjeqLNghrr6nA8RPyjSc+Je7RejxFEMXPdKIM/fApjy
2ejd5wi/8kPNRd54YXnbWKxF3tiJi2oqeYH53kFH1+cGzPGnXxCs25pzcraSrDuxRZXbvuS+r+Nm
kxRTc19okuJm55YmjD6CpmqfVp8/S7c7xvXV1gZPBACqYyuLhlredrcw2C8YILq9mT4XJUJXN77U
vgevyfmkBzLD4OCnRMM1DAHThvTKD+GSkAn02uej5tZsMclWlX1brSYzj/9xa43sAGNkfPthvM1L
ez5w/80bijEzqOM02Zl8A7T5T7D2jmFcJDezwHhHPAr5SGyeXQyOg0y2HVUgEeZq0KdUDn8ZuY5w
PjwXQEHH1Lc6+lTxwQjmYRMPxH40ocWaZX6zRQSGwxgt71ASD/FxMaltfcYHm1oXMT3z/AvHaH+H
3hCOsTafV0FastYSA2K9fskxjnG+XEJZfi6kS5Ye8//CZUuYNVCvKe7OtemzONt0n2AjGRV9Ttly
EBs0CxRoUZfckDPNKa6DT3o8R/U9U3twFgNiyqn0g7YpgWkYKvsCUHVktA0ZGwgw6Lcyo14Y8iO7
yNkitQbsWQix33gEs62vrepISud0AFYTFcK8PLpNZ902hIqiLOO9UYags7YaWzKOamg3i4ELU5SJ
w3SdbZ6xOZMYtzxqsoa3FpIlOn8GbvzYLT5IlKWyyTnIG0n/1uW2v/dsXlDCJLmS3UkaVvdMrk2/
TYz+gaK/24803fDUwIgdUOF2yfhlL+MqizgbWSRggc1/qnA7M1X+sEIAuzRrYqYMRJzw87htsUFw
Mm6skRUsrbZGTpPYYmZ62+BXxEyMTLMGfXVbxmN5EI4udyBoka9RqBsMXA74G5EUj9njz2/noxVc
F0hR6vFiZBPwS5cZjfDMHrpxg34ltx5rP4O1WUc4m9ellvYdMOA2IINKX5QmlG9UNBZ+fgROqIde
EJ1rGP19tszu/Vyb362bVh+C4A0aSyQLivQ05SMBFJSlFf5rDnkGReV6MLcBZ29+zt3/dUTMUIdd
zJQ0RcqUoqlPcFOSnZ9S/A9VN249GHQfU5Ox5KjaubbtSgaOUKqtt5VpIZAcCyps0xrzw2TX0YcT
GReYX8vTyPAUZ01YHsoEq/RPYQXx/FgYSMwHx0H9YUGHiYHGRerMcx2S23o/l3jZpym0tqnemkZx
oVPn7Xzt3lDlo67uqy2GOOso+7I61K1307N8XibFB7yskx6+k5IpB6vmsIliyT0qDNxICCdhvw8I
RCoSQnGWomnJTX6pfiARCsxINfB5wysSjJTtwKjiHJUzN4RFu6eKkb2GcXPtvfQvlD7m4TV9CCOy
Hhc9SnwWf0KaD0dyifbz3PdBb8O2HsjEcDKGWpHfAtnSNIjZl5I2DLDeJ8HQooT1w+pvNnBwpEmx
mREoHeLYKA8M1XAxR2PQQilUqyyrpCWgey6V9hU6TcGHtLj4iyMOhrZd7OSUL3AKd4sScp+V2Yeb
kfBtMJbb9GSPUbW5D81IlihwrA8c5cY5RMTTFk9L2nH/MdSik8UlM2r0QY7LmtdPfKOUos6Lve5I
omiLcot2SOli9MwMq98nXOQjIIXUmnkIcLkBA2mRzpuey6iL7dbFG7UFlMtryFH4sEsJZNCLumkB
szAMqQj68UqOWUtF0vx8qPqEVSBVkNbCx6mW22kAfTPko39hN3iBd429xpopZkuSYpyEIymopV1E
l+pDgCErGxZrO59RcICZDkD5bJVzZxDCuEubqN7XxoRNxX1HxvE4VeXWzKBuOPaYbeNTlLkIQRiA
L1nMSMkebpd1EmQWLXw3VdcIhvsg/VR9CA6llOV6lEUaa6OKSteJGZK8mDojyInx2Xxq9I04AG3m
rXH9grtlFJrWuTqPvvOlQc5RvHpHhv7L6D3JaEFhsE7BKlGtBlNn49fdcSrSe50tD7jxXim8tybY
YKevPqXExlxF4a2es1M73NJZ2jUEoygLDqXMOdtM2TdWSAgfBJwS43BQQ2/sGzu1aNzhjy94ck3w
oD5yzI2d53hEm/uw/UVaQXkYzImWpCPOquqPaOeKnZiced/FDCd8ztNjiFCTZBzfhE3sNO1+zLHL
6f5blWgPy0l8oQX/PbH71iJFp4QdkinKfZlewPKvgeL9m0CKT3jzysNkv0bPTFpX0VyMdNHounxE
MT2NuM7tp3PDMZsHAwqwVczzTVlOp8TiajnhKE7xRNc6xS4HwdMUWwRq5JzZlOv8DtOm7r2do4ZL
Bed2EVZ7m5YJWn4DU4KV53uZ68fCYtxE/lhQJwmQZ9qYm3r0d5roal6WucsbjZRwgVgFp8Vp/LV/
4b1PMv8lF/cGYzMtOeOdCnLQFQnc5vzFQtltejROW4gKBBp7w7tE2oh0KtoBnFu4mauE7VIE3kiz
0MSOw7ynIjxrOdidPNjeWCGC5maCtUeB2U3baJzpjbsh8cIdLmnUteR9LXW4b+3iVpNldBbwPFku
ETOzvqJB59W7dY1EdP0jR+jEWw4Tg+uiBneX00QeIEFpDxHrvDGlfwsHWD5KyDPC41eRWCFNOUYx
Ebv68IFvoA2a+deYGAC5s45blEyBzLF3XR/97ZOSTnc8ewHwJEo8FT8XYYS4EzXM3q3KfoMyfEac
tTzUSfY8juVeg4Y+yI72sRbIwmgMGoHZGw3F7wFw7FPtT8le0mDdVj1WMGKOg/Q20hYNNjybk5uf
dU5c2Kj6G85iYEYV+fA43hD591CewsZjDbWRwYe4Fv1ZmQyDHVjvFfuWQ7vYMvS9R4/g0DXNn9Yz
2oAM3mJHnFJfm0hGW+YWKVXs4vqIdvtbACJbgroYKLjlpnTlNwFd7SZt/zDTBOdkgUJSU/Pqh85B
uCKgAn1WZvnVeYSbSPELpNlg3rgUBI1ADylJq3ZMk6oVbuHW7Mgu6+OT3aKPT+pvD+0J4lJcqSHp
4BRaJ78xHyofeEjEgF1ScXqFeGnByDAEv9Rqfs5wCDjcRdzB7Cm6ACKcdoXP4MhM4XgVoAvl/ArI
TeXpe+1QGVqjBaYtQYiv+q9i7CpOq2WNzEH+cYwY8qmzIZHc2Nt0EQIw/JdGLKdoiXcJ35wGKiou
NvY6gMSolt955Dzl0/wb92S7yUsmVmitsZnCr6e1/y3Il9oca09RmkIgYFbpXgfAm6rMYy4i5pIG
2tAGxf2c0hel80UxQGIei0eM8X1hLrj8moXzkfvDVwbyTobRH0MXfCcL/XEi+FX0izPhlUDHIbbg
jbE4L5/CZdmX63AT/gQzn+ogGbbf+K5HCBBi2d7oagD7VbQzo1+oRRoAAzhq4W7JjTPEn0Dd2MxS
a80lvyf5csDYuhRbuiHdXowKvsAr7acgkX6NJhjHqRX73IZNdzDtIT0sxHrXtgtFzfMfSYoICqIC
gwH6kmO1znZewrvIWXuuyn80C9rPisk7u+QomqBHQlNAY8S6rt2VzLQnu5A0afXNhOmuVmV3S8tu
PuWFdeGhQzJPE96pf/MVcOdg0Mf2fumwQdUqhWBOhclK92uq7OnYga/TtktWNk8lB1sjvImznYoQ
vM8qKrYyA8ekFC2DajRu0hzDU4GImGlLSW7rliuEB80gQQ4jTWGo+ShckglSKMZ9VH5nmci3D7Ei
dvH/B/nOa5AvQbr/TZAvgrv8Xzm+fPk/Ob62JJHXtiwSfJUpPMvkX/7J8SXhF/yu6ZHg6zj/+S8c
U9esXkP+L+FRw5lgBwGoEvJA+u9/5vgaBPma0v7X//t/CPKVnvhXjq8yAXjxMzxlSik9R/jev3N8
kWzSuE/V3nMm4opm2e1n30YRZ1Qj2ArwUymt3AAIuME/5J+5kM6uRG9X1mK+II2DrjAIqIVzXFy6
VftY4+U9oWXd/Hzq5w1njILAhAXASUjPmsPa6vzOMKF3Y5edK9HFlyJq/kyAIHfKkBDZXazP5FYR
Zeh1dJwb99lFPXr+rzcA/UkstOGDmyqpz7IuOaZHkORzlGvr+3od+f/zbjPWREa1EwtOKeYzSuf5
jNzO3uFp/AYi7ZylGpxz7HvE8q2KOuhoY9zsYA16iGnsfOAwTSsb5xAltF6dEmbsBBa+7Fi1NHYW
sewTHNSdEXRkOK2Kq6y4cwm52sMnnUVB7iaYFxpQEPAKJLl0pELh388M2qgk6bjJXP6CDPjaR6TJ
tWXlQCua7lVsfo1DcdeMrrNNB+BT9mubInDs4mbcUi+SeclUyLeqz4wCigrCjzbIJRkM0qw2nWnN
ua8+/VSMezT/mAFZ+ANRGV4QyfyqQZrCvoDsZ74LPeNWVUzcI5ws3mNX48j8NXtkjtd+/ALB99Ev
aDRIahAgG4i2MWdusmnKaW6Uy6Ge3V8om3RAaCWcP3fV6DRREKEGnOj4bA0lEiRoHgx34PQBDNNf
BZ3OjV3FMCocSf+RvZFBI670MN8vVVxutdU8hJFbbcF5pgw92dRS8qQS3ZN+Jq5xDAyF5JqKhkFg
zcwBpLX3rOSvlhZ5sSa5HGxQlGbr1HJRxavszC9mGM+LUbw0jn4f1mzMCGSyL6Zb1zBP/kwdP833
tsuxLsqxGoxiDePp8rsiKu7CIvuTTuWX16jbcDLJz5OviJ/jzchv6frLzRyW8bYh1gBTx1nHHd0j
u/2DvvbGmzrjYuQVM/MWU5EPGTnjoNugI83y7pbCBzZjv1Y/mb1v2y0mhID2RaAKKwjLFoIijM8O
WXnhXe12wPuArqKIks8+JJ2ZA3walKb6dE2vfHDhDFX2DkHzL5yAqLIXf5djjdsuvkfCVe5fzNEP
ljGvDyiJ48XmYi1LtQOVlqaIxTO1vC/wFbOZLyij94GJ+SEm7PJgVzQbMrR921ie6oShSOZOL9pU
6pYbj+iwbGugktko0oy2HYyj59qmGwPfGW/K8hCm1P6anI3Uk5d4ZLSI9IIEnsITv9KhvElNd7wq
6cTMMIfyEjW8IW0khdY4PITQjJBUG+c4Z5uWkNe2kY5+uWmOuqBOolM0g2b3nwfOLX+T3HgFvNPt
vAjdBYPfWvg5I1RAFxM9aDsD+0sxZgQh7Vg6a4LoWXPVSqJ9nYdsN6tPJ5H208+5dM6dVcx6NEU8
8hQCbMLl+eaSezYLUiDgIRJzSlv7IKd0OgNGJUAih9+Xcv9kKzRlEu7IgKZ+s3P+NtrBUl+4RDuv
rx2fMKGt8ziYu9HHpmaahCJKVO0+gd7zGqOOs+HJGfBB2erOcfQTmZ38BxURFJO17R0QueymsBfy
98rkaI/5R9/IHlB9/rse0lMKTfHstx4BhB72qFL02SaaTPudTHaqJNwleoDBPWp0yGWqwPsbx4yQ
3JcFWP1FlDidnLivD71E4aZ4MpkssYDzzIGci48orV886MTvpAEA+QU0LShhHfoVmxDf/QUV2N8k
47RomdNfPyaIN5SLgy9kbu5pgNAboUndD/ccA4bYsNEKc3pShhNeQcDOuboyUjSuZj+Lq/GXUWh9
9VyMvvRAQkwQkwd4oNc4ddHZm3dYR9+JWsSNH44TgbBN+zwvBTiKPGz++PYz50Lg57NN5RrVxoNH
wgs1UfZoWYYReG3KvlVHz7r1JsABl6Iqui+/W8SuN7ndiY1BvcARmFOgTVujaz876RjbDADtubXN
/DXh6A6oC0F6Y+IoHN0RTtvq5KJFcIUg3gTt0LhffapvsxkvydJO5Q5XOTW0nPA3YpPRcd3tUVie
lkqUD23WY3IkyYCEiY7ULbs9ZqR6QWCJk2tuZ1ffItypsGS41WwytxSmBehS9kS1AK+2hhFMWtMb
l9FdYwO1uLURLcsGnZ6dAMukN1pzyqisC3UzAFGvOXp1f6gbJwyWwrH3Q0dCY5L3LapcwWR/QAio
9WADhVsn9A7G7nAJ9xAq2TnN5BN8nY0Uc/lwsvyChGz+SrIgdnjxpBL3h/+jyLpHiBJV5f8oh+K+
Ssq++9//U66lyT+fXksyZfpUVZZwpfSpqyzfs/9dupCY6qQwnO6gTDGPqEmTMHv7AxZGMNgwbz3Q
ertSfYOWvxv46bKFdpf4HaxShGP2jgHQ3qnLVzwWKVQEzTLO8W6lSH0rzp6bMbTp9jFqImv3kOkU
NJP37eMJWNfdP7Kfh1vOFzAakE90c8SwHxQRV2bYlLQvCtAn22iOUgjQy3TQYsROqbz6pNOUJpu3
zI9QHOfHUA7mZvQsMhacZjqAieUPZ3GU/+8vlmta6t+XyzKlb0vLcS0ulWQ89n9VekaI1UEqNG2R
YC9ZyhPO9wfEmAVzTkq8cCio+LjWG7sHRwTJ8WGpqueoyO+B3HwtXdkj8gBQIEQZNBjCZjxDdtNj
vRlI9Ctrjsg+KY7SiuU+zvRez/uoQMbnWdmdBW1PjTT0iwaAkkJ/ZODoP+Dc+PZh4WM1FFBMIXFE
DOsDzTBX5PaT7tPHuRohyZlfLDYTuP32BQOIiXwkeRKn4ofC5kHSCcX8XYk2OXjTcB2j+B7Gb7zt
h+nXgK+fLGzc88ybPHTeY2zsWxYLz0bSz/DpVo3iuriNODFDEqbd7u0e1bNnTL+HQpjnoWleQJMm
G90w+Cik1+2H9oLfg7pLNQ8oTN6YlxeY2sc/JBRvaRRn2zYy78mZPSwZqAGazcgghvjWHnKiQTos
0QTPfFTDX1MMLZkGgHt1dk/OFLqtnA6lwUB3+gZp9dsZSKdNa+tlGskh7uziMR0SjoLi267eK387
O2O8K/3x8gN4r1Z3YjoouPVhadPt5FAPXaUEz9FBMivowpmbjtkQYDbejIM9nj0jPHmE/fznP/zz
NfWCfSIs85uf7zBX9Yojw5a5aY25p+9o59NhmtJ5a2eQSDFcmRhO12/p4n840tr6D8bOa7lxZduy
X4QI+AReCdBTIiWW7Aui5BLe+6+/A6zTXbt3nI64D6WgKLqSAOTKteYc8+P2BrcP9edDLD9MdR2R
Tn7+x+f4c9OWTBNEw1B7edift0O8lNPU0HqOBDMC8re8B+Na2q81eNbbI/++9O0xSHtUcFfFvrj9
R28f6M9Nd1wYhLb88/+5PddONd3vyapgEIxfwSA6odVsZVdUorjvFzTQ7f4/3yLIJ6ydWOXlh7f7
b4+4fZvp5iVyKR7/Pv7vwxDv309CysPtrtuXme4Y55imHIHdInIW+puuZSatNS3HhjsWHghHj17D
XaAocjd2dB+SPvputN7dFBqa2NQCoim26lVaDbBJwDJ2gIwM/g6lOLg3esPAwpRxN6f9mvR5fJuZ
dXC6OvJ7aQJX4ACmYpal9qi0RU2IPJSWep5iJvz6azaYzJ8SvPNu7ytNQpGTI0UqQ/wZRvSrB8i1
6rSjZUrTczOApFSgO5RzeMRnK/ZKbUy3xUIGT2X9O1GyXVwhcmyUwPRjdxS+VvACubkvyqHwtbQp
NsHQeAQFx75VvzAofyJXNUVKlz/MTQX+uvvJalvz6pd2mWSk5jmhll47DRG1DsDUu7IlVgG/AoyR
S6dU6RbsI1lHmPHTtCbMTyEpJg27S0PabcQeBpMcUxJwKx9MgItVTIObmLZQ6vCSDIrVyooAfzBO
tE3lx84eJzfrfTd3qEqNwvBTiD5rPcrocGalj9wBOuAwjtBRaKfVFmMhRDfIqLOTUy6XBRKVCH97
E3WeUF7MuABaLiFkYU4XpW9WsYlXwipficHQjnMBbBwRDsvoq5Xnd21ptBwTETbe4UkR0V0HcdI3
VfN1afGthWIh93EZMisNg7SskO8gXvgV6+jfEoC2PnqybBX0xoc2u4zx5cZkzruZxzDABPShhtq5
DzmhXCBGphh9dGsfVVKSn6Djiivj/IGF/mqTfHqNqidiN7O3Jh7fTFJrSPLLOTwsStmAsaioO3pR
YsQpDlR001DW0IpSHm1Z5m92QZBfNdHpqrse+5zs8OqjwVtZmSGRvtaTn90R885VMmjxUQRB4vU1
ybzRpGUrFq4SRwSnCf3RpKHrHrvZz6y39aHugj0AfxhfTOvbtpZHg6u2ESEDq+3iV8lONBpXqRzE
k2aCDVWcdjdkTfs2pgLzuvJLGBMG8dQO/awdNc/Upu+yGVVOOAPFw4yuWCN72besu7IBlJJMkXW2
FcbzREjbGCaDJ7Jc8U72PtGZLUmAc+2je3xjqYOsO8pHsG3WJhrc1xkkulQhmUKULYGEQkiBbjri
/yHYDbeGTzZDvDY0VDQk0BByuOnAckt0xYdgZCmNiuFiaPk7cqr87EQ2nCDxLmgzVnj4GkIkV3qt
gklT0H6Q+NgkewCv1J6JBAMYIHvuGcTpcm/qGLHnGi7I0JgZkeb5wygdfUcCQaGwyezS9oNtEuOd
sCDuNmCOPtctIp7QRIPK5kTFw1uk+VfY0cQfoXb4dUZoQawbBf2XmZVz7L/kYFCSFaCCbKrwleij
wzRzkpZBB0YgLn+Q2j8iYEi7abwrB1KLMZL/Dib9pI9mzzwNpSTolpyjuz/ZMXppNBWjXzaAJtDR
HmB+FX9u3b5tLN3YK9ZOIx7ugKFRMGwwXtPKfrNDoyAmeg62NNAPTDQWkykRgAd96RophV0c3HnG
iRmW3Pzz89vN249uj7zduj38zyNv3/99zJ87bz//+/Dk9kZ/X+PP0+XwUU92RzIcIUi3Lx0BVP9J
RvpzM5ng0P/jR7ebRuyQn/S/uzeHTkIy7/IO/3ja/+65/3gC4bzpnsHwSsNKhdU5IHKNQ+jAFIzy
5fZ9Oee80+3nw+3e282/j//z838/9O9L/f8ffvvJ7e3+/Wr/9ft/vPvt1f/b0//eNzZiM5ZOhbnU
QCe+fCHhhYQHYMr/z02taRTwHcu9+L/wijNJdPZ1RRUC9hDSSnO43eoqqz40ty9WVKje7ebtztuP
tRQcxfpfz6EQ55F/H3R7DpOZ//P0vy98u/XvH//jNf/xHv/1jW93igk6+cocNURzfz/u7da/7/zz
0iPYr5rs3UnbM2m5dvS2Pa0Qr2LKb75pRqhJ/TiyffJVMyXpsUDVNOqnDnn4KpeOcZf2ZNS4yjEN
S2BueL89EVkgnhchGhyC5jMtacaIIiGCPhPrsFY/WsLgC5sunzazHYrFlG5k94636UnolJaYUzey
rYxVkaF3rSDsEUkA1iZW/JASepvKS1Kk1YFWwBtz7yVa18Armcy/nJj49hCRA3JmL221lPUSC+MY
tD9aozeHDiNNqAxYNyf2Bq62UfGPwUMfZi9ywIloympyrfJoBLhtO8lls18aklpQvAeiWGHyASRQ
CbYwkR5u7CkmWdhI1hKkiD8Bl8RlR7OlIZuHdNrWb1vCcQE3P+KtD9ax82kuMcyJqLZhj/TUrMRP
3xuvBY7aZVO4Rxtl2HrkTdgVtqSgJdCU3YguMRoGtCxATdBgOxmpFUPOZDd9mbX8yMvmcMLQlviD
fMAl9oUu+D1l+fabweA/bzyjf9XokNbFWoLnxLUcYvVvu3OGLmPjuvQMEKEt2qLRa4X2XajzKamV
Y2irn0Xjusxt3W/D7T7bMLhAwFjpzO1grsNsDSEAqJZreygxV63JoB3+RIbfDHREkFH0aErJnDYW
LCv9u+2Giqd3wmSIzBIG7XKvqUnNZ8Fp0WmIBkhA9mmTL8k/5h7f8aWlbNpmOdhCY6GyAUqJDs7Y
74ZiCf+TNdYBNhq641rHfFat45T7gw4elYoSJE1kbEVqsE9pCAMhOMobl9xYKbrgUE+Y3EnUMdY0
dmdvTqB01+Ui7DRkutVwKYGOxTTbZeUWKiCLLpmuDRChVdYjY3Y7bBenqMtOWZ5LQNlLAg046DVj
PhJE0apCSkvBk2Z6zJKZfKkTQfR6VGq052jlUE4CT+WO5KXrioDOuDptEgOjtUjrX0nUPpFeaxzI
Id2UaQNBYR4xrKO+Fun0kEBZg/Q12espCt9jc/iYww6thnIRJN2dcsLfwGA2Hmp7TItN+zDrBes8
m/ZViXCRkpkfzm3XbwuO+hhO1oPZJQ0UxLv0K1Gw9xgKfiQtDWA9ZV9FYX2XtW2Q3SfP0rYe8X31
6K0GZTUUJtEwWPGp68P71A4sX8tBt1tT5dtqu1VDgdZB1DRRk9YrXCBx7lkXZrkWerkeJqQsOgZb
JiasQFh5o05BIpEKz5jmLda44qJP7bkjBnqnKfafiODKmiiB75xoRhFlJwAJVQgxHBBAec2t1tlH
orDIxZriGnQWMXvOkjynliFUvQ7ZVewuw2yqvbXVY5S3WojLbagGmNhcv6/o0lCC6L6ZOh92OtMs
6udrP1p7E9ILTJyBZEZjyd8Kj5Hx1rE78dnQF17gEEbcs6WYRUopJofNjO94r6Hdryy0MsjPBsud
PVTkpNh0TrttkKTxS+aq6i6SmqClm0/kXMAp2rvxzjayaN1W5AAZc7Cflsg9kgdWOjr/jQKV2gO5
8MvAuVijTV9eJQtmuBUhR24zxvuQCyjDPSy1aoNRAoFrHao2swbzJSV3E1b6QxbEwT0ifyB2uVsh
7Rt62Jt6f0r5Q7XgQeB2TVgXq2kNYBq4bow7vizb0zBIY6OTUYkVXMHVERFAPgTpmqKdudFs+4NB
SmJDkA/9Wn3yWVS3sWA6Pdkh/S8b0XgSkt6BQ2hF8li+ic3OJAdO4eluw4V4Jq1OO6hqr+7YybKA
DsfADkijVmwuzHn0ohh0QFx3hAaFG3zJWJmozQNYfMiE0WiPNs23YGoFEhr2ZiHC0koGFrQvbEDW
+zjJ7uKk0RsZN+RKt8qIvDzNlmaQl+VKChGYsUthtgR5ThUjoiAhSkaijs4xg/hqzk7IsMqeRlX8
0cLBxzMXouIKizMFYX+wkvISJDN/SBihV1W33hr1Avu+IZN7yLZ2CwjYfJ1n86qp9j6iivQHFd2I
XlbZqyi+YnX0DGtIf7V68FjZEPosWSmbPIF4p9nQxvs2ie8ABlhyKDdFot31Krl1JpKikXyFMQ2w
lKgsGnO9D7JshXr/wxBAk3B3KV7aRcxx9adZggYHay8xJczltkewPlQcA1A3mQRDn/KyRW6qVwl+
Oiv0B9HEx8x2voJIm3aO01grqJW+XYFjx9ibQCBMy01n5lsAN+RvpYPcySdVFuaBJvAp0N18C/aT
VCnN+YX31EbXjIQHHme7Ul2GX0BXY58FfKfHXLBKBdCfRcdyLJQDXDyaKQpDNVRqEHM181GJsmMS
A50JFz++mKKC3KFylcTtQPlqUtWExuOsltYe/tG9Bvff77J6QKysnpVau87NeNLw7W/Z+L+FKX6E
WSCi0MaDrk7SJ/Zmeu1flJp1rMma4Epj5Y4xbLnVhuBD1fV9b6by2BMNokh4FZUcuTwnWeA1Lh/a
UpIHOBHnxPqGe4lkMiHAsNGsl0JDqajmhOWFZUWcNg38PAs+E/xhRmllu65iqEmiMfWVwhFWObkB
fknTV9meLlyFiKY/IMkFgFOntk8DNjuaadrvRxqqcDUsEsCM174iUaWzTkZnxwdFJQONpEWvSBVk
uozvyMypT7ybc0xd55oNvGMOlDXjWrjKaBI1AbPYxcU2ufV8hPP6ZXPqj5leXGrIhWuo5KZXoRW2
JwuP1+Q8yYj1jYYh+/+RxLraqthSDMgCSWPY2uRr0arEgqlVxDTF8JJKBDEeebGG39lvA+PsU9FU
v+akl75iJZ80M98IW/+u4QX7RhVc1FLDelRA7XOQ2QCeK1jSmyDz0to9MCgGAJISZd2ND+ASCdt0
cGu4FmLCxmg3Slx9JSlEMRwWvhn11LztDBsH2O/QFvYek4rQSLpO3f5Z1iGB91EwXmWhPwoygdAo
6ys5Ey5UNMicgjoEGFamBESQxCWGlPRTAWBhFs8i4Oyx2sHeczQ/dYPO1EUZpD9o6T04U6LYegBa
JpxOxFSZF5pDxEdSf7nptJirjGrXYMTHTy9PmvhyNKRjQd/nnkVW59FKQAgZtrBIQcZoq3LD6Lpp
1SVEFFKVuqt4UHZ1NV1M+kL0wGlfIRNmEDpCNx0zuh3IAneGm7F/T+CUh+m1JmIDjcO7Y/E/yGfE
UpGAUBFj9XbhH1U5tGgDDIxtEYQDA1PGcmOoGrPQIHpRlXs4HgpuH+UzFbhY+oBtzdIkYVc+OVt1
GLE3kBNOqjYw2Wl8MCHSeQ358uRAaZZvuLKFsUzgaKtdVUV0e4GbUaCBAM0YApPfjMMmS/v3wsDi
qTj6SGlc+1gxMqqJkAYeDB+U2oOUYEVd4w5PP6skpjxK+FBH+2CbeMQKZaV3/aGmtYSOcLpwOa6O
3aIjIAESDXc9ERMfETyZvXP4dfy1Yq4kA+ZWDP0kA7kD1Ww1fuFkQJo4SfYX2IZXDbO3tZpmBxcv
e9FfjRS5ujo7h2hOEciC7LO7Zu0axhMmbRQR41ay/9wAsWTZgJ9G+97PC9RtMZ1EZv+asom08syi
U2zDmUKAUAXfZTOxSktQw4CuV0XVvzqcg6PW0hRcLqBDW56tGNtuwiDOVMVVcZtTPsFUN+OS7dKw
7WbNotdJvhhLBOEa+dIJFU9SRj+BilpaakiCbXDkdqbA/IFbDiKAYXVrrawRSwCdk99RV/wmGR0k
vwaemmiEJXYyewSgep70+rEB/OR1LvEZFYmuOhzhOpvTTSoRmRiJthSIP2VjPheCeZP+bFu9uSaR
AkRnjQ/GIIIhzD4msIVRV15rlzxWpUx/S0dccAAYngEGs6EumsY3ObrSB/T/TSgasSjIeUVE/GW/
ZAnJZiYQ4V4ifax0xt2WUF4TW3sOrOZlQTgTtMYcGYCB6lTkaTBB883Bi8cuoZdNjxuD+zPCTlgc
UlxnaEy9ozwoLk6KBslSrb0wlBA09HrDpx1/F7XUhlM3YsZuDfxop5gSiGMHmcs4WZD40rsinOUD
WaRen3fjBmg8ydlBv7FpTh+GqQWb1r12c9yvIH8UXNe+Rtd47GqaeLWGgBcSzIvLiCDPB+sHVRO8
vsyDRIjgvjXfDXN4EXa7ripqgvrSpibUC4wWXJZn1OPg0uO+P8ORhLBUGeXBKdmmkOC2skk3Cizq
NBSanYUEi5TnxBEZsoDbs3dDTYRypMf7zmzYMuHd2GkT8pREQWNuIyXA+7HtgxiHn5jA3KB7DNdu
4A4Hkp/344AKUzPJybKL4SFv9e6kfGg6DpM42Vg1eVWDK3EVN90nm9XPITKUrZ6g9ASCfYnjlLnB
LM9GrB7aEH0TfhEykdJ9kXbfzVhXm1oBsA5lYFznM0tPGIfHES6/lS1gendAuQr6g+tL89R2NEuz
UOxHJwa2qb424cjYTjE6ZoO2w4wL9VXQNncA3pYs0gfMNqOvmDCPVSD/2A2B8KhOudN7COWSnjC+
aoKsnE4TlKVHGXSIVB1WSTw9pENEjD1zvBNMHCw/ox4GlFtjcAhWUWVO65Yk6JXJCrYabFvfWu0u
VxmIpGTs+Vao/WpNoW5lX7xBs4p8Ye2UXrkzZfSFPOjDEjhBeiV/LJceJslEG8cG4R6T2TCWM+oX
qqdOdaEfx26K9YG57zztI3v+CkN4G5Wb4chSIXIzkCS+wG5XY4nwT2tR7cwk09qlYHaKi6RyYpci
vHuhfc2RjRy4u9OVpcktwnDd6Zay7ojE20yt+VrEtJhpHfxks4GiGGsYqhMTJTMQu5FYO7UN2EGz
snQzoDdGR4eijEyqpbTz0LacrDncx1On+FgzjonuVmjWyU2JcwjwzDQGwgA9QnmQ4weoh9pF52cU
Dol+HT7wxmW8XxB22UmGrUu/InfmNyhDxm60NI+RDNdvvX+ak/ySF/O7blPXVIhsK/lDI7g+TaQR
eaa1jKg11wu7JdltSuJtUzIZjihCC6y1qyox9hbjfN9SM7FNLWZazTAEOyOFrJUeu5kOuiFq91Gq
r5Ik2lhBykETh7rN+BIouNja00oEJ7Cas/4zytjEwHR84JrZrEeFpLYwc9jZje+Ac4hmG0EAyfL3
mDyiT7uPpuJz1jtEHWT6UESrz5rdE6OViWsNVYzBV49YKuqLe4k2yUE9su6TbAZDtyoCOEnPY5m8
NkEP4m6i5wmaN4kmAm3NCBxJxVC7/m1pZLAYdT97GvsXFBPtQ8YcjIqX48gIfjPvSdj06VfR7PtR
PGRDuR8zUMezeh+wdUT4ifdajzaOhSoCXwHqlyw51zls+iioMh5AS3KqElYQ0a/C/hVKJr+zuZ18
k/DgSi7Fe8wZmNstqEJDfNHNwHugsivUrYOold1YzJdsaD9jtdspotqD6UXnGYkD4SjoseFVLVdx
q3OjbZYRP6sFZ8e2UUan+idz/NKbih94+/MGWOIpmDibMS8nmzit7iAhatLWVqVZPtdNhLZDEAc2
rZ0+WFyHPd1MBnNtuxIo0daqU+O4ZrBRPIhgftElm+yans4wKN1hLv157MFt6dtas34NJooLsyOm
SOjFDs0QlNt5wKCHvSIa5quK+4nqGplRpWc888ecpwiYGLEjM3E+cmw+4fm+GBiSweNR0UHKnVd6
jmckpwtV4IiNpzYCpKQ93diFty9/UYa079RD2EEGdIxiA73FovkwaQP4LgqPUXG8sglRabZJvaMJ
sJNJWB3CkMn+aszZ5BaMibjqcSe/G7qt9gDuOs50FwqKtfQryVMv4oH0V6tGEZc5M1keS5NdVhBO
IG2iuqjEFdiE48GruWdCKFeuEmqHLsoZylX2ln/FwXAZ0NSqxRFYDhMTPQV1bewuA5zbj2wmc8tH
woIWiHBbWEo3e7XOaIcMGuaoyryuE7I0xoKUk8BOuLCHCX/XYtzZy5TdDoNy0zSY8vjd7vKKGXRc
g93CHpRHfMaecXwUwdiDZb1D32v1qb4JW0ANDDKB2g96AcRnCQOl2KVKIM0vqiIMsMSf2VVOTygn
qlQlBG2vdtOTtLv5Ys/IC9tTO5W2H0RTuJtMeVCJNacJR1MUr4ZSIU/Sc6X36okuMUQshs2K2axD
23BYsYnXwJ88blyRYu7Ga0Hg4wCojD4ibM7uRGnL0I88KCQ69H4IOOlglpZvUh85LTSnQyNgtTn9
JVEhEEO2UFSwUhLm5vjTp+qQtmQzw9dFqZwi23Fcj53or9TpX6OYZUYCG3VqNfZBFJMwO6kjOcJL
4qX2BG/aF6Qvoyd8dUBZKLrut/wJttZIesLy2rcvDhfs/7zX7XsqivqgDMNWDtC2u2W2cvsig6qm
bVceRolMwv4zwSA4zmsL84sd2f3t/ttDm+VJuhtFW7tkUquLEfrmmCHe1dw1juVlpoYyID+M//fW
7T6wKoRt6WLrmCWdjSjNPRqcfJoK+lygqP+5dbvPKlsDFoQlVpERbWGbmxzhcMXj0dgX6H59cJ6/
m0h9JPoNKr8LZLITVeHPUeV6qjmUXtt9VEVY+I4kgEK2mrlyWyvYOsMw0KOz7nsy5gFDulwaU6TB
caNehUvnVxLF0ccFL2rVR9YUrvpjRnJvVG26IftQa/3bGktMMCUZPaRBy74i1SyBXy7Dd36BT004
XWVYL2MISR9EfFsSWQ0AyGcpiiueWeVKymBWG5cBPJ8eh8/6XJw1t7+2tX0y1PwLBR9PBm5FIYzO
lr1HvjDDHJ0RYbkTEvRRoIzXRM+PYT2gd+Woc4vxzcWbte7VpqOC085V1Z3SCHYqSTsPnM7dSrj1
BfbifZ+E7FzRn80dFEcZ/Qrb1B+F4s80ptct3YStxiyekcTaykHm08R8bNT+EluMe5v+OAQVoZ38
2tYS8rUXkkOjV2BySnMr8upH64x7LNsH2EGl72Yh4YfEFYBv7lcR7P6hA2re5/l61upXbKL3oxIf
1FIhv7Vi2u+iLZltKvdqQy321nQYfQLZqIfbl7CPtb1hao/k5J3DXVYv6tKAxD61l6dJH76JQNC9
sNB/hUr4ORgwTtB/eG3cagSiXKSVfM2M19alYeyUjH2qzF81wO7MzrBiayjQYNg5d2FchSwnYD2H
2ge+iC+qurZmdsYDC4QiRbVtNQtHoes2tS1pU4+WZzjZ2dL7qzLod8u/2UiealN/nsyfjLnzrszD
bYnmmkazAVeavFbMCiF1i8mGxjG4LHXDQ6NwzA6GqwDcarepA/AsaAkDipuc5pV1xy+LIgwdARdx
eIQlraCQ3ZlJwsqUA2dTRndXTuKN7lZQlwiS61y5APPUtlTGzN1JJlQzkkESaE89EtPo3OMJ3ds6
nVY6HpLUeXMNRKBbZUInH2M6ufioWijFqQ7Su6TPBn0MdDMUtmks93BbYqrBtOYN6xSBuy6gVBo9
1EojzwFCLt/+uQ+Fnbq+3Rml9DG1yv6WlSM9vbmqQeriVKCOFCRJmSrobEAQB0LfxXbsjFNcZdsq
wCRaiDg6qTswS3KvoGzA6UFkFFDcOS8vRV226zakmAZ3+HuuI2441XNcokVJGpLPnVQ7mHV0rbXq
MUMqbNmN12AcwHMSfobhArmTNa2j0Q8t+idJql4iQg1LsiaHiSIqzPuvEh0/OlNQb6UKD6/ChCnc
H8utE783o6tgAe1j5QtdPh/OMl8czIyD3Rcesj+oDZ3w3RkNyTzLaAd2+mSlU+Ql8NOWIEDt6MYj
ZVBB+Y+aSpw6s0Lg6oiI8xrTQVRwZug5TvlCqDgIZtfP++lNSUX/pEj0kjTS12nGFGuaaLb8Xbac
Nou27RJRwDALna7Br61jD+YtIbzoiP3OCvWHXiwpJK71ROOwY4TS9t7Qw/UJg3xDZI1LbOgZuSfz
ErSim7Kooi3XKZLG0ns7m/r9pE+0E3K56VXadwxgNS4OXDUJLQU4OsE5X8eBhiMhaC+hGSv7wVD2
FrLjOx0UWI7gkvMR+BMBuMapE4zNZsc+xFN0tOjwK9Q6e1Ko2PSoe70EgUPvafbT0u09TKQ4W7X+
gf69u5017Xtygu4gYqdcI+xjFQBW1ZK9SMtEYRyrgvGpavZkKg7gtF3CGUsqiXYqyCKwnO+ydJh8
dlAdEwaEIJtjj+3Vmy36TWHjywmHzHkIZxPgGyAAQ6mqfTxYH61bPimE1DMYomrDhOkMe2q1U2hh
pGlIpCY84UnDkAsxSv0aLbQOLF/ttU70C/qbw1iyJ5w56R2QP8icu9deZa+8cIIosdV7zgwM2F2y
t0WJ7Jqmwjz7oZi/c5JCa5sLdgVmjJbvV9a/ySz4tgflOTQmmv04wvs8+wosuXczw10Hc/ZOkMis
PqTSfc4qRqEukxEz/61nCfPfgZ4NYNxVEn3bhjioUeq1br2kh9+Tm6ZsnRqqISbkYPEcNXa267Px
VJk0SHImVATuGKcIenpu4xaoeD1EATqjj6xRE3bk8UdOTByXhgIunhKLO4Ylqylatj7iw0QAp0pl
G4f2MXC742ybpxgkDGYSInhqiPRo8PHNhF+E7H4Umer3WKo9pZ9M4n2aTdUBE+kiYAtY/svKMtid
Ti+NzRkTDNfYHV6L2qbL1G/o/7CFdx+YxxR+Fw1XIGfnHqWEwbnli9R9ds3xYrsk0sCfdIvgQcWy
zAaqpr9Ccwmzrk4Y7Ch0onsDnOBTJh9r5irwiqSrn2rnPajGh8XdrvOx8ZWs6E3h3NMXWpLVeKp8
GJiirUVmNX7fsq+tJQTwzDy0gJ1M0IPGXB1mpuE4CvKP2E6f7Mo9weW6Mhri13pHfXqeUwtLakz9
D2kRRk22GJelQHRhZvMVdjDVjANSqm+O+djBZjd+Zwm1S9e17bonOsccGWovqRV8IGrlii13VqKC
W1xY1cjQsmXWzHAjUklVBKCt2aQjaa3ndkQsCjiujo1L2TR7JgQtKJUYBXBiQVFDjM8Ba+Wvg3Vt
5v69ini1gkQUKwsZiMX1BzGPIA0wHGeq8t0b4J+LlCMKs9Eld5KPYhssr0hEDqeuwEANQtbK7UXI
MTAbKM5TOl845ei7DPR3a4u/fNe+R0PMeiq7ral3r21if+ZjTgJhNTnrCjs8R1IU4VGkq5US2jtN
BmgRsGBWU1JKJZgKhvAxlyrrmobyYnI+y4QB8YCvAYngOyh9HEYBe8mENhaoP4SrC7KaHJEEvMEy
b/RKuhdrI0Z0I8VPAiEhV7uN2/bniC5U1RgaEHN3A0c0pXbrgq1ijjDH1OGA0W9XwPsBBKytsDzF
O0OiNQ7G8RMbwTkYSO0Q10nkX52eMsxos9d2ZBjE2b2q9Q4HZIhvssGaRpl1cTuYOTLxI/j1YGcB
jcUa6SdUseEMgFyNWctVJQTQW8yYoJ7ge9BW6u2dpN+2ika0mqwnM2fdW6TWr8sfqaiH3HN0xg+u
uc4mizwNRz8hCwq0NwuUJvoQa69oz8LUPgdGtEOEqY8NGQFMKbYAJz0aGXZ2bbyhkwgrWi4rdczs
H+7aC13AzlfU6kPm1vesf0JS/2Ht/m1bp9ilg6xN8Zmj+hRmnNxp0oO9u9g66tYpaaAC63hwbHmw
pf6jWg8Y4NFa11J4wcWdxWPMjBdNjPKgFg7HUz5ugqTakel7yZrpbOr5uDJqJBF0dyqmVMw06Huh
YonXZQ9+jcSWVsl+OaWyTRvlt4BFtSpdhrOd/TiC6SXfaTUFIZd+jiWi/l6LOXmf3PCLmTotAvfU
lLiOPvDntp793C8bDtNr7PsJINKykaDQj6leUopPuPsVlSdDWGUXaJUkznEyN0BG7mMSXrfkl3Kg
D0zebXrRmx6MDP3oysvrgFit1piJxVyqOnWnZvGzYpTmMYF7iLOPP0/FhUcUwTUJs3MboSVj+kAm
OexaEtDQk8yaCYkAahAzj1jzdc26s6PMWo2pckoMi4bkuQ1Zpdne2CNWtPKXgiPOmxtqwAFazcik
xF6SdhUigDdRHf6KQSrXSX1vtf0D1oxtDbVBDtph5ByRNV4d1zHkDlf9r3lgeRZ99kMf4Zn8oB9K
nu8y1DlMzPE3nMD1kPE7jCjN7NRgTkLqNhoh4FEzV4Zs4mO6DhVdnUC0md4nUhMju3odsvq9Hxpi
VkBOrpIAO0loiF1cBw8VXb4wFt9pGMablok5/ap3A2UJAUrF09iwfe8JNGGqvqHrswMMi0YnQH8z
3IeiehF1uukUJlgx7VPXaQ9pwTMMtaPG+4p6aGUiq49lHT+2dXowR7kWC2mpl6ytXVk+VjTlaPFp
bBXyDYTgeh0E+YeZtwTRqA14Hv1SdVRPuO1+QXn2KksQxxQkT4OS77R0eucU7Xc4qaZJfQBCRRqP
4n66EeMyQZhMP9+nBp+YzKVgB2iWkPPsR4SI/QCRmOU5ByxZKCWZewWCCBMbzQajEoRIsFiFRgfF
CoJPjYtfozqfkJmwrOHCa2gL6YXEzRGPP2Q3PqXEsqKLLs9TFn0wd7hkKaFnObStYV7TZaR1JKKn
ngsdk+3hXqVhs/yuZGicUIR8566NuP8YYjj1qdtIsEy2MEqGlU4sbT1WT3qycBK7adshCPStOf3S
GU6jEyh3BrZm4mpejSB8B9bwYWnaeSipu0JczsBy0UOwf7PD7fKr1OrpOsmmWTuBux9JUWnNZRAx
ySfTZfGkCCVeZ1tX/G9odB8NRFx03J6Ztjdo+JBjy+JpHqDHdKjx+MttGjqdBYq9ihGuJilXcJ8b
vXgoSVhqCZul2vBKYutVtAHB2J5i+s+e6VTX21nYzxztekzXXwUNj+Ay6ZrjUHTr1tJeKzdVzjWi
yUohqJPo1TkMn5rYvVNT5n81fDLwm8XRZCSHbrZNcHHTKGvyFKAOQ4bJmn4wfxyneOoZ00q2++2I
LAuj+Zh3OMer97qxDOa/oBtVi3hLZCbNqLwRFoY0y4JLLRMV05iYaPgTJ4Aqejo0sfM/lJ3HctxM
mkWfCBHwZlves1h0IjcIiqRgEiZhE8DTz0F1R6jnj57FbCpIiZTIqgLyM/ee26CFNP5MRT0jpWJz
OUlLHu8PUG+YinRMsVARARNpC7bdJouIdvBR4ZfEthCSgAu0kgUccvOCBLTYkseTHN3eSI6yD5Nj
lZf4WuGT27VWHai5ePPcP7xPoHBfwQTj5Qlc21m2DSnlDBkzjsFin5nEMIROEp2clujECODxqU+p
RIxI7ikita0zDnur0LlPBQT1Hig4Ha5upiYw4nNgdxFWJw8ty31K1nJ5s/7i4f6pGfnsfMiGXbtd
6iNddL0DhhvOaJUWKxjS5SF1BA99CO4SadsSUjjK9zpj+3//8P41dmp5q9ShoKMGWepDMb+xunyt
zcrn+4PMsasswlkJfv+cKB0XoP2R7M3h6M9Kl7iliWq8YT32gSB3PeX4uH/Y5tmN4xk3oIOKH+0P
4v37FC4Kd32W59c0xGjkm/6ZerIe7NUIJxhbWy9vgVkutCHW1l4bkaWeh5f7g2yHEHKBU5Fmp17l
jF4bdJ4qBGUYou2bVbPO6DooZQRzcpFS3NZ+cbx/Sj15ipvM3Det0o61Fq3InEwvQQ2GATJ3Ck0v
cAhHc9EfVvXJm9RVtu3vkdW86XflAe9S+hTLbFOZMd6EZiw3qJlJRxX1d97pr7qNaDD4RMXZIFVk
fQQYYKu3enDw5lcXcOzzCGYnVzq2MPu7K7r5XT5uptos3lPwX0hvvI8gliZQN//L8ocYdSScQ9PO
8fGXm6qvVqHEoCXZtgELBq2Zxt6rYUw6KkG6eA8CL61c66yTogHw3ngXv7LI4xPwPesCvCBk3oU5
zDuzTJcHNYFYX9w/JGpyBmZk604P893fLzHmr/PQ9yxIwZrVGdMXEMto4w0fUZjjI2t8A+GK2rWd
NM5lg4Yh7moLTA5jV5Bc7HtKbpow0IOFx5sfNHy0H0m9OKQu4jDimQuya7tu4chrHk01kxMmx8zC
XISKa63iOfCw9mxUU6HcT+q5fhKH2kriJxMeBC7pX07fqZ2MxVcUMWsb637l+Gg/sMbMrYfgjCUd
idWauhjjAzG5wXNY96gZvJSQWMrLhMzFbZ0mNzyeYHeDcesmAu5gUSyzGP/cwJAY8h7tlF6kfyY/
2VlJVeyE5595yfVdwYUTS4kOx8zajTk4ahVQ5xJucvUCmyel5gnwkCPifzoyK1NId2j0FAmZ10zC
9snd8KSiiUvf6+pLaeq8p/zcXvUmMzWDO/g9gWtiHXb0Sriw1dQcmmg81TTNey0yF2POFmWaAIb1
InrzRBm+qbH8pZsssqKWGCrb0KYdq3FiDyT+ySit3a3yt1FWWk+iRcKWUwAsEFLuPJ7tR4JtzoZe
VVctHN5l+qbyqjyoygkesaR9B82cXkglU0qaTQS9sh/KRyNiFlDpdbRFu6kfHKYNustgluzvYO1o
DPpYxdYbPRAY96zmgXHxGaQt9pJo2NXKQORs6wjF8GRsLTN5G5LiUQzux2zSTgaWgFY6IHvPzBsl
OZlDbgJEGEDiVkl3WBgIyu+JdOJ3R2++GtyZoN7OrnvpyHOiwWaDYSt3U8SWMKxp5aop+bDy4TaF
jn3uWuXvDZtvGvPcO9qekcP8+vZiu3rrEn3aNxXEa4F2Ceta+0KvYh5NH6kJM7j2JeCABtfwPPrm
Rz2DLxAvtrc84Ktte3rO5wd0eXvTLUOGhQPI6lhPX9GbnYDg/sJuU50tX2kHVs0A1iFbY6kLkgdG
PlfoLeEtcK82+vHjoOFKz1SWbBwIHkhiETmPrattWc1wq7HG30SHgtTLQ3fb2LgrlRx+AfbHac67
Bh2+hEM7Lwc6n5Ev2dVfzTSAitnC0Tb+2E3zK0pKvkMDupsxBDgxRVgPIMZ22oQe05VIbhRv3Ofc
si9ASPw9TStBDYDGdcv+alPra2TVg89guKbl1JyAZj5VmQiOHR07alp3nwnzlT6EwInCVFs7SMdH
/CFvleiBioylw73XZYQ1RmLtKIwYhu6nt4AS6U4o4Kz8FeR4UwXBBSuvsZ7DSXssKzbF0Shabo8s
fcLWPukxUoCgCfRn9onfJlJf3id4KZMAtF2k3vUkPmGPa85DcshHQbBJptXHCrV3nTshuYnGBOGY
u8TUP7f+MP6amgD8dQ6xPU0WZHkU68CFvzDMsfYkKcCsruHiA5lnd6vXxI7p5nqSuo+zfaI6NZCS
0X8wpZkTuSkbkwtigAWkeOuUlbOEKI4P0PhvqLh+uiatT6WPO04rRrHQj5jb01Xv5+naL3z4OXZT
4AYetaekmMjp5Noi+/xGb23Az7Fxmc4h95yl5aIjX2ZvzzYJv4LCqjdcEsT8tkvCw7yj6t0vZ3TF
ucdhaQ2EvGRYjq9+09M2tbjS6/BDk6a4ThFiSgHamVaCEUEcoAepGGZq4+ybz5F5ojVgv172pzG1
HuoB9ENh6tU2kMGOLb14NV3vI61plIfEPSt2l/zMHSu33ha7IvlOIzggffNFtxGtHeSImzh6S0so
bGmbsLzJcvFcTekRJzgTCs/rLxUvz47+UN+y6SCngj3ARTh7wrXCV8DunLERwl+7lXNmOkvyyoKh
h0YW00MnhpudkKZLA5yuNMRgoO20t7FjQoWeme2Y5TGGzRIsysj0Y36dFUlXyNJkdyLQdlmQU70B
7YRplpbqISjdUx5j39RMz8RjNZgnv8bL3/pYV/wYv3zrRPZC1ijvgaj6Z8djdd82/OqYDKDiZN+J
45EpAopwAxH6GwRYcqnbIbk4DERiVVOjRuMFhaNLzN6Ezr4bDjmXOfJyy2MaMLACAVCBFrxdpzAv
41w/i1KLDpETESJjlPlOOBrEC0AXvdb6JxfJIkg6Rb6wnp8a/DGMr61k18o0WHvz5K6e45NFSmls
qXQNe75bN70yrhCVyZqoV/eHejQfdL2MNzqKa1WC0+Hm6391sjPe3KigUfLBijjdV5OOh2xiVdg2
bbweizPuiHI/GZ373bvlOazTFfaI/HR/fU0dXh9G/QV1gM28VjHnAkvIt3Up6EeDS8l5RdTzUsMx
9vx4nePpWOapRuhLqG3DJtkmpYXqPAJa6IV6v0HGBvKeZKm1l4W/q+Y5AlKzQ3TMLwXPZ1UZ9h+d
Oc7BMqtshQjXGj/kYBEEEZ+b3olPZjU267yTXIZ6sesm8GV1h/KzyQR1owxWlcPiFS2whoKv2BEN
BlVLskCpGQYoy/SesL8QSmhABXJUsC28NOXGi3ejM/u3wijNF49hOf4QW0EjWt2PETuwOfdsTVsy
m8dlPFjyhgAKdWEtnANx9MUK8pxJWrxubIDbW9sygZqYOEyYtEy5mykZUeIW6lmEmMVrSzm/gjQj
Sj0lwVQV1rqsyoroajajKYaP1HE/2WESmJH4KxcShbRMDQx4S6AVB5NHNsYOGHNXBMWTmWFC6VLX
fe64cpnhoyyF07pOJnZQQYeAbrBI36MiYIVrPASQ0w6agC85v3wm0TAbdMrsAulsO9I+IJZ8si16
Iih5jKZPm03LugrSFoA0bCxXxjcBn59wb1RXuLmtgw3CbckV2BxE0QVXh5tB57vNMdb7DyWSx771
G3gOdX6aWqxmGsNZHC2ESPeNHS0IP9Q3VvjWpt2AM40OMx2Dq04mJdvrakGQs7OzQ51FnSKPBb53
ibkcLSugE2wvGJJAOjIYI5Jy4Sj0+IPvHdgINtvGN49t50vkpvltUkOKtweZR6hsFN91TaOMnTxt
w+g2TBKxWhou8aMy6GA6sQsw80OUp/YMq+gddj7rQHNhBuMIX4vBu9cy0vaaADBRKvcxczWqa31n
MGyFtt2ZvGsEAifAUCs7zOoV2PZhz85aexQ2pB4NFEVj/C6lLv+YpnwXYfWG4Ft7UpX9HCMU+7FU
vsltwn5yxvlnWwlo/Kn7Ch2bKUc+dpcsBcDr8KQt8I8bW4OZzi32J4r1pky+3ewxqkT3008499V8
JjdNcNMa6hVV1f5RT6W7qRlRkbeb/+GircHepwAhCg97OXkODEfSeC8KohpgGVud512t1n93GTJh
r3QsuCORIBMMlVM2kpdF9XSkhHDOIKXUKkcNQHWs7KvlXlMOpXdVFYJNMxNKqlcWEoGN0pbqsTcC
yUYWUW0qCJvmyd/0ileBKtC+Oix92SM1Bu8X88dl+bdqe4QXdM7WspWoeExjOpRaTLof6LCyboNd
0+bfORNy+BLatKqsPFqSgRUs0VIMFFEdXAoVOr90g/MmCmxGyl45Hmtf/iE9CwC8B07NZ/vHLsq8
xn670fF2bZqxNtf3U1cOYq35xh8y27j7+AeGFO8oeQRu8QQVS6sdKOAhBpjFWx6hzZFYyxZFlevr
YlTXeiy8g2HFZPkGLI+HcbilWJJW9xsywYMPfuMkm0lBo+hhIa6QUVIpFdzaZPkzZbW2KqFjJdxw
+3boD5OOI0eSKxqG3HxkxGERT+krDVF/qgNsV4ToLqGAWKthap9NCfEPtRzTHIFIh7EBilcH6a85
TBAayLzT237D2Azza5GgvLORZemhZ+wd3TrRUvmvYfAhOpoKatt4j1KfMRnvlQbyLVtRjokkyJIt
eB3CPW4+GRII/lS9L4OXxsnDPVMEtdKn0riFsZMcx1nabxhmeZ65ugAwwpSsOseyF9glAAY56pkA
LwpPraxfShkffb30kMGiGSbU02ZaZRTXaJljGEU+z6lkB1tXKO8altODNrJCK1GTpHWXPZHz5bP9
jG9JULdn0EUvxdADuzS7G7srhTcCqUwktGmLC+zNF1px5ZlZRt6MihzbfuF5GZ+arCdYJ+y7xnHX
g79HA17i05PYvlqkRSHuvPkZBXTvOhcjgobLqZ2efIM9VOvKeVbh2k+uamZLV7JNDfwM0gkGQgFD
9yBKEUJrcLW9yZxy0Q/w1VQTvY/aGGK5Ho5jbA1XkMpPAtMnQqPY2Eeltp/ssVsH0mzeK+cWwiJ6
TArWG81Qf3vk2hybguaM4UBccS5Lk7DZyK/lzijUxiRDekEqzlct0vAYJjETnJTCuciRHTbI/pZw
36DXdLnCE6r/qVJdv4lWsZTAS2dr/ikvR14TfL8wJHLMv+Vt6qqftOUdgYcj/ylkxIwSOLFrjxZv
doYjuZiQn+sGwnW8jhvkvwfdMsutqYP6b8uL1OzxZsNnWpvpsEsZTkLefCpL9mqRVyckgCMicAx5
881ZY94SttqwqceezFarEZfCMv501eSSf9P3KxYfOEwKriM5oOfq40HfO6n+g10QEnygHhXKs7AB
D27l4y71IpifAcew9AZvpyMGBuFs1I+tjx65NKpiOUWTXFYmDaTSMdejarLZhzWUmynJHRp8Ljrd
g56GyQ0C2JPUSUW2BUrMqQcHIwZtAyty27Q25LGCmjZk7ajwSEAFkrjHEbytxs4FgWyRBeJPzOtz
LyFHF0wj3p8H1gx4ThGno3lOjiVn6p6YM1FJY8vlgbqirLhSpuYnYyi3si2D3FkSs6LE3pSJEOvK
tM9l6gAqinIcJezMKrSEDQ6CWFe41LnRlm25swTPlYXPBWcWiJXO/AqGQaKUnF4tLUNwDv961Wko
AnA1VKxAbTDNPQ2jiE3If8VHVjZcciC53TK/6nnjMLfyttLYt3CXLOXJdaQhPS6nU5dP9mPf1BsY
0vT+3riCzRefIid8agez2gdddhkEFFM1YfwvWz/eM2/B8YDDfNGNVfhAgBHpGBDTV3WHzIvCbFn6
8Z8wJG+XKV2LDMW1jZXUOrZhQj8xOTDXhHO6RL0PB9l38PELNmCj65sbw7L8ZSYFDjSNOYjtG8zF
hnwT1x90M9U6GHZKjScl8aHmNaOpCmE/DUBOmXAY5j6OY1s1YXaCsqavWxSQRtcQk+RZH9WglceQ
5AmGKLa/t43i03bK/ow3uzsLWcJD12C7MYnuTwkSnBN5rhdrqMfd/bOg3BYI346hR8MPMw6XEwOt
ho11hwZ4aJu9mlKfVwtPetCEI0HWVT1/a7j24OEvItCBq1HaTFiDGF4p6NZT7idXEwDVxvYn1u/g
UC9WEkWrOBrrHdi3h9j035LAz86dGVywK0no7ERb4BGz16Zr031V2dmMPxUXy2Or7Cf0Og/DML4A
XEsvJfiysE3nicmrzCfxXAgtvmrFsHbNTJxk3DxNWTY89vNpKuKjGO+WwhQkmkt/O4zBuikC+2b3
6ujXaLnhnu+rArRAyEp5BxiXRiQmrLDhyBS4sLS2xpeiqo9SC7yjW3stDFrP5u4XiJNIPfzqlbFP
hew3kxGDFtazFcF9YicsND7kPqzHke7ENNyvWmf2jYcr3Vgc0MuQ9eMms9B4Bu5oHd3ROAt98I9W
dypiAw4YUpo4wXBuxDoiNJemPIvxA/YNXagYkZnJ+of9J8jgsvHWRp80uC0ttp6hswlUiXm0BjvH
plK2kqkW/X9fgaaQEsN3AvL8MdZYMPNqnoNebvD2gwStb1mmtiJsLAxt69wq5NYdaaYKD7VQa0Dx
67LxlGts6qRy5WZw5K2tlLEx3SBcd9yK0YHq+yRg9JZA/hzbdFqlfnbzSlLGe6x/Thr+jie9uVh1
B+Ug689pTz+WJtE5scpfEdMK/t+kXvdWqmCumvhSwVkljqlIszBId8CqgZjbS666XeqEL7MWmXS4
sqx6HCB8bZxtIEE1yy5U45EuvaKxIZc86NnqZqwz11nhndg761tNYJf2igEfFTrlx0zH8TmEim0S
aDGIiSyTAZWBV/6MK2Nr5W11tFwKMOG42soOKIRK3wKJhVtu3bITXZRWK4+M3C9wAfStoWHFJXo5
WoQ+lvssmUXYNCjHcgTH2lfOoVYo99wJOuiYpAiQXJzzdbevgWKdSHweTxPVH7uteQFvol42c3c5
gu3fcLjZv9JbUnfFWrNptPI2sAGgUleWI81szLQIuRQbg4Jn/TAyCRGlErM2nz4aLSm1FV7Ahsin
xwbCJPnitQHx3nmRQsuWELSCTZK+DH7bPDRGvZBOBCK471icQ+9mOMrAoxYvRYWK0G3xnaOdXtWD
hYS8yJr15HgKp3Chb6cxe+1C+ws8HrtYHDqkpGwYxbG21vP8VLTc7eLasPYdAmSUQ0n22On162S0
75lF08N2xE/zw5C6+8ZX4XugHJ+FQ51cAiLPA3KrH0yUYIjuHPvDzfEZeyV/AT4lZw00WjNg+iFm
EfFgo+onk7l+NP0QomdeJevCHlsOG6Odjt78IJIq3Tumj+m7eRcc4jufyM4LDMvp4rGgMvso3Cao
pOSimTgMhmniRp5o8Yn8yZce/x5I0TI5WYEFvN95ZKsIpnd+YB9i/+sjdqIR+oWZVaF0r1u5VIyo
oEK4B363I9AMj0GPPjh30SrHxGnskqx6DPKI36yVf/Soj1clI1aAFoBgY0fDM9lAQgkdMZwxNq/Y
2pbPumSFUmZ/8mAaIevWPm6YnLcZ9SMXUAVwCw4reihiyJKaOnWoh30gGuNqehDx5n8qzDeMfbMj
5/6Hm1Rf9ZiEm6o2KEnD0F8T/GBq2rnvvAR2qFVt6dZXfag1h3wCzSJIStw6xvQGIiU65VNxyRk3
7qYGM4YxP3hIn1dsnsplEzvp8f7g6cG3qiIChdpQHVjQT7uaZyjy++HAj7EvxmkV2RR1MRGKpZBv
MgnBPWrJFqiTvZEDIWiRzh5M2bSeeYQEtr6J8cEfSKLQQ2ZMYQPCIurwpSFyPmbJHLHmNlu3K3+n
evqBKoTZB8O8PnEGIuJDtfAVwQsuk8+EHVZcVNXSHRy24s4qa616o00AXmBHpwnezSrSsO2ifFjM
RZxr258xyE2VZa9S2cFK91Fr2gpjeoXSSXfx7A6tw/yO2w8kfQsDZKtUtXHstZq6r7SpsS+V2yrC
L+p0+SvDd1QjJTKAHF75og5QUOkTQh3tFGYeGAzwgUvy1+QAJoXeYmca5Hz7kXtoYop8KXh2CKPP
QrqzVC10VkL0k92JfCmxkvhgCHthxo1CMhy8j5q4Xuw3Gj7Td03o+bbT3U1l+TX3EERtiRWQojqZ
F5n05ya0IAVnr7ZVc12b6r0iDU1JG383MhWK2LRZcEf+PfrI3EXGHIH/SUX2e4V2fIHmTS6mwHiq
0chAcfUO7Wi88y5y1vx4W0f4P0lD5FLiVh9hj3iX+wBcaXlE4iNJdvxyouQlS/1h7e1Ll6F53vOC
xO6zrQqwvjZwptBxKT7CXVl6H2Fg41KW8bPm6c/MnbBIN9AzIpQoXeXdNPicnOIh3p4BkPXDhMiI
dgXsyaz/dNYxMw0kSpdiNhe1Xg1rgsSNsSaW2OEWl2QAg2wCCF2/YKGrxYckwVAGMIqc9Xjrhw56
JRgZoc/eMY/UsY2vArxqF7yNAQamCBvxonOpOgftlkJDv9n0tcvJxsYSTQJskPcaTBpgiOQVufq0
sEf7CsjsioVkC+zmF/nox0YgjdWz9qWS3gdI+mXVaj5h6iyqLZ++rEN/a2CFbHDvpglGZxAkrOlw
HKOs/jS0jtvApFZKVBMiGPzzifEY6TVKHuBVg6+jOCR0MDW/MYyhBkwgAbGJOHF/esiykLeErpaF
Ieqla7db2zZf6pwqszhOZmJjz7M44WeAe1Rvq1E+Og7CijKXe61DSQWPgOBPZGzJRHzRxOTZbFDY
U+c8F+4O4sbnYAz4dVom1X713pUGqiJE8FanwnVZo1fTzey51cI3N5NvZpi810VKmDg2fWx5bCUj
UAAtG1Ui9lYZMAr6EkAH2i+VmX9mNYqRfXlZq2+U8pYyjc4jwMldiyTdGmyAs020Lhv3bLqi3KWl
fhhU9JUJ67PJMQeJKD1pbXoplPuEIRZFSq7eEM3sWBi/9tH4JODT+nj+fUE95UmPlqqC6+HHL/4A
TETVGP3MeXfqQhVK34fWJwG1wZ880HbWRagvhtlZR7P91rSkyaWlcaiE/5KXIKEIRoJV2Sypdrwl
uX7+Zpiqd7bnt7octkIEmAl9RHmR5xAWQCFrz/L0ANNFAxCJBTYa0+pPLcvPMVBbt6IjGA39zWPC
grZMn9odVKlwF3FbzOZg89iIluRjEvMBmccO/nhtOofRgeLvBnRQA2uCJG1OVhVvHAdUTWT7V2xu
0dLIYWK3cFPCuI7QtIgXUTf+so7ZnkxZcxodupzAMnUkvg9Fap7jhMW9SMydn4I/I3sN/T+LyXUQ
4SdJMBohJpQfrTvsqsYcVmVWP+QA4YIyYe/CgGwd3iK3HXe5TJ4L2E50/igJg2rkhYClhB3PYaLu
CZANXq3qreagd8iZO69bp/z0YodJGlGwr9Lz2FukcK4mYooW3qOfIyrNOqzPOSATOkq6MyddFxLl
X2RyF9XGHzUQE+J2G0h4RAcGTb71K4KAEmR3vc/SmiEBdWmwHsrUe8SSux5akxiIXmQnO5yxdFP5
3GScEkP8Q2jQcLAbDn49xhuIrxYrPU9GFLT8otlDFNbYVnruzcQQbBDCrmWeP5mWXz02esIspG7X
fszSXCs+W+eql5p6M3jzZA7zRuyGPx3suVQxqeisuaT4IRqbGS8YWCsquQOjY2lYCgP9rLjjbhuj
qhZ65aKatLqjFZnPmUHiklS8IIwGQac5p1Bv/I0hx2zFEzPAGNaJobvvKw1yeu/5ri07bBYGpgFy
1G0N0jZC4weoO1vocpxXwgtGr5NPOy6elY52WtX+i3SuvrTfGdeF63ziuYxMqv+JoAJjFESNYkke
NfzxkwFzOmWQSNvaTLzjRYGQR+cWa9gXJMxVR1gdJ8WXqHidmJddiG+saPRJyS7luncpuJhHvOgB
BX6ah68l2R4IK+tHPzRvOGcQd7vwWBz1wDryXdTZCCceNFgVffcRA0d/5M3a4kmoup8pWNQVRCaN
1OC1wxaUYAm51GMU1rLPfyNF4qIYjMeUEJeylwR/4XBiXGYfmvnh/tGE4gdHp/ZO/Liz9mZHYzrb
Lal560NJAl42l7/YHCmis8Xfv7p/5N9dkPcHqrBBzrqOFA5oOMNA7x8Vyvj3R/c/+8en/+1L/v7Z
/YvRWBSHv9/2jz8j/QeGzlSQm0a41gHh638+JJH5n5/e//b+Z+J//8XfrxNJPTuG538mv3/496/+
/tv/7c/+8d//40v+n//s/cf7j+/5+4OnnhP/++f7+z/+6w//8V/+/Z6/v+z/+SX/+hfuX/h/fs0/
fv+//+r9L/zEadZZ3HxjT/sZgiEkKjpZKyShuzonDL7LYbOTArJMrfrNz+py041jvWxN1ySVjaS/
2U47Pzg1cIJpHviP+TczsWHX5s1OWaU6tNknl1eJPRPUiimC4RB2eI8ro1pXg/Wa0aEeiia2NqrT
bhA5fiSJg5umpEjqJqZGA/vwZdIgQwzqgptfAMeP2LjD34ck69Vy8mMMB6SvSzRbu4bxDNVuifAW
8kkXZNvMyja+Dr0F/GFIieVdalM8aYM1bhxVc9bkhbvt6treZr8G27N3Tqyv4t7Mtmj3z33SVQel
xGOAGx0EByo7e7ax60Ve7JIcUMBg/OIIyDdFqiH5bCIAlvd7nTsPU0GA1DkLDYyYBxvr0Z45EI0r
bnZtfnDisGNJ6eZMaMMWaR3BkLEFyA19nv5xv3gmx/n3BQqniZmLruFbqoFLUSrgfZxm7yPKDkKy
7h9aBhQDBxc0saO/ExliEfZ0VINxwDGUmj1ZRtgcR9KKWOe/sg5m2CmQXYBjCSQtli/RlOlQ6lUO
zGV4T6wWiZNIN2Hh1IuE6ZU01nGlvU4YQ5YM669dB3urlbgj+nQL14ZXr8tnKhOlLHAWjsT+lBvq
EHPXpT8gfEWb0s8KZc3chZwSerm1oQmI6GfVdd22z9ocY89e6OEuJNpo0SaTfVJHVyZYQojyVESP
KYCrBzGXfh7IlRUqYNYmBv0ZZ3CRI1UFFMb6NB6e27xEO6iZakkkxdl4D/vo08GHjDzf//KibJnZ
splzB9l+hQTtSTMmpLToH3gz9isbXK6olXOyje41GmaTJ3PqvW8NfwbcVDw5f3xEyqwR00PopDQP
Wvw76+0XY0g/GPl+4GOh6WbTIFTLMB6a6GLUK+64cGdYMCSEwqIYagzjapFdYrjJTur9zTXGt4kk
11gv31KwnmnP4TqXJSBCXyso3USW7nLbR9RZ9G8iT0+pKC7lVD0zd7dOQAzOUdevUF2lq9xku6+T
v7rQ0BQDkAEywuAq3TfHrCBo1MWtuizI6EmdgAVn4XyZCjhX79Ma08EdvWKDqouIz3RgN+Uo/6CE
oMeKxnJt+cElBJS5qEpar9R8c7UwWwkkIUvNGtBw9480FlhVTLnXhfmiNAOlSlNcHXyRVez9hAwf
hcxI9sYftU6U2hGJXKGMUOBbcuepJs9hK03uKkpbZ27+WCtq177D68QKfofbDTdn2K612vrUgOsx
cbu5af1gqD5+Sn8I0nkzNXKGo7558m1Qp6FAS4NpTVAC9P6LMyZEQ3fBT2lBuapeEPMchG68lSb1
L66TT3CsJCBU/Xuqc3m7CD7BPSBKDzADEgODGB/ylwciiSnTJaVsmfdD7toFW7HU/eh1bImybfR4
2zgoY0ESESvpxAR8NizRMn7gKLQPDHJOoi2/LaqNmAmvY69MahE8M4dWd5hSdtycMb5uHckrjk11
gja/TAiLK/sEgFt0dUULaGY8RvIr5wZE+twojyzXDvmAyj1KhoubMJL3qanWzDFWdj3EDMkHErcH
i+QFMGHjdE4lFbUHqkgO/CQRecgZLhCoKOJ95CUhiLfEvaNfDBmcZJ1vSrJOxoAOhYsi2poaSdVK
PDTu6C7pcS6BU2hAFHp7GSK6Y0OjWLv0v3XfzvZG772JMX6M40/XTR4YwCya2aIFBVmR8GPEBXCd
YV929j5MzMc0jC0KB/8hK0gbiGt7OTTygWrrEODfptUuXqpx+Bjg4KLrtg8CET5kLSILjeQt0sKl
3TIA1pvm0tbputTbrzpmc9LyBqHqAyTdGBm0GZ9g23F4a6rcPbQBOBN2vBnARCav4IuwbObm5zSF
xS5HHbgwZ/e3nRk/egE1m3p7eizz4H2ay92eVn5FDNEpiFFwZEBY9Tl5+zu0gzcJyu7B1OVZIB5Z
6LGxDUiL4yXPlthPdrBQxX4a49c2AZg1yHffwXWlyOXi5Mg3kyM+0DVqgH7GM3fsvKNgxZR07ALr
PZmmaQnqtunfZUQQIcc4EqToqzNBzNFdvXWJiyBk27fEGthQtBd+MbHVuYwCCTGYPg5F++rF7Wcz
z9PrMf9ilfLbL60/uiux787zy1h4BwyQu7hw36p+fA0a5+TOymrZYBwoTfk1TQTg1PgG8CjsjLLo
Nv1YQeLIjEXmzrfLksCFgslBGiWEW7hejv9hWiOAoMmriseBQAV05sfcsd6IS0ayZ1ds8qs3o2zJ
mNArkDZheHT81y61n63RjoEOdjeHZSzwbPc7sGdYMAbeQAm6FyP9BC+a79josfPXz+QZrYYKRbYx
2Rb+R4oDGR2Qg5xEw8XEsfmY1MFx1/SyIFSVHqsdmBj3E9ubIiPJZEofcOCSWQ+CxeqjS+uLbdQR
6yvZ6tcBWFR3fMj1mDCIyk6Q8fwRcYzP63/YO68kO5IzS2+FxueO6nAP9xBjwzbrq0XezLwpgARe
wpACobWO3cwCZhXc2HwBVnOqwO7q4fvwIY2oBK4M8YtzvsMhN+Y+BIUlqIgxWZX5AJB0ni4yq4dA
txJ4HG2JJBG6QieMtTrd140PlrWD6oi5Hmbk4KxU4HwUIYEQEqvKFNXTvqnemojmiJvlbeE6KR7g
cBdm4zMGfHCrKYiO2P/ejUofWE8eqjo6q979DlXWPXSiP9Z+uJvYB7Ev+jGNtrL/HyTb/giSlaRy
/ddJsquP/K//Oyc8Nm+j//v3/xYla/3ickf38MIQdya0LfV/RMmavzBL0MuvXKlNx5KKJLRfs2SF
/EUBciL6y7ZNLaWy/x4la/+CshgwowmI3RaureWf/4kkWWlpUml/k8fmSEQFmgE+iFHPQXMpybot
3749RHlAepv4FxreEB8+NzcdTGeN62g7RipZZ6jDbpXfYHAhXwm3vXUbp7a87bh9xJl76FXsHZUj
n9CNYXcTCwrPrFNEyrnH6TsqDOZBcNF50J3rSq8coyPqzmzUjT9uoVZ4lx8/Gnyilm2nN4y+vMto
ozzk/5wmcwhuQWB/MNQq9vMM+hkpGUvqWeOPLvWNO/Qvwchl9ceffvz3hCv0Ct2FudVdzbmQ6S+e
FGKXsriHuLnMDUznZXCH22EmcItgoZOXCx9rhY8aY86gHphyfA5J/9pw1US+WzBi8kk/AiZeXyLN
KMvt6xnVb+uc0Wt026LHmYHmsjiDmC7PXesdG24Kh5B159npkQLWXrP3WTpfQpO2JhTJ3l3+NBBK
Cj3Cjve8dLXVP6zsJT2CirAuZiIiOWmcrzP+KQIb4Ud0pkgRCH6bSh2drMxBhSCnU38s2l1EBMDG
jIbxZrHHGpN6aHMJ1DZjdRjqm9oq253qUd9N7EHbMvROpud8LuowPFI0LJhs339i7LkrMd9j4oIL
mbrQM/zJWEFIE1QwRMfEH9A2SG0F655CUzGs/g3a3rZxfbVSfINr3aB21qUHvEJa1MgBCFmW1Wzc
vpdTcMC0h87DJvNv8m6CiG/DGKnsyr6567UYCFKMt4YI3pPK/l7AmpxyTSGev0XajBf3KslUOTCk
nKp627lBv3HReKxxNOM7J3EGgRc8gdYh3Yc2w565cCdtthfSys5VR6faM3JuMi55IRg73EZldzLC
8IsppyeScEDqFk16RPp3VJX/vszbES009EsYNkGi4aRPLmEZRnvtXiMrl+eIu3MfiEdnCsBYRvZp
WmS8E36Sxm4u2q7WmWz3SIiWWaqr7voEFq95sGfCa/XQcm9wWnluQAhXejQOsscVM/T68uOH4Xlf
CGIkxCBYOoqcZqfF25IAbAGl0AW54tHd6eh5b6pJWM47wYsMh/hsLj+KeXxoir7b6ZqhSYmqekMj
AwG2Zw4/V/kniIE+q8LgXdO4cqBkrxDXsOriL6RcwdE52ScHFcQ66FSIlLDcxm146hPrO4GZLnk7
VrAGEmkZxICwFmLAitkF31UwQRuf1iaF/Rx0W6vSz3nMyDgv1U7k1TMZw4gJK7M6WryrODCZFeKh
ZLKGbhrDWGDo8DKSeVdV0O7ygGE7VgS1SqxSgi92aTlbPliLGM9NaNeoB7T9TsoLVR8AuzX2ENRi
4Ha5xWnJXr0u1adkTF941f7aZgHESaWeygk1b85YGI3BvO9xCiBklP6NEGgnInBMJmFOm3xGMweN
+Qp5wt6yQp+pibj3imha10gPN6pP18PQ09ZnePGiEWNxPOXhzfzUlXg2TTYLlbGspTsW747Bbp7R
PBzbZtfq/IkUEDIKpdxV8AqkxtYC7CyY96IzUWR4VIjNYutc5GUu0J8Kxdm6d6CLzAT0YONYrKrU
oKuoHO+NiJR6QfDf3seQOEC1siA84JQuvrYx0jSjY0IQE7ApM/qT2mhJ0YmzknQALgXkYCKHy2i7
JxB0ceztXJDf1MpOsTfDrtiozOHp0c7PTXQsmhJaVI7nPG0pmZxSgsScAg/PSAo+OfUPibC/Ezjp
kcPGM/akz2DS1Xt3ghydLSaogDdhKfIjug7lI8OJXVGKXa5ZBCUN52fcAViJ0IirkK4f19ENX1Fy
GEV1dJR/DcGtiQiyuXTLl8xd1IbUjUDP7/vCHja5v/eTcFmG4J/E7JGAnSBu2EaZ0ylpn3b5hLVx
rOZhm1jZY1/U/OJihaWDu61/nMF0ILO+hXbs4wHD0Ytncm1GMdlhNpqIpCf0Ab7Vqpf4IJKavIQM
B5zukhcWd9EmLZCpoEldRdl4Vyep2vnRiN9pMvAeCbA0Ve9iz+8txEfJ16DG2R3OpIfleP1C4lVW
c5u9Jlm0aFsWGQB2Z1mnbKfUhDAOpSZrs/57l87ncoHAwqVdR8m4Ye6AiCnR87GwrEd3WnY3rUOL
XdZ8Ue1J++NNmPuf8EpzqbSJAlvF3I78jLCGIhSPjbD3jss61x2pvccZNzOftbFzu1eX6Qb+s+iB
/IdmZdvBw5TwIDZ5AhO2LNMs74ZlrSNE9JBF3KQSpzsnjEjWNRWqTU5Wnrs+9syACMbiEJCJs+JQ
OxK9PCCGhEJrls9WtfDsl/S+iZ5LQM2jklUbK6txlHUj3KLM5hKOCWBQCcol0iFsZP0bKL7gRqf7
cgBUyhFy7kaRH6EMP7DywxPqk9Lbqc68URWY91I1+2GA+IXZg4gLjIEZSegIDaq72KneC4fwTWuA
XKfeCLSzVqXT9Ps80jdOh3eJT4VvDWuXHuV+kKl9ia3kphrLhwTMG7r2ER5ljziyL3GctPbwhBQQ
dq502q2NWv2zDnpwH9iWwuzdbMcO13We0Tvj89Gq97CUVdYWNjuE/Iij0Q2LfSxt6PLeqgCMuMNe
AYistI6tKRzWa0TexEH2qXciuYuzOyYoUIw785ZWOCE0vBpXsPOTuziFrlLPYKbewIzmu8xETQQ5
O9/PA3qCpolvAtEi3aiwLdTOW4W8EeDxvCr6ajpnHpr9jBAcz4225D4iYgmnh2xYirG3bCRyIjLV
WxSUBF/45RPC/hvHcL5hk0Itkts5Iz2guO43XQaMHlC1+M5M/2mjr/ZGhNimCiFQD8gCW6o3tIl0
/TK+GnGHGtGpnrukvQ9bILgyhmOdmPK5JOUJLu742Wy4NTBrRInhTexYmOJuk/gDD+p9nSmUtnoo
9xn3ug3IkA+URNFORNnK9Hr3tsBS1oN2xysy45FyClQloiCqNg3eSuS0yz6esXLP5MhFMXFspjuq
H0aE2ry3UNlf5xglNM7dfje57j4u8fSHPcRlZZE5i8kZZFdE+McMEh3qBrgyVqha5k9tApK+Rfjm
uvkmMaezIjQJiCWX8qmeXxG0PI+ZYMaVaFIsooToR6hXyiiuyrdccliNZfOLSzEbHjPfJOzDV6Cr
BGIc1EJ4bhBeZ6C7+kmzGSokUR64rkfEOqpjyoNOdTfSeWxBMp05og9G3cPqY3tYheJaV9FnBa2O
8MavZcP9vwinZsUOyq6UOIxJ+TUZ680wMaejwnZXA4LvrLAYtlPPIKQ6qTZ6hJfNjJYgDuS0SwQP
VIiBEKJckgRV5H0IJdLFQqmXLBs7gfqAQNMriMyJMBlK0DnUoYw1jGqWe6vKj4yMXsVcUxsjTXbw
UPl1HFxFjKoqGtLh4jBuEwOVh6lLNClBDXlxYDGub4q5iw6Q9K222QUxL7qYU2frmNx7rP4yjPQt
djA9R1x8r10W3ftGec+1R975XXtbBCCkyyWh1arURzhp71gSXLA2YnXFhtytB8YKDso6Ajfbp8rj
3CQDtCCma7avVgUF1nC5h7RdcFnkN5GLFJjqYoPa5aEhVZikaUwzoX3UiPQMeR0CFLldM+0YenAt
qD/lViquZrZphd9e3c5/j6XDRHtEnzN1r6GFJk6GxyYuUKB1ZYE7gVEEc7/nNMrPMsluDNqmrVXj
wAnd6EElSbd12UdvEyeKtkoy+4QIfahDA9Z0zy8xEnE7GAEjszG5RYtFJOuSy5rnb3OHy9ryNfj6
hI8X6K4KyYVYxuOc6B8Nzp2hrGuaEtLj6pK1Pi9mn6r6NTPa9GTobYOh+OSxKCtojYgNI1mNPB7w
/UyzNnadrcYwm26lP8ZbZ3ZgnTNetsrk2LWZdwZZBQIXw1lU0sRl3Z6q4HPkzhcDBdTaqGkOcqN9
aZwlt7zgDZvlw1gkEDscmwS8voHb5Otyy26md1hdj/hEuPClN9U8309tAhk0f4gaU1zCZoD2ztWw
w2//6OXzc6uN6T2w71GfrBPmzG+xx8IlWIqFpkB0ahLVKQ0yCLqJfT8LIphILlBL17VHQE7lJQ66
+tkP0SxOMm++VpgzsXaIS8RoeNWbaPNqmtbbifaKQeK0CcaUfAUw/ZQA9m3YO/Zt/ONHOxMUypSV
PdL0pXMtUkiWHxMA97U04BrT7E63YT4zYMKqslKQ/lDo1vDeQcyV8TXJUhxxEt+XgS1WOIIGxoGJ
RhzwaYorcmmGzyQf7UskCkUDaapvs/Ju1F/rwo93dLjsIwyQeE7k40xattBx8n00NF2ZPbx2BdaN
wNr3tXiKI1CeCTkXnb8uigSdD+NvFuPtbRCTchxqyZIwZvyOQubFNjEKmGjwpVKoEWf77PoN53PX
7kJqhColb6rpGTZyGMR99EKBcenSMNvZg/8UJT12jcFPtpPSe4lMui31NZKUMfBDVp5O5JH3n/iE
XnKbA6IzMMSsp3naDAURP3Lc2YmIN3XhHAWCbkEUaZdPlxFz9cqW2BFqZtuNjouDTFOURZnfAIhh
7k9KBp8ydM/MvnHVNG44YcoEgX8iBGErGfK8Qui1B4Lh0HTqpUqnOwfwU6lMpLOyfh4WDPhothsr
VJ+Y+MgHE+4NDNHm5CbdWlbMNrupi7awUybmgmxAuFbnXL8+wzUbV5Caqm7nulNJ49tv3bZ5K7ld
n9uZcGMDI7QOvrg5p4+piQkxdAPa6GpHF7spzxXj2gxtCkCdCFXwUKyzadiVISKURvvWdjFdMKnl
EI9RJLVBdO40e4/car7WyV2CZ48FYLWPiNLaIM3Mdy7K4BCB21kkeN3xQ+5CMYOzJjkm8AqPvgYf
q3BUshlzg00W9bBBjDDsNwg22DGqZQtt7E3Yk+temK+5LsRN5Xc5Tm64KkOFaCcJvBpozhAfe9t8
n/Ip240wOs7kkMHA4EyEsPDeCO1cPd8l+gFKgd0DOq7U0QrGW4jGFLDGorBuzDPrjI1XJc/U8SFn
DlZiwt/sY9s7t53wsqNf4zpqUjFsFaMol0w1ZEDlrnasajP3D306DNfRyUHAD/RafkVKwTCh28kU
D37bwd1wKUOzhXIYhrgmYrTU3OSGgGE14NxFG9JjH0jupsL8kpZFe2Q327G+oLUJ82bHK4Jth+CP
Zi8lTnp2zmBhvpbg7A8RW0AyFx49qyF/45uO+KtVyQXXLUGD9gh4ZGwRcyOBYbhK7gzB98tKISbD
CfDieHLDgPtaLb/HIvw6u9yzyX4ngJcepB428WsZ9/x+kQoPqf8sfBsnRIH0Z/qihX/TefWDzMYT
9jyidUqcPzGs0nl6I4aS1N7+GCQ8PIKxcRV1iF5nvSAM/dhY54FXokVzb0A/n5NMVYeCtUcchOKm
7z3SuLtyAhmVwOTo7KPhCc0K0ICaxid7k6n5Sz5CxFRmQNNI7APu4965JnN0b2eXDkjirqkp7Gaf
EVA0USrYUC4QKukdTh2u0GP1qbRCDyY01Xc8M7+rgp7dQHcaauWs1pOMH4bGOlOYsh/2xxOJQkD4
+uFIouMzR4ghvxUTVgPHap/xlPRraQsw2Ic0UoCQ5viaTy6pfX6IoNfMHyefpSHCIMrRR0/ZDALX
aVwUEP9ZhSHEilfCcjE6MVZj/d3V8XUsqpvl6PSL7BNn04cGXNIDyu2ow1iEWmuz48yx4h45cfvc
96QoOPjH0Br6Soys59ic+sAq+HS+O2DZ4sC9j9zpYSIGOu2Dz5hpF0EU2PI8vQRJ8Z30ruUTqF+h
oz2mSbHtxuneQzEQWtC4CjCaiAlxvQ5IooZxPEf0cZUrMHfExI4y55N9hlbgw4KEvbH8mjid1vzw
B4tcOods8ZwRal/NQCWa/GCBmNjRNIiVNptLWzUnO3T2Zk+KQf421foTt4S9ahysclb9MIz2YzYS
oYHajNK2bu4C1dR3vlGBSlOJfVug0MI0BIqB2loEV3Ny7hlSXAQzzHWmjOqoRhxudSTuMZGnAOn4
totcZRsa7xc/VO2tAzVmPZXCerZ136wNMPx95hW3U2R8ViZqTNvsiH6qyGAvFkZ5gRk/i8lq5UEB
8/bWKsMrcfGT7tIP8tm3odkC9ATibU/lgaSsW7NNpgNcZYKlvnTAW9OsKs+Tx7KIu2JcqJspekvN
yrrTBmFq0fhtzs3o4NT+w0zpApv3xBbztvE6uvCWc1Kw5KGo8Wq7W5tW/+BVrJisuthHsn8YGeca
i3tyXGZD3hJdpoynOmU35XcHU7FQLMVXWXJZDbzoySiYLufN597qMHgsLYzLMMIP0PBRzvqteBCt
/IpwLFvJKbk4nqaFXAL12DR3565gnWfl+DtKy33sZkrlmuEYsX9L2ipkJMe1D/hnv2TusVI6Xecz
bJ1YAdeZ4nUygD9GMLTlcDiwYph2QZBfJgsi2xRc4caQLZbmFA11eQEZTpZvylgg7DDNM3hv0hbH
EThT1xjPklOi4kgj+p1eO3b1Y8e2cIXC4es83jsDG0GhuPPg4B3h0Q8fQdKfSJu7FepL1xHYEwr+
XUtAXJExoAJbULag9wk+6vJ2FbMFXDlZutNNVaLTjfI9/fm7qR/Kil0dZxo+LHKxeP84lCbepyMI
vkB+g3ggfk5a6812zcMME2QexHdrcVAM8pGB7DbgC4mlMIFBTF/zSj4jVDVXuS6ZT7OcaPBIWnDu
APlcaNqh2ZGg1hYOKQJD9U52A30xpa79LV6Wg6w6I20/+qbBpRBAtdMR7JEYUtID7CRegrIcye2B
Zcuy+LPhqRcIf5VLgGXsWEQJDK+YgCM3fY2UT95rZuJzwnByit0XK/mkKrdd1XYIdQlooE6LyyS5
tiZL5hpxmuRGRNOrKQCDoUXo9HvABkYENCuxqsneUOFNg3WpKZkhgTC8dfBZBK1iGimrh8b07+cS
niDX+k2QiOcFFj7Uz50YSAqVTL2LuNgOauM7Prxj5b27kfsyufEBm8OzX5ns15NDn8SgcrjTIcs+
d3F9DtqcO84EiTO0jMcaiqeBmJejytqGUFiSuXuIJwdMA/PMtWAMazG7FiSjQWRJH3IwTVmQeHvC
HCqEphDJnfZmboZTU6JegT9ILrGZne24+CzmkGKi9u/qKjg0jCuA03JpmKLkdrEzJHPzXpvefR9n
RzFan40muIkN7zohziAaSnKPUGh/4kPQMxaJDLfYYZ69nyGJJdrJD/4MZnFE1u4qgEM9Kgllya9Q
OB77NIHY6xZcKwFeusmdxMNFX0Y07Gjnr67bH2f2GqsSSjzSHfL6xqC9DljOkdc84rYlCcM+YwiH
vkjXlUU2mTV6fI5atTUrPLNRixFaJi0i9GE49o2xrMKPQ23nSzxssss6TliVNbRdwz5jeAS3eDUQ
1LAy7OIhTknexVK06PEfkTPA0LTR+6hig7/LwkRD4E3XBWdQgIfYsDbZglWRTgfH1QeDO9TpIwOt
hzkU2y7M4RUtd/8+IlijNx8rN3iv4oWQTAxUkXQvuUI8xQcmyatCdOXX9UF1qdholqnHMau3zhKt
LcLORA7S7OM4/2q71HhxYSD6me+yhBOiXNI3ApuYArAWLP/SU4GBV8hvrbDqfWG02bay3Tc5c1jh
fzxyF9nMavRW5pSQitl8Hrpl0B7CFcLa0jYD3X0MrpIQnlUniTGPmLuXLAz0OL/Pdn7wCBMtjU2X
gWlJUnHX9/KZOWQ7QBiITbu9nz12FwAl6JeZDsCODriHQBeIFkNtNoI08WLEctE4wEoRZFWa7dX0
d5Bw3to8a4+wLQCotJyaAbRgGgFSA5lKOz6OUc74REbf5QCQG3/cmvx1celwGUNaldueRnObdvFR
TdwJZajqh1D4L3kOfmQgJM5MGLjEvIA6EANFcfa1Ti11SEnQ2Q+pST5QTtZDFKdfUm9od7pMoAOz
fjhDmC77ejw198KLwOXhclqrdLI2qahpZFgMrCTgQbCcOGtskzlyZ7E/GVDDrcpswL5lXIHPYMeu
8uewRIHTQTwlcFBTq6rmZpzjG8uh0Cpn0kl8aO3MGVCQFROBgTF9JQ934us2kT158a2P0RhF/9Qx
cEdW1bNieIgx14PMossP2ux73AUP9vQDVqjuW4P5muOV9abz2eYQXtrQqFrtfkZf0TV6fEW9yqAU
tc3i3eIkNpaX3Lp7ScvCECO4Y3fOC1HMOLMMRmHs5aRdxgf2lCW2P6ZijVeeuc2fRT9LlDQV83VX
cHSCdj+YMQRnSMOrvnG7z4MLR6EZWXk1yE9qkwlnVqb+hdog2M7x4Bw6FG1Q0JKL6aZUgnNXXoXB
BbGBN8a2uDoLm2Fc2rEUt9D8b9TwLia/vpUZEZvVwCN3shrPTesf074pbjDCboWWVIeuwasU6QuB
C1hNPYdk6WB4D6V36VtNXvjcxPtCVvdTmGn2o/xArER7HWuAvCkevZCA2MBj9i9TV58cqI2gXpxL
o2Bahi6izpSCeiXtebw0jqasjXDIAwqjvSVIyZWs4dAUGevGyDaOE9IAWrHYFWyM+7I3+MrKfFd5
gMDDhcQBZf2xLAV2YQ9Hrp89kx2wGEuGRUu1D/FcgyEHHDtgrSVSi7VOU311y0xvHFF4a3Bj4YUQ
CHT9OdiuYR4H2hdjyxA+ZXaBk3sa71FaYiyX07xug/QJCpW3Tcb2orz8jq9lurVyMk/pKDRHRbdE
M1Rwjkz3ddDYwrzM3xGIPG/LAeeiKmpuPGbjrcE0fsax/zqlHJ4jHlXEGq1cLwHju1rXim0m9hkx
WMNBBy6DcyoeiPkNAj4oFJ6cmAnDwh/qqkTgCvwsKQfI/fip0xCuC1dep9QwZmx9iew7ttvdEzae
x6k3WNTqqxjpuyOfeah2pgbwO7umVBq7qrVfq4rB7DBY1baIigc1TxwyUXV06UHYWTFZrBN21TVs
tgxpAdfnOmlPpUD9kDsOJXbLMLAgoQYr6o0lkBB79WJBsxeeoJmcVQNqJo9L2FhILfZFoe5+OKkr
27lWtkks+xyWO1umjxo9xqkEB7CViq5FJ1NzqEqTjTzr0zBqyLJ/nowwPnUIVI4IvH54UPskH09s
aD8jFQZ6YE6v9dyA8Eufmi4gwhXjUGcQIcmK9Qy540ufppROZbbHNWfsSgkRP18Ce7PgNhyASsyG
DCCVYZ4uIvYvHnG7pvM9aoivDQXhcbJQuxocwCnObYQsqEXbfNxUaOu3AyOgleWUNHCktJ4YrhIB
4xdwX32i4jZYNC3Yu8YaQl5KMuks2NZWnASMFjZG0+KyLnR9oiUctnROr8Eio//xA/uEPAjgXbVb
BMQEsaOLpMDUhVW+YIex4vP18ZITjMF04rYNGzBFyw/Z9izO0mYziealzJl2tgttJ8izXT+a8VmN
dXx2opJZwY8/Z2jOZBef2gzN6TgKtW+pR7DOKn0WAyKNuGT/PDijtU7Ie6GF5bYBJI6HVCO1c1SR
bIgmv/ZHfbA6Y1i7rLRsyv5KwgQlWhItCDrufLxv5/E51aLalWnxBcCBNC5JYkE1n2S6m0TSkJNQ
wHCcII1ussWJX5kj7tBA7UUT9sCe+VFI1f3th21uqACOhFNNB98CEuWb4AIBKZuL1QVVNtNDc7LP
OeP3PdNT2lubYcDJYPtxAuYJYlS4HX2i7x3Ql+xz8sKJprY/LcnkKQG+pEDzfKSw1TbKd1WOi6QA
zpfFbLQcu/haleLG7jx760Gaoo/yN2Nm3pc17ihNE4KgJbsJ2UaZ9XRfK5hPIILg9HSrOTCQt4b1
FYAmVrm0eRoUmhUwbJ8ce8iodyI+/AVGWDgs8ydI0hZ2OgTbkcFKhRiSoKYYN0uH3njkPu9V95mu
X+c2GFeDHB/YxhyEMT0Ki7uQ4U/n2WLqFY/wf9UUPWA938/jEjIw2d9QoTM2zkp3QSNi/yjsZ5yp
Oy6mH4xULHb+ATYp9YE4knwXwynBoPlrX8h31KesysjgMIv4Xmga6NBifMTGYcqKu47dDheFaRVk
BhrI8Jg6+PoL6X3x2Sewq47aXTCZF4eYTtdgoaTN5Hns3M8Ljdo1XocmpZry9L4q8DcHIysP44Qh
4VsKBywZ+TydKP5uUfVmiXelanzGw4bOLfDbTdr9GNH4x8IpP/lRxVnAfmqVZWBUPDJDSHnOO6o7
J+weUhzAscseUbM5YQQFxVei4y8OXUA4S0tY+Cb1/UM0iLvRm1+ods3GeRsT1DM1y/xFaFCvFWDv
bprvLStBPpM+Z+UhzJKrRZW0shr7k2kQF5GHHCGL7XrGGOYOix04689g6g9ON7y0wv40eOajjiI2
Xx7p79+LvDzUnDmM4I45ZPzE8y5t7n0LBDsHbbjn6gYlz6fGrU5ZEfMOKFm30qN7CZ2XDCsHjvDC
Pigjeb2dS4TnCVot22UBVHBTmoo7y6Mljye91QEhMJhnkXcQaJoiUI76wwJjSOnQch3HzJsymIjJ
uIW7S0mcItMa02PcWZ/AqSGHDqxV1Vp6O3TkgYeXyB3atf9o9up7PAKhLjnLXHQb6HgWWyEbiQqu
6jIC+uq7Cx/AgAvtT/d2j/MGCe9T3KNLrIvwQQNq39aecXaUdbTY/PCxEzfc8uUI2+K9xJxiljlt
0orBSzE0m6rk1P8hDv3Xt/F/BB/FfZFOAVflH6LMtwIxURSE7U9//Lf9R3H7Lfto/ufyr/7+t37/
b/5t8/jvT3+Crf+ny+Pu6ee/+bt/yMP/+vSbb+233/1h+0OUeu0+6unho+nS9j/Uosvf/H/95a/S
1qep/PjLn98Kxh7Lo4EU/p3qFWnrfy2S/ff5o379Fk1//V8//5u/CWW1+YuFAtUyJWpX07Ocvwtl
lVqUsmgaUKl6Lkc/v/lVJ6vEL54JIRJI/6+/aIquDf/yZ8v9xfIcU7meNvGgWsL6Z1SylvmTRlbz
KJaJfF9r4Tq8vt9rZOHLEs3UMOl04QCRAeruLGu6V1VGca5id1cXybgSvc1m2fR9wg2HMwaxu5KC
60jytL0xpggzujkyK2U+t47BL834EAoc5IYqH6oq6/FsOIdW2wTlTG5H2bGuEbzcm0kVnfw0IlbP
1icZIFj5zdfw69H4p7zL7osobxdJ788CYK0lhg6XvHMlPFsuWuffCoDnPDWSuhDR1jWcL07FCpGh
CBJRFO/2N26Rj54bf2IgjX8XeQgjlhtrLNe21REU6X388Yux+C5/q0a2tCDXWioS7Uzb9Vif//7F
xEANOOMSoDdV/FI4zZfGLa6RU940ncZGR3dpe3s5RQ5g+CE8hVBui7i/2Ln9PUhgO4WO/2paDITD
ZokGAb2WytoFxxKCFMCpVrZc0ihZzch9F6H72XLdeNvZFhKcjQZvjW9EwmypITNw87kaM1NR0Jn7
wU4///FbXT7Wv10bju9/+bNjaWlyOPNeTd6rtH/WXWe9JhWEy9VW9JpeHFrGXpmfbEAS2yxqMXAn
vkVOyH/zbf/D57s8qwcaQClL20jSf/p8pxRlc57jVxLuNcaauIrtbDfNVb3+47fn/OPb45xFvm5K
5ryW+dNR5ZD0HWndmqic+oPRZ9V2MICn9QxTTXKCzjOhR9t/+inRytsmz2Z7MBJ/OnZA9GgIVoXY
wptuzhCugey0DmgdSvHG0yScxsBA/vg5xU+XhuVr1J7jagXnzeNDRan/27NHlOSeRAO8fkspfUp9
Ckr7uYfRAfCNUmm8K9C0B4I7XtHZYvPHz/6fHEM22mqXt+xafNI/XZecNPDjwQeOZmYuWupxPEwu
TvWccXQcW8/4y64B3r5//kkVl12TobkQ0v7JMEC0gC/BCrPCTFnJyCetebM90stefRl7pr2zYsz0
x88p5D8eTtgdTGexQ/BZq58OJ8+fWitp6NBtVX01ouC2DuRtgXONkGiPPjob3lQXgs5Mkw18bCwL
GUzt/+aY/k9OHse0TZe7lOeanD+//65L6TDwsen3rGg8UJoxcE45voro44/f7fIJ/nRpcHgi17KF
4+HY+OlrdWUbm/NUDSzSyzVTAyQ7IVaew3I0lyxURYwcWn774yfVi9/k90+r+B9XYMmFwbI4sH7/
9oIudiZyE+JtpMD6ukWIU9nIzom4a20fhTEcl1Uv0EmESADG/J0jElMdMl3mMu2rkV35xEcG+Ojg
KU0Pkec/ZzUl6hBY26zP31sjfWaodGFaMR9dszn0nXETTr6zKgKa/tkwn+1vfWfdNxqF7TR676KU
94hMVlFi7EfQEGH+VovkixVlnwsxvwxZ8HWMkzsXpbaTEBigUZQw8QvRi6/bHsITKu8mxQvg1BNK
2FR8cwrnopxwl1sBaIrxOxMl9rMgJzXhpW7yFnLfHQmkQu74Io30jhA/kr1A3gz1YWAGJDJgz+1R
DOaDI/QTpOlTW0nsAZAEg3hLnXyrsGeZ2BgdHmM9y+YRle8q8s2DqqZdGt7gXjgKyVBTBLcIpauV
69SXUhHMQ78aY7iO5BOO8nAjfc/Z2VkNPURVrwrA70mNIH7amMjZNr4fydx4hzEf4H132XdYUKgn
cZZVJM6hzwbv/xB2HruRI20WfSICZNAEY5vep7xU2hBVMvTeBfn0c/ivBjPAzKIX3V1GUpIRn7n3
3Imj65gFg7uuq9cYysel8LNH7cEDiYFWChPbj0iLae/4AWQM3G0XhPfxvrTd39Emi7VKUfxUnyPS
CJj46APaIDyW0ZA9o6wPHC5Woh7GS+fZZ2Yd7ZUP8xfBPR5Uwk+kKssNIhBW/wgJOBaZXdlhDpkN
wVI5zTZRPpuOpI714DAPMxGFr8prNAcSldDgb1oveIWDKua53XSmaLajSeR1J8ZLGbBBGAgNTZLK
3hksak9uZXxge967HSN704EYoZS9DxionoGKhzsGVgTDu1DywgbCjbqDXS7Pc+o9STOeYPqUZGh7
wQoHyLBy3aF/mLU68i2DAAxM8FCZPnfZHL/bQf2hvBCCqoALoMEXR+DwtFMixTMhNaZPJPk92+JV
a6N7NrzuIKLv0BfQ+JUZbA2h/zgsXE5uYZt7UxXx2ibH5xzF5cZtb0Nf+ptC2damHrzfmlx2uMSQ
VbVOviqFVstn28VQkfhHa4dkKDg4cX8DkfjWIw5C9et6G8tAopIHci9CwhWLuHot1PQNJ+EtbSbr
kKf2KgOpw4tKIcS7msUdnOeZV651ZHfo+UF1chhPYPSIj7LdbJ+Y1l9Sz8OdWaLF4ni/Q5OqEvvR
75xwHaKCbyKP5roi3QKPmCLSl+22DwLlUGYa9QIsm61FXtNmnvI9JQ4bL9h9W2e6+bYKVpy305WZ
1NruY/2nqMRTIEtvU6NfZhjWxJtFs7vDAGLwzEIjRay5L2VdHWKPCQ7zfw8tVPyYLkavIkgfpmpw
9oM5kqcxmqC//aq4WEwQ0DR21ybuUh7QGn5PaP2pSDOQ7VGgKzNbVIFN2Yi94TR/SMHGC+08ZoNh
EmuGGLW7jpj8mbANP5HL1t1r2082lC7Mm6o/tCIamLereqd5PzZuZD2pVCNBodCE+/W3aO07AF2b
rxhxO6IQjHR/bj6r7S3itis5HRMIa0xTGYvQMTW/IiM6x3kOjUoVT21n4AYR3a1PsKtkCll92vv4
MvSvCKacxZP7hOuW5pm8so5j2eygKsRJ0a7ZWS2TDGL5TI20sUL5aCK/cwfjU2Jz8kf0OyJhRzSm
+ZXzCyGSt3Un50Pn2XUqqm7FyieqmGYG0iPLj12kMX3g2YBqOHf+qW3VRD7WnVQM3mTDmtbDgOwP
Xx5uGQ0It3L8fWzV/wqd/A5tlTw00XQWc/sZfTpCPIbhjeduWKm0eukSdzsBUQrUWeTo8ztfTGjC
mr0sx3BdaL6qyEGRNk55cIU2BQggN4tdyJkfgqUE61bpY20wfW+q7pMvqDimUBg2Lg75NYukfhVN
KANZZ5AzD1Z9G9ImrDPiT+5TxNDJCGYNUB6U26yzHet0cYgDCzMJwlVGMgbpZoZxSNAYhz2z5aGL
wzM82xi/IiqXNtoxUuWVAcnLSKra+O+kwwzrorLCbS8U4CU9kgttwjFPbf9NEKM4+tY70guM0xx3
yPLZhMmGJVgq5E+v8jO2ntepzVtoWXAc4iYb1l5RfFp2wROANMyGD5WNCSg3mW05qFBVq9g+CyHG
jYHWZcV+vvvqY/JyxLcN6eOGsWmHg/JL2tW8i7rh1of5Qxh3YhPk81OXVO/jEIA2jZ7TzPiuEoDq
hQEOb3yu06nYzk3Femqqzg7pDDs/Gl5Y7ESHKpPvbYaDpGShzCzlbz3NDp9p+U60gcL0xY7EzaV5
rBnFWHHiPAjJOth+JvdCXzBqMwq06ZER/0w7WXF+DyaDe/ipKDCGe9Tyq5H/fDqtOltd+8quoOIx
2bSOFz2PiQcQOL2KhlGplYXflY9kTOyn2jCf8kD8gWvO6lOS+EqU+aMLkWtdJ2gJM4S6BbckNEGc
2h7L/bpLf2M5HBy7PdNl/EP0up3h4QIN7+Pkn6fq8WQvIzQk7aNPrlubeTwy5vQTjXm/7rFHoKCc
kUqm4oVlgHv4v6s0+3+V/K5Jw4iEVCzthvyffZWSKubkiDoun77c94wrMw8M/zwoWIIBiJgUGfqp
Wcw3jDk1DBrqoJoUhGkB+46T+bcs6IKYV/MKcPcm2dARHtNPR1LeljKluPgGczPRfsx90T73efQv
N/FoBICAs2JTR1l2S6bpB3piyi4vuBAQ/XfucYJkTMagsxp6g1fiGMvGuNUf/8+37/r/Y1xhM4th
YKGA7ArbU8JfivT/5lfuO793UgIYttr8sWKDOE86WqA88m+ZE+5uJ/o4g1EIEqJz5FAfC83Vi2Rw
NZuOtR9TjxuLpnxNog6EEyAKaFizdZ9hgzFApja5T1S0/wvTrd/3fnf3R1vsSsKeIaro8S5TgB2k
5CzDX6gpZRtdtAPoZYTBsmHVPpxjwpdWwmURVGu1lISpv7pbhC1DNUI+P9Q15pAcCC/cw/p5ZGtK
spR1GIV/mh3USEOi602Xs4Wgej8GOPhOJML4nHRrVke80Q5JYUqKe1SU9pFcY2yLd8NiWgENb9uz
yHliXvWnmku0tyki8yZsY0xNIJT6VPhbbedqpZ3kw1ryEeJepOd6UfNxczIiocQpivCaBjPb8WGc
Ty4LtKMfh7+e7P5UyAU2GiIrcC9DP5s/pWkO3GtoHZp0YJNtNJuUzwFg21K7NOYFaoVzrMmh7sf2
ra5EtRU1KRNgQxn8s2HamW5HfiQ8aoPJz8XXf51IDLuwSBwAlKom9QDWf2Xk6cbr+JpwTlvnOUbc
FwbTKWKmta9yCnaKezZHJaYQ49brimVPNH6yb8huBmi40lTpNZ3pMoIY0UUuRbAx03Hem7H6bLZu
0PaHYkTPoEO6aVSj5ppw0A47D8mA5gSa1mYp0CRftfR30SzSI1kcDyJq+01tJt+FUae4OWQHsBX2
m7bvwQAGERyLzwgi+uwxZa4MJ0MmuSgMmQ6INLIXCjFRy271UaI/xYQRT5s852NiYT9shrzBNjIU
mu0l0uYw0w1bCn02ghOUO/9u8YNgC+V3W7edXAKo1b9CxM6pgRlARptBFMrITbwyXXzcYMS5gnJI
kJHw2DVWGGZqUttvMbX4uBVisPZd2B/9BEY6ITcnURh/rcItLmblsKqp3XjdsXi4IFr4zFommlVU
tlvPFqe6ApAnWuqpsgj1q5+1O78ohlNtZOcxoj5kshrfSpvc8KpSWERG422M0PCoNLt6GTL7OatZ
DLMw3CeFegv6z74LN70/dedSjMSa+hGLX0nPgOb6DOyxWE8+ahfdFOFj49TdubLHK4kFehOllnn0
OolwKUf6Yhss1WvyR8/l6Dy2XtPz+UbEy+XFjGLd+RobYPh2E4znIiOOxEmm4Gw03PAWYqdMWQ+N
lwIHdIGDA8x6xJBCLtQ8XupokfPA4GCW1Y4HYxpqhpJ3G8njQ+IYLKTz8tbI4V6MCD1MgxA3UyI5
CqCqSrgytylX30EJxbEUeX+s579BW0KGjxxUH3F/TBNx5zxN+vzY5F6xclzxVGVzRFwObwyiFaAF
IRQw1JxX4vOubtKMJz3+WjotHgI7p/oNuIgczJRBB1S20vm/2g6+FQrirGuNQ+VLzkxznta+DY+B
hBh/B3uLB44LcCXyMNtY4q0eHBiy448ow46LH5VY3nc/mapQquq4OsLp3LTVrrXD9I1wLISUZUuC
AZJuaQl1RJpBIZZUhzCLXmL+oTdzkGqBXpc2u/AOI0dus3t2e4TqhteQMl39gagld0roj2wa/IUH
hXrJE4vK0LI2eU334qDcMjr1GiQ2fxMaajSjtbLf42TmVhyGKxppHwgqp7nvZefIc8o/RXPMRMla
sRCK1fD4bfrzTxvyfY5u3SO/4kPwqkvWZvc0dLE3JygkLON1YSWiqE8vSIYS2PG9dcgSeFBFZm7r
qZ9gBiHkbEGX480priAJGt+4JlmTkj443z3PJdzuDQ4wlb8g5obHgOAY7e8lBVPF2bFrarhs80BU
m6c541pj8V1nEAEcfagCNIDhyE9fTDj1ZZnzNInJIRcUABAT5HPuewXvlQV/yTDFYXb9Y4NueZfm
C0vG4dkpFEbtKDR9TE5ojcyiwLRn0Yenw1hvY5KhghJCW1DsqDB/ijQ4x32/9mapH8PpM2hC+5pM
yWGYB+PQJ+kPepN7PY37tkHYF0/pj08ZsansCf0mQivZ0RM7Ro66lJGGPTePQZp+d1mFJ0Y288HL
6ps3NOqIBfCxjCjA5paKP3Li8kGEmLOwDtfHQByKynCf+lZm91F/WUG8j0Yz/eP5L7WiT8udrNhZ
QRnvpzicFg0nFA2C3KrsTaOloShhdoLh6SPBW1C3ZsLYAdP5YIxfbJ/MLbryiEmLOqZQrNY4VBH+
9q63DjPhrkXTdWvMXzx0g/2nIVyo4RigkXBOnYWdlpkQS5Vn4Pzj2mW/7YPUnsmJ2rtFezdSwhqq
DhFjiwcZg+uz4zU3UHooekZ2+7NXfhZOL1ds79O1Gw/DjjF9hxNI4kVK+lPD7GSYCXue5x7blejO
7NrjHcK+atWjh0RDR/coOQZHcsJOfnLXRTlsZaA1jw9VN0ke5DMKVOIy9+ZdhRiCyNEMAMbIWmNO
MnXRiuQYKNups9hNQl+CyCP3eDJS1CssH4KkzbdjttAY+X+E4ABdwAc9jOnBLHfYeHDmkxM8dBav
Y50ueMlkJy2PcdX0lSsmQGn3gUSvAUTtnCvMPFcd2C+jwFskkRYwkANWbPR4tiQpOEE4ZMcZe47t
8NehG0N0EQQsc/JV6bbzloEUQV/V9BDKBJN9r39BhHNYVflpJiCn7JhENTPLDItXAXOe2fC9ZOZV
5CCpdIsYYx4iZKgeH4LrKkDgXDtAIcprznIRvmA1bxh2f/c9I3SkyMOtYCooyD9ZoTFXnumcbbY1
RGfXv0HalvsU7hWQJgsdEHph9kfF2cldc8PrQmpjbdqX0L79ZzJdqd2YYQjLGs6+Ksl+UANA/o0P
/NTTNTOHcNvkcCz9hsbU8/EiZn7kXkuLvXMQFeMRvQ5tRdjsegnsYIhtE8VZ8xQEWGkdpMJkXDwa
QJ7Xljb79eSmyZ6wKJM2FIncyHG+ViYUehzsIG0f8lT0N3TyySrPPG9ThDiyNWeDqyEgoPX7J8y8
Pgejru51XN5yRz54GAAeYX0A1HNDbwdiZLh4ipdjjEtwvkZCUTUFxmac0+jqYJbWA3dPBPX/ES7n
a9uGxNRoMz8ElW7u0NM+BvtQeL772qA72BRJdya11bvOKkYuXEBaLqr4o1HW3sAlfwjDyt6MMjH2
aox8BLrNU9FKYt2XnMAcLft2dnDDoddLUMlv8jJyb0LXWO1bGASlRyqJUe2zeWBwjbclsyocH5FH
bWxzvUWpfbZimKRDqdW9Kzzk0z26MguD/wVBFca3CACeZMhtqHI4uRjUVhm8kwe6SWPCLxebxXRG
UBju7DlfoAHhyKvdiOfM7d8wmJISPCfX2a1GlHjzgsjJ3/tQRRfLyJONSG8zPBCsCG5+DOv8uTKn
Ef4/BAKbUXCdxFvEp2dG0ktySb+y59q9lSMqGwTEf0Yktf9AJB2Q4a7xrbQPNE4lvD+sfebYBv/y
q2cQ9RwtdBQ89TgpGN+kgw8LWRHlzPCr44+CEl29IO94ioyW2xEe/c5PbW/TtAAKY1WgL4/Hflst
fg/TL+4JZxw2x6zeN3gddqSu/sur2vjXVuoat1n+2+diIzH5rWKS+x6DWn1UgVV+KFgqeEzUAxSV
goSfXH/YaJJM23gH0hicS8c20AXmq6xIvQtcmnbVSqk57MZXtLb5McKqFlNvxYUNLUcH+4F4vZJv
ZYfT6xssCUdcVWWI3890K9FmDsRrPzfyiewq2BsZJVNEF7FroqR8lc1A4AU2LmJ5F9XnMoOaTHEM
M5e6egouPuVRTca9UbcGck39183nFwyLgEUH+RWRsZUJdqcVSdpJ/Z1Jmm+oHfNDBzpoH2kmtNB+
7JVnpTGgn+WqH2vQcdVwxk0RnVqjftDd0B7MgYHhqMJ/4dgdfcG3FSuTd9OZMa5+J2M8nLD3vuZR
3h3MjmqHQwZQvQn6sImHalWOUAUrL2fOlVCGa7oN1tjDo5oGuW/oTCJ71mvtq3ETmfpVDvxnr9DE
mRUJpSZIxjZrI2xr1h3TXLJxHRxEDJoP+FT0vulx+GA4wE486eBsFu1P5OWgsxzjRr25DfsIexB+
TbIE8wtB2SZKnJq/r82e2L1Xa0M1WBei9sUqHEKyagq6QutmpSL3H6JqfLzhxFQr7iq6ePNZOBA4
GlmuhQA24KcDFxhxWMTe9jSx6d+hbT651oh1QdObTDkK82l65o2++ZTJ/KmkH1VOLTalwTyTJhwv
47ZZhuc209RVmtvRjoAGnCYdqzTU0+i9mHfMvg+MYz52rumdlG4hd5QTt7XkmsraatsGi6q0yF+i
qhTrNGMWKm3/l0QhikcFOX78NWyev0E+euQpLirJmfECCVwTtg/dTEcdkB4C0H1Y+TlERNU8Vy43
udEwWgCj2ayj4rsnNnGJI9G7Om/vfoRZwMA3yRqWOtD9Ctl689QZhG9gg2Pm0H4rvAxbNsSI9dCY
QSlh7Gop2az9AMKAlS7Mr0x8JcPJJC9h42Bjw8SsK+aVzsXsCRNA1jZ5NZKqeloL6+Ima2LC5CaJ
e7CpatjzYcZA6C2oJ52+dn6g+ZpnEmxtvs3OdJyD6GZ749GFbS3COFbohUHZG8GOa/GRUti7Lnmm
a79alMqqfqFL8+nqAIsWLde9FQGLpD9FoJf/Zh6HNU6q6YK24JuW3KPxyG+Iyw5iZG/gd2s5Mbri
q2DUmZdHuuq/0r0iq/5L6ti88si4RV2uLz7j01WYuAxMkOgunOKDR5QEFF+NnafYktPj8VdiUmRC
+FXp4UUOxJtZ3TsrNWyeIJHmJblWo8AhEgdq9RR9DS5G14FmXUvzW89YUSDb+/5sr1uwvSvVcHjH
TrvxZfUpRnIJhjL3NlzovLRSMBgdsbaaOPDUdxlV5EQG7d80Sf+kiIvwE+qW92BjGoDRsOpC+TSJ
vJvt6sUzm3mVkYeBPbwhoZ1NIPp5DA+IiOVX7noNO6IYlFEHjYtI+d5lPGoV1m8ogufIHK7gfFrg
Qw5Xul5lju3cU89+NvnuZ1W8dy5hOk2PZykGiGz4xZNvxrskBBIBC+yNKNkN1CiK2QFbjm0vazQV
/Yj+4IDCW9sWHoEiMvNHawwetTFi6fVFecHpuaPF+qzmGsql5niNi18PclUWofTNEMHD2BU7csTO
KkiJmU+4Os1UftcBVDAeP1glMYS/2VjQghP0PRfKLPcBPamHeUCCoEWJyrmIgjp8UZxGl0xip8Lp
CvDKdHdOmGNvs4qTyMUftLhYEFPsfWVFjqbB7GsmrpxKlDuoGupV6LKDkSr8lWT+OLgvihKUs/Yr
7hh/D4ECxz+bV0dYhxQGEOaBGYlR/VvZ8jUpPZxJ4jfWajHkfKQtARH+qAQhVc7LRJQ8QZCcbJHL
tGIaHybKfYCf7rixrAZdbQuSJSgrMt/0nnj7L5bLeid5xu2ZHJllS9SFGHQC1nCreczgqfAuLEj/
AOLr4rjCr23n+6B3Jqz+Jzdl64FHDcNfTXGZEHe99R3NTKKVO84iTxlgK2qD2FAb0e6cdZrwNfne
t+FH0Tx7AUP+DBdNJA1xITE5Rw+xG22YN4OhvlwvGdYTjuP1LFP8hSnpMf68hHINJtgKJvZZ4D4X
eKfLpj9Z2hfPOMSrczWawyaZ74zo4aeMORu5+tdjy1EA0SgaePDCzg1gFfm5kuP8lJQE/VnGT9c3
kvk1SWxj57ZvsuLiDjz/Yjdgr3KJWNkALFdBlWKOhVOLIOiK0uwmH0i88Twu9oAJ/doZDHxXcpK3
KNDsgNlKE4BzsPyCWraxbgW/cS1r+cafmCqMKiYuQ5W96llWRJr033gt1/ZUkvrtFhu7RISRFBes
FzBoS3o3YrmLpnsnS5xNjufTRHWsQ/8EKQQlon2Qam8g4oAGf8kUovpJERskxq/EXTARXnWAqsva
0bdXSWk+mnX0KklYybPuwdftl6HVrk/KZ0tZby6NLRed/yBiBlxzgwI2scrPdJjf2Ii/dhwPcSnP
LQSE0J1O1VTc4E2+KeepENSxyxSfcobLE+qT4S/c4088g5g6wpemEpdWq6+OMTKryP7mNfFT1Dpn
pfqaXz2eQye++sOCRbwxyeFGq7HCOV39NLCB4mBxYDg7T8KkVELzQHjlfzAs+b6NWqr+tZeE9zH/
cObosXco82cZbHEdsq+4SJIJGyc/FUO2Z01pjNi93Bq//lxhBF7S9ATyKovGcVazYE+GmwBceN8G
T6UfPoacbkzX2ouZMz+EoWtvUuTfqQcSwAXOuJ4KfmsqPHdT2MmyRrdO1oCOXNvsygmF8nu6WaxM
41qPIJUZBcEg/zdhDsKvACd7mm82PuO17pEyBN64s5NVpGmWCVxdm6EGnjk5+9CwaFgLaOJQ9euC
E8OXKeh6MM5qDu+2mFmz4JPGOLxCwSq3HtGAqxg88miZlyAIuVLmt5RGfpPjsFVhdwC6lpkQLRbO
J/QbYS8Z5pH6G/dYKdzYeTDm/C3u+iXHC58Wge7FdMMARGL4xHk8PBczA1szeW1Uc6OYgstmw1NA
bLWWtnxe/qURxHkP2bS343ZbC0lmkQ0txfTibdRAG3Xb98J0r271ivGczXhrfjRh8AxS/zT1EP1A
ds772m62icYuO/v2vtHDDXQpxBKHfCtNJkBVIOlvHBaAkWOlbJK4hJJwr6bgo/PUly2Gm4vfbB0j
fmEfKv+UUSxWg5MW+LfKfzKJTnYRp1RhTAJVyR/WsQf3ugB1qMshm8R/vYjGvTO56xI+6wSDHDmI
xWOpJ2trdGm+NLsvPGcwqeaKqFTos0gu9pZZ1w8D1+iGrtnY1JCQmFAYxrvU7Pl6omIPA9vPXRkW
NzfMppeWcM+1U2Rnt2zCd5AocQuJOyzEtayy/eQNxpJH+uSrZEAbhL1IiZSs6CbbC798DyQudZH/
jZR5yaiYXifXzvZG629L0bZwTqbwIfDmX8JDXxvDLnfst2VTP/k2/9frzAdyO8M1KH+QixTC6GmY
FcgeESthFIaXPCMARRnviMcsZX4RW6BbYuLx0ALIxZ7hHobmgtmWo8A7Qyt/mWZYuWQxkA9/M3qP
m8sYNnUNji96tjFRQ3GMFohXeQw8smLxg30iKKbU8cCZDWrDT3QdtUBrFQzsfQM8zi4Noury61Qy
+EPnG26SpMYj4crj1DVP+B+rfRm2b46023Uj2Uh2omFEqADh4Z86d3kCsE+V5AD2j2M9FE86T79a
Ug+ArS1dd0tsE/Ho1wERVzOI8DQOL9V7EGl8EQi20F0Y0bZhYbLCAU7XKXRySN1l4NwUu8IiNCHy
x11D6poh/fFqq2rDKhrI4JI9NTokxtGHVjBkH2rM1BMCJapxskqcMT02RGQqUq8QQLRrH9l2a/Mz
Ayu+BP1cPSfhuugFrrGQ9Eg2/TyxxqHOjVuUma8oqemnvOBnjBsQbsOnK+Q9m5wLMqWXtEXtQz9x
7X3jT9NTNfdB81YtH2fAyXdMBCd/uNcYNOFjNmBVbR9QSsGGwZraY+i/2Va/xTAd0Jdx1pnqaNnV
Y5CFT0yrScVkAh5Qoje28a2Dajc6mbnrxUdocKQtX4QJhWfbu5wLqNMs4LIoliYIvxDui8ny1spW
EIBV8Roa2YmEQnVKBgyUQ6XOOJ9faVTIVc2pBeKh3zhIDWof+Ubqtw4eT/uDPT7euLFHdqwpZjFl
nUfLP/IYIzePGE9HET/+eVp4RsOIq9oJYqIIGjg0LapLsCyFRvKto7ssBSIkhvyrTt2siNniyA1q
EovcQaDXDlGMKDY2HeQ7HJUelaYj97Wj4ELwMDnz8GrjUDsOYf+dsOc3P6yhRfcijTdsRafAiX4n
ZXJehOSoy/rRywKO1ai64aZU2LGST0bXhNzkIyvXecTGKr/SOK7vrhfb5NUFD5EnyBZgaAxF0z4l
6BWQQwSXpGbsh/v+TtPuMTzyij0k6kPUavOUNDadan0YK+e38RAPEeBH+npBVBfRR1wknvkVJ166
zcffIkeoFHm0x6wHqABFR90X/xCMcKw89Podev0lCZrkCmpDM0mC7Ugdsetb+0GN44PEmz+qXIL3
qx8aAkoOGC9Pg131F7R0C7nFXgxOXcD1Vd4Ayx5SDDg3VHpYBceHfui+Va31ugV/nMEI3UZQ7D4d
pI5Z6WtGhTZ2L8P/pSknTKtKnb3Uxm+aD9+9+xm1Iqav6d6cSP9wDe3KhCakrX7cWqntwPYz0sS1
1TAnmWHQW4JxQITRbczCYrRV0RU02vlGe/g0+tkfSOnUkzPLEdGGV4OyoFfp3naqdzbfPBmteDZt
/FxVNdHQGMRyaIicKy+TL0bKCFW2qJxcIgzLUDyhLHmJI2NZN4YEpxeExhIULgMMd3EKRDAfUU9m
0CGIBHU4h4y966+ienjIG+Oz177HqcrSMwvAsJUp/cL00fX6DSh/x5d5dqjJ84wctH6x5McpX5ZT
eHey7DdjsXzaiuiRUvGr4oBROJ1IpSfCTRjpXtz6lVCPj2p07kxv0tr42zikoMFB56s9J0WD5TWL
Pmw7XEWSNtoiLkx8Ih6H/VySbai0oIqorqkzfjgx7uLIGNCsWAvBqcAXzcRQksZK/2bOJBSEon2Y
nfwGG40ih1d7M6Unu6mKp1ynzlFqtu3mBCh1Cnt81vhxGUUZHwytL1EuTp1X6pU7W4QZzyAQsF6t
Zy+zLojrAm/4hw3hUwTVg4NtEx3ksxz8/MjkwVs2x/t8VowbftUCaECzOjSIeJFnIDXOsnJV65+5
pkEPa6aqRUl6M/dhWuc3jIgFO9W0WGMmb7ZQNzeyj5BgikdbR95B2OAhXeIaTYK2PShVYW11O/uB
Q4j1Wqww33aSCqQdzkIlLnk5+h339VPagbsbiKnqETh47nhIq0Lu+1kg4tXjOqSV72I0gW4DwRg1
R4kXPI33efzksvD3WaC9uFDRMDO2GEhz+dj5pngXybCT0TTtBm8ZerHgIjYXAX0KxWqFvJDyMq31
Tvc57urUO6vKe7J8/UTwyJfOHHb543COjOqvrp2D8oZrAdIc8Mtg3mPj6k30dMZkvlNfPlKG81b4
xiMST6ZxDZdXDDVgVS+RTxC3bg1H2cqr61uYYTm23OBE0fhSwajdioD2q5STuY8klUapuAcmE6lV
4Nj1Kp3kMYXBfav2dFPicUpfEU1gWVJbyxzQaRKV4wbhcnX8qdXR7I0eHMYM3idBlNNUeOpd8xur
Aj/gYmoeBnJpseACdlkmPGVsbTOXD6ovo/nI3v7QosyH55eTOeBDEW/s3xnhKYI8th9ukELU4Ghc
J5xtFJKiunUez4afdeWWWRCpSiMJ48QEX23iqPsst3ahtIqthhO7rRlRbWkCxwVVGMPj8P8pwNUr
HMvyTsyhvBMMxNccpUCQtLWbOpYASdSQlRwBf4ya+GLVXr5Zys4CJPFeOepJMSbbJA2YfG9awhwZ
HtEF9uiALQskLTpok+giNsmYjB9kMHAwjtwELPOcCNS41jZIKEaJSVtB1G3oJY3wWboNy6NsjQJz
OdyN4CBYnnC0YdIS0ZvDvmDFrHdardlHqFXLG4HfthgOzB1g9AzZpSlGe8c8/h81GbE7jDGDOSrJ
i0P/hgdMCvlrKDhaaHM3aVS5GyGfAJ6Eay/HuCzonUO2NlvT4FH1zWLbCBRgbLOu1cC+u0G5C4Ga
bXAC+s1w/g4NcDsvt2gbI5CYnD/EGq1sBs1lvSypY8FWpvVORSRfLBMlQxqmW5FaxhXRNR1ReTG4
pV1uBaIo7m3sPhneMnDLSLDBijKTzLN3HCa9ygLLx40H+tMl0xKXrteYb2RQofKPb83ABrDqSX8b
Yo/LvUQkYUJ8q0ssZ3GpGTSh2EcSwrKGwRgvIWGn/pR+lEvYkk7bGq5h8BXOYbPvOvWeGdGnztx5
F2txSG017z0v+kse2DoDZr6xQdyszWJ8JaLymYuwXDugePlGjV1iYf2eI/3qLfrcGOfvwos8thYM
vUoWD7CeHII+vx3q+fscxMkeR65aDNvdcZI+0Hi0BrMzvoFCQzul4gfVtc1BY4yjPTo2adCtQ+jP
U+HsI5u0pJlkprYIrqiVo4esGx/Djlz3eMn4w8gSIlp3wWKVoUGul4Tv4wlp3AoZbXPl/eSWaxBv
VQePzAGma+JlJzs+z0B+7rM5hg/KBSRalHj8A9HcRwkKq4NDyyLH/NQ2mwSeJEaB95jJnFfGn13L
VdXFD3NjPyuSnVfF3jZc6pn2IMz281lELiyB9jPI5lfXMf6MXv80FqAek/zq9qC+Ctd66WBYT3m6
12iEY2fr8HsQgRG/S0nV6x2mkeMMNUr9F3Vnshs5k2bZF2r+oJHGaevz7C655g0hhSSSxnkenr4O
/8zqrGygG+hNNXqTiUxEhE8kzey79547jsSPnY0EAdbmsMKitHz+DmT5WhogT8b80U3rexGrx1zI
W+xOrLOrcsx2QPRfyGYgtmfOz2i0z2PUPthDtwpmjovQJm7XcB2UZrd0ev+51ptVbnFjJGHHZDfP
vuKIV5vLHZBBbXZGcdvzDAfCoKnxDz4X3AThrQDWqaZDlrjHNpEvrXQek3y4Fio6x46x1X1A3P4x
Kbt9P7/5zow/Oq7fwPzwrGJrCfUkgvwXaQYwS/0KDOqjq9VjFfbXyrAXNttJ5fXH1BiuZuTAPtHb
x8kOvzzFZjGL30VVXaKUqQV19XnzEoCcX6Q8LuGt0XPmjbQbwwmQAcsS87+9iMyHHlbOKhBdvho2
2NXgzPsutnfKFNyIv41tGNJ03LyUbfdWmuGDNwTbLmtRKBxIfwmxiqm5oKLvpvaJvNa5jKvZaPcc
8dV13QVN4BQp2gi74BCTtoC+2fiffgX2MHz3Ku9SWAm4cGvtWwLSkfkylzeFzJr69Jn90EpThWRc
B3m36u9ilk+fZdvewm66e/6LbqXQFe2HtGvfh9E/6Jcqik5J9JxFySE1tYNlwZIRapdN2q7xtbst
g5c+l9vak7fSI71U75HSDmUZPgLQCjh+zN2IwyX02nblUoy8jJBQQL19+db02ij51nSEQowN8LKd
E4hravnw7U3jgmw9X6zXuQxHwicsS6YvzJiGxGO/7/3yqD47/b7u261bhKsC49lYkfGp6F4scHzQ
dLJrRXOknvWot+rMxOXogo+G/rhB1t3B+T0mnDRGAxID5y4Op3NNS4LcZz2lMaQnHY9001/tvt5E
Uu57KDKwMZeRwIfDWJ5WToz1RRFwclZXXz1BBSaWrD0mLdCzALU/ju8TpFt/mMASIVhN4524wrac
7Tra+Bj57htniyencl8wRbbILo5K8RXFF8lfr8wJxGa3l6Z1KorqPr65VcBFgMbMIbIzdiMMVqck
mdImH4alPoreucy3sxE7Dxw6aIaAHB07BGZpotREEO+Als7ZkqfCSB6KUb8lMn+Y4n4b6fnKNtSZ
/eFFT61zCv04MdP1ZFV3yzZfhcJNYfIKMJL1ludoMtKK+OUUKDddVL7FrDTUwxtPFdjCptRvlSt/
erJnNbYNGm9eNa14K6xXgCFiW6ds7Zm+szXX6QS12YT41m+Zs5S2GvASjHcQZUgGOPrwx2zrb1du
c/sQti1VJc1XxYnJz/SfkBHeIgeEzXl7traMp5xFyEj7H2326lYI9mkg152Dw64JjvMPYTBdH2v2
qinPOL3M4G0H1Sn0YCMOIVViyXn+CptuOsd2czeJ5ha18dScA8+6k2T/tMKJsYrOLD3eFan14eYE
IMznLpMPwmnfKK95BIXK/DdeEVF7dAw0xjCtX5Alzi40KBfsN5WGzrnHlMFU2PzV5vHw/Edsxqce
a2ICb9fX4ovpOn8yK3zv3WjnSkANg7eO8BBW1bOF2VfTw8tQvADouQdWe9ID52FiI7h0fGsxArVl
34nopbvln8LRjpUYnxyZf+W4ZqRvldjvmcmq2vqM/e5ZETkImxvK7n723xZ4E0UfbZIgOAUVvZOi
OzqWt4Mgu8vS9CxDoNnOh4r8dx3ClNlooMCiAcZw6Hwym1wnDEzNWPtqTO/m1u6pyKazh85e2aCg
e5oIqTy5CQaDZLfoeBNnGqmPmncLerVhnMdG3Bq+3SbUQPmLt7I0P0fFxRIXw5kqQjSTncmRk8M3
RGbzTJPNMda9Cxa5tZT9vswlsEoTF2vHnmJ696Pk3YQyOUVQT+PrZDobGgTWuuoxQ1QLnJGAjdJ3
4np7j1EKPxwF6hOnQKYRyFfUGXEj59HOTLKt1Tj07hyEo+27Vh5r7paCxMGCAReGymxvmyeGHMzy
W8Bw+bGR0V76x2JKrpZCOG28R8OIzlNtbhvmemny6eqCx77azQ8wmwV6mviAqnyIc/eChc6NJOPY
8ZAk7T6oxZ6s5qU343eP5+R8PQkz2KpwzzuOM+0+tsO5CMdHoGBH3W+3I8wodMowotdX68h0Vtoy
jytmQyCcdpPnXYKccEk1nucPQ+Rwm7bBstIpzki7fdtrDy5U2TbXH/NQ0xdtHN4RmVaj5r8TL2VT
4uHASHNyZo5JpCL5dSbjkd/tmObtSrFXiVK1q55rFT2AM1vnYEo4p+7RkN/Y5z+IKv/j8sxR2Uqm
H6qnW5n1XrTjdayCa+KQCEWSLFr10gGwznVnzyGM4RYH3hV24GrJgujX6SUMf/0p+yBW9Bz29c0e
uwelH5wGq/NUYqLyWlJ+k3mIrbrZuj6kPQJe68hBem2xrsO+wUmQdB9ZddabalV1lvtY5dj5IgoK
6A/oST06/TovGKaxpryQFfNV2KyqwbIOEw7C0gAtRJa2YOTN8uD50FBth0aVKLMtSsq++OYZtEfi
zRfliBeUY0KO5HK14WfKeFfjw57RO92u5sDqyfVYmMFtZLq7pAnyNS3SfREF2rZxGm+Vs2VZjEXJ
+Nc1aJaDE+hMErsQlpHRDapd28PoA/YVqpZDBrPKeJrKdaX0j0mq/OYbOdLRa4gI2MItfKxU/WkS
cdyTwjv0boE9Cq/FGNiUUqJX4iZUya4donUSdMW+9eoeGwpeD2JBBRwYUgVNb700Q50fOAUzW1JV
lr6gBrCTTcf3UFFxaYdRtrF19INxljciGRIy8eyeljxzWuoysbYjCQa4k648ayHDadBAXjjnDyrs
4v2083P8CWKoXJrcBsy1OK7pzKRALi1pbabx8xnD8IMc8m/HC9OdaOBZDNT5MFHA71KJ3Dozs7zY
jUadgt/tOptuEX4BJ9i2ReFcaw6Mq2YIsa4AzEdyYvFpkfdzJsEbffCyU+0MV5083FEV0Wtl8b5D
mw77STCEqYerpiAtj90YLfHdcCXnPdgT07wGXRq/JRxfXcrdGPL01amguWKRC1uuwYeqxUA230zr
8RTqerKpO5Ez4YMY2ghjW/uc+1o/6+5lyicuUsE5AcWdMJjSXg0T5YcTVDUN1Vdh2mvohtvWYQzZ
B+lbQm/GLWWXqqo4PuDaw57coOty9D80060uwmSjBfqziMWrKrEdRK2k51oO+8YCbzP16iyLSS0b
e5o2fWmeuLa3Y6XZi15DeFMWMPPc3PZRfAo7+dNov3o7vbMRBvXi0ICG+xZ1gnhgTdRybMOD0sEJ
cnYL+GzBI5ZY5uzJl8X5iOlF8lO57K5wJDc2XQZ94hDW9jZhWaP5VruMpm0hKFQSEqsAvhc4RNhb
iYomx85PDokbkyJhahNA513ImR6tqAWL+O/EAd8YTCPVg+Py7/+Rd/G7o3mbKBOf0sNUIdKuWs4M
8bi0Xusc5YfwxErVzdOUMCgPJudMJI9mid6kOINDMWHFT1tEl6g5pjaZI75YIMqZZq4bx23xma34
GYEmwVwkDGh8wF0E9egncL41tYZkHy/j2A3J1aUW+iim5QgAa5/Y6wyL+srFTjB7i6A640OAY3io
gunC+WMN0AI2VY8IHrmooYzrsvlbxRAH/AtA61JAdqixovArnxLP6Km+KJEUPPeT0AIFw+E7LVT3
nB2kjkCyBBHQrrmYokuT9JuorelttVgAuNo3HYjwZUveW2szTiBDCd7PVGfceI/0Db6zXtyo0/4q
mnKnMWgBc42o705qbhPRTnCHWYfr8qdu9PfwJaVKclP73QvIO1rrFJ/E+82ov1sEuQ2i29f+WLAp
iGqH+2lZCDTR0FH4oCz/m+6JEYQCl5z15gCr7/yXEPSkr1No1oTE1YEZHvrJuveD3I+lQRNJE/+p
aLKaBeciF0eR1uvCpTVDWi2RdG5NWbT3iVk5VZDsAwhDrfISoUaBkIQEr+5a+dyiTVGrngtwkrPp
UssYW3M6QEle6YoedHzkoOdE+WpqvgOdODjZmWVS30FgvM1nbuHGd/t72GXlCS6Rwy5sp/GdSms0
zpFWfIcVGLS5kFzNYfPC/h5G/bcN/BusfKZ9Bp6fOuRmB4dvadwm6cBQuvXIkUX1pTLFYx7EZzlV
332CiSK6DWmxl1RMNTq2PB+3EU3yShzaVl2Mbh7pxdpSx+62Ys/y7SK2xRJrPnxifFPkPqohgE4M
TnFBg+bTVI5PiPa0DWLnxCR2QT2lohvpF4YOQYkeIPNsRPJcWvBSi7JsyZtgl0WJcoxmi68mNtE/
hcFK2GY6K9QHMLJpGYTOd0Fxd9p3m9yr2aXK9mH0JHaX3yFlxs/U8SOQL+mIGjUyHbJ5cWbP+1yi
9V2mtLiYenrtI+qDtO7XUQyvLKkIIKanymq/WnuaqQXfcPauBGOscXoq7eGV5+81x1MaVPYrlxyB
FDP9MHt8yVQPhJHTcPavgf0zTO24f4DHLJKKyWIxKIKQU4NXa9j6Iv6eYsDcUw9x3p+MD3CGRoMT
N77aXX6vcu8zYwOBqq9nBASND7oIuXZkcOFar/a23tOLxlPBZQuL5w292fFQ/Zn3+FpzK0ngDTS0
2pP37rbdtxapvZbHT57KQFaAaoQpg490xNpAhjbMMqCh+kmbxfUsOxW2eTPs+GcuFe9noR/+VFjh
XMl6HoGeDvnj79kQX4SvJ884LCjqC6Z7EAZXhmIvWI4epWrmM1C37BI8qkH23RnhMQzVCyC/nU4r
9OgXLJyURyfbzHwrA34dIJ72tOY8AM06he2hjvP/FzQMq5vkhsa+HmEJ27p7xuG+ctPs0YDT60zg
upxrZqab1mUhNcmSpuLSWumTJcnQOP29lIyL/Dq7Zq63krq3RQZ8SgdspI0t3hmtvtY6mwgbiUow
wsurzyavNq7SZuInHXc+Nb6zRyweX1MPIK8VbrVI/wgtY53VOVhXj9CSEdWbuCcHaqU8SceAJ5ql
QdtP3zyPlrDaLCk+6JiN8Lwe6iYn+WLuNIbWeZjdM8wdiIvZCgIPF41p3zATjXbw5BjVrcz4gq2Y
C2Xo1kDGbog0aan/8cnkcGQvN2MdPYSBg3wSnJuKp14xN3GwG3feOXW8mnRXS+6PdIKuqA94IaAO
Z3ugbjdHx+BWNQG15NYfPqJROR92mn0kI6CDyv/Jy4Pu2991Vz47kcDjMHZPZs/j2aSW0UgfJ37Z
weRsnjSMBrwwfxip8UwdhHJJm1NTx7dSxwMV+w6lP1q0BUV2xWIAkVHBi+zIyir5MsY8sqGR7Rta
yukJNl6VZlx6+KRc8QgJiNgTdtcH1uFPQjg/KthXLK7+IN/ZPvJ0a9WvU8TnbtC3FoNGa95/SaQm
wc+wdGfzKdN4r/pjKptJkuIp/D/cAYsFScB0rdXGtcIvswyp8lo0Vt+f//4Pt9WsRYeBwrcZxGHj
URAQaPXW/FlxAaJiNw8jDIsVu02KDvRUW2v08GDSiI6eveEgz+0jswJEMfBDfSAMhwz9Uk/EFL3p
H4H1f+IGb/9NtMN/oyT+zUVcf0dc6/8fUBHnBP//Hou4aKs2+47+a3n4/Bf+WR6u/+VKxzFcBx+s
dDGD/Wd5uOH+hWnGlPD6pG2aRBn/JxNRM/5CohYz4g0hznadmfH2TyyiJv+StuXonu0yvvcMD3jX
f/Ig/+2n/BfI8t/QgaY78+L+haoCGqgb/FOm5J9yHNex/hdmFG+gUrRWvWTupxurL90k4ZCZ8oyz
/SGvUeFhmrxBk79TIOLvOmvtBDUSO7V7CW0a3MKPRb1ie2GRscG+rvX5ycw4EhQxS4jWZcyt8i8v
71fOFJynONeoc6m+cqRilgoMzdjbK+CoY1ps2enggEpdjln5BEo57Lb2BDO2Hp2XocivQVPges/6
65RWB8HEhcqpgfKSOsPc6FN6HfXF0rOIUlKFmq1rc3wS3nRlGImQVLTxMdjptZ2DZeq2RUYwMyK5
1KQjBAI92MC0oqWM7V5TiGTTdsIk+NDSk92WhywSL8ZgbmLbeUKi3MYmGx6Yjt5SZdMtgzux0lux
7lz7iKPtodPFnfTOUYZIg0M/7KDdLocByyXU2284xy+ib0FF0vgh2VSYDNUsj7RLTzk2mTEy3zyu
lr1ta4zh54yy0Z+SsKW5AmhID/zQa2vxagp5htJHN3EYFOc67uSm7TPr2kkqAvXi0RzRalqN9SPJ
vEebngpC++ycE3s0D8wG96NwfpWirphL5D333SPDWzkzNZ4Zb5wmFfCBDfYn4DnDLcgixRBu+C6+
q8K3toMRL5XtPoZ86F2r42yMs5IoYhqTRUPOddq6IIRbQcjXg70tjWJfGOZh4ky6kgFOdBhwh7ps
dn4DoztR1I2irobFeIHdNKw10OXCJe3T+7jUIqgqehrWK7b+pCyybZbWT45wvoVj3Ppa4+xvjr/1
yJQ1zYY3kdT8CTV7CNdT7//YiXbwdooaDiSI+hTZyTPT268wUDTJc035o7n2MZMsEladVc2smiup
PkxBDiljommkpTjEdh5ohW+3hKd58xnF75KqjobmLt9vnisgxya2I1AHbAQ5RWor/TeNoXaF8XuD
uTkj/8KfZA7Dwl1iVSW4blT9loQ97mYwPFY0vo3G5G2C7hGJzt7H1HNMTnTrlRjorgnuk6eO2Shp
X9WacwQLa+9w5tLYUgc2ZROa411k574ruhBDXTu7BiujYxvrQf3xYgO+PGLjUNUZ1djZ2hwcquII
eDD7V4hJ9CJF6oZJodlqWtgvarBFGjFbUsk7/NBnCDoPQDVhPAMvIAri/SHyQcsmdmEaa+pvv57O
Yaw/ljYuEsfPfpMG1H9cTE+UKJWrfG6utqr6I86pYErdGrcawHeWun5YE/XHLDPmS2eo473XSWYO
pV/B16jqNSm0V0oWuPOrRmIt5KmCYOCUEVWedkDCwE9fC4fnAMBnF6TwpW6x2Bld9VEo7SH+dQfi
HDGGHQ5JhrkIK9u4piZN77iXt8pqQHSa75N/qFyrffYC9pIRrbox+CrLG/fj3EcFFGMp1dyUyO0J
XSsfgtc68qJ1rt0BijcrsoZ4WbBIZTYiSsNopohGUgTS3LhGdWwKy7+LHpnOFIjXFaRYtryE9Jel
+YZRe4ZaAOSwvZYMvxOs3axcyzo/uriHngf77ETVsXR1BodYGZWi0cUfEMrbgucHecFlSXzgYFvQ
L7CuI48aOU+AonjuwKetKyjohSI1SGRZYBBpQU5PDccoDjL4FtaQndgDijDbtJV5qBP6t8PhWLL7
WZFQY/cfkNpX5AIkSt9oBGfaHtuNkO6von7GCzIAKUN2JfF3iExx8aao37Z55y1b4DqcoV+8QTto
ps6REatwlfxQuPPDwChdZH7yCgrmIxrrk13Vt1Bk3I9ono5UiNEML9HI2Z8NkAy5JYp3OSp9aVp0
SAWVA0tJhmdS62+1q+1Hj80yX8FC21Z2erXE7H0J2k2jl78hCLy7sOdj3yFMW3eblzx5a+U+DOS2
qf6Y3jP5qdKA45qh3K1s7QtFuGgGx7kIzsgcbFKcJhyTik0TzEydP5E9avD8FWtUj1+kUCThMu8X
hUX9MYFM1sNDoukXzECck9PoLaW4lVItNAjT/Bhs8cCTZs/OlqxLumGSRQEWMvkFWI+97NLkqiUJ
Rkfhf9JtZ5f6m6lXL2EZlDzAqgP2WEDNqGpFYcUopZRkx3aAG0OeSKN/cPygA5BR3wqlYRlWrbHz
jF+D0vsFQXUGwXaxBReW0S3JsdHB1UW1iT2iBoXalekEVZxNT39e9WIw7eApH7n7svU5+CX1qy2d
JyMxgh0x7KVRFIfUj7mYBAMH/TmIuWspVlpmvkx30t0XmvCede8KlNnh2pvot5iMY4m1lJmsRYG1
2GhsXZdTvspIn3OMYdJEMB2nsnHNfPVBxX25MgwN8G9LTaPJyEanNeFe6pmxc4yO2PeUjBsaA4e9
oCtDOivTzpJbCsxN9JmNScLddHDcVmJ0mlUmstdpNN2TYcXajlJ31O5J0iJPdXbZ1NkpzyndMiDy
6NJN3uzksw/jdQY0lNG+MzecjhdGSRTUZrRLK6hi/dQ+5CSI2edg1YyLrfAI9jcZPx/jDaKh+oYK
sBHnHQGniSwZkMxmIL2IOYEI15jwIy1d3b3mZCgtqGOY+OCrEElb57CEIhfKfBm9ZVb0bY2sHlIb
f7WIBEJGfTHBtjScSDeEETiUwN3pU/jbGSbFlK7APsxtj189M7ZD8AZFZ1pa8Q9umZXB0/Y8tNbb
WFrVduyxvoBCYMFzNwndE1u+naPXQjhSSanTujzTkqgzhuGscdjCRMKm9ewlAESA/8Ve9NpQ274N
smBr6u2TQdHIqLX+Shl6v0pI1RdWT+TeZow2gkYyBKNnn+ts0RrhIqv9/OZlXGgNBWqiiFkdys0k
1H3gMh2z+gT+9wUaU3KbAI6KcMWQPb4LyRunFHLlaLqzJWRDHak9ntuURXMKa/wF+T40qCoeqpnO
+BXkhPkQi6t9i3rN+DRd+Sjc9CCA3pcq2hOIY80loRgNeLznLk0GINmC2eYRoXbfVVa6hu706Y7t
TaFUc3YsG5ZvXPlITXjGymzpMnnhl9G1GSY8bTwTclBYHaNA0MY6AXMRofdOL1065CwPJT/nIPJt
j9kEANPc6Kev29ittgO2qiwiGxXmPUjAiX5kDpCwFctjU0f3JCoxc2QD1Vicwg+YsNeWDMTC6ZjF
CUv/0eNonye0KwpSup2KYT1MyHeBGbM3ZbFtWAZWyhENfkdfOxsJuAHXpaEyNx8sVe/rCphEXriC
rWdz13IPpbTghjIoeJXVYzOUa61CwmP4jFTKOsJ8AGulMlmY8HIM8BTRD+o/nYmNHX/NQhjPVA38
BAYdTEK1T4VJRWFcEbGv7mRsn4Xpiw2fgSi7Q2lkXhYbDCB7MdgrxaYb7kJNLUuJM5vqlqa18yXm
7HmB6k4RmSILFFXRJ++GYIGwCpdepKo75ma90XiendToMcMzgnKLS/6bx5C26crmT9hFR/6VdQht
+sJskCBoQmyJcTVLZJDs5nLDQA/ePQ/wiN0aJ0OSwwiDtNpFLYPt1q1u1IdlzHsZBtQ2CVN9PvXT
LAW34LWp8N1rekJBhRSnQrp3qdxzzxRgJThr0IJs063cZOvC1AUojS8eEUxmmCOkCrFD9+SfLNZW
oh/eUs9yt7UzFksDabxFKjUljz7X9h5woX/QQ3PxBQVWEVm5he0zPUu+WivaGJU3LYUxtmfjEADA
88CmxuWRnca71pXDWkbNo+GmEt8lhn3QBLhG4mPEdmrZxCGTlq69Bjq4H3qQgMxOOCei4Z655SdR
qwI/xiXMu6eAMgYqWRPCRtnNJAC28MG+sMEi3NxgVqXe194MRvfTquFTy3vz2OvOMe8M41YB9dS7
MF1yuwarNCVMVTMrtBKwjLZf8eGxg+BUJW4wuU+x3vI72nhapl9htv4mmEBMgYeic07bYXPqcW4K
d8X6sWqS1gBsVEKFeUTTYmxj/uRaZhJHoSCSUNyzkXNXgtKbtdIrMM5z3zlyBRKCEMwqqQ18q7RJ
rUNkMx0266b0m4OOJrXo8kfMBPCjZkptwOhXDESZTMNcxzUN99lIjXs1QT6a+kUWjGzSJoUHu5oo
Kh0axotYJWoG1hNQh6FL90hWTJeHQyJYpYvIWOb2o1sNCAKj81Ra3GNMRyMe9tylWtziZ8mokISc
9lNFuPk9xrNuFLYnpxUnpZ57YJFAyeQLGFmHD4gxwXPa41RU0UXjIWa1yUPPkJRaaOpDEUogZlg8
94iSp7FsVlKVewwBzmqKcBQp20AbawcuUAE+pbuDKPiQXX0f+ukamiHl3Lhv45EQKpf6Ct9xyC/q
76fGNo4NA2VXSDKcYUFPo4je3PpoQlJY8uv26yF3b3ic0uWk9JvuuAcpbQNUDy0r3niwW8pjKGZ1
SQExCq1H7xZGFE9S6uHAJyGwtYomA6u7jcDqUWdqNm+BDVQGm3ZZgFG3I8pcDZTm3aiviBrsw2S4
xX13c0LUNNd4To0KW67xmxrrsc3vNjd2M6Z7jWG532CLzZk54wkx90MJonnkUsys5moZ3IcjapLN
eW78IMr796sX7OVaPXrG9/etBeSOVdoXdA+D81BUmpgOFgNQD1q3B09z1vQCe3KK4ZF5X9fpBjlh
R65pqfhDCwIYaf0QFzk7RWiHk8phXzB1Rp4LlnXZPQceDe+2LM967X5GfmiA7XnTrTBcqeeSCir0
2YiQbrtR5DEgRBOf10oU+3LAFFFWkOUClXKQYlRb2kRFs50Q2TtSB3qHNerLSXepaWsFKcWJHO3k
0ViFhRUoJk+GEACukdpbEcqF0UbwZJZcJY/U0Z+EZPnuYqDXojomPZBcs4q2VW9ma9dA5RsKslsi
Lt/wXT+olAA1dlAQUxesonsK9C6qiR9qxcZQ0rjZweMMRypoc3GtK/UgFbEAESUfZVN9W+yz9U9b
rwfax+3HYLLXhc/sPYPcM36byvtu04Lq6iFY10P55UORgqhEVzGpvH68Bri7URCgoLogIWGzlAC/
UsINfVNvPFk/F03y1tvlsatinGr6b9XU3xGwVgefYqdTrvj3vxB+1LHx5prTrxnZtIgQHtCqmhAv
OupcbtaCQwm8YKWXwSWqoxai4J8mdQdyCeGFPOZmfgua7q37WM2Vzh+EwDBAZSUWpHutqQ8qezej
EowfSOrEjKqKPFrXtroFAHFTHxeRKdI3K+WFG8plcfw62vAU2QhTwpB3lJ6HzkpwXIYfHY4HujYY
qfsFQyNRP4ugOHZ98qAsXtS00e/N1mY7so1r0jBTuUri8Unj4RtWv5KeRRdXYUeGzuyYpBRz8M3n
0TQhl3vWo1F2T/On0HxEinlzVxd06lbduW7ShzQCj1gPh8xnvmK7YHX+IHSyEa6fvQYAU5pwq5r8
FEaMAcrI90FmofH6+YcMSu5sf2e75I0TZEARfPpAJbqJr1WDmjx/3qrWcI1FlzSOPzgCmwueC2ye
Cu8zoUDJxiUGHomF0eA30kGiF+zO4V/DVO3UgWkWN5wdMaXXr22jvZbWy5iUR2nD0vE5yADm4KFW
Wp++hTGvzYKL6oBXBV5+HbizwjDE4UNbicQEV9XiJTAQKQDR1Hg7CFsN5oPsS3vR9MVLgqSHzBqs
6trGE5Z+GSH+bJqFfacGBhl0FMrlJ90YTvXYfZHvYF/WN8T0x+qo80imHoiuVOIeq2Z2LmtHmaaX
0iNf49XfKWTZpekSIZ1LjKeBp7uDtma47EzDAv5yQVnz3CSmFzFCIZ2/VswdYQ6/HM828dA9yaym
2js6TJ+jzcpstNOV/Map0/XfIc/+oF8BVHGBR/YGJrigjy4QYeCZmereqOlSosV6Ht9EV4QcDnkW
lz2TPp9BcclqgYYtMDGEB5nTPWgln56d/cw/n+NlX73Jt13EwUF63raq2Qk4Q/nRMIP04cMtnaB5
aVWFtbnQX03FcZXpwFQMVy5FYKqd8QiaDLLHdGqKSQCpiz98EJmNZZ3HRfXGs2kYICIQzbIhg4B7
To9l6zofHugy2ICeMMD9Y/v9+3227TbVEbKNlBcszfaSpPYiAc9YJAMbs0HntJ/dXYJhpVSPpchs
Yu55sTXqfklLbrHSGMEsSw8vMzgYhJ3Cfik7k+pWVN7RUsU/elP+myWa+eX+/Je+q3++/P/LQioD
NvD/QXrJ6yz61HY/1fQTkDbJKMz4+bstay7omf/uP1QY4f1l03JiuWgxuiSmhT7T4+qgSsn6i/gL
KowlgS1BuvmXCiOtvww8o4IgmWkYMAUQRv4pwkjjLwv9BdFGOlQPm574v9FgDEhg/6bBOIZwLIFW
aMLU1G0prbnX478QkR1jTAbDNhW0e0170NNfJqPFQxSUz6IPGNBmeOjNEhuf3fr7IkkOY9/3j11V
mWfdtzZRkDbLFIz7sR1Kwg4gSXGckHadxw1Tq/9pwlwxEDKrkzfaC3K0067kYn+syEAvEqAGWFED
/Zr30Q89h4sQ6fMRpwrpRtMcDiGBEGRtfORuTiUhvhWPDZJN33aXX0UzWvekqr44Bo5LaJLmPk5u
EWrEnaGY2Phs/Eh/Vhi5wu5FNhxQrfxvzSdjDNEXt6HMp+OkMsolKRQ6FUpgiaMlelB6d7dDh9p2
Fan1MIIocF1Qq6PtHCgD8STGy70VeZtsjDEXCjFeeQD+kNobt+6AO7ISQbCh70PyihZT2bYfllaZ
+XuJR9kbwk+r4EgQB69T0Xev+JwQAmxKLGPi6JhrpyRdUVHUYxiKe/gf5aGOys/UJfw9jQFFYYpj
QVtvtQTKVJxW6TXNb5FL+G/As5bqe0sLmn2SU6QCV2qpuznZlCxBCEJVAhUcLSMDl2E6gSUwkspE
BoOQzyR5reroWfLSc17yCXdgzCf3hxVDQxthbJGSCVcglHaOmJq9JCOmgeKlxi/+pk+nX+vUUBMD
B+HYjz00SFgrvUurOam4OICxqxkhNX5O8h/sndeO5Ei2Zb+IDSON8tXd6TLcQ8sXIkQGtRZG8utn
sW4PbnbcmizMPA8aqC5Udpcr0njE3msHGw7W2xQ909ps8LkGhbL92MOXNlaQXSCqu2uBC2+Z1rco
IdTJkPavucQXn7efgULXV8BeB7LEcNmtYWDA+SF6K5/g1SZ6AzytNemCxkWjnoCMrer0MdHvEG2q
K3TMviOnmGxP0pJrJR600Y5OsAI935mLCnhaNPrDUB6TTMv9sESEOlbGtSlHZockieHog6nd4huu
WDXSAGIZK4suINiNIHY5oubWGMLvw2VPEtHJyySDlleN0XYY4D4iWBlXg4cGpo5qOhlyUtdt9407
Hd6/Zs4AMcBuyn7U8a9WxVXShUwHOzvbFgO2WZ05zY0OeZcbmwktm7o5EKSDOkO2OIfegQZF5MyR
thkF0DXavroxZaQu2y7wzIMdkSThtW2NCLvXjv0C19eavN/yHbUn3ExnNDe7qpZ7ETDZI9jlPWJS
qLmp8QoNR/cJAPXmYFoTDCJ3WgX8qV46wUmm17mD/1406aGSIKfGWj3gFdPwkxjPUeWKQzNHrEmo
mRldGixGR+vRRfNBxwvUVkVkrqK7Tmnb5mcvnN7NYYjoOmfCRQf7jQ6G06a9TCGKN7ChMnHR/GBL
OYb5uBnq+sOCoHka1U3RifmmJwBgtACH4Jzjs/XowpbxACTD2zackncmtEc8aONW5nV1sIT71Mfy
ULVV9cS2ArqXbKFxZxZZlC1643AUOA9WnavgfBngezr0ILduVrw2cjgUTjB/Qfi7I6s5/9CLZdNQ
7CXmjzt97IGiIJGwQK4ftRDcexS0BxC0wcZjMLSOi/zNlfGnmW3YONxXkb0Jp746W0DOQUoy5IRV
46chhd08FACya0Sc4PXLFcpbKh3Jnnt2rrwkFX4WkP85aR2kZpWVGAu7Y0GmL1Ezy2wmBGgn21u7
Za4cN/qvVsonFEUTYRVpebTL7jgzLD1kL2jh66Md6PQ3Osqduc+LVf899gpzq9C4lL3lTCCslATR
iiiFbv5S9aVI1YZ/m0/D3WAjAuu8oDkqfuW1csWwTbsrUWZnIJ4dUWPDOaFdXTScUEUWdXod37ID
9ggLSK7dot/33fQ9BRN2VahmaNj3aTbsMYcyL3a/TNgqbHi6F4MVN9Et94mn31X9ZVa6WAXoUyO7
n89TLyALYgAYmvjODu5q3O97oyLZoiZ2lUGZ5eK+bR6oQ1HojK5+lYXY5DqBH1ZXah/pRFJ1Obo9
BNw829ZGWW36xnsRBZPllBI9Rt0UMHBeTYtIWPbo7JzoNZgY1jF5lz7M4nni0nOIXPV0/R0OCDV9
zdEOZ1lyZsAGxxmO/vmStChg817uvS6+S6kv16KWE8dguj1wg1ZbzKxHTeCJyJtsj9yJhSOhhVrI
5VvD1OYw1p9N+GQrQFL4MNHvthMtuiTXxqxpWOoOzqrMP9umjnnYkTjNXjvc9h6VNcOllEzwFhYx
3oEQUeTCBUPvr1Ase1F9Q++lrbLGQWapPiLwmSuY62wwzP6morCgGTBvlIkyLiJQS2vj+RAm868o
UyucaF80itomyWiVZhz7Q455PMcdX2nYfuv5PrEwjmZu/l13sO1GQLKwRhH6hoeqKNigYuFz5vps
uWQ3xWMW+7YWXMxle21DsF0x9HzWTOcwEgdwzF7xhXzZQKPPs32OS74ixstUw2n7mpQQ1U3HUnQo
PPHiumImXRtrPeECH2oU6xNGl7Hpl42oxgMiggFV2c6uszxWZqRjkDncHglmokIajkHL5ZXo807l
qABcDKR5fjTA1Uz29GlYzQtZ8fHadcjHQML7C03xTTBKKB51et+6BkWIcSy1LD/o3K0bXXTtlfJZ
2wGiHG0GJYH2OFdpj67Ee4rnadu0SPyrvE/8Eo44VoRun06YB4YZaSZWWoftEbN2UUIKSSQDiIn3
VNYFk/b6iW8CJFUm1qliuNsr6AMyeyowNeylS8tu5Aizvalk/mhJmMwgw2cBiLovpv0o1DspoPvB
QwDSdN03jtJ41ejWfSNqYEWKXaQkBcywddRpxQuxgjdSVJegRpcb29GT65YAhCIx39fIMs2mf8lb
6CCRzkSxZ1OMyByQXdAhf59rAFzjgNJh7NJH9sHonquo3bkoCrK2+e5wiKzaIoEtGTKRKtfB3DIm
tNt0BzgXy3lcrd1umnaaxeo0wxQCpoav1eVQQtpiHxT4vXiot9gUcFj23VH1klFLmRwx25MEbMgD
ZRXCfDWs2ck3cJbLN1Z+/hSBYa315leURGpri19Khni+pwkmbEqYQQ4XohpleVIzww2egA3U9O6N
VZ3aenP/6S3WbdDc5rwYqm7AABaEMAnChbCZwN3VwUoUxZrsQZ7jjQHZukDJD1tZ7LV0+LDMFL99
ZFzqvH6Ts7uX3ngeAvWVDhj7ixSzr1Zg2lPMJLjtALF81JZ11zZDAqHDfsBeh7ZI1/FmoPdYCdF9
BUP5leQdqD3GyOhs60c0qs1xmnVKPbllOmt1L6lpkYGRJAfXHZ8t2u3gqhXQAFoHXvlsfKdsEHes
rPSo5MKVLOiQ2cxVhtZGBCDggmbHvqAcHY9PG54jsM1e4yZHe8gOYjTjtWmA4FSDee5H8zRYyU0C
CgydCAD+CC9gD05syj+80HGZvBBXWSTfIFDCtvfAsIFCs+t9Q4FEKg150Tq9s5dbN03lXUsK7ki5
064ow3dPELJuajNBg/aN5pGzkM4+LhjUHxhQqsaIiPXR39ppZZJ2t6il1phHb0Mv8y3417rZ3Vpt
vKmk95kNrZ/V84fq0muEoAcR2xfcTOij9HHeAK9Bliu/XOnEVErexxx162iwjmHDdMgKMeITDPEE
pA30NsIVi2ANF7P31jROrLwscG4eaIeou0ZsXZY8W1Ar94swBQ2rn4N4Zio3P1a5cWaIy+cPxKrC
Al/iTgL3nzJl4IZyEgyVwXvI28P3hXTf9s15YE8X84dxLHdD/FB4nbNVXnCAZLpcaMFt6c1vQ0Db
VBfvfeF+jHWMNbLZWXjwV9RCMUd7xI+Z48xv0KWXNXwqLXdoF6iNAts6iM596502RmH7VqCRO6Gh
zZkyWzydGiAMkwSeZQ7U7wBPJmqasfbK9WBW50ChBS/iDjI7j9LBjFBlyeS7m9H2qkLtpnSnTHYF
TcVJQGN2J3jO+0mgHx0no7UU4gCSLN5YRvKhXJN4brFsSqm8IV69Z/qIECqf780hPekpiLIc8SCk
LWM/NUm00RnLVQ3/ZrVQSRNSwLRQOqeoZGxX948qT5dokna/8NLWg3IAQDw0U3ep4lZnXGeWiGOu
gemgTHPcu3Fod7kEMhVXYBA4o1qxKVV+L3luuuSP+aLhMuCcuKgJN0NT4iEZ3IJewrYuQYA4QkTo
5HvJ0SaHJEPbDdYvRacydR/AaMY1SPKHco7qU2h4jw2TWwS5PegBHPd+pfHBwZHGwgOdSGjNyhxh
GsDWxD150UwgVKzBUeBzHF4mp4fpop6JM5zvS2Rlc9p452m8TKxEsfFNzTqL8GG2LHRqLbThlVm7
EnjESrYKZ7HpxrsBcfheNTJYQz8lfQbuINZR71dh4FRQulccc9Ys6/TcEPyzaxrAO1kwRn7xV/Ha
RNi2dQrUubmNdbYrdtns51Dtokq3dgSveZTd+qlDs7ORo2pWxmR9lxp6/e7SjWmyVbLCoEX4dTWR
uMMSesU7Y8ccnN0CVmBSdud8hKFSWP2BjJ18X6G92Ux0W67EJ9k8/qW4mVMXVUOINU6MOHQMJ1wZ
S0gIC6o16mqq77q5s3rqUaQPTZrsA4nFzoF7q8fOfpyJfdBt7wt8Igt3QUaCxqO1QCiEWSle6WOO
vUQfv/Q4ela4QlhZ86wtHBuXqJiQmEXzh0QwtYLg1q2Vab4BCwMBx9iGHrpgXYm7IW8iwyfY9YWl
4KqvabfwviYV1BHXBeQ5Uvpvm2ngQs+fZcz5YTXGdjnyvbTZZ4LRbYc/wNSLb0BuPKtNBJPDRKmW
+3ka1/R20CdyZB5llq9rOxLINuGApgHkXuD5LK5YCyQgoaqxel/IvXCcpr03VQdhhfAm8xblf2gd
9Dpeogx6dpqz7huWQfpM3vkJZIiECzMqHWIs4EyXSM0elA2HBicFpNycheGYsWZwXCJIhWi/wghc
KrGe1MG0QrxrFLMpGs+0XP4OEujKBaHf06/wiMVHOoLTx4eUaBYeFse7Hzi4jLRjYCPcQzA3Z3AC
yarOg2/RyFs9p3uux/KF/hBkGAk3XUliBxAusRqyB8JmaRVGGDMzLAkiViAN5gyIOmtiTW8GF4jZ
Xz0UNiJYzFWHk5XFH6IRyjFZa1d9AlGJcpbnrPNgq95EMLgsyDA5tPRW5ArBsIUGgtjjkzj4aEdT
TIXcTMcxyY/uoD1nOZOOOJ3Ojs4h23oZMM3xaUAT6WV4emwjm9ejJp/75nZIF0cU1rBNWxD+wsyH
eTdLYo7vF94zmuEYy2aCFnTVdfDpA6c8zBNoz3RI9lz72xK9AuuZNITs8zH2rjpXS31a1MOpiZr9
ULAkiIW1jskJ2rROtMldNfOMTF2/Rk12PQyfts0cohi43sIZOtXkGNuuWAq76I2EkY5phiJnqbK3
hsDb1Y3fCM6rhXLIKSeiXSK0hzBzqj2M0RT77qx1BLdkEihD1/oOhmIG7Ev6OBbRvL6tGiFOgbXo
m9lrGyHKrUARWtkHqXnMLO04S/2t5CXXA18yjzV+Rh3VlxeoZltVc4h21UUkXXYIyO2p2lyFYxeu
hxBMa5JBtNJnZN48UZGCR5bvZlBYEjiIyeTM23Isvt35UwzG6KdZm96F3uCb1met1WrXJTQBNt6J
VZfGUMTIFkqH4MGVjUHzH7/KKLrLvXTeYmuLDwlZXAa6PBZ0eDi7ugrW2PCDhsUPUSMGFrMER07T
rIIrBkkeo5Z4XhHGh49Edhu1iI1Do3YZ7sV+Y2TvvbcgPavmIDTaUBh67qaPsIOXmfc+6VxLRvak
s8NgughOVvEuE917pgWj+M4PHbmGbF+w8GqMqoxINISdgY9KtewqtZCXop5aiUF70g2UkpqO8LTN
UMdNV8qLvmrdJv+k/0VgG0WVndzLJfzONI1txK0Oo0FFQBz4OTqOyyEO7xP7OkvTbJOZQJapRggE
35LVQRxUpN5DtDN1Rw8hY/exb/nEzVzS0ZvZi1B84iKv3tvG8HVruHeHlhRZ78g+clgLzuV1Lhg2
Qs/8KoYm8Pvsbsb24M8VhBnNCy75jHJNc3iWGvONWzcdJLXiNQ6drxi9YTxnGh3IsJRjjCzJJ0Hi
xCpGkFvO5JfuSbUIaamypkljekuMMdOasV31PbFt/EAw4AOmJerb5hni0UTZYb6Xib2bHIaK5oAY
EhITI0NejEjGau/kBYCHxti4oNwZLwUbWfDg5QHsrqnwHwhIfHG5esgrn966Wj5z3fKF5A6O0JlE
JpM14zzp7DmRY2FFf+kp6hymS7jJ801KRTcWXIxlxSkgjFfs2vAMR9xIDtWcDJ4IN9g0c/iMDJBi
+I4OFHBYT5+JaM8pEFJI6mqwBtl14NG/J4IH7gRbtOqQCMQUQO6EF0HZFsqWIkJSl/TvLftck+H2
ZPR0e3ONjquxXmDdPhfByBOCgtJNkDwRFPVqaBQflNMEwQ7Ta1NrFwAT16VRL9ziq7xzL7Q4FSJE
rlOvSwRRPTNBn5RhVXtsS+9barTjbgfD1CEXTRFuvJg5tonmIIGMJBRZlV31FQJLZVifalFQwlEi
rjak3XcRxBjC+ozTB2GQw6d7FAwjOLnKoEUJCs3wI+qQMFTHv/6S2KW7xIwam5Q8SGD+v7JlAsPy
+Sto2mDTmM9axb84GSjhRqY/ocPY00RyTxYoFwwxhQ7Qkn5gVUuQssLcC721Rl0GRoUG2Etg0ZRb
AF08kGt18mKC6TrO+k1eGC/OJO+7jlRTHnygKLn/SgRWq8hlxQcAUdmDu0b5QPXgQBmWn2lnsDon
mpLDsTrVPM/hiXYPMTbCYGLgk5vEyYBMEuZADydg29Rg6AK3+UbxesM0ks8wUNuWC8gfSsa+cMfP
ESG07mI+DAGFsUIpPmrBxwt6VsSBde2lVr2RDer+rkU+g2041gDL0+2T5preyDS89WKShXlHLJ7R
8NkeF+Na5gCYIV/3G4CK8OfR4RS41cUAei8zYNG4wLkWL3dDtnJoMDPuhuDoFtCUsjom287VxIbR
fB2b87prwFL42eTkG3tgdSorZw8u+tYgi3rFBc79o2tPnsddPnOazQ4/FrxwpB4ivppCcAQLPs+Z
KeFzXJuZ0z7NyXgXYk+OE0gGmAbWacveqnIlSrYqvreL6H6u9GMbpveJw/emLNIUzWrngAHoSzwc
KXd2CtxznecD5zWi3pLO32yGL+kZmMKpSSejeY/kszaKemk83207P6FMeNZbIGkMe95VCsSGXJfD
4MbME4kU6Jk6NcavylUro9KQ6i8RImYR3/YpgZrIO3duqhPbDRVYxfMWySHyTFW8JhWf1okEdnNy
vhiYrpLb0GK0abJGWGsu/SiOm6rx3kWezOuhS+8C0FMEk74S8MMByBbDknnP9Usvx9LMNxcPVtG5
XyP0k5tJ8fNizP8MkDWyj+cxBoCzLAGea1X3HmQs+Ey+9QC14yo3+63d8qW1I1D/UJoXve5wPd0J
qhhYzFypHZMRAjwWisfwnbvLWRAtJk3buiKnEmmIw4MQ0xBCFf4MBdyD0iPcr/Fbnc/btMd4zWOY
kXmdc04Hr5MH69upoaZMNQac8jrzeqbHEacqBSWkP2msq8z9cLN5b9qMKSueGwg6CTHSYsbbE5ke
VsIGq7VQ/4YLLjclh2uakdbwQ1Mr34H/vaEYl+vBy67m5k0SA7cenfRkq4XUStLhuusMNFljc9Ir
a2vN8kuwUWYKGGiIhAPII3gFLM2u+O0WNJJzK0yecvC+dfgW1s4expnCIp827lzeayJ5X1zLrgRU
3U08J/UEkU3jhGco27pZPJY9P3Br5d/I9zk1Kv7USGjDRXa2Qn6MvuJHmwaYHdrwq/OWm2JxPeNu
PTtd8t7ZN/y0BqewniHGTW2muhEayOyZVfjNf90/Mo829B4I1xcgZvGV5dBp4KOA7nTk4zjyjBrg
+zMU3yYRV/XYUha16W3ifTdh/CudYAUgLruRdfwxERas9c49gayvJSYKn3rLXo1Ff6C26JeBhIvD
b0X6IWDrasQ8Q93TRXzLXsEoAxUPspj3kvCAnssHSxfG3IBYai8pGf+YZU95ZVwQsF63ibNJE77a
iQDX5SrkAFt+LDahECSqV1FpL5NuSmCamEgMUidxwicU2uW6U4I4Qg13YFaesEt4+P6W69qtuSQi
7azc+krgXEciuBgT0TfHTXwcHXlREF6GLMO6xM/hu125iQaNh8+S91nw8IeIcaoTwezJup9rrfS1
iuVaxu9OatubKtuEkliC/FyuBr0eDywLQPyZr7VijdW4A1wjGjgFRamc+WwRBEHCevK73CJPKNIp
Np2HIMKP2HInlV3n+qkm3sWICV9AKdwGGd8znh2fycx91BL8kHBiQdmRmBoCoi7Cd7jZeBdg3szy
g6aZZj6FVWlPuMI7ICHL38S29WkEHtvdlhMesZmBC8f7lamHQQMEstyubK1h9jtFv3Ha/N5jhWpH
EOls67ZDNgmsLY22YOz3LOi17SwIdhiYnDOBAhUMpow9mfCV0r5wJnbb0STfTkF1Chbagtdmu1kf
l1QiZ9zoWDW3LZIuTDa4vl6tOGTugKuc+AS/pDtbN2oY/QB1U4VpB9l9WXDKh0H4mAfjrRnZXyIN
7uOuvnGNUtAFsd4oefMxuCK/iEJ4oHx+06FFTrXw3Zaoq5AzfeplrBHmor1DZN06AhV+O3QHZwJM
NgKUWYeu+WSTzr2y8Jf5nqgAxLV9wlxn+OxHey3YO2wLd3oeB3rr+CAIeVvxlKSbSuSOuK/boPNO
pqPQXzvpAloAR5aQTsTyVCc+udA+mVQgVkquFU1LF6fNZsZbVAWbfApuWo8a27CH7Uh1i8L/2hgY
yedmdJoH4tkajxjH4Hqu3FNBznyWjhcQHOskNl4rF/JxpF01aWGceIb5TW6S9mo5q0qQBaG/Zq7G
HDdCOTXpr308E1nlPbk1Vd3M7EcsAkVj4i6OaBqd4s7NGuDYKVyjxp5XNHn8xvTMhVHRMGIn2XWp
y+x91WlRvoVmNgJGlRdGVx8NeynMmsn9PADoL1tGEv3svOkDIQ4VWdrIo3WLfagG5pChNRZbQ5f1
zs7cLXyH10E8Kfp7uC7V9dxwM5qz/Y4DYV94GFAKM7sZlWEfI8G4w3QAWlVUaonRuxsdJACg6xs9
/0CLQSHHZcp9QLUPzUHzFopOBCDI4ZZB6Tntm5a2h+gykvqop3H237O3fmnCqV1nSEr2dhvfoSO4
0rTyqs2BDSftFLIEytdRz1N/OXOFTQ7VHOM3Q7tQRh2tsrUwRj310hDLzeiA3rGtP0aPYoXk6W7j
eIGfB1nnw3h3V2BW6TAkwZqYnfE9PQrXlL5XChpyclo2nb6t2yWWCrGw5MSrI2JLAI8B7Z/FtRX2
B21Y1pvReJeE1bGaGZrVRMwWoXgrenIPhwJPQVGHODWpORHfvbczdshWoUhjtIBgFz8uPdgBQuZz
kjDBl1pDQx/yj9P4lWvlMc5aWPcYibeC/gHfOp6ZGvL5ZDrVRiF7XhMMChrCVgd68VAb9G2ak8np
YAmXJYGVnuR2XNCkBH/vTDANtPhZ4+fDd6yWchclNZOkBUmNjKmA0LXNmbtA1Jv3+LZcX2JbtRVA
y8TB4kU0PcOnBgXP+BRPsU4sXsyJ3eXrv/Rk/19YZwMi+D8L6/wwpmH8XUy3/O//jTSw/+V6IAOA
GegQDOgt/reYzjD/ZYN98jxdAqQ3LPnfYjqp/8t2TB21nAPnhMuX/9O/xXSG8X8jnvupnLMdaVi6
bXum6bhA8cR/KudaJq553WoMJbOkuO5MYV8MQkYP5Rj1/74YUD3+PSzB/KHSW16L5D/dtUA5SMv9
QUqYadpDELAJTvQCxyCTLk0Jy//ti775L/DC70SGv3sRosGW79EWli2XP/9NCthbVY8JfBmsQ0Tw
W80lZlQxzv9/eBXD4JOwccN68ONVoiDM0ccgTs8Uvh5yEnI0x7Qxqz+/jPGfcAmHr0sazm+vw8/+
+6cRrH+ZHQ7pWpK540cla5aADPh1KNF8Z7Xx1XfjmyZoxSdHD2/Jvr0zO/PRjRDp61F2RdIHdmzS
WICdkJWj98vZqoldmWdXcdU8Jbn9+Oe3vLyj/8Zh/Psdm0Lwvh3HNPQfFxSFLEkXmRNQAWUfogn3
3qA/465hlFK2l1Y1H1Eevv35NX/+5o5gJ28jM7VNKCHcKP/5LVG3VMJaDJB5M5W3RY0NHJVUcfjz
q+jyx0dzpJSGziIXi67gv378GN0YxEVnumSdacl4LvF0rNo0qfdIjCaYz/pnXmbjxumBgtnkt+BJ
jBZtkYGXWJXTblBx+w/Xx88v+693hB7XMHVUuML8cUeBB6lHl+xaBPaCuWYkdhgXF6V9448FCaUY
G7fSGfd//iJ+nhnLq1rLPcYP7JmW/PET5xCtQ0eFsDX66CUiL43WgKGVzZh/++dXWt7/7xfT8koe
9xg3Ga8j3R+63skcHRqgVMMPVxawRzTtTUsJmdDNSdvFSvb/cHj8zetZ0tYdU+jkiP6PX9giQaUi
8xq9SE15aeHmq8KJEPGG3hiAuvEPH0//eXvz+VyXDlYnO1tH1vzjilrehOO2y4yWIKNWifYwGA04
a9W/tHEA3Z7EEaONx19pT3FVxn95onEk/Plb/uue/PE1o+nmIbA8CvBg/ngbygrQ28eVRv4mcWJW
mbHLzPHcfuSUoSyD9Hnf97JaA/fzEKs0+hEMxz99Gbb1N9cVzzdbGA5fiRD28uv8dnTbDQGetcZ4
NquJwR1HVm4sZ2hlG6TSiSkG53oUBhhCiEGRtwWHrWbfshx8Y2h/COHupm5EENd2cknccVvd26DV
5IboAw9ZY2m4H31tHuusr30MYu4nEyWJGzSR+ybXnbO9CA+rytRJMR97qjRaz86005N0GSmFjfxi
q0jPLsa3vC2e+nG8l9RoXWq+4tPf1Swk54cc9NiEbngyi3M2aetUZ+ZA7KpWGbeWdQVVn/LeXpSr
xbDS2/DUBt6GKFD0LSkaiGYXMCzWGLcZtPSEl+5il3/0WMIfgQq9G6zaj5zy1BKbXPUovFmz60Ox
58DZGbQflo5FwfGN7GAQ45KmhAlK/bZomnu3c1fsts6p5mxag1mize66qLZJid237MGesa0gmNm+
lG60D5ynvpivJqu8UtTyFVYVG0ARHydHyW5R9Wqa5ZMwS1ZPnDzw9e9prBHs9KSvhqAOx01uEy0y
M/Jqh0uI6auL8Bk/dPYnwWRbEiIeNWIWDmU7fsZRhO96DG8JTtoJbjYXuAC+KJYKTXM12khB07h7
lkgzJjoQjEVrY3iVDJ6KOPZdp1gpCWQDXIU2kmZom7tkDPcdrjQyuNco7Y/BEv7SpKeeeXqiaci0
cZu4RbY1vfwWJbY/2ea6JWhOOuozaNi75mxMquUpq30M8rxgWur8E2EjT+JVTHZSYHLb1s2e7fxJ
69GwbYwk3Sr2CSZjtcxzT5IgetXd6I5a9YQUuGF/dLP4QBgiFrHCRw717GrBjt4EuQdabIAI9dFK
Tj3SIydn3prcjuNj0Bt3vQ1Pf7afVU3aXwO9/15z2VCYTbYb6ycJAt5JvbNCg4P03RdReBOFEfsC
FgN1DOUwQl9ga4Th5DGahUX6gj28JPaHZXNukI9JntLMDh+q+Z1gXMsPOk+sJAjOZt0uebKFxoMR
9EdYxG9ZTWRxYAm/k+aOQLJ1Q6h15jGPMBCwoIwTA9AUTeHqfU4m9AS42vtM2wZB/ZwMDsFYhzJ8
MQMEWzHJOzUyfS9Y90RdNu5dXZE0mqThklo6Eb1GcPemE+hXjKwkToo+E2S7b7ntcDNRyfhNu6iG
TPSdacEmpQHn5toxfZ5+0T21QwbDNqNlopN+DfRlScR2brrtHcG2iw+zmwHPk22Pi5TrfTaJeWAM
HxExoA3uLT3rNfOV65xMEpaE7u1s4MMwylupmOQGpIcSNB18zuG4y1R+4kl/BEl2VVQXQysea5If
w8Lbk/qF1Ic1CTXrai6traA2oD9AB9+8M+kL2LSdUnc80NkBJ/wAaOZXyLHZCjE5uoSWeR0be0Rm
x97zZUiMC4Nj7t8EsNf4QKidH0yP6I7Y5V8l1d4kazwm+gfouRfu5/oBmLJQp6HcDgZytc0g4HbF
O7vci+k21u5NrufE/SwdnHndqXDOGoZ+/UtmCLfZS1Qu9QQinqZd67W3jphZtvW6RRSCzZo4YcQ/
xalunjquqGLbVadZ385ocS287hXfI2mIhgDRWhAPO3/YSn/Xp/w+NbqLWr4fZnLQ32FUorts69t5
Uue6Sw9j710ZRktYNcMUSxneRpM2bnQOQQ70F07zLerSOxN9Yet8sjllMMQWGH9x8ux1V0Y3+Yq6
J8jxu40nx3shNmgT6LetebZxNrHQU1sxfA0Ty9abcfYVGn3SZE3cvx4aa/zgJggOj2pbvkiP0Aki
zb4qDvaBUb3nrmvBL4fMqmelpL9NlbmkQ63AxpBqwFLyxXIO5oLFcIoN+gmUP2sXMmSltiZLe8Ww
a+i2RfXRIpnJozsS4E15kQDUWfwH+Y5thLDZzf7CbaeRNliQqmmiTKlGsW2R0uWBxH/SbsIqe41a
iPu14XsmFQJpeQ+yK7t1Gylvw57Nhow5Vhuj6+9iO3jUevM1AhbCAd0V3tlxswOk7p1bv2agPRsQ
4J1dnSP0A4So7waTXR8zBMBpa4c9qm49WAhq46rYdD07sqgBNC/kncwg5xg3UXeBPLVJA3ufo8aK
jMea8X9EXFiadtfd6ByADj3XQ3pJDA+JpHcvmWJuqxaUDgil+8HsVkUngcbqd4OR+AmgfOhzfXBv
l+pGb+edtDCbZhOuKhaWGcxG0iSs0I9IdZdGzyiUdCdVEhOfbjGVEA52CbVfehNcicTbNqAw2Mte
pQkJ4DxWUaSuDOujQFOoNA+9EIJk6+RFr5b3YQzjlU62zNhy77AWzES96dp2q8fDtYbWmaxRpGLg
57OsviXU6tgPaGnthIeZ/ibD9DSRsDY4M4qX6USCy3FOrccSyEbECsvDXVAZTOZjPKwr0U3Yiubi
w8pg+GAIyPnKRpwX02cVnczg0AVHsyOtya58FMxYSSrwB9XEmFTqazmnJ0Mpf67FHrV5ytJ4AM1j
3UUmY8l7dEvwFbJtgAVK9PEVbKy7TBJ2R4TYKsDwt5pi46wFAKcicQj7T7sYjo46RRPY5TLaRF79
PnMEKedZztFzJopTPzVbYFbLXuug2IJjlO0zdqEZqulc4NVv5/RMwpnDIlq8F+rXvBDnmJgaiL1s
ua2N8TOPo6ylE6U5JwWRA11oiDto8AgkiWEx9c1MobISGAaeEg3sX7JFYDBFgnUO9vF8D9Jk6od/
KIP/ppmi/MRTKpkdMGL50UWSSqCS2ca95U1c5X2e+7IMAFzP1W3FtdMXFul5bB3/XHz/TctBdwPB
0nL4j+78aKacFjSGTASsR1b4F25BY6vZakI14tnHihGk/Q8fkyHSj56Kxs2AWCks9gPOz56xLkri
wGZ6KuBY2wJZL0GlkjFz+YT05gXUI4wUjmJ8VtjQ//xZmXn9eGlcoA5ND0BPYel/TTt+K/BNGGkl
T2PUYXlyoysbXmQUy+3gQMWZMh2pZB3+Q0f3ty9Jkwo8AVSoZy8d2G8vibGKit8l2pomIuLpqaek
ApqKDcDY7b2mjI8RSKF/+Jz6/+hkTFYM0tGXvzKK+jmQAJHhhrC60jXxZnvGUeda/i/mzmRJbiTL
sr9S0utGCuZhUb2wefR5om8g7k4SMxSAAgoFPq22/WN9jJmSHeFkMyRq1blwkZDMSJjBAFV97917
LhSVyZAftmYUAVLjW9zm6zbF7BY3ht4ZQJbg3yHWrKACZPJGRb1/+v3d/8WHsiwndEN+dzoznz9U
jGK/LHjWlipkp26KAOEeJ0gG6J3/z7bv/7PT99OrRF8gpJ3oWz9gq/blV/nDXfcd4Xj4jPmhA5s/
vs4WwptZ5lMsBb13l4vxvb4ci37/DX/6sT9d9lMdyyjbscLJQ3PpKS6iDAEFOdPPTjEKdoSoxseT
B/ov+kK/+LIgWIIwoBzFAB19WjdUJdzYuUSEIb8qxLqnXOlWOamFYut2pmEtwVWwo9LOzWG7MTbv
/+IZ/7l+p2S36IBZNKZYuT4XzuHFCJk6aH/6tLL2huy++YV5ErU4K496qGmzNTEPLoyMbNrjNu3+
4uf+xZMVBpFDT9f3vdAKPt13YIN5j4ChWI4F2R91Y0XXZBNVmxoy4OH3P/FPyyVflbvNC42ZMSTa
+c9P1tQa+DGIaERDQIrGVLKnkpORn4DSX0Z9qtj+d64XhLzDId1Y79OP27pgMs2UDk3HVDZheMY8
vzz4RAAtY2Wef3+xXzy/YWhj3YrcH6b6T3tBRdsgq+GdLvPeWenWQlDOQCczXsvoCFy7/ovXxQvs
zwvy5W7SWQNdy6rsR5e94g/vacJjG/gecbLmkPhuaJGBpniUog0mi1rdYKIPxisTQKheoZfJMqaq
FuZ6ZZTOdWvoYLxllcPQ1kICHlWRg20SNhvzpIbKqnazBIuJBlnFNVu4LpXdpstI8BDFR8tEZ7Ie
k8ZHwUbHpqhuwZNaJvRJv3qqh9aj1gC6hp9cxc/SwJpLNh6ygy2HRkoWbbjuIzNj+OgtlvKj0es5
WXsM7G1gXIFX0JvgdLTmtiXDfTSTrb0OXIzCa+VkXCbV0skgh0QsiPNEDg+KJBzMGBkgyDoIZ8EM
jWb5brhjZ9/4Y92XiH5iXdv7dM4866vVFlG+KsekDJelzPi8+diFAUVabA33Gnuu84E/f+C0NeYc
IjkKI4A0n9UgZrIE0E21m9DAZHg/pcXU7PIMmyoqL4J6iNByzXkbDGYFXBd8vj9/i/sxGs5kq4wQ
RtwZrgDokLzLdpbZCORQZIDgbzaZ25DV7kBQNe2xfbOqsjVuXD+L8k0lbZuxKZQ/A3fcTL1npj7R
GOBrRXzFqapjQXY8lKlAlMd1BTJkcuY1q1kVXTxkN6GvO/tKTmBwaDXVkKgvPVEibFJBTE0UKoKX
tEWUCGdWYG64t3OspApNfcyUXQ0U1czzxX4qFVrlCg370m0t4HfZFJP9YVsp+OiFKXLkRW44lPXB
o9g70ETj2BsoMZ3Re/v62scNjV4i9t1v2gdRUDG1PYWo2D5AmSDAUjYTkcWsVDRuVNd6eyNwmqu8
mPtns2DDMy2VIqWfutVQOeAwzaoiEIjtggIBg+DSG/x5VTnAL5dTqqNHvwlBPFOakNJK6uBR+dbs
oUnSw3c1xfkbMamChlSFeZa6yW+77WxSHS4nQ7i3RqexqGV+dQ8o0DlnGEo31KrZeqxig/mRwilv
KspW2NXVRUV/GcQW0gp2VmLP81K6CsN9RaHE/6mi8FcUL0sZFh2pFCaACIgFyU2lE08CBjKCDD/m
FJXHtDI18GeRv4dB+FKj3V0Umlxj7mN8UNNAu8xVr5NMww171bBJhIXVkS1m7ZjwzfI8IWqMGMQw
21ddpXOm5wQBRvAFnkbZj5D6mncalvrDI3GUyrzmKIOrE2WfjQPFrgL6A5wBrVtG+e5ZTKH+4tVo
+g2YYDs9IBSHStEsG5jlS2S9ybvEFn4ca+S+MyoQXMjGJWamiJEYZ1idTu38g2JntSiAJBTLXZj1
40uE7uJgJaBiUY7HHT2AcRjvjexHXodq6Qw2obwYEJXZUfqaOKoms09JvrOLbZpOhKySGLXsIkRq
mY3GtgXeRyBBzXvkVNUcEJxM/aYJ03ufNaCiKWna20TXIaiiXlmP0BLKPRJJiUJuSsNlGufOIU0h
XoEHY9KFYV0/pyLNV1Oewk7Pqzi94WyQb6u6i28ZQgDldsvuZrIzk2bGPL8rIyfbYXLDa3NQKFjI
v01XUSPDV6OLsjcrJsAmmGqETQgmnNekV7T4ZCtyGAgjOXkH34FRCgypFOtZJtWqd0izbcZperX7
hF5GYHMOs/uuPoqIACvLbuvryJwvxAsHe4DEn7TK0MAgCfPaOzjj4bmBWsG7SaVMJ7EU3be6sNF1
583E2pBZhgNe1o3Jtery/oFsEAcaoij0XWBdok3VNN0Trxnf5zPLM7b5FulWHa2raur0JeoseRo6
G53JBNXDypMIYUdkvxSYVnYMSKbo2BL8TegJPdmypo0ATKhgfcPOYELJ07KYMVupOlY8eYb3knio
4xZRhtyYFCUGPisAfHwzYMI1b724WMs8w/O8qxaEBzzHJh2gnOjSx9rgFpHJO9661t6pk7DfZUWf
XRXh4LY3ttXm9RsuDRwq2qSNeN/Q/aSXmyII3uf2lHtXUUcU6x5/nNddW65s4n1IIsGAstzxqnOa
aIKPBiMU/Qscbp9++eBnRvRqewpi5SKZIrwe1VwnNALqyh82xBfOcBl7D/hTQoJJvc2rKaC/E2C9
6+XCc0GUPDk0W0qwerNTI6gnPF6zUJLn3IJd1M1HbxPHvhQjA9J155G3dV06SIlV7DXBWWN2xXYT
mhrznsN5gdaRkejrbohpeOaBnUT7onehg5t1EX3RnZ/H66Lt52nbK1fLb5Hdl1cEJ5f5oee5wHsv
K0ZInkwp7AbAMlrbQmzx1KDg7rvE28ZFmzykIzngEYbqvQSGnKHdHmHzWmC2aRlB5Y0EAWNMHBJc
+z1UTgSpZKikUyb8BUTYNribkJsWnPtKjfyqhXFb4DJOjYNNrOFlDGoU664YaCmPVmsnW31hnpa2
a25C2bITaC9oIMDhlp667zlfgiZ+WoDCJdyenmeLLxxFpLvLvao665ZQZ96ToVwCiJmvc7bHS65P
I0hY7jr0N76XvZb2hKYyxsAbZqJZjCriacWmPGvgXBfx+TwPOE4QR6KqymiFWxxs7CSxgFZe1H0h
cWr4adTzKO2QIcNk35YpfisLZvqi6jN36RucmLrMiR7SrJjhJhMZx/lsqEmPo19AjAD65dBDrTQO
ACVjoeoPsxD5LVng8srD7n81qMr5QqPmNh9rAR+MrZzFCjad0b+4IWra3uyIFIeJcOhU9ab5XZYF
mA/M9Ni6HUyVR8PxkFJBrvG3LPViU/shWtcMzmRS9uGdJ2Pzzuwsl8kQsuFl4oeQhFhic68bFnMZ
R/11pDShwI0/zfampBkdyak/WB0A9iJDRF9V2mfDnfqIJlmDoFaH2FiQBzs+6zzr34ej8Ow5sxg+
ClnVDFUKIBlV7r9j8UdKjNCM2mdi2iWjiGy5klYnVYz9nLUljLE8mFHac/9Z2LAthO8V0+Ztn03z
e+p20V2bNswWyP0IziB2/FNhZ/JJVH2whfPKi3LxJAEJjJrmlI7uJZ3Zha24bJHYhStH2MgDZl7a
jkREP7ooMJTxNoVpIF/L2sqKG1/MTOgGETfm0TUd6IQc+/cy4/4fByur6xcClS3/yYfCY9zxapLC
4Y9uYj51CVLIQ9dyXjrDDJbRoc4nnX3EmUNaa98ksCnIAh1n584LncHbxSEbZLVpcVWygg5VjzRu
ThGA7R1GeemhH4qe5v04tQyahqCO/K9h1rrxXU/kGV14THUT5juO9iq8kZocVLS7SAQYFfWNJBg9
E14n0wVdY+DXVRYoibOWjAl7YwciEHd+YgYtvsJpaLv5BfJgl3n+0++rp1+Whv8uZgLzc/VkG63t
E3ZAExnOBd5ePjARDJjMMDtJkf9F9fSzHORH8UQ1CgcysH8aV1t0sLOuo5vlJ8AEouGeJXufdeVF
q5hoEgy0uRyrDl+ijZTZTtX9XDgn9MjM9UvfqFe///q/KsJp7VhWZDEhot/151ouZqTbkloNo089
o6+S2XgjBuMvekiXcvdPSoHLd/7DRS4F5R8KxoxORmW7SD+c0sYRlVUqONEczf87Vf4fLvOpypcu
jUJmwsYigCm4gm25EgCAlN0o5Pj54+9v3K/6N8jcfBPCXeQiw/jzd/KzsbGSWuCDQQZXcLjOG9y+
SFKlcScuS0jx/vsL/vKXihxaRvSbzdD79KAGgTJqoJagagyIy9i3ExntB4fAyZLmTn/1t68W8XRa
CAovXd+LcvCPPxk8oyIQIWFCCd0o9rSEnPp4XjrC+/r7C/3i/YtQ61gONRK9sM9dIC+Oal66i7xv
rFPiNkZd76JRFB9yQim3TkNzvP/7V6SEAD5ooUUyP4sXgZVPgiBSnkaIvD25NZjJ2WZL5nlxHax/
f7Ff/GpRENFGNi99zZ+EhQR9RmgbwfU7WR/sYlQbZ81E91bqyr7+/aV+0QeKsFpFzARoqvmfZU/k
Vk9N4PH4c5+/1N2I9gRUE4GfxiWXoL21pPyLL/er3y5ESEZ+lefZPwmfZquqk8QeY1TOxpry18UH
q1Z4470dQL2/eFB+sYhEjCBQTfoRCifz0yIiur7BhodEsLFNKMcWiTk6r72739/ET1/J4YcCS+kw
XEYdZ5ufn3sAipGQHagK0WO+RsFNTiyAFSdlotJzWP97V2OcgjzX8s0Iea7/k+wxZev3Yhwyi6ir
txNtIMdx7RUO+DtZgwT//cU+3UBA6JeLeSZdUNt2f3rTpB8Bxxqx7PRBNjdL+HiEpPgZfPW/6H5+
eub/eSEeasZShKhxS/+8dujciDsyzOKFN4XOaYC6TiTyZF+Vo/83RwZc6vKVAiZTEQ9+4H96KObE
VTm4GLAkySVktrIzhun+MPQvDdxNjDctRx5to50fe6iHv7+hn58VLs5zwvvLRu5xXz9dPCgMVpnm
0gUapi0sL6xvDa2MJo52lXTD3e+v9vPPx9U8upyECThW8HmhpKtYldAiOKjMjbwLlcZolBJ++vur
fD6fXO4oOnITzaof4aRDJ/6nhd/hkFsVDCAuwgqMPfC60DQN+J7He+KxSGBU6jHAIT9AeVi6o6Cn
4xvVYhL5Q9+b/xwR/C0jwNWb6r+1nwML/wjN/V/bb+LqrfomP/+P/j9E67rOH36PC+P3X+jcy+f/
z/9BGmsi/ud/3H1r/vd/vZfZx9t/fP1W/tEQcPnX/0XXDf/hc6xyIlSnvM2WxXbwL7qu9Q8r8p3I
tLzLBvcnQ8A/UFYwraZe4T8e//6/DQGG9w+THhszbBvjMJLOyPs7DgE3/DHB+r+nPshXJvseC5vj
8USh7L4sE3849VlpL/MsbZA+kRmWWKZxGyv/gt+RPsmkjyxwTJwcyBSicbqHYXb0JpsGgjXH+MVB
wn5NHjqhqmIK9rEIjTUo501dgJCLmivwUgU350oXyrga8zG8IvRsKvDNRwQ5xGEFSjDZyuGmydWB
VQgfbjq1N5E7e3uKKXNpmvo7kwKFfd39HmPePZYhiaqdC48hLBnymmIFl8Xnk7iPcsh2eX1JMc4M
eio55vIWSU5E3N+2KyKD1cefjzIKC2IAEjqfOvzS+oTwoNPfNiHTgzkgManJnJfAGSF4V67ehDS1
l85QuocoKCCzia+NxlQ0GPUXqVS2q0JzM3pdQY/a6q79vkAppHnxoJ/e2/VNz+x3L4PkIRvM8opS
8lxYUi2ti2grAlMxzSapNjVBJK0NvdYWbbwFDCY2VW0A3BPyGagQGpKha2CvTBimCehYd9LcOjqH
Pow/aGv5iK1a5s6rTObvNEOfHaPHMDTQD/F0DPym9FZQ4Vd+5tqkZr+mE2ISYJ+gX5KH3DYEaZPU
vKWesSKSN7uxSJm0ZGouBQfXDUZEyBDyyElUoscxnnqy7b7b0QN6zHuD/t4+8zt4I1n+7mKfW1nQ
y3EntqBbfTxfFoMkn1Bqg1X3GF3+BC7d5oz476tsqE9GGTjvZNhhXhwxCbt4mI6kbUS5Sc9hGmGQ
JTthw33sajnjE0S0GCMahpsBZh7hFdic8DwVvn6krCDFej/URD3EUGQPSU36UU9XZku39kX67TZK
yq9dPd0b9W3bOxB9RfdKg/pV9zjO/aFfdgzxYdtR/+DF2yVNtQ8V8YFRAce28xIamBdwPGlPRjqA
LFdoDX1hyhtroE+LIZXWI/c1tWRPcBgELSM/ugk+R7efYcZYtIEbbCUrE2PgWEj8/tlX2+GSsar7
pSu5AYhx7sX40SbGRz/uukC3t7HtDBBNrkDCT0cxofwqR/E8ldGKwd83Qq9unHp8wbZCyglbm2WW
10E7HUSf7luPHaFFzGiUxW0iL/S9BkD1WNLXrORtMamXSVXfDYXYrLxOSvcp9rK7ussfyS44edJ/
yjywr/2baebv9MRuLBXOq9IEgJaK8FzY+mby4w9U9G9RKm8jAT00P1ADPyGJIs8vckgXd7msPfu3
LBsdPWCNh7EyT5XnboVnM95yFzt/8FFyg65BUcfOCoqDpzJg2gKVniif4jpQ3rWPDlZlcGqdRzIF
v7a9f+u3+IrN7AsU5nscHMM2d+xTeGFqm7gN70rvqowlZtWkOwxcExiAXI29+NZo9N9QfQFzoDSd
Rv8J3q2NaAz5F95KIcx8GyeYDIfZ37c4gRkSIF+ezZtuNp8gaWxcjEKLNvKvfAOukSTxYqEsEj15
ZeBWQW2r04YJW4HVFp4wuBXDE2i/RyCRuAnnBCiOm9kNvpb+MaPYWVYAOZem4+HOFeWafNcxmRF7
wzJZxhmOFxCvHdCQKlzltXym6QG3yxzJurL0TZR4LMKGfk7oHC3CFHWjCLKB5yN8Y0LJSAzSzFBY
O8nyONRrNWTfG3OGazEI0jjccW9N8y00mRmZabGXA61ALMrwO6z+Q0+bYfSc8+CNL35MsyXJmPVa
Df91F0DahHVW5va6Y64l++IhR4RD6ECDcA5KoxcB/EMqMLtgMh31XrX6xkfcT24OTSOrsb8m9gWV
KdL37jQyhjzUpWiWlzQ9V37oIZseLV+f+5H4gGK49LbqcuXVAliB3b4XHsmBRBnuAgU1xbcFZ0i3
vec18DaNXd7P8wRPXDc3MWo/dxhfac3fKLd6DBLU2WlSkCabyN0IQGghzX3uIaUdQiSfRmBnu9of
QhTvYHVJrF4BY4XqPmTNURrJeu48vRUJAsKIVjTOYmTjImzvvAC6me/SLBawIgIBw6+IrBuD346z
LgrTiWQyozBhpHPmvhjWuy304gHgtPpOYzXbtJdgwrg/1YVnfQdp+FJjGgRmW0bbuYmHe6YuX8Jx
wHPlEVKVkrObWM3bhJ5vIe3i0akuw0Jv3thxZWxlxuql9KHpQlL+Uvdb75CpE7jVG5gQfRCzl95B
J2FYvCnb6lEpSo6cSNIhcG+zyHsl88JYj17/FV6GgUnEcU8iIixSG9UtKD2oPtK9J8klvnEn2vKW
Gg4iwGiS10YGICxe2e5FPUNAG6SOe4+u9cIHUb1ACbDRRnYzBgDlgoFdlNnArYYOAAsEya83dagw
HGofrbELKPrwOmDRqUJoilWPkjhdJiluBTRAS/PS76dGIhez8dZwvheK7MUp+8GVTtaG4b7nFTR/
c2b4i48bw3ga3PiV/0zoAJbtKiX7SQ2IoOMrW07ivTbaANQp1NLsAv71E5gPstRXpUxedMhcXcd9
eR7eK8Ma7yor3cYT8UTML6pgdAiBVYsx/Da0L2b1JWRGCZPJg0wyyaOHaoYHrd0HgzftmhT8CJQ7
HUB7ZNi5HmH0NjbkMY6OryTzyG2BcAEKwbTmaSKM1VwHyifP7TrCorgALKGZgYVvia9dEoJ7c03P
YUu2Mb1uPzd+BDZBgdtMkiRkMYcWUGdZIdETT1EvypVrJ2o3N6CBwKoxtFXR3gUkMYNq20Xp9C7t
eoPM/SOL6vDQrRgtv9hxOgKAggc099EWhrO3NpEuLSS/6I0rgpucVCQQNa5c623tSIz5TtPtE2mt
yFQkDW5o6ELPB0QGd6S13nM+REBmYV7AsM4Php4bogasuxFFe9j7yNrZqxWc/IqIMU0g67adrD28
6KMJG2tVDXF7SnZhpwQqgyLa+Dp+CYbKXxcBMvW+dF+ZaTRLL1LXLWCN1Wgg6rCZxPRakZY3Qxui
kceaVoIuthIy7Pg1ziL1D9piq2vHqNq1lbjnO5/HBiFU6s7uqk2DVa0QzLdGXYB0J9nIiwhiKE/s
D4hh9fWclv0KuKxe5WFVEqGcSh6TFBh9eQjnzrhhlHUxWZLxGQF9gC1JSGOK/F62wT6L5vsyf81L
k2y2dkbNnOTtorDgNMYTcQhIBBw8K9y6nhWa/CgMHoWF48Ni2nUg0+4hz8K3NKWxDyaKw5cJw2oM
nX3QjXyC1BHrgVVGTeZRz6DM05omHijBhmSH3ZSTTAjWyjjzNjdufla5H3DaK9d5RT5vMhmvnYfc
NzKS6xBo96qWAnXJGBtYAbz9GOLLGddu0adf6gkLkydzCge0xa3lrqRTcMrMzWjndXQBBi2tNQi3
aVPH15IjAU8oUaxJNPGdgxxXk+n2x5Z82tWsiQUfquyunKxuOZI2gAuHQXZjebtEsvrBGSGjpiLf
Lqq9+uzlbFBl7j1CWQOOjqkfkIoNWzJ8ntXldvTQ0opQaG6kydQZKmYLAfcStlxsJSAO0L8oaGw5
7uBy5msjy9W+HL2H2TlRZcSrUIX+ghScu872jV3lu29upF7YUxgCJOx6YjK+ZVmWrPu0no9hJ4iJ
I8jKwRjQ+QOpa6VFX7rzzkZDnzNMITjrOFZ4fLp0lZVxeZxK0qeBitC2y1qYP84tKAUSSJsL2U3b
W+W0PaGJ8L2a/VQE1AhSxBtXGhWtN3eNLJZJaZJAcUYDtw4Cg3XD/mqxBqyYU51UU6XbbuKZp1+/
DwfbPNpD8thZuLkyDi+5lttElfZ9Y9UzinBiqtARrTTB90YZT1fCJsSPD5sRzp6HoEHmqwJayxlw
23hHYDKcSdPb9Z66K4wp3hHw+6aieGfzFqyzqXaXZd4jVGWktLWJvZAM9fY/oiQCElg2ZmQwgsu7
gToS4bQa7IPrQ/2cQqqOvluLcBhJFbMzqsPkY5I4BsYcKBgDvotZqP5uZqTH2nHzgJC35lRZ5Ct9
AZHpeDjqzrgn7826nvOo2YV8QhuHW4eV5Z7n8gmDR370hb4tNbBz0dQXsH3S7UVLs911px0DxvzB
Zsh/lXbWeZ5xG1VlcP/jD44bx2v3nksCvNEZzTpzTLls1fw8JWW615FiualiDHjAQhZ5HKPUb1HQ
p2zINATuG8681yxK8hiDRIHbEy0YwwKXCMybJOKHDOu+ID+A6gVlfxqBhqcDIa5iWoqL1sRDoobp
ccyHuzIImKD7F1WQohTGZzBuyqY+K8cbSRDu76eQzGrYfK3VTwcVB9cKecU1z39vYYvKm/BRSDHe
jmFyhUFx7wpa1WMzOzucFsuwIb0BhVmD+g1wRUqXfun2ho0Cjdsc+m6/FY2lr4lwfBDhpLZsV2wZ
cXtuSts+ecBHF2k/JDsXkcx1ij90WbCaYtfwn5RjCRid0dnhjMVTQPZEHmbTurDYthwXLCjkHLWV
U37f8m0PP/44pdwxEncPMsuuRtIoT4ZiUx6tfN/DEUHAggewJj0enP1aiiInr7TPKHft+ahJCVKR
dyTefd0HSXOunf77LI3+1ve7jRjCdNNPDJAcvBoZGQb7JMySVe+W+AFz2hGknCp8JO5w8+PPqKv7
0gwfRyGAzACBn6lwSWptw5VP9uXVjz8jIqRtNHSCeSpfJrEINZjncTwZc09SBVqZBVAadcgvf+ic
osnxtM3MOc9O1gDSrBlwt6BICQ8XXs2mLDDKepw3Amb319TkzZzmz4Pf4KV0wuYqbMzs+XIWc6Hv
L8sSsxbRp/RjOuJI70zX6FedshnJD5wx+jDOYPJ7B7wGFyFi/0Z2ZrY0A6Ndsg+IveuBO2Zk190b
cV+tyAQTlC7mvCnBv2J08eFre/4asSlGpbj43ggP7qhRvZGig9Ij08PWcdj3BYvD3ukmG0SKXRzp
CwDqUeVVa0j3tvfYQOpMYjkhKOAwdE9xGSQvpoQCkPkvJVgeIkKfwHbSCQpibFC99EHxUyX9+EfX
c41NZUJl//GPjCfqTVyMS2VxNnXTUD7alSSFUdnVOm2UfJSTB36ZDCUwsPwjAodhr2dC7zPCSFtY
xNcWQsFTWzjnxnU3Bfww/I6ceKn2+iWeN9x5YIgeY59tnHAkzSQQxD9TsmYfcBLl2B6qTWrIdlHT
WjjHHFtXdWnUu4H7QGMArxsOx/4hDNEh2RiZUpgH9zrch+yH6DaN6VYCBt0ZzrdKEvgrCHtYYzUp
tyr2b6qhwAY1oQ1pUhpHl+zt1KNzNaQ5zm5HU/+PqdhOlFVSUXRaI10oZxA89HXLiVuTEl+KMN/b
oA6W4PyM/eDbTzpFO2oy2twLj7GmUc7DMYvdN+3O15mnk0O7VvXQHGHhnoh39dkoZjY3L8Z46wXt
GpbyhajVJXto3/cCveir05OnfiFmz3PYriLXOIMGdklXpD82gRhatJ0FcNdUj5kEPYZCM3jtq/m2
iayrEA4RKlN+WjMGZTK5ZfiQtnBDRS73wMBYFKIGNENdvbcdRw2XdG8LtTwqrE3oUethPQ2uHa+7
c63k0M/BLbQfmorFN7e5GcdWfQ/m/sX/bjiThUbaXqq2y06FIYkjjQYo17lvnQ0nwZxepw+eG9bf
k0BBHHWIgfDb4tAH41eoFs3DRKpqZkzTxtU4LEUpp609mOa2TNHseKWxQoUW7VSiSF/u6WzWmboa
puIpzg37ZHQoDTN6eSARagpbVsnYdNZhksYHWxvkcPnzQMhHjxkScZBKSRuIY/RcQ5yeIUSvRDm6
axnGWDWzOgdFPJA8HEanVEBOH9GNAv1cIvoHnxd55T7uMWtpO2dhKRJ5bl1iETEJeuRNiV1P8vjO
bu8gP6UnxyUhSHt6owhQPpaxSdJ92ZxcJEe7om2wqjeTzSbc41gzyFG0/NhbiaJOFgWP5QnBUAtI
OQ/vPc/APhj5pxKJ0Yw4YDEiaNkkXgzONAFQG7tan9okXNdfTWGKWwI71Tqx5mE9DHO6m4D6rUT3
VVuDukuJUgWb6O0COV3B5kZURRPug3zPS6TFGojF09QV6cGK3GFhGOkbOvXkvbQ5fzu1fFPxMJ5N
1L2rqCwlcme2/maWhLL14TkHunz03QR3IiK8FT6Gjx/hSDREjK0yuq9DrI64FOnizTS+XMzaxzGL
s+PgFzddbPHCFtcSYOmC9sN3bQZ0lSZghz2ilhRY+QqWQbq2pHuy2Qjf09x9amZMfZpemNN4twp+
rQ8NL8vt4EYDxQK20+ylQaOLHvLBTQnFJebV7sZ5T+U6cN7BGkq4aYf2ywlMJExDQ0e99fccEsWB
mgTubqXuGwoG4YsPvO41id146Wty5vdz0Jlrr8W5HZh6h4oY9yqoBjeGBgKn4xiD9F/ShUt3Ds3H
xdyOoARnvISdBfsnitUtsL7hZA9y3xXBSFJCyxcNbHxpIWuJZUwhHmP8gznSJIyyTbgWoD+HwXVX
yewCe62SbVX4gAIB0oN6X+jCRNDbxF9y3pZemJzUk/K2z3nGrC7Fb5YTchMkqYMwby5PQa1OiQJ7
iNWyUaHzwN0M05esnsctDQbdTPmJjQXPP8cQx4L3E0i2KpuSCQZjt8vBIgJAbzfDRDRsOHH4AgNU
0lYKCAaTD1aPKpBRZrMmQmOTBN0M2S7ZFFahr3mLt07fgye1s2ev8+r1+BZno7uJ2tGhYuf7T9C4
PR3c4qPB/NAmZz5jR72Iid3F2LSohww6RJ/euEVGKkpiX2eXA2xMgjcRBK9FmOOWuAiZCUo+Rvm0
qsDF7RsxLdVMHtmQc0QkK+6GrO50g86Whh1x27Sgqe1QbH0llEYx2KgIIxnq27SC0D+T3r5hponz
gSgzIJcVYeGeeeWQ7FtLU+Lpj7td6pGZKC2xzbP6aBYW535Zg8Zr27WLy2NDyP0mxSlyhCaxzy17
SybssAJ5jwhXDiWYWwdipK+qzUWgCi8QI3Q1SUlIl7W1HO9KQ8k8aFWfg5RILy2/ew2Jv7Ud02pL
If9lEBfzzjjHgpPBPBKOBxiN4NUF3X54AUZ8zUAFFiOZu6tIJV9to1kWQG1xKMzwFClhVrDqNw3E
pM2cypOirb3VOj0KmdWHH3/QW/MKRxZTJlXemuziW28mEBrg6mGqZIKjldIode1twYDXtCyxy+2c
INmOY/yQ6ZvSSMplz5xsy4dHd9skH2k9nJXIUPZnhJ2nIc2ss+4aTB4ZtaLV0oy1sTwsh9FWS/rV
VD3lyT7omdo4KKlz8R2TG1yVz3SU2h2lZ5bl12lajLcEJq6EiTNNWghS/TjYdGYGhh7R2AKSjrHq
Uby6JOkCv+42dt8Yr0X5bCJyJNM4e6wKTm5t1L54gsMWRCLsLuhX+eFqva6L+cZUnVwnQ/BU1DSd
LQYHK1+UAfbjONwWoQ+LUIPPtsuIjG1oh9mIYtJHcIgomZJcA+1dV1AKNx64vysXbR0/mH9Jzus+
konvnLrON9oYkzXaS9Cu3abrxAmlIqBvh2IpuOwjMlyNJqe8gdCExVQmTwzf8DXBgUaA2aUkZiKm
AB+N+M4Er3f27LvOAIGSBPN7WzfnMKzHpWazI+st+D6x3e51Ofwfjs5rOVJki6JfRAQkkMBreV/y
7oXoVkt4l5gEvn4W83AV031nuqWqIvOYvdf+qspwXjVc3jI0YDdH1sNEveIXrrEbx5AwtaJ7RKOA
HBaqzIMWgsvQPheE7Mxp8TfOMIHPefw5UPMBr8RdY4or/Bax0zDfVrm0SbrJCrlucB5vUAckBGIw
yXEL9ZrEJgUfCn22hX9CG1I8UKl1gJ5360wpjCmzs3cGcD/ko847lMn+CoP7H0FnzWkoq9/lfzMW
06PlfyuWjLwAiE5n8o1EiPMbRRCAk6LdgmhV+5KQTn6Jran1Kt6O+RUIirsJPHj9Y9WcjUpYewJ4
bh3LSUQCFKXdMxjVfp2SdZ24CW7zKLn5M4exiCmJqHbp+olrZGQStoN71YvC2gNlQOZPOi82/pqA
gDyWjwRM4czRDmnOfYGzQaFctpKlWujPPiaYY4UXZB2P3jVgQBPrqNlV4PK2wTC//v99GXlzTJce
MJ4JPgEVsQ4VjojEb+ZjNmJNGBMoaXXQ3lOckrPVAbTgZYRlE75Qvj10s3pujOENzx3CpNg8+dEg
1xn8yBZiieX2W37QeadTQsPcdDGcMXhujSVCDDyHEv2bjet5VU3xwpJmoF2jtPcYORGqt2KOv0nd
9C2bgKsk1Qumt3sxGld3ALfZE0kVuxCckysAx/yqgvrBTUBZhmlMlqbAAzjjHyA3DFKHYlbv7TPU
LJtSnAZbBnt828Bi5w8jkPuqq/td7wRf2Kd4eALCquOm+MrT6LcCebnHjvCShb7LZSkZI5LYxv0Z
PxROsx4lH+7RcH9E1D/rwIXarcSTWblv0nD4mTqq5dAjWoFA68prHvKC2FLGaYQEOlz4Zt+9+4G6
hYbr7cZ2eOpNB1RaN+U76GcWTOPwyzaQVSKJybdCqJvRYn4IJv+FoJv2zBteWxitnI6itpvFltaO
CIu0OHoDsyCH3cWapmDja2/ajRVEZiviprGNN9dENqRnuBO5nN5MlbyKh2oifdZsxmzXt83ecqKd
5zTeqZrwTRBqtoNXtOUGKEHjEPXnGeJ3QtNsGFwKro15Jit2tiQCeDRJG8g9Yz7GU23xve/7YZac
YIxavYE8hSSS5bkTgDm9RMPcdG86GT56K1Bb02A2HJtim999lXxW9lzs5qo7Q945e0TSR25U7tI8
WmelFBfdZA8LuQnIA+LqXu1bK6NcGognGVML/u/M0IYur0vmciOKIj/YrfcVCQKAKrs6jtrZ48n+
F7v6I+mtVWYbOCIM+Zcat9ybNohA3+wvmQNQ1YtTBprMWZnBgJjoRqLqYrBbTC/Pi8dy54ASJ/Ur
3keNfG0Qf696DSF1Sv10S4xaDEKb5EGHJrENVI5DBdkxTbjBsfnmW1l/pg8OvPilsazwwmCUgn0a
d11m8cRoPlhCmvHOmPFptMmvg35inWdmfFJz5l0+I6AfUg4WtihOOW2xZ89ERTntyfhAvlR95of4
Yhn+Ukz2vTOKLyzYwQ4PFdvjgSqSLm+t2plcHxs4T8UDM40TkPMsbU+OlwqwR3zSpcGM1XGILWPO
4abOvyQvARUp+4GZPbh488WMKYsjMwm3uOSOU2BORzkEb4Yq5TFqaOwGwnPqwpfbetInM6eGT/r7
2NmshGqVbLqE4XEI8vIwOGxc1F/cC4dsaCtwRMExr9/sThtMJgw+hQPeD0BdQP8dOoo0o3MiIg5q
7jvdy2MW8BASCJRBioFslTy5NWwWj/bJaMaPYGg/0in8TpMkxBpqvqWyP2ZhdO5F8DMZPo9qA+O4
VWdqyai0sbouCQ2DyWjNbGjBuVfYzLJilw6hCb71PAcscAKsiuthBWLWu+MM4tZs0Q1M4VWo2N5G
o2ThYCPixNpDMuQYr9pcLiRyLFqxa2zmiT+jYbLpiJ6M4SrU11JMx7IsiCsmFGQ9EAPK7Erm0FRL
k8BX3uKCT2daoaHQILn6ggmC36sno7IJ1ajHdkfOskUPi8tcTclzOQu1Ed+ccuz3OuYmpSObW+RI
rq7Z/ms5vOl58scMm0+NiOfIXRpRLVhfRRMYh55VmNP79tkVybJzSJc8L9tFVhDpTWYm/TYrKB/z
ecYIlk7H0adYzEfUCGRe+yDKcCaO3TJTatxpnYaNvRVOKte24H7JPDvd5rGx5pBKiHGo9TYa5iMy
ABYtGQwbNk/qNMl0x8eqJ4yTOQuaX+9SIP6lu4L5Fae8B9aM9RVsAtuZgbJM7VN3zp54AreFd8rT
cX5zZPFkWcJaBXlxT5c3Q4YMjmAvQZxqGCPgW4tOVtvfg6X2MsuC/LyqYzg26+T8/5cc7zRRdzvJ
hBflA4IYtkhrYkq7dkyZe0HBFx6aASNNT4VXoQtmGeaONYk+Bbs9t4DIzwAhfG2TIVnXgA/gfHJN
kWS99p3gFeVX/tC37lGwPWR3Ev2je+FYY/F1rIPkbuUIm29V4afvXVS4NxG+Dk39OvVyused+1ih
P9q4sxrXbYE7E/Vb+db1FGeRkwcYnfml6MW470xdbP//JeHLpFFE4z/ywq3tkoRc6Wi8SV//XZYA
XP/krE+OY7yOQqWEDUqyS5T+cCjibOF5x9gLvkezfwfewR9kkcFoxBwVpvlmWnrehxY/n+FTAYRa
eldwX8Nb3wMKtPAxlak1vLUzvioS3Sj89TYbdUcHnyUP5QRIu0NjwcM3eNEei0/HDEwle0I63zRr
kKbWL3XrfNdJ/BIbVrSTk/7b2cUJqxfI6Jf2lb3AbizrgCXc/GNZ1oOv/FULpnAgHQAGwzI2DLKH
kalrOOTb0aaq1CXb5WZJcYcMPcaOczTMft0q0W3Dgl1I1gKZjaJGrwk4ENMfPK8ISL11OVpsM3l/
Z/oeI3L2VsnNh7SVA2DE3TMNqMi6j9KaL2oJM8MfMK2bPqNLd45ZwaqV9SxV2yoP/ezQKg5zeqPy
IAK9Jskl2mmuKXbXlClAQTbNzAlZZB9zCsNtJN1YAnWz+xbSd21u6O6LvTGkBektzSfzSWigUE5n
IEIzqNmVrjyasTQ7dEb1kho/5P2MLM4DoAOTeopq5+jr6CBTgF4VYVtVF30m2S6wwEEKOyexpHDq
W0YGSi5gxanoeZSA1FCleOshbj4A9SR7jtFt6QXzKVfpc5ta9IDtsp2JuJ6Zn67LJiZEbQHk5yjn
atv5waNHeFSYZ1uZEBkl0iNFcrPWkSw2FDrEDYpuI5rqLCL/r+isv+RnYuLPra2q7S0opV3kqxdO
m37bYd9vgm0okB62DnV6Mc5sXHMgjqW8pqNuYCf159ZvfzDmkkfReD9RGtjrXiTpRpBtRCc/P6Z1
DWIyjhACtihDyremdO+M2QnKg1PDlN5jJGugnGjINYJ22x5d1/nkhaFPacHLBQSEoMmYrzRugQ7t
U5UUFXAd1vZzaefX1tJ3TZY9a7T+g4HcH4oFtAkgHrPunPjlVrqcE3nWTzxVUBdXlteQM2+yWaBj
QGtu7IKocc4MWBPYdGpDPX2z3VHv6oKSDTMbmhUJwQ3pPw8nmVVL+JpTwBIy+7rb261LLhU4NV56
VIICBEOsOmsjIlhbA7P0pplQcboIOGaflKtI1l9zXX6NGKHZQxj9xo3vQpYEM1ZQ0Q272HVuEz7K
otxom1zHzAU/qL1l3xu/R2P1UtlEKokyu/X44PZCgA4YDc5QYQc2wkDzR+GbWptV/+Hh1t0afXg0
B1DbA9/CyC6ZlU71b6DSSI3uiWriOTDC62zkbP7DABIjObZ9PJPQHpHagXRtg4akOeFuAKVDFRYz
5qu1Q0Jqa+8INRlujBvi1WTz0e8I/QPvujL62FpP1BlvgVcz9Id2kNjFBj0Ei9rHqUAz6dTDl6Id
JO2g/RMdMoeBCRpNYqfztTCBoGSpvM1OtNWp/TdG0YRUGIR9ZANYNIDD+f/6sgblRYbqnki7Z7dz
LrnXpPsclddapjd6+FdBmIw2g22kUEmybQNYkHd/DPodNq/6Kff/WaF7q83oohLgc1RH3U7U3ime
UIfR3zqr/azqiNuyNLe+QRnCZJ/4KJmvZRE9GZpvKR+IqYyUvOmFs9+aLKXt7hnzDgNjxrop+1wo
oD4dIKWnNuVZW7xjscw/OJMxtA/6i0YU+C0KFq09ivgAFl1lfoRhDoKhdxEsZNFfujIeVLc8lU5y
LfQhSeRGWfbbQNwkmIb8NcroROvnRFgoOqKninxVrd2N7F1nG+lDk8N0AQiAhC6Lk5MeKKRw6Wxq
22svQZccpqwA6Zn23wMo5B2aF2bdpfWekQXN6ZW3GH7fXOYXBe5s3jSN0NSbH7zpyUudF6/XGRGo
BYKPuib9mtqMgJk9WjYOeUfrFYwqVA7VLz8F1X5a1aem4v21zYsOBTHxTcm931kf/WSO28lFxjqP
DAnacTtqV7LBzV7zLmoOHYbppKRrc4v7oIxg247JApBHthlSwVcx0b/U80sm6weTi4A9fXq3U5c1
JHlmRZ4wC3CW/HBUjKQTHwgUZvnd9ngYWXZGaIdFs/e60dkP/vRBRALqxARJrPXGTOab4//qVFOy
h0VAsHn4WtNIO0T8Be0xjqqn8FdF/DSlnfyafn+e+ewCRDA+jCIoLl3uveS2vM7BcE4d5ugo7DbL
z2IJVL2US3aEMJJmm1WfxewNBSVF1y7G1bSrEFUJjpSVamR0kTSAefDpewnTBk11O/bsclu0ssb8
kA3qzKTMWVnsRxinVY+B/Vqgn18Feiash61Izo3TZEwNpX7KunkZzOLLHZiY+2N+N0W7q2vW+jzc
70TdtJXZ70edsJg3thdRs52AQV8fuzZZYvrsh9CvYnb/UbzKFErtyI6Mpzr0HJqw9jk1mg/cuUfZ
i28/yjXzJJSRDVecyShosBz3EIfxSw+IggnHY7+AbS0YL8T4mdGmHTxywV1n05uEXDTzKA5xTL0y
FifHIJOZ8NvSQnrkBsUH6iywikT19l1wawP7ngW8NZYAt6mcmhNs+YIWMFqzFcal7zJtmfzwpPq2
P/oqwFvruKcYIcQG7AkSqMGpT/9/4QUYEbzBJEJwSOmSutHG1vWZbI+7ti0Qm4aRrOhfq1NY80Va
MzmiTlWzd4xJF8l7DM98sHZShOep7aqTqXJyzf//x9TNUAOVJvFqKHE2rWkIwAYZpefisjc9lIZU
8s9scp50QvZK3kPu/f/LtPyyIEkP7ohP1QK+cO9F+S1DWLOuBKlx9tQwDUOXVh4RN2wYSm9dE90E
DA3rFJCwy86Xfiz1p39jMIltGC+L7JL+XPfTJWGa2YHiVmW/S+vqLOenaPpBbNBsu0Q/R0F8sjvi
DAsmpiMcuVma95Qxy+xU8GXzHTKZs4tqRGVuv2ZeV1jfRule/bi5osu+ze186SSzV2+qjnUo3jCN
gi/yTjV337pGQbGEoVw8/RlLeY3GgKhC9bcPk19DsvomLmhlyHxDPvdBzDEhT5+O0xH4WPJ5tjlI
Mz+n04x2xKEwysZisc7H4HEQFWc6bW8VHosg7/YFHW3AhxRs4gcfaTQ3fMcyO5R1ehnZpvLBc5g6
Ja+Ymmb0W9Eb8iys+pBPVb1kS0UuR1JKNmxpNzvdgU+x0YqFko5tvtrmQAlLn2zrZWvk8LlYOkQ1
7DA/r60k2aTIwUfeeAZ+1zIvCejW7rdPI01g1doxb16UVPxN5kPbEDhl4HzRlI5kOToHewjQVHHg
2ITjIdxkb6+fycV6sLscLkZlHfOQOgo3xZdd6YNds9qg6jqiZaGdQbQ22i/liEK+p1xllPbucGfi
hTl2pROt/qBneotCvmPCqwAJOv63OZh7tUCMmzNGbHSkdXw3Yi64QvEAWEIzXbCzh3R+6Yrxoa15
4ZmaI081atwjSu4x5AFAYCUsYLitRJxDNWVxSQTS8hzzBybGcr+WN3ShH1mKYQeHeyzompxDloOs
UB7I0X1c4NhQhXdoJtQloV7+8oUk5ej8J/AJkQwz9RzV0V8+mvcxLA9kwz4iYGN/adOQMvRiaPbS
1fJHBdabGXmnMgFqrNmbzGRFY5JZ1nCvFRmPIlMnxw5fNIPK5V8mAuxe2B7Al+hU1BLfyjIpbYFE
JfbGFtAegezMeqGdHjO7eoW8/ix678d0xzdCgzflyC6Cjo6PZE8bYLXZwzwFl9St2JQUJfrGAKzt
8IzV95TXgr1jfYFD7kBu4Xz28gcj63Zz73/POTecx0ggHthLtG2Ncq44tki64ecwxgLcU8fNcwCt
YpV2BPpFDZeL88dW/nepKQZAJa4RinD7sRMoxHjxiAalD9r0Y/IaILHi6mvXTjseGOZeCgzXeAaW
yXR3VCnpX7Jm7ADxalqE9z3yvbpzfoIq/xK+/1jye0WS/+2Z1dgBQOci5J+nhx7JrE2dr9l+Tupf
YhiS9V+C69gpT2mao2U/w0PhNKW/Ak4KB61FNCjaGeav8Sbfiaj6N2IeaPLgkRzZC2b0baX0heYZ
jSjo4+7WVnF0qU17l5WcBaD5F4+2xfkuu2c/VxeiBf56IjknHCeNyBEsYIwxPZpS9n9gv3mtbTBu
fAKLon5uUp+tlUhemfXtp9F5Y3aUJBR3lLjAqrakOzP0U9Nz1GfR2psK9F3GYzqkp9zmMOx4H0c5
B7R4rG2nJH0qWvu1Ue5fYyJtKxZED9do2kNTsQROFjeRb1rEK3sh3KuQsKrwy6tZVsaDxdNIKRRU
ms8aMnWXPUva5UeM/Bq5aEa9vyH26bVGMRQnlNKeDBga+yREEdzma5XCAs5P6DJRH071q9XSK2f5
RxZ7XMvcEd7ATxGjFnBHd+8bWGCaep4Qanc3K6oecx/lcSOv2hEZgyjFVe8wvopy89JY6tyFHkVR
OpG6VR6rnu1W5ENyNnu1oxd7r4rxBr8LbVNRnaCZtPzYP62yfoeZ+YZDtBhd3CNT9WdmGUeBN6sV
08rTwxt8pXs5zpe5Nd+Mabiw5F31HIv7nqJthUg3WUlBIsMcvqQzRhFhrpn3IkogHza3xK4I/BPL
369p+iNF99Ao5u7w7Hb9mB/4yDFaLDYeY+aRiHrhlYfiN+NNax3NkFISPOC4euBS4zBCU4ZYzWkf
hgZR6aBubP1pzilrEaV0jrH2vTbacnDzl3CJuo3/E6r63Rvskz/yqCYmoWq66f+EWfnhBE226Zun
LGZ9prw/k+SvMSb7xAqOS3ey2F3TMgiHfkAsf/EY+yDeBu7Z5qh7fgMhFyaPcP7peGINhPud1N3R
ci6qRY1g6+45WOjdyFxdYG2r3iVpj7dspfZRTwQkxTnD4/BxqP9Eacn6NERmtRgCDDu7R17FhoYo
nTgJ15zKqE4bjhVuCF4BWGOlhQWOETj6VT9jEz47V5MTqTXS1yQwj47+k/QK2wj/HzxPJPX/Hzle
8kskIT9Kykekav5MUHSsgn1z4mi0Yt61lJxMXUtQrTGumcHwsXcPlqWeZMPSas5HBNXWobHcXega
54a4vnUfTG9pjj7bqYJTWuX7Bgmu6BGpu1KeicBkR+uJTx2Fj73LEUGg25tB/uvNKNJrA959X1b9
LSsmuZt1yPZeXduwf3IMXinDhWfaNY8ZmTeRzVAQu9Fz58vvrC++iARPoeN9dgXtSqSdz9D8C/D4
/2S6RcGUI+blkoTdhA4V/T4+JI4zc0C1XUSbqC9PxGR+sK/0Vo5p6lU7/SXU1TiCfn1lFXEXAXp6
I8xIaCCWRcfGjZQ8Gvuh2Vba//Umy1wXlonjKncOEP0eJyuKNpTVH22IuGwyg8+pzxlvRKhLBWny
QB19iOc0Y+1H3nU4Bn7SGooUfS5J339Uwr8YMjL3JzLtWLYH60xgFczwc3aDYbDvJsOU6G1wkT5d
g4Pold0NyneKWvTPVjUQAsLIKPbuyTg9embxPFjtROakIoE2pwRo64dq4O0GTNtDXhIfdWZggrTO
nkXgIeDHdWoP6TFu7L1L5YKF4NPqgu7kpM6O0TcZDGXYM4mSZDN0aAu0GW6DtDxo245+9eTsCSpt
pGi/gHUsR9orCfE/pm4//K58xetmrgrbfJd8ZDdTPz14yjqPkzSfnKHd8eEAOjU+ynCwKKazX6KH
5rUeneCgxqPR5Fh5SF1eOZb7XK510GCvsRd8ZZyQRQmmdevWNFaSK40Tl0J/NBSnn4caBBAVkqL8
n4eGdt+RWK7w9hmZuMeVtXM1RV8RaYkINNropr3LHnWiMVbhtk6Gs1OQpFcQDQPv3+NVS3cA6aZ1
Lwfsr8FWsgxikM4d3g9c9SQYIe6dtr3ZGI8IpzbBqJ4RXaAXd8PLPAznEcooem8UHLOTqAdWaa/M
hh4DpI/aDYxTl6IelciK/fy1BW3s9n8QUVj3dOjcdRl0u9ByknM4826DKZmPifkkK29fRpb13mWn
KjXMAwGRXz3W5UOWlFcMFPGa3gNlH5ukqRzlNe/Cf/G8nTk/NqpB+cOE3dzW9fjQy/nVy2gK8GZd
dN7TJgN6XRm40VT2u+DDLsqzt23bu4+B9B+A//oAt8mbSYyf0M1KPri4BEGk1n51M6dm3dH37WTr
XPPFeMilf01Q/GiiCE/KzNfx4nNo0d+yOCTjegb4dkyTtdNTbPbZbzN2vyTknOy+D06ZY6W7NsaX
pqxmAx71wDD+VnHUN2BP1203PsOeOteaVxB/bZe/J7PZn7ltePAXg7Nqq2E3y+y94TjO3L0RmyxM
hcw2pZmR69sxtw6ky8nu3ucRujSuSf84Lk7MJhsuQ2ING1FGJcUjM5ZBoNwqjWfbNnBmUQAUiNYZ
o2+U2/21veS7imv0lnxXTUa5HbO2j8OWtQoBwFWIgk6FBc3qeoytu8dGRws4iSi6JnCUcm86xc0y
77y+MFzB6O9SFDe2wmwT1DHZP/JKkCObOIFe38rPPNd3J+GAcHunOAjIqqwQqBnZkxVnm7NCmNSE
7RB8oiz7DvHwoPJ/8oWVP+voEuABQhFmjRtCVhC/uCHzKcJr41Yeg9iAcxLqnzh0zoWRtZtSwXdz
5xRxl3gNUJGvuESod/yRQiI80IA+RXlJGk+TDwBOHweDAhEGBWqF0Dz0ebCdpyQ/kj3PlGwi0iEO
q/ocMkSD1hc29E2l/YZyUT66gY10C3kvj+lr4Gv0SGadX8yyqbG3J3+KfPpxM95eCohTZUJipa2l
eCVfIRvJPeF7Vxuz5vnvo/a3kLDeFrIJCuE/AymcG6I6aXojhFHFQP0wIOGShp9whkZk1zKwwBTE
rQMoeOvgBHyyH9IeNl4Uc/1jiVA7ZsqvmUV/YA2ttyefjbCWWHaHIo3HSzqSc2GiWVorbAhU/CWZ
rq2f3H3EH4wIFpF1TEu88we+1zFgfgcaxSKP4bHSxaM5hA9+YHWn/7/MqffiKss8WD+Jy6nWIgNA
qhOjSyoUGvHB2dvokbbEy1iMcttsa7MeWme2/5uz/p5dpz3JucDa4mfLhp2gRHHz2WCeqr5+Kdyw
2GCh59L3H9OM7V824oAach9RMMwFqsNQbZgd3Bp0/oeUJQz0ca6odhq/bKucXml8j7PG9s6A7TKS
6/UYJi6pNB7PGsuuF7uZ3nO7EJc8frbc0ebg6pBG2SXDUBRuPXtJZB/MBKzHQBUkwDhRsk0YmcVs
2s4Reiuu1H7Y1wMoxsq06iumSZMeHhCgg6RQpqZA+paJ8yDTv7phZWvSDmHMJsnMRSqyz8N4GY/x
5NYCYP1UzOEOheMctNdJd2uAl+o8LV9knRMhk6FvhcDs3/TQBBxl8dEf2+78/28FnT/bDBYSNE74
AjZDNzGfwwTDMHG8KfscLpJXJ6w/uyzZTRB291xY5iohpWibLbv0ycJNNgQzFYWLpKsOOG/rour/
H3F0wGF3Xn8JPNkgTvK2k8HUDu7fCpYtC/xpuiZwDI6hHNurk2rAoAT/Nk0KqdaYzkE+/PEQQ9He
BO3Jr9p7azE2JC1Jr5UV0yjnyU5l9nuMHfWGUtBkjFK9DQOhsCh+X9ClDYB3yz+4JN1V8iAZSGw0
816CujRjbiLrvb4dj5hj5xtY2fdxcu9ZG0w3B0AlJ/+Abk8wxTZQzcDnIrOlQugVFfGbG8iM8dMO
Ocqn9iHe4gcJdoNeSYWiqoGquPdL8z0sTQZVKt2LSrrkqV1qmPorVaFAnAc8FXzGTmHITsPUXbnN
bU0UWCPkoRnie6275qwa5myjAxScHPLC7lkq1fVbZ4UC3zdCRGSnmwbB0jrCehnU0atbD9jmKuZk
Weks10c6Y4v3sk/sxZ+1NOrH2GNuM6rqE4mjSxG3l/XE2oj6FpS7v09G446+1/6WdvmkmKcFdVkf
YxGRz03bN8tklzRwjufUnpDKqZykbJvfmqcDSXOLSx/NMXBnzNQVrqegrlL8f/W7VLqgo0iZzRWf
jvL+grH1jv1UHi0xT1c7mbdOlWV8oGysVWGzG0qWA5VMbhH8z33QETacMcw2ORc+uDEmLtZ83put
MX14IwpyIoSsjvzrhv9MNeazaKyrrL3vujG6t7JBxID+4Y7KhmbbgXkp1TaLq+5Q58q54pym/TOa
hgi5CBT1iBE7c+d663q5i4SnyRmpenghIp52u+vXUvvm0fZLb2O7PC9mITZVQ6fIS/BKy8Syk2jL
KQrtQ94Vd2eemYo/tDjvNyp0/bthM11qrHRTJo6Dkz05+0r/DRzdP8QjO3rTOyhjJkxZJ98t5QdX
ObZ6ssCYfens7C1LxTSekFjSBteGfs4sJBy0L7ikgvGqw+6VGw5DUCqcXTJG0MzjHy49870Nn62e
Z7bEuL0rA5Yqnqha2js8E0FhkOeBZDdQ5jdSJvVII4QVC5oxtHCkxyeH/ea188sdxKnmdQ76t6AI
m2fIxBW21WTeCHG2aFRfB4QTy+x0PqDFNoeieTDalCFNr9GGlvoYGaALjQQVVB+Gh5YAvdZ22nVV
Z+POU8gOskS/JiASCKJBa2sNya11flTE2L7yxaG15RogcYniYro0Oap7zZ4QH2kc7vRm0YDuJqVO
zRzzWHkmNWn3vw7dHT4LhU1gDkeMvqzjonZmjKFGfEo4rAzExzuWgdF2iHtx7QffP1jZgNAiF7AR
2o6kEwZigZvsrZ4RRgvmGhAKUpqOQ9Gfo3Om3PVgtj3zDE27ip1pdq3HOh4q2i/rq/X3ueiCx6xN
QdqK5W1g+ABX5UZmJvFjM7Me8kA01d38UoUpVAkuPawnR6MEqzvGWBPzJ2vqxGVevrQdwjmftPi9
l75YolqPjDc2hqeKHXe7x7ZwXzpxgesrQias0XkNfbJMARkJOGR+FKMFpoh5tUUa4jSMezF7NOw9
E6Ossf9pFzqhXbCjD9CLqcaXG8JP1TZvvScxMt1C53yG9crPERIFADV05TdjdQxN/ebJ7tKm1AuG
Vy+lqLJWlciuRgUdVwgkGYA7SBrpMPSUfSuOUVefBKF2a0+nBkLIle00fOSnKdyZJpSCOZhJEgaM
HFkuzUAz7lP0jXfLN28gHDFJyT58gGORHWwI2FGt1V4yLtkEhnRW3Np6y57YBXFOkHvSVMm+m0rJ
jHXxKZoYWeBpIKZPPwONa7xEB7AShdVwfdE88LGz95Vvr0fPqU5FTnxYMljnxoUmo/HuG8Oc0t6h
IRnqEGfN3H/qIbeeARA88rfq5xAvO0TQiKEYd/ZmsS3aIXMyLNsLVQBLMe4yEYbsOSkgs2FrkRGy
tgeNetlpzngtPxMdt5jJst9SgbVwoDqtxrIj+c6wd9JWJvKYmZMX2XHX9JfWcI4tbGq8O8HamSaW
z5Y8dQ4ndNK4e8dg2mulhGxBgsHY3cljm00O9hL45UE3n52M9adGT7T34DFsQhEfNV7iDYDQN0cp
+zBFY//YtwQumsIMj56mQu2yijlfZVDmxsY/Gal422fg0kOiCU9g9HnI4nA7R9kvDQx3gyvdi25B
UXRR8jyFhftZdM+hK1BA2BmDhrD+kSxED0qW9j3X87eHmwepIXLdGaT/uveNfx67pU0YUnhmISFY
OF9PTY9s36GoOTP/H04gjf/ENhThsUenbozDMolqUduzipLV0S5Kd0dSsgBYnrwwL+Bc8qMTlVy4
9jWvXiB40foEJpAbVP/6bP6KJgIOogCaEbIXc6rj49B0jzyhCPDhiDWfrSGt/YQ+e5P2FlP+plUn
Y/niRDMz/v9/rZqsg0ztAb6dfX+L74QSyi0wpvIl8jp2oK6JulhMzY0hUnzXpjqQPTGcfMqLU9cV
F2oBDruQP8XIj+N0mSsO3aoMQtZBtPNTB/bWELXcwbu/MK7NbKY1yCfM7eRRBhcJSD3fTb+QLSDE
x6eToeJk31+QiLPtUTSdJRvx3HYe7XHRtVbJQRbsx80xI5NWmWdVUhmJOf83+9hH5v+YO7PdyJU1
O7/KQV/ZFzxmMDgCtgHnPColpabSDVEaimNwZnB4+v5S292n+8A3fWdsQKjaKkmpzCQjYv1rfWus
X3WD4w/JJOLVNTit+t8lbnZdCMyxMy5ZaY8rGcbxJjIOIy76ZWo4zXmIbmGcYCxWhJZzkuDF79II
0wfbrM9owSfCHbd3quo5UrLSxD0im6aEtI5NNhSJaJE4AvslM8ByQ0ASKYZ1RyyZHKEzVA0PQOcv
VRCbqxkwkOUrdaxjCF5WH+/QDIYtPt4VAiSzicn/Bkl0yBhWWKUtj5GPgO8n2brtkSoTbOxLyiIZ
IOfeL+31hMtM9aepwm/Cr92S2hisw6hEXdF4XIkVDQGsTuua+j7b7KJz44D9aIFGlCkDuyzShwan
yYK9KONy+NYrDv3BWdNmx7DO4JbRnYHmhxQhmfOhs4wb1RyqCsSADa0QjMCt+cUwBFyuEUdirYga
ag1zbbYCkOtsP4gP9JihHjqJ5XMiB4jLq2fcJvHMsGLqKTb3pmARnQccK0317PqtcfBbLNB2f0hw
oTDDTL6m6SvPIrI4AdipIktWTa6cDR6afZF2i6IYim1x2wIbNraCru2njeNGuBxe+6EPjtMjgRTz
PmyEf1+n5meumphgr72WwEiOaWMfcJonT6DcXBKZMGuG0o2fxphzQDu1d6TQaOweT5mmnDRqovIp
8xpsWI7Gbh47jPS5r11rmcTXxMZsPVlEQdII5H7lxRe31OukHf0t/MGEeP+aG8h7bar7jE6gEnfq
kmkQXT/W0RzkdB3ZvMVkOq8WofsnLJArd2iTU20VNFaWDbYSsaKbiphgTJSJMp6CsxnOMVQfFM9k
x3iUtSuYJpxafbxlVnswcX2XQyMOrdV8R9wqV5kdd8sRo+c8Qp5CZxcb6SPEdhg4CIkl29GnOVMW
ZUD0K6p2HU61hVaJWgdOpZ47nb5YUQxczPT8zVS33gvAuSW1zr/RBhoir3gjqDzkfOlByUAR6Krq
1fmT9EnGQIkteVc3BE7j2jyQihzqYP6wLX+kR5hMeBiTS/TRCzdCEgmBb3BDxPMmRiXegIWaNkJh
7exZ71amv8viKcQx4MIzNuYTYNdXnHBM1HGccrxgEyKr8M7NHPOYTvGnPUW/6z7Nzz6C3SobKnLX
iOwN94NWPQVxZD8SszGOsYv1nm6c7Glq6UKzJlJLGStXm0vv2fIHks9lsrH66a11Iy68qmpWwJw3
XmcNj24nd4XpjpteSM5NTSGfwipiZmYDXbk5/3toORCpUC1wUUKCybbccNO7BsmDKUVICbfDDcdl
wdcWm5CIJ8l2XmVkv7hidHbjlNwD239y+yB7jSw17cbb9juUhJPNrNhxo2XIb7fX2FGPI1ySBrfc
9kbVX0rZs3cL1D6P9UUNqbvPXeonZtM37oBDwgcA2WCXfySnA84xHKFsG/pSMg5Mc3IOvfZPZFd6
hCKy6dku+vESJmAGYktdpKiNFWsbXg6IgysVjJsUSyvuveEMuvvA3Ze28RkmEO738VxwHJETMQaH
E8jaifqvoRrnXTrGHqFgDxpwjIlrLGpnA10kxsOq5RusykOqg4fBzqkZMBnQqTR7M4OPsOmM3SgZ
7wR9pdeV5Kzc2A6EiUqKo5h+4ZKnSgVDyzKfEx6Bsw+HtLxminchbAXhYmW3bVx1XoWMl5VsTMSU
cL7M0wuJNGpHQs7tmCkw7mTHfAcvRd9peig4kLC6mNXZ1MSjPA/KjVUN4oOWygc28/NzO4Y3REe8
tuq+pUk7mN5it30sewb6ou8c7K8AOIzBjI5MgstN45nDsx86oB+Net1bxbz2GWUz59FfkkUU59Z4
aSPqTEWQN48prSJeRDCbweHjJCUvF8y1Qyi0uw6bxuKS6+S9Cm1UCL+bz1EKaMqonrM0Gb79Gvuf
VLl4GZoWrJI1Vhdid9MOUgBydOsQaA47j/IOAmLIAOXvFKKUwuf5HQ7je4kw+pKX5opm+ICD0lhc
ys7WW3p/3aNdzuqgrcjb9WWpT9I/5WyODoOinjidh+md5MpBZEnz3GEpXvjV4Bxb6blbxyuJT/RD
vXFqV2772LI5D1PejFcgWdIllByLkBwcUhuii43PhO4jZsmD5e4r9zq4qqatfUi2VdOx0zZ6gE+D
d24z4GjY9iTLR6+fWuWDnWQ9+uVl7a96zl88U0bPtV39atltX0VMrvB2vVkzkRWrifrfGd3OZWz/
bsaS6QSrBj3p9ngNA+ONiEP89EPA/S8xgM/JZwMO5k/3z4Tf/4QBXl3/z9Pf/pTN387XzdM//8v/
H1nAIJ7/x//+n3/1Y/6/WcB/+2+Pq+V//08EYL7oLwKwFH+XEFIEWQDT9iSupn8nAFt/vzVL0DHi
SEIclCz+y9+oIuji//Uvzt9pPzQpmxYOWBeXjpp/EICF/LvtULUa+NQMBJJP/lcIwDwK7waL/g8I
YH60ZQvKqPjPoi/wn8s14iEdadDzKfXpGvB/FV5jagTYuKibaaABEGKNc7LHzw6irJY4Sspk2ebl
xG65X47IxqvYtz4DA4FAuI15SD2W+NqeihVuxOIgiDkRFmmhGoblCOozwpDQTQ6jFK9bBYFxydt+
CyGM3bbtOeQqsoYhZgCqk+k51vrep3bHHNgpJeGzk/sOLM9mpiYabGIN3vfw8wHIXX0Ipgg9sNcM
O4F1SBIbWSrNDQ7d35FqXCwr87c1Tc3tHl4fhtuX0Aw5LOoeeXyCarUrmTSQdqhgNzp/qPOxatIR
scOd2IkOsjKwABLZ/etDUjRL2YfeThd0UpFzLpj+zGsvSQaUU2a0fcZlKIiN5YtpmEmXkxZoY33Q
aTquMM9SPc/xO0cpZeDKUfPOvj05Aefeiljaz1/oDiwPP3+Km+xCsY/YlIYoD7ji4lVHbcGCzIne
G6QHSfPsZuxKuKfHgzeqX6Zippl1g720WaFl5t5bkfsiypsIHf1mEsNYE6vDUrAI048AAT5F85BZ
VS2kY4RwMCK6isIZcy7Un7h5nCxmgbMS6yyz9gmL6L3ZbeuxMPbh2B11RXug4fQXv+sIBEioIahG
3kl6433R/wnEzaNBHnOFNmfd1xlOB34VuPqmS2N0E+SHpMvXc4GsVzrgvvBrvtEl+DBH3s3ktmhM
7y6gQj2MOYsi6DcsQ1usncE2zQnN8/yscCv88nA9bgORrdVQe1uhbcoure8QhZeqopb3zXXXeNp+
qdwBpkYPe8Nr8wb4YrUmh/YlM5IHczk4+Lyjt6LK7tkT4tlLsFaFBqJFCIx/YUfQriaqu+1pmWNJ
PHpGeSdvgD4tYqhqIaNOg8pjFOWrG1cEaYPOWt+quPEV1uvaZruVQRXtUNGfMtIgSxVNX1WQIZ3S
/UWMsh1fc+/Bn24kulj8rpyqYaHZRb3CclsQBsghfWB22AdRRdFh9dZo55PQlr8o8vqX04KnIO22
J6C709wC4EL0DPBTBQCf5ISS7Ned+hUTLtErF5D21GLRMJp942IfzTRASOA1I3lyDqxOo3KmvseE
NA6ws1Vv1C9cBfCpMhcNgyRZPTjUHOGoXdMCNoPBpqEI7ErqrmKPIAoUt/T2IKLGOnW3Lb/X+MyN
Y+dlcFu5Y56OLaxg4pOR5sY/Sxiahd1tOXi30m8WRc3MqHCda+50dxMvh08l2Y5yxXqT0TFv5847
scyHNHqGfowtq8eoZDm4Sv25XaBJhsfKMT/i0PjqQLe92Sjgy1jbp7DS0cELcA4EbBlR+MP3CnDu
QmGUOEc3GCYg8XmVDI1NJCUu0eHDbB2lL0ESPxM+KY7F1IP8dO2L31OEntT+XSumc6Fv9j2b1z3w
xwzhVYTbzAUuG9vBfUx8R8zDTkg8DYWQ0yqvmldzYhrTmr63BYC7rsx4WKbIwotm9pd22RNp865k
kXsaTPntaufTowNjlcQttp+y3uYp6JhB+zs6np79KU3ZTJAQm0JCGzIGqxq38Roy8Ln1yb0zwdwH
GHIody0Ri+tNO8OtHSu279yQORB3zhURZ80zgw84L2jqAbTc+BWVftrf0o5IxsClhtIaDznj1B3h
llNKkQozOA9/ClqsUx4Kz8pPsqksiifbP+bo4AfRFtQJYS/NsYJIK4AUN618bvN+rbG677CJ7yXy
6zp0xmN2w4tAMTPpSEtIdVFt7x3z1rwEc6QXZpq6G2wc4tbeHtDiprBp+uRoV6QbSuwZEahGBzAA
WV5gzgz8YvKa6NXvWSc/o5k+MMvF0WO92iUH9kkW10De8GcFZgSD8lyU/LVbtgD3LN2dAYAuc17e
koaTN+EmZ5oZtnOmvC0E5hfXbAkXJ91+CE2uuwwshIH3MFJPRT6LNUeRDYwcWEVR63AW7Npdwr4f
YJX9yppS7/AjbtKgiNY1BGhD5rS+CT0tyTxRxaRre2ElPBekw3MMhp4IqV0r549cfPfl56z9dxnV
tFJqLGZz1+17jMmo7IAkqkczTVbyZhMiYQibLLw2CTEgs5Kf3tjD7bTMaemaNmWsRftooBOIEeNk
mTnLsce0YvviPczrVy8YuFno7zAkOj8QrMMJF2g8ERnQKdv1oCMk9ua2AippbDPiqdhbrJUZdXqf
+gRLZ4Xbs0OqqdwLP9lf22lBQakRbWp/IMY3AGrLwfwMdAMIjHZxmUw7Z/A+R6k/8Xi+WJmQm7Zv
VreHMozZi1/Y9V60ZzeCZxqrCrSOl+5p5XMQ+acV0iK5rBz+yYi1bPb1L097X5rJ1K5q23CZNfcQ
ANxl73AqoqxxOnAgnmoLPzr5AtICBac/FlArz/0zxC1J4Da1xaeq5bRmH4W07Spc4TGciLQibihb
0jWMUMrAXFSc/JfV1KbED8mAFSOjI8hanyR5P9KOAVk9J936qCPs5OxQag7S9VpEuL/BwZKKZraU
gnlYkvd/05zZ2QrREsQtPx1ls6lGQti1+tAGExgEk6VQSER9f9I9rBwgD/W6dZ0UKzoTh4AqBgE6
mjaqm8rUQliM6x1MmRLmc3yReuzu6chbwIWiHTEbgo1loI6ZtpGugmYmfZBy7aeluLMqVOW4KJ6m
LoP7IyF1oQJ3y8J4SlGqFioszY1wKwd/EQEjCekV9wZpU8HL6XNm63EPMAvVf9KMDBa1EJvJch4m
CpXXoYEtyUfqJ1Ftb00cP7zXfVIxt3fZ7R4veDrWIfl6y77AiMHlUQLcMKNHdprlHkbnp8aWBN1v
voYTnbHlCLGjZBlOYIoudIvC2EJ+UUSAFm6LFlwpmDNClSBSS7ErTcx+XGw+NxWYELC7Q7DbpSOf
somdW21damUNR4fzFOdinC9JZbSrJLKilau1WjZJ8J17CNVd0u/goJ1To3ji/U6sO7e2Vji/UREw
bOj3XHZYPSXzRJcQytQx555NKGAtQY+FnigLmD3M2Krt7l1KehmbjszoUlmeKdN4zcBFkXGJNlUN
t6CFD1rlj4EVEWjQAKdMBvlDXYpjWtrvwnF23IrUTgXHEP4NWucqTdH9QeZQKhTR4yq9vWsk+zYG
AQ7LC3o+3NP84wbPYCBCKTbn0XAI3hC+eH/RvkX8kiQoQetV3mAxs12CvMDZ33CxKdojcNSh0oLC
T1v4LdJbeZxljhmZ1mYA2tncpkvIBf1OjFwkxgAKZPCYV5fQyOJP0AEhNwptr0Qdq4OVkrR5Mugw
D4vAWkPwS1YCr7cDYcIesHc3XbGUXr9p3aRd9Aa9GzX7qGJ6G9VA9YQxfDfTXjMmgwsCvTyxakgt
jHhCJmAH1zWztccQgaZLzPPwJFcVLpsZMa6wDWurUnKMzVEO+mMe5w2YQuB0bDuXPrBbYAEY7XHV
2hjBF4OBcVePRGELuNvrXDefvJOpK/Nr7CxZj4t/vDc1fU4jJLWNgHIzavc3pLt1JONu04FuWZnT
ZroJLL3u31yTyXnm2DD4VH+aqnYbuxBTzLoAxyWqpxgHIRI7MnwTYfb0sjHd+F2YbDzn3R16cisP
Wf0MTgkcO+CqZWr1G2vwHzScjsUAQ28DommTyMw8Jul4UnSQ7ZqawDNkaoycWfvYzgokUjeeYZZ8
zr5Ul7LsP/oO0aoNTPEcmmdNFBsNNnPv8CzRaDtb1MgEWbYOvUZuqzDEOEz8fekRVjm0WQXBMmVy
C6XznANZ3LggcXlTwWFyo5KrIz3FxKalP8K/7uI3XODiol3aFOJusFZybqlg5PjAJhoeZK0gJNla
qu3U9Ey53JZMfpF93koww7R6NkQ6fnRB+hbzIm500Lq7sgoIYKXGayy08xB1at/4u5BqrF1XBJwY
RmyTYxUmj5Hqui3XOCcwfwm30YRZ5RUrzhjtY5DFv1RGmLdv2NVoe10zIvEKWBikqim+zhJ18eAJ
HLURPFHUWPLO6uk4SJpLr3P81v63EQz1nQy2MLDmC4MoBiKCTE4TnILGu1lbMT15tei2/JV9KeNe
JhXcdQrz27Yra4UMZpC/aQq6I4qdbbNxA9czPUz53aCc9DoUH/2seYnKmdBXqQ82vF2ihikzk0Bl
B5V8U3fLjLgLPDy0rksi0oX5j68s4+BZOuQy+J8/H+TtTxOFcTUehcQ+mQDN/u1zf31VS3nGqaTz
7aTnGtVywGIaSF3rxc///Pn0P76mE1FwdM0nS6XkL37+ReU7dcAQnoGLndfWf/ziv35wQ2/KESoc
PqPbv/z5ZqOw+PrEc4JFDZn1r1/jH4/4509/PQq0+OoQesFf/8T8+bk/n/6/D9+HDRR4PRbX2y/y
85l/PPC/HqZFk/V+TOf9X4/n59N/fTXN8uA7BlH99aj+8Vz8fB8XqW9Vt84tJo4JrjNAFzLWhSn5
KmvvDdwkBio+v6w6lm9h+Qkzzekci2E3Yv1YWEbo3wUZsR+ctLB50mYJdsJ88hRHVUrVpk1Nf/gu
ieDvqSC+jAWUnL7Jf8PxyM35eUZjvsQB8a6OU1DZ5tWD6s33Nu5qeBAox4OJa+/nQ2hHy5TM38Ur
reBB6tA/C0qyfz5n9Jhd2EjU3At9jv6BDXDW7dQ1dYf0cageHfxTcmh+B4El9topgytOpHed5R+D
H1fE5oCwh0XMHscnGf3z16kodqlm1WtMo9tWkdE86Sztd+F0UJwcl/gh1EtEXn/buoxijVCoVR9y
iIqMVByLZoSUXMv5cYBwyd3poQe0vAzq2YK1McoH5vX7ViJ81oT3llnCeToIygvbiKPdtf69TBji
ahureZKRciE4MqFs+wi/XQFk0fXKrV3avw1N1zMzOgMAtBIvpETnZTb7jJ4xiyLrvtKtvS1y90CI
PYCFT0ESol5KVFkSXaK3Sto8I96Udtw8BuaEvlvej2QlzqbBiDZOw/u6apOXPkuWvRnPf4bCfGiL
kAOfDRDXI7wP+MH6Q7IaOuOA2UYKYz+77hsHK6AjpfidjOKWgCloW0oHzOSe/8cEsMycdKw/u6a5
BJVLh7Ueb1BAg6pkwKy3DUi8coCafOLGKcsg+aXKdj2AhlqSNbQu5pQ2ewWDdgsiXTy4EcubW9ES
U3ieWFOGeKeTVH8zTtpK03r3OdntKiFQlSp4Ure+ZEVS8KFobQZyjPgXnQ3EAXeyfuVZIWxlWO+i
xoVYYuTa50msXxgLbYniU3YUJZ/VHEC/jNFb0oJkxFicsrIsL8qI1d7qbO5+lVVeZZaHqHRkE8gK
fwzKeKq6JNvFacppsWe3WjTxAxTrfcmEZjFZBdMqT8pj5aM6qp657ViPFlhf+y3zm35TwAo6mEPy
lWEiX6s2hpubs5HIFj87QOaGEHRM8jheX7uryrD6W1eKf+ffPsyB15wSXoumy+cVrg6eZaJjJ9G6
47oVI5sKpyqOaThDY2vxh0xT/pZy2W1BUs1Hq/Sm48+fgtRDSmAi1Nfc6zOb3xvH/LdyUDNMT8Z4
xLv4DmPsQbBfFDNPjulca9tMz8JYunMcALiKOR2Ht1yW5kDXdma7crhv1F08PnQBjVwjkK6bff5l
nHlXxQakuqlnpx7D2z91MgZDMNukTHSDeU7cdWBJWe4ZHs6kD7Fct5uWbGWipvI8VE50FW5765sm
bqCS6ZNQeUVgtY4fZWPLZQ24dJuVajg1Q33fjEQwU42rxZjbtwy9ag2JCGXKTsvdNGt5Tw6H2N3E
bj+1aY6fE+2vec/L+8H2AhKH4E5kGSPSDsXd7EyctxndFXd69teYHiLC3bc2IuLpC6cLid/XpbEx
LOfVmu2RXgOc9wsViW05qeowGkKDlBGv2sDlb0w0H9CxE1zzm58lm2H74rUIrxxFb9AzZ52ZpEmM
kbMdJoZg0+CIpSvktb+Rfo0YxnJTjy4UWg6HeZS+91GdbAwoaxB+jOuQZtFWk8dYZw3w+UzihLcC
yiJ9BNhj4flqO1rzYzBXxsG4ffj5UzyQJhS1BBFTecahML+0feMp5n65rRHYzr2CrsPiUC210rjr
QK9vCf8u4XU7vP/oIp6kuCegtXQlQnwwBWBFw1/eMORrQVXUOczkp2OPCJl+TkiHuX+IDFl0KWG5
jPunMF3yMdA3mELbC5Pbwa7tLN4axTjik87qpUzVM2zrP375gWVHnHNAaM44x2usO1+c7oa7IXQK
iux1ukpHIzj1tuBDnsc78EIPceXOh/T2QUnXRXSitl2j5FqN620kMPhjD/3xOAVDdOD1A5M9W0fs
l8m2iPEpuhUTWv5g0kl/2yhvQWy2Jyk/cCAMZ96NDIU9deexsVoLI7aX1ew45/Stbx3/gO1DbyxR
/OpbDF21++l31d6IUjjucIySBPO5B68J9wpNIdrqcXmSJh/S5NJInqrsWThE/T3FxRxT0mCE3JLb
c+lpCAG1fqZ3jXOKo55MaC6QhRFuTKd+n8E155xvJs/6pIPJWQ+abqsK5RF9ytmlU427WzOK1vsY
GG/vBA/JLXEHpzxR+HbDqGdokSZfys+e1a0jNgz6Y8URTIv3PEQEIqM5VcvS6S6QBjyOFfEGjjTt
LGBJLdAgC58BSUuEGYvsbu7LK7GcIrD/OGSh3PTFJ26JCgzKFgDsiI48myuJBXPnJTS2NpUfLNKA
NA9RGnj6b7efDuQfLiwJoJQ5vpGDisgaTsjJXTcF91BH5crIkH1w8XMjmTgR2LxJbIxTwvMPZmre
B5xoUJ5Ynt1wWDdQoJdBC3crARbQsn5oUy17ViazczHP6nBvOUxWBYZs/LyMUoglrEUV7bt5vDi6
vbpp/c4x4RrhQJz7fkT+D8iBMU63LIAFMq33cJO6lcZO68DDwJGlbwfykFEOOn9O85DnFmsTZfku
9PpjeVt1I1iTyAL2C9oiof8aa4M4oQb3J5raFm0ibbal9vdQeJArcrwA8GWIWzOwWNQjSFzhBE+I
b+26VFcVQg7KhPUnaYfD2BjcnIu9OeOQSMb0xbEjtXxyhRtcNLaSNfZJ/P/T4+QUZ5k2nKN7Kl2B
/5KG8k/ERfCVy3OePwSGXI/Z4CxbC7uNpwiy01z5GpiJu7bDGXpbpB6wdA87unoQ7Cpa7agwIpx+
ZFtNZGCCpsv1ZkRyPOmynk597VvsnN5dBVOnBwsfDGPzmGfNjlEyA4fMSQHYF5fO6fYz36qhr2gh
MA8SXgv7deLj3QZpA00oW7Y337mU7OCyESnD/KxZoi1uP6eS+jke7aLv4Ui1AxvzHqIZA0kUptK5
YZfgGbEoO3Ienwq97Xk4hzoaSSk6L+kMclnHKA15QC6EVO04vtqpincCdR2hxv6oO/s6cZAz4nWk
XHc/cDxbOUKLZVYNBGs9RE2uKwrJbiSEtocwySxqrR4rOahtyFpSuYTPURKJSjL0XXBGn4vqJEqP
yHB3q3rS5i8gSlcTQ9PaqwbOqV5e7EO+3zKjLG5FopC9tzw0qR+8phik2vF21jQSez3jr4QVq8TS
EkIflA93NJW4U+cq3o38OxJOilq+UUEcwuZIMnWM9iKrP40s6e9561i0K9jfjPWCRUB/6M5C0nqc
TfnHSFilEhPhytCbUFfWsbICGreaBNmBPeWxk02KEyTIdm5dHUmqACXNrGijPT2co5pDP/GIDqBH
M9xx353Pnmu7S/pnwg2VUcnWGTBCYU8kdcr7SIicV9lnTa8U8IS2hTaWwL9kyfAHgDFZ0HoLVstj
q8Qj/EBsojyRv/Jw+LITG1t44h2aqPnlDiiqTW9h1rWbbtXN8QmjJmF1pwfMzGuyAEvscZVZlKK0
NUkIgHaeSwyyB9/yqjWRrXpPQS9JZCVfbJxuh+IW5lYxDpRgJqo7g0AOA65jySy5nRie+phlVlhJ
0UK8XGMEthqmV3jiExmIZZ93ySUi2r+UjhrJn9PEUd0kTu7ajCIXOTmrFWQYib37HsSIXlTEy7f+
LPstfI10owwS7mxfQiboxOBai9AcF1XKIrZoUN5X4Zx+dXH5mJMBv2T1dHNROn9MN/3duVTylK3Y
uZpnsq6qJ9ufziJWv1sneLMMdYKdgARYAj1VYQZTqj9HrqZ0My8ePaxkS6LFRKmS5MqbgqGZk1Vn
K73FFi1ccZe5qelvYmPCsMpf+75LQSyNPcAPCHlRFw9bYAzOoSiAx8tfASJEbMo3BG1rFSaMdhvo
GJuu7vjOTKYOHbsS+mr8vaWG/ARfNljWpq5W7OKxavUGmNSedp6EXhcealcfTCOiZMrpt3lRXUvd
PaZoi/PoFwfV5b9VQzIQT9zatMjUmv39MPjNpg86lF6TUwKdDevcseKlaoW7i+cZDoyOg2VeteS/
EjbagC8fykwWS02tXRfCnbDs4msGr8y6TPUNxJiV61dqNbbGfW1mN5SkQTYNBEVXfwxeTKmCYDQp
WmMfY7Nh7ASnf+A18zv7M3amhRO3ZDjK7JAamgfDxhoiS0tYhy3/fgTauKb2Lln1aUC6RfVXWdBy
5BcJBuU5MTZ+vqomVg1llWsFsHDnUXC26CcHeA1kKz9IfpNm28LW20ps5jAZ6P7WEc+3X/4S8dCs
MlwUC3MKqa2bcnJFiqJmkt9QPonyqmZJc5qLhMpQLPFhSS0Mu3lGXRzJnpBrD0o1rRneZndDA9EN
q292x13NWNktwbsIL4PFRcj/vDHit2ZOAerPP/z58PMJK2/bpdcNIJ3yOTwOgF8XUBsJa6UBO8c0
uGKF6XdFUdxKEZnZMHw3g+m3k6XZ2kIb7uI2w0JHYzHkiQ9p4HA3WrLCCtzRDDbQIIAbjFC+GhRf
ugxeg+mobxD+PBh2LtbZlZNgaFDDhwU5Zjkq01kEJUJ+b1O/aubQawz43W7c05czFhxrY2hKBXCz
OgzXdoErTkYRP3SoPzmBEPqk2XMR0jTBmt/Ex8J0XpK0Ly9pEVFdHYdwH/TSbNW7wW4S/vfUYC5V
ZDFnVxMva6Y75EpNFbI8ZZVp3vk1QRORPKc4YXd5w/HBmIyLTCCgpUlv73oglI+VMDUbOpbJih1R
a8v4kiJLK4XnemjUmyIr+9j59rmak2BlthLaAjv2oUqWGC7EwQ7l1VZcukFqKahbT0UZ0XzTs4Um
LVv3BARvvHOG4MTmw+AENvOjKK10M1Q2t7imvBfuVwYoemNXzKqZWR+d0CnXuJnY0MmJrV0fH9NK
fSpGYRxP71urxZXnEywPaZWZ8EEzYVnppHhuu/ptNNm0U9IJ9QxsIRP9Q1ZzkktH/z4a1bvdYkt3
xQZcNdo4VgrAZKm4lQgBHi3fYoZUcTVuwwrSf234v6z0Da7xxUqtP0qisIZqXsOeIEWU2VfjmrTU
V6UxCTqpqbUYyvaK871aUja06Xz5nqUEClku2W5BIp7r6Z0RBIqM803y4rEV3qmq5Jdi4sJkYHRX
NYQE4PV3yhXZxh/JquPIXeg6eY5LnCCuprM1KB/cYXoB5LBLhvkbWzd0JO9Gl/qKIQPZqXnywpp0
D7FUzwaHRQ056yDbAvSTTpgvroeBuMIKTh5u2GVG+Jjn8jvlmltBFPx0ReSsGnvJECW8VatRoNVY
96p1IRlxcK3Ijmdp8JvkwEfbcZOtabJbMAXelBjjMUCM2RpjWLkp4EZ0Llmc7UiSuvEtJp+jCNdc
gMtoAkMtnS9OiuMqgsu1z+dhbw0RrYfwYKvbt+TluyD0vCW4fReWxZzIce18m3O+WgpZrzr/T81p
gQkLeoDLbzMVfY5MEs0r12J7ZfaSq6/Ngl02Bahyyj5RKqIeJ3axlZMDRFZDv20VQRpbkG4J3ddq
wiIUVQiGBtEcxszikiuketBlz7gn/Y3idmUdEnPwlqqvjJdkSn+VweR9T/SukWRhnVLZdCE+Dkoa
Of8iBtPfJ7JAlejNBBONMhY44IyFE8XWiRS2XqLJ0Nlbzl9V5z2Eei5efcOb1xaL4jpuSso386w9
BSIFID55/ZPt4ZoDMdcNonua7IjOVel6e3D4/b2ISezjWqi+9MqbbPVFfzisQYUZIuIOU4hUro28
M47apqfDSpzfqvJhHIGCOjNLPTr0aH21YCWwVZWvqcjbNVdvd+poW8dWD+VgsHHYjHo8uiGb0IgJ
rxtP8ssb2K2aTp5eo5wSueymtGDB6Wz/wfcYUQ/DXuOF+2p1+GXPrvMUtwZSyb8SdR7LrSNZEP0i
RBSAgtvSe1GiRPFpg5CF9wX79XMws5hNR89Edz+JBMrkzTxZB/belG57pawmw5Oulz/cOqUY3hlI
PDcuR7wiafT76E/IoSLjHqMDDjWtJoDNH8qNJdtoaRXkSpoB/kLomuEqKba0zXzhv2WuxAp6GRSd
Z/SsGWuryyAl6Nz527Btn5i+2OvBpfINtHl/gE2TcX+rtLq89BCedt0UNhuN8cGHO9czt0n8ADvs
7HITeZOOl2NbxxX0VrxwcZDtAodZXz1AspnRyITA+dmisj0EVdwQ1It2ukieNTXufB+W+VBpn1MT
76PpwonuqDwrPhiqXRWS7AueIG0tu/qckwnYIAcB0a2b3VBnlxpfZO9H7ny7JLTdctfPA/YwK9iQ
QV4oGs+WTlpdDfS2s3Sm7BRQxbo2kojnNTJeKTL9NyonOuqle/SCRh60BL9kJ/WtmzWvSo+3cSab
E2AImIu9iSOx2A7EMUnolTthmofUDjCLQRQbLY30Xeed3QZEsvCM70LXKUvKjdd2arGTTz3zSKCR
pyFu5vMpmGL04OzkTeRMGvolCsqOZ2fUNscK91Q1QCUaZ98J69rZUKkD4zAN5Sdx9E6vPlr6FrMB
O0GLaSZt6FBBblpkI0qP14UbSw/5rT1560wcEFTBdutm1nJalFRKQGtQaJwvoQQ3/dIczAciqoev
TPVOfMSJWoIjCfS5c2uGTDnPIVU2kMn4iwupYdNUTM9bWBKyltXzBCRkkqSioq7HU8osbYLvgM1w
PPhglii4RgcNvHUaDdXFNl/h+IhdbcWXomOYrLUAMolwo4FPn6mhh8d6HPy1k9k0MA/WexPQ5OBJ
fDxeRG1fhG0whgQQGLX+rBP8p9DjDrWOU0aCY6FvJAWf7cqv7ZLYC/4iWVLlnKnwZ1T/PL+q1zrj
yeWLrfCTw5S+twBdzkV6NYdU25MCIWrcLULD0vYdCV8xUbhDDZDOWxFZ6zpy4KfDGDsX8CqYtjtH
fIcrnSvnCobwsE5yip48oyZ63uPVKCzX2eAdqFcUs0QFpoUw9wiK2ehv2DXyoNF289ilBTeeciDd
hoPeHNxtKbKU+A/YHf43hnJSp7LUp1WvXRzT+Rn9aryNNkMwwZR31RGniSoS4fgIvVdvbE+cpxnJ
69aEsGM2PXa0aF+G9DdgrLFYLYe11fe3rOiKtcuun2jtuNJ9swbKZO9cPXvDAvZODj9ah3GNWY4h
WnsPeiI8gU3vUOcQmlYUnLSyGulg0gsqqzSWNjwqBdeAdmT4TX2jANcxsgUMebNBW3oKU/naUrjQ
NZj36kAw2oPjJ832YNrNE8QXdcjKbaVm94h3qlyqol87TCGkrCw+ASwfSfPq5+YjLl3/1NYNBUwT
vHqrA6DcQ66YZwVFxhUD8Z17Bm45psdqa7Qc43wFNV4f6Ea3zYm/W3lh8aORdgeorB2zseWDTjpr
n+XDLrKhw9gmaMqMmg0uXKV5kAYGDQMCmg5ckuTlNmBRoVZIEFOxr30CT7ompz2FOEDRTom+98ah
UclvSDoHXA19BT2HuTxzWuyDAKcthnvn///FGBo4GRIJhWS9DwTZnzYB6ZAnmzagMsttoh8TJDyt
wpvYUwKRmItu6m8qC/NlMpTOimHSkDl/xWwDTHOsGFVJC1YtirktR1Ac1DiH0Z9RcCVRQHhMELv7
fz6aEJwnjmxOYrPqZ/4Rz2K5NgJrHzDr4vrKZx8z6DPJ+KxpnXZ3AA1W+JkZzhfRSxwlP5qr1+uu
y0bcC/GzgMC8DQTZbLoanhyLELEf84i1kb0z4i9bT/dlkycveRSCjXLDVQ1mlOKvc8aGzoyd98DH
rFpXNKoD79dIilbG2o7qeNdVDRYFlNVaHf0R3sJAlGXR5N4tRpIDgjc2Cyb3mY3kLgplHoV/B4UA
amEy+EqJ/VjVyywGNAj34yQsEBlFurTC4lFx2lkOAr/JhJM3tNt/0ge341XZyh27HJgOj9mUw7IQ
eYuU9IinyTpkzNmA10P+Z8h/Hnp/H6FnkNNkmtKqEckKIyAY62RnSQxWpLEp8KpmzxW2KlLnmwia
y15GjnvSnOQL19iPCENvESCGYsyvrxxjqrXVOtqide9Gg6cgw/UehbjntDw/c3KnYaoFxeieQy/j
UJj4d1IPYDzG6u6IPH+Kwt+EUWcoMk7VjeOd0dO+Sisyb5SwnmQZM6LQA7Dp4N88iKkLM9TKTah+
qwyEQwfGFU9ySp7OLHCm4Zuti+wdgowF/e2fNRkpprC8YJFJXqwS3hL31gabDKBw1BhDG+r1ZHDQ
tHKuuRkX0iCMPK4v2VKCgCeOEM06FKzb2Hyzw/4BCj7eVNhzSN4u6sHSDmWESgMgz7dumaPeGCX9
pCFRxpkxg2mkXCO/I3w2BZOV5rnsQJLUAN5SV7+mgTqGIZSqHkwyQy33EBDEh1cegMjDvoIaWmG5
1ehEgNsRJV3FFIKLVj9n1Izyrap93D6OQaGs6UnejuFpsOHgV5DwFoPnQqcJSdd13HB1uiLZVQB5
xHC6AqzhQ0ouV5YDGAHP3dH1sXHi2tp7iWSmwSciK2oPO+LGpKoIYNSy3loxxnUqr+shfGFXMFdl
qn94uAGdygVMDtEfZMZz74Wwx+lY4Tz8klRDDTwZXr0JLum7HMsjSM18N3Bxxd5OjpVId2DZF6tm
P8DoydCLjiurjBSFjv4nOxVORrv6GwwiYvVA322S8dBSisNxboux68Y19+5E5jp1K1J+sFWXMj8P
ATWRwowBEYTusiO0vG104PxvEoskDolfDsLryaI3l/tDj9K/ZNBicw3lGJVOh0gDnBFkzS6LMD1J
psY4NUt/Y7iYqhhm3/3aupPm6l5MArftrEENfzynYhMbzEQx4kgm0BY3q0IsOlvd3ckaKLWfF4Cg
wv/TN5dAz770AQ10GFgtM7M6Fjn21szgJzLM6Lmq5Z/OAB76ABCGPGVTMAyisJynorDCVF8BsOxd
Vg1SgQubBAcmNYphrBHnbdpZAEWhqyxqe5OVHbc4iHK1olgvKt3NRC8nypl51SSSQl5JzvndT8eS
siBmpFbjRPqg1/JLYEcOq6Bzs/KGIsJAM5lrTZs6Gtjf3QKMZ4Vjw8nNFrnV3Lllf9Xskq0tyu8x
PFnMK8k6LiF+Q6PfRzpZjSb2zhxcsHDnOFaCF6qiayy+gG5HxvcEFjN6Jxv3vZHGtUiNfKlrwODo
C+tcn1FNkV3RruK1Pw9ljHhdG9RwVLjdQLVjaHWgHS/CERs8WwApTxj6GLOpBcBPnczSW8R/MQjt
+1jVah1WRG/9HMRiZOGAHk0MBo6yn4CaXUSMwdG1Ox+0OTlc6BVbI9jFQCxXblmfbZjhWQBPDeMw
Wyi68cJ0gw8wFHiya1jnvrm2O09f6K3rQegs022SXpqKNTY3uJ9zI9xbmvhXJN434dcB8Ii+qZt6
180vpu8JpP4qe4cHM64iS6zzlp5B1T0qEDGbIe537Sv9l7AtjfhQjePjv79dZMFbr6IEB72TPsq8
OU/ss9DTkKiAU7tomvnE72gKtSFTYm801L91V5gb2le/c5vEvaD7Fe3p5PV76W1ntF1NHaLZsBp6
kTo4VktCwPWKncuEcFnH0bnirHZWfUfCcjrXvYZJyaQxNYdxGEtMiShOL0GdvLBa8kWrGilaWbs5
d6BVeM4MGnkJOWTFskrhcmjZ9O1LEroMhj+4YIC6d4bnsjGTTTUjhK+BnqJTaflJTcV9MNt91PHG
YJTfcRuCaywgZae18YIB4FPgPpuY8jWjPPcKT1JpdaCxrrnhzfw9cmyxHXHhMTTgeVR+IggsBImN
Jzmf+Q2qQ7wnZulULiDtGGlMM3X3GDwvOw78UXVj0L7Mm5JqgCrc3tgNmjx6OmpiJafryChtLeHc
52W+Nt0D1SOeJKs7GeaD/zvD/eLbmwiKGlfM73CVo+xvALPJtZcx6CHvKZemHaEAZ5yhbZxgWnTv
zJhqWcDaC4OY0KLUn2F/ZIve/I4IEGDQlQum+CdaJvd9l4wrSuUwQNw0p/CXaeRTxqYxcZiEvqZc
5TZqe3NswdsHw00aTb8JBlZjzgoynm5NAVUHJw4+dFPbBZn5IyVUjpax/yIPT3GBHmrQGEMdpVzR
CfCUeepO9u+qatxhetHCRNMqJu3hcJy/fxf25nLALibz8gkCzgXC/aPKx0tcNe0G3AuV9VG6FBQ/
kimkqMFYYT97dRP/1ypLQHmesam7cjuZFZBBhfGDLjrpOWedRjAkTP1oZchFA4NJKg5qDOxJcay5
VO/qVDz1o75DMCBk4bnfXEWpEDQuAx3DnNHuUzzeO51ldPSwuWuk6+zwKEtaQvzCMOkciI+kv/RN
i04K+DhHc2SVJz0LM0Uap1h0e4AK9M4ICJgaMCRlg41V32HobpoB8zzVCboSMxgQdyL5pEt/ZSyi
dnjAMBkB0JZMinX69HxczW0HyW3khdrLbLokRfIivAS/Oi0v+Dt9sSl3thf+BDMSnuIXohHiZkrg
uXaFlBg0/Urm/q9vsNvoAhK+bXt7Cou4ho7QUZViLFI6eM9cGTwiu9tGlllxT8FUCKFm1yCyMQNv
uJ5gshuwSeXArcewPHeRcfFSbdy5v2lrOP/7AKzMfAp9ZwEwJ96CniGF0g17J+D9CWNzp+fUBLF2
0XvqMkqJrxj4Me97IYRZeh6rgn8ebuba0mU2V2te+46gjtv6DC0b0qK0vjqPLOgeouoLcDQlH20F
czwIL3QRQj3uSLexDW5NWcpdBwtoi8m/CflYJo8MyDjRzKVDdQeGV27LMjuN2XDQc44kTJ0j/iQP
l5vNytDnXOrBFvEpKkb0iXxuynhY62lyy2JQKYQMtvnsjHAs4t1d32MswLA+qvw78VtICqyriSI5
1Dsplb0YyE2VXXA/NCTLk39d0n/28JH3JdqqSL3PIu2f2WwhT8yykc4TgprwnlApsoxs858w5S2W
cLkjlHtff/TKYU2ohydPAP2ZQPcsrMw7SLIahM+4URgK1/4Y8+nFI13FnV77i2RqXhBr/E1STo8M
YBw0WLZNl32WySeAGyW+NZJqwOvbPw4k31zq0MEGIM599hQMW1TrdeLEbKkEeNcq1ZJdS5ge9O+o
dlOvM2ooB5NFxQU9itOoijFSVtz5uDGeAu0v11oPLyduS83J5DE2OLqVjrmfsjxeT6WbkP8ZmHdQ
1dK3xpbWDv0UVu5B8pqgVywLVVhnuxZvE44REhsaFJrJ21XxsBtzCxes431bXknjjDn+jbHz7eX1
Rxr1RJWN7lyImBUe5W2pRZAoOFAbHuEXxNtFNZe8dcOnog5h1URauRgsklJWg2PaHEChRPzTLc+w
f8wKdnk1IdU4cX8bJqKymEYZMeGKKeMXZyYHjuVhDDhoB9W/Qmd9tCqSle6Q72laugL/geovtwGn
HAaM7a2FM2ikYHMavX2w83L5tpeplz35nvtCo/xX0+TaKsKUILUdQMQTJtFPh82/yfglNC19i53x
oaqkWcbDN2WxxjhRksurTtbnN+NMiEL45HIvXxKL2ZZhexys6sDY8Bln4q6j5kr6fBKQas42sq2U
HcPbszFuA6icvFM5R6dtksEndNr4X1mLd8KcL4orNLfijfSCn5aHMIjm3RlxZu4u4/el8/XVsdg8
Q9/agAgcJyjdTvtIKv+sGcXO5h1dIJAdG4tG0khoz+Hgfbs4/DEzY5SxA4KZU/QTx+N1olENyuFC
iOGmGyZ075CRnkrmchOgucVdtunv5Ig1DVZgDWp6kGIGVU668Wc0k5UPp1HQFmCGL/AooOMSk0Uq
WQS1Xaxi+ghMRZp5pM5mwYWyIsK0CgoyXVR9xdzXpB/P4PN64+NzdU2o+5lYGxqAIswg+8mBaqU8
e992lI474oSRYuc6GV8ZCuO8CLvJV1OO2GCcJ2aNK1RTxo3E6UMeK/Ls6cL2eOuoxPt1/PIFFht2
6nxauhhrCgvxwVMfTGlOUqVLxmC3litsYqAyUxUK5kM9ar+fcfvORQutYD0K99NN4DjrrOoMMsOV
b5Hftr3mu9w0TfAyZUfbEWccLksrpbiqfLS+AuQ7MTbgbVWciUkXA7Utm4OpeD0QpFaFqWkAa1sG
BoFYg0Rn9Eklx5Bxmqkxa/pWeZAfoys++rtPBo/FQa541g6WFfwEfbFPmDTagXu2Wg9IbEFwRjYf
2GUIt3Dk0ym74OYMyHiqMRKVJc2k4gT95hozWqoC644D9wYpYBc5AjQ+rVBYnja5ab9NMntKK4dr
BhESS/LfMcf4iW77J2XQgTQp4zEqDv2hmNZZ/ZGNvB4dWvvS6dSPGp7KwPntwAFshM8hnksydJjp
fWSJXs4HvNpI3gZbHhMtf0BIQqtN1iUFgFQ2NJz02ez6lvqWqDikqf/t1Kiimjpq1gPc+F5ZVIAQ
EvHzpRvhIEmz2SmjfYuMCWEjGGWmQQohvXxSIZv6mLNrgT02Eu88dRrgM+EdeLr0UB2ppD4yvCW0
7ROmGYwV7dp3XWSvpGeW87bg0Kw1pdmHynwbSdBa+an7zX5YRQGvCfsMi9ZvnrqPgoQggoe5HWhk
ViirPWpZ2PUnPdY+Dc/K134VfXkWyoxrdZz9oVWiZgOlfM+muJ7bB7MlS/puSLy7OeXbyjDXZeuT
dPC950xFb4GRv1eRTQV9EaKO5X+h1RyZluE2ZTZPXBunDAvSrimbf1YG105yGqpKCs+GEqui1zdc
lBnZHisxXueyDHIW98pg0e3nTR9m0j1kWYBpg+rln/oWrrFs2xvGhUOYDAgUIj2r5j5ENHnN1RbV
4DxxMz6bdZAvCw/MSavfMQj78P/ze1VsCNfjWx5BCzUlSSfvHHT+LilcAPhRRbe0RmsUIiB76Lsa
ozXx90dVajRA+9CnRH9tkuKpV4Sy0ktuWhy7A/9b6N21yv2POoEsYPMNaZV3d61iJ1v1MMLwZno0
gc67RR2/9iPOCzlmb7lh/8b9j2sEl8HlqmklPzL1vWWW8sh4GuFyeNXcC+7cvNlPAFw7KTJKshSc
AhNP/LVSJLAjgCd4IblD17y3PeGYQbeJyyr/TAU7BeYkailduI6+81z2hYlhZTP9l7g7ZG+u3VtM
5cSyriydpAALnU0VpWZ6z9jrXqwGUTZQ/RFzAdaYwrxPpMxILidwe8F78TVRi8R9XPB3BX3BOcva
IhrsO6HpX0uwOWico1uve86LYtOr9GLE6V9Yo6K9Nu70l9Dht6j64ab+cNHphzDsb2bzlifjqw4v
eeGCyfe9T3tkQxdZhNjtklovd45gYNJ2mYUPF7saAvJyXtXsRRehA8wvkczDyzg4tExNNPSyDhvL
KGEUDxFhz+CSRX2rZjVEZUm6LxBZhLyWggAhlVt1XaL2m+67YYIWhzLt6nz5tFbSN2Sy1AIFucVG
oBP5y9+TsNk2RPnw8y8tv+TnbBzuUdVeeYy1+cznpgxGjVs9bn8ksR88tU275imAqcvkHKEaRNom
3jCHy9CrtbMmB2pdsUYZEd9/OqDgmMlLE+aHtCKk0dPR3WT4Wzzq5TSVbkxaIpIqwdrBhTPT2Gp4
CsPJ/8r0AWuewafrMe+cnBuPF6XyAyOKWF4g9d3SgLduKtHExvTVViG2D1PhED6NUbMNXNDYepd9
lBlUbdsHZOTeKwAIS/nWhLwiRTocplz5G7yMzN3IeWchRx2w2jM+X3sNsB+FA0j6ltevrbINL+sS
zQOowkTD4uiwejK6S8UbCPBpWzvRS801uMfeM9sWmaHjBTRKsXEMfsQ4jj4y6p36mC67VHdeLGO6
pZnzFnlveYEfUjbGo4WwsY07/RC12dVwig/limKjR9PZN2zGIvY8jm7YBuEDYuK9IOw/V1H0pSj5
1vjZYemzxXMAyjm1LcMMvyMcxbehziP+xl37ozoaXTCfVOlP8W85I/RzbPFNa132NKIF+Gi/arC+
S0G3zxDjdUWtpZUiWLgmOUBcS0a7KBPvBkiTz8DGHmur4oncHfMLhW9aw3hvmPuGhSwIuGAQO6BX
dzyFzfBradqpzTUAzeC9GvO3IfZuV8kRM3CMS5EDbEWKXMPWQaPhKoRSu5WG98ZMpljl9BKwfTTq
zC95jlvhYagNzjRxq2ezZzEWcYcpuWZ/hZaPqWu8morpdUwOHn2TrzAT6iJd7cXjtGTGToGJoN0I
QRTagCZdNxNiMweBFXfDt2LS5SLpdWeTSww8Gb3Q0imqVQoJm/MQPg5vzI6xgzUKkR2lpo02Qg8/
G7sp9oad3Pxc/o1Gb2w6EbLRR9wa+Vfw8CTaqS/THzv8QGmZRZHhF19DpMZHoA8EPQSFvvWtx0M9
lm26aKr6bHSvzD6Yu7tJAsBXpHAZ8MHFuF/8FN14OAszJ3zK1zhJgXeg0rf4SQUXE//RpWl/sGbY
2kRwOlN7B27Aqm25prij+WtPSMK2rWjjipcT32saCahhcAZQR5PVwLRK9MkFZJdPpq1xtgQud7QJ
C5yA9Z+MgKM7VMFowR9a4TzM7FE9S0rQFQ0vqW4/JqsYcOtsZCLnqtM/vB45uiWOmiSheloKs8f1
U3L1c61lpQh0eLhP0+TNsfF4iF6HaaeipU6qh+ob/aRH5r10nBILuVpyVKFttC4+ppccrzPmLt69
MYVCQAfqwyw0fr+EpqmegzkoT5s/Gt0vYY9CVWtSrEtRP4/cf8lZHMwaVgFpwpOMcDOF+Y5k7Rv5
XlpYTXdjA40anPK1SvjSUe/NRULacQHeDAfgrHsO2E4XqkGok6/0DaO/20yoB3gE27D0niLba7f6
vHgwZMPGbnzrKv+wKRI0RrUh0H+3VFqC1CyogEtVvwCJUy41Jm9BMe9D7sVIOfnA70MGytdMA3Qo
1tZSVEhFcVtdx6q/tqhEWah7l1SaL7Iy0Mu6CPeAn+3N5DmwvoQLi1kbIYVKJN0Yh6ccYnn2Tw6I
4efejH6pal1XLrfsaE72JKW2glsJvdEguuNw9swM45qo5itKiGVRE7QlHoQv1XEZtJjMrXKQKOjw
C34rE90Zka8BF5phMDoCMyEkQBjCNqhyS5nnLAf7A7UJ/TOs8m1ETvKNote30hHuynKSXxc6MLZJ
G6VwidefSyH3j7BkTfVmw0QwxZib4i83sABaBAFLuvuwUvtRBFzC8sb7FNOMj+s6SurNK2xudSzH
jRIWyltssFS2RM2SuGJTrJm2ltkWNA9UBLxvROgNnUKynMsMRaM00kjIvJZ2VjrTXyLHd6kzjkU4
TtLszkwGLUEZTs7MukU+h3xeaQ5VeHg2d7lTHEFckwjr/K1ZeM/gMpFmJkFRI80uS6qpn7UQUKp0
sKe6HUNw08d0QYlr69z71Kp2angp1cTAgw8LQtEJNyf3EAKISz10fT5R+i5b/V9DgDFC7X/rcn5v
n1XJiRrtqURTCsA4qBKCiwiZzsQaM5e6eumTsZvPfM5qakK+5xE+QGSeMg46C34OUgY9AwEJ9tBK
mNEbiNbS8u7I1bwAuhMc4iCqVwGib1S+Tr5LCTsf1HpMvDejku4ldkiQskcvTN/vaMTobwUyDgne
hCkT2lAi+JAcCwOWmJvo9S6+wXH+TNvyCM/h3LacKnxfzbxKtOYBC41iAxJdDOB1V/Yx97aXHu3Q
Ns35Ej2ke83BV4l45JqzvJASR/EVMDQkUMPFIN/TTqFJ7VhOHCq9ccnTFaNWGKfIam+dDd4Aqfho
ptYh0WgRzjgMOGOSEO4UwZ44I/h3soPsCPFL3xEaSseeiwCFOLg8nX4b43Ptq/ZWWyENTd1bRcbj
muj9e47QGDHVXBo5vrcJtTWY+24TJ0ERLhq1dZoX3fdyyjIIxE/cqxfwHjBRk4in3lIuepv9A1g3
WdagMVdJHf21YbgL7XFYm5UPcGFoCELV0K9sogk2dBW9zp4a6GxUTSXmwZoIAHhdzyKtrHU3Mo+N
EwLc/kgmHGs3oRs2oKo6UYfj7sDiQX3XmBIlZGim7p9OabIICT8lSgToIPMO1NrLwHKuA5DShhkO
6RgFaCgH6UJNguXG+3jAR9yUXrUhhvwyBTJDVg41pr5M4PtCoGfb9Kqq8pxxqi3guSzjEuqy9KPf
yG7kRveTf0nWnZF3+xwZ2kkQPA0MlKCU9aVJnA4Ho1UdiZRsTJ+p8PCjByUFDu3wyDWcr7w1K9wf
7jG20GOi2PbWpVtu6kol66G08XiEa43m2xXHT6rJque2o3GkzjNj50zliBHUxHnFMSfEILWu3ye3
tLZ9Rjkh9ZNMjH86rev3VguKE8YKDjmD+HDlxO9dHvzhSnm1KPPgTsqMQhVDRbKHhCh2qrbwln4G
x7plCilry3tRgjILapZHJyp2ebHPZtGzSIKfxtvOOQRLL2gOg5xBYTZNYcZ0KRp+a80Wt1aZn2Ou
Hvk0yKWlAosU7PZ/J3i7ENRsFNxV6DxuhQXQ2fxsavweyYg4oCjk1TH0c/zyCXJ/kgzv9zj6Jspb
xx+lCLYjffjNDFBiaV9Ad4hXFUNKsvoPQPcPXCOj4ev7pmcp7eYkmQUNppcrN5rNr9wBMgi0U528
dcwqdkMv9GUxypfY4HQtqaVyCq66oooOU6m6nWlzDs/JAmqZeW6dIuXHzNXOZoncEDa7WE2YruIR
FhKsMI7j/tZ2qK8cifSxHmmcsiR958gum4jEPoUjyJWo8SjPXIy07lxLomtDS0FbFljtqtd5oQdG
cGvIlqswDVqOHPMZuqWaiWzYX92m93E2DNeZ76zKEqArbq5/zvRcllgc+hiKf1c2kHrUsR2dT9jf
D5e9ZaH/eQGnUvAEX+PIpwe8fGsbUBOqgKWZll9nFfnubzDEryFOxJWn+o0bosaHPUogmd9COL9B
DUS44C7BbsybpWPMxeoHRoNCkDHUyR007qJA+wOAKIlsaF3Xb3QXM47rtifDbZCACafywxQDJx46
qsFHhNVhCJ+Fw5mwzPC4TZ2j1jU292XnOH+VFXzbTn23M/xL0Tya0vpnjTTZ0nbTXd3XTC67fN8m
JgqQ8OmcHVAb8hJ4/8Qb80zxZ74uewqpW2jBHFk3cTW+xROZVI2Ecg9POx9rPu+D2yFxJqQDCE+6
qI0TZHmv+3Q5+5RlsDEsAwg2GhzI3pHyxfE+dH26SdtpXU2Mlj2UZQacEAr1YxghdiY2LtCmhqnD
CIXSg5J/jVjxxWhqsk2Ve0z7djqK8iNxNaBdlcnblLnaKU085qg9QZCu+bJ8s+KMSP69s+hXdOqB
Vq6xguem4Xjy6n8ODlLNw5COg31aRgGxp7JZSbvI3mgZhEk/N1Dy0A7lQRBPBSLPa2DERP1rZQKi
hH7tuf+GHo6NTX+iyXwMVjf3qzHqgNCzLnYYwpZ63Dxy02ChQGKiAS5Yx7XJT91byHCsCbNmk9j9
GxCa+kAf0W/pRv7G7O1H6TfaOYROjDmE3o36EVItmpgQ0ozO2JWMGUvsKZyqJ3PVIdRt2RdGUBEa
NjzKx9qm2IYW+ZJgrjxp8mk3inZrCNCIoqw+MDldfFNCDFBM+JVk3RRzILYXTM/wu/atSDe27n4w
ojZXMUW6C9gcb/S6PExMHFs5Gqc+2EHq/qIxlOriPH+P+/irxpEiBLBnBaMN8NdnbNOd2NICFSv+
s34vN0FvxLvJt359rt5U6K7aUJNbTwqmlsTgdYvEHdFHMDuOGi5EjJPdqAuMC4GuFo75xFGelhBC
86kCQ9Gk9EomCe96aQ1PqF09BqP0i+IRIipvXnPRffGp8fqeSPltu9jNWETc2fYiDvSMfsHEZBQR
J8CzWXp0amegT/Ih5RKZnKpc7vMfwtYoLySeyzwfhCashmtc6zdgZvO8Md93DeBMbnPUcANnzoxF
QJNcB8gLFqu+mcbwQzRgmNqAJj3D5fWaZ0bci+rFlJBYoMLwjlX4wMjJozSEKJ7JDSHXfojifzfy
vY0bstvJ9FIWDVkWWSi+62mZ6xWgJNkeI0EjnJuCzYFHA0ilw7VSuO3WEvYTGeUZCFMA+cqoWaiZ
ss9aeH3UpurFZDq3FdYzrPWrzWMibIQjgiDl0k2LfUj7+aHwA3pdC67eGd9UQ0Pv2IU/VMSHq6qd
p1RRri88TICsHdwUS8P/AoJHabfXcqnCr8donAe/Ne5MvFH/oisWdDL/9KIpiERLN2APpOcHq5Q5
FnBp5G50OJd0BGnw7wRfpsPnKbVUX/c4DR3LxZyM05frFz9rJcptw/kCEEX4C1oiWFE+cUwrDSlS
cT9xmWwM0Txw6ybrhDRMCU9L/UYfqQckAVieRviHIHLwoESuO8GhyuZOlUnC4nUroIFTQ+EkPumf
qDjFAfdR0hUMU0a87QSadoMjPo24ulVR/BYGmMwGG7WKfU+uuF4X4nlw3PxJRPTU5UcZCYwlbn8f
qWXn7nwVph6TmmBpQvxZdR5eOliyu8Io2lUZ4Br2HLm3OkLNPIEYmYeMk1590T1CCrnDr2MMuGM4
xNByUpEDshFOTeEi50P2UkkMyp9HYOgdbeN5KJS113e7PqV8y8Xntm7t9i8siNCnbLtL6bgd5vGW
pw+P8CqZaXaTmX84QRrgYI/ENjLElnARl+yYwHwiu11UBbRh6Ru9q5jRxNFLV5XDMeMiVDAv4BZ3
8FEnzS+3r+SlKeu9DDx7g3gXkF3Amf8fos5jOW7mjKJPhKpGN+J2cuYwiuIGRVJiI+f89D7Qv/DC
UyJtS+QM0PjCved6SbwNTW65Mu6/LWP8ojo3P4yCaMjRPDnxZPOkmeDUm8UTD7JopRy8hnGZV1s1
Ge9pXD1UNPSbtI+eohhmL3LLjbl8XgJxVsAWpCNs4NA3/UuvGminirQLXZlnjeTyRPIBxoE8PDKf
dulG6g6ZD+Bja10zU1jNuE3ok+kpc/0nGoz5YBf1pppYD+iZZxJZedsw8P29Y4TEgdsPbUyge66s
eJ/1GjkGaDoWA8TluQEXBRLCkcdk/KPKTZtPzckOpxKZcT7udMBCmfckD+uX0cqSp35mIIN4kXwk
xHO5mTKq99Lnzlfj3oZ30ycHl+UJKuck3I+DSfJDbtHokkHRm8o7WGAXD3UdzSs7id4Z9IZ7TBYd
pFtIf7IjyaXkxlsVc+hu0oHPjxwbDBlYSojxoycCK1A5I66dfAKXEt0WksFqokxlRzJsmgWfh2za
3qYDGX9+Mn9VGtCluafbjraKuBSWu+GfQuJ2EOlnapmPTSzgd4p6ier+E3VIFkvlOevFlm62TzNz
3F1WR/nFsJEOFYD+ujG7BvjBlzC/Z1TZK4Qd1Qsn2VYULiaWSJ5qyI+bOizRQomca8ujyhXVlXrY
RTnjhkfrwalDsUjzsPKgJFv7OMEins1LuJ1gI4yLmugkbd7SeDkCY3lTsCv2iU1yWN9eXKPd9Yhf
9o2OX3PcTis58AvyXXzELhgnULdNEm/SlhiwDpXXlJKkmBZGvAXViZb4NVyisGXO21BSzprtiIg7
MVOGsYjz+0+Ee+0Ba3eEkDaGMOGO9U4k03OHMJv1R+utw9Y2t8Ky+/XYMs6yZIFeYHjz+9Q6o6CT
btbu83lRp2b1O0IXnJY1WloxoJtatDkR3SsAyBtBfrBN2RqvXSMxT2WXkBOCHl9BfV/G2JwL73FX
ftJBq1Vspy6hmwzY4mJe4yN9yxmIBfkQ4+oiT628tQwwjsjV6rxOrqanH5e6k49BeA/SuMbNXB0U
ioK05j0TGABPsNrfXUxFzBKRX2oktpiEKafzxMrWvdaH0Cogx2CBn4M/CJ3UJTY/Oi/uj73DiCMs
/w4Tkv1GNPmDlcg/48w0iaRbc2Lj30UazGaFTkRNL3053MreDRnzR8MeM8+jhYNs34UIGRoxgvM6
WS2087qz/gRNdSw7Ui1nwsUwBGLEmBFnB4J9UEEB6caIpcNppmwt7xCy2PqhjFrXXncU/eRsiauy
jsLPycUgsqbh+i0isMCKUXE6NY+SQAsmXP5nu+Dv2G2YbVes5prArXDhbTH7uuRDIbn0Y3bUw7yX
nVvtF28MXXLVYDhvH0qwq5vReOw7vPIVCEXWUWMKEke3OK/+atxcce2xq3n1pAVPYBjfDFvGm64g
A5mpAM/SmYQ3z34Nk5aTDh8/EnuD/V00ecc5fG+qvDuYReIxYx8fob/7+8irfouqfovCJVcybXHl
DERFxuKQmbjkZio99ojxpQGevqoUn2Mqx2qbdi5w5i58qAOjOuiodPgvZ+CrLkSLGtVxkcmJPJFy
Nyb1j9vzqC1rF3Y0dCI2O1urBrMAbQMavmiAFLBVw3+xEDrnP0wrgmPdRcTJT1W+Yf6IsSjKiAXn
LEqZpbvO3F/sbE52k+kzyik7nri9ZJ0WJ5vWT15IVn1QrqiOwIQWHQ5P2qxsxaEDtbTKJC1/eoa9
Y1+Bi6/6PLaOrGiDBiICNja9LjJ9mxIDSKhZbtA4gbhrn6HrI6MRw4ua+xtqPY7Aojp7LsQLtHLW
psteIRmTbG0g9GF6Ua7cjGQ/CD3NNvB8b+XKQF6n4NFy0fURtqE3Y/vd96FxjLv0599/wGqdXFb9
SJu7a2JhPxqI+Mi9TO14NKMfdQKYMJWfr4M0/wwHpgIwbxwTW4mnnerVXsZzRQyVxW3h4DQhjXMl
8Exm1NiNSoEENdcMyjjzO7DM+LTeqTCgf1HOk6757cbybCnm90hY76icmduk9aPf2PSGJbFpqAnI
LJrvVQn7n4Rh6m8HsamoP2DRt8cisn+439y1aONhXfX5FVL9V2Xk2NDk05xkMB8intohsgWc3Grj
TDapDyPZW5QKHvNHymJMH2iwPUTIJTHYhoMrDMc19YCZXaTiyEO9Q/J0vm0N8bcYpUZsUXwHy3y6
cJ2IEYDt3yTQTUoVBikFarW146TsJTOQlorutiNtEXUXQmPiEycm0Mrbs4pEKg5EgSkdDQaJU28J
R/w2Tse7zMKRIswPMQdP9tpPEyyNA9jQkpg1zPivSQPLY1mGazf4wNyy0wWurBEdUeWCMBBjhp1k
9HCKB6DwWHgtug4SjmdSFEarf4yy8CGhpGFVfEjc6FeE2B3BA/Je30+mXXbsW4rHrLzJkNFvMPA7
I8wGcx5gU/AdJt3b1mFmIAfgYDHxi3uza66x6X+1TMi4fbEblw4auC7u737PIyTv+ctF2BWHxmV9
3Zl76UF6ZWwCcB/1tU9W8jHxi5EOO34cPOjhzswNMdh2dvr3kln67LJI36u6wjDTd7tQO7uuyKBD
E0mzQqZIcAHHpW37301LODe62po5YPAQTySh+wAZmcmzmB3EC/SHVVTTA3OaeqHT77hHybcvAUoP
Y/NDdMmPqdIrQq3gVHrqJhOxxwDebIRNUFFs4rAHbJfRxRIyajHG2ODVwftmOO1G1ea+ydNjG7fd
OesMNEUtQ8oKn24NvJJQCw/UVn5uGrNAlia+c1zhh4zHz9KnoJuxyXvSUUbmx2I1dOPNFOpsh8uO
rJIufXQzGBNdWjCTL8c/FSlGW5Gzy3Coi9a2HkghNNN7xuIGzyNQloIGLVMpA0hA666DwsIbkYJA
Q+L4NX6jd904rkEgViweCuUmuwjC093Nwv1A0bdoHVhgl7gpwc9dUDQTajbYjzZ1PW1DQawl35FM
vXb6dzvO9FG1/lWrghWP3e4Tzx4essrYkoML+2xhVjtesR1dBy2NfjE9xbCsKNOd1wxEwTF1WxfG
WLFSBcWQwVwKPNIZA/i3tazwYyQ8c1xZHXy34Apl+oQoeF/1xi/jlHINvdjSOMG3WauxvRBkll7y
CgyW1xC3XcbOBLwn7i9sDR5D2EK4gEj0kK7/u7Wmw0RvLTiMpSHKTW0EO0Ko440MJgt7wkiwG8vx
3m2mlY7IZLPTzlvHUhZsrvsAuTa++t4BYd3hI+JgXxBZpGRjmI3W/uz+YvWGQkNBOk0W+DSHYEOf
A2YU1hoH2nLdYeIy4FRhbmS950KMzEwiCgI2Xis0Vjmekey7ZTJnpP0zWNQManuBcrhyjrIrBWHz
NP1pj25dzvGtkhvbQaXFhBjvMpG2JcQ54dTi1DgVKbdxeRxor8NYund76uk7C8BApU0SNEJJ5E06
tt7MqDK+RGNdXACV/BULwaTFFlM2kwlQ1T12FjGHgYfPM3nAxBAdWocIkQUQqNjMn9UcmLDVKzqU
qju7RfkHTI2B0RYHaqLlN9MvexPVrkn6Y5CdW+GgdCqJCjOWukyAbeafw/kGde06m+WnXTqsL/zR
+Kw746McgCxMLgumyhNvmohIpHFr9mfDt7DxERjjcIuootCiZ9vUjfon7X1HuZOSjlmHBy1bvOGI
gaBFFMXj/ImwZst9hUNkWZwNwpKoySTqE9zG9MvMfokGJbbcfzCS2Ht2url68VoxsKxH7xZWts0N
59ts73iOmDMVs/BQ2mqfsoa4huIyNpD/+pYM83nYSStojolphhezeipHUeHyKA4qQ+xWWlDHmOo3
V8ZZHWNfQeajb6dH13QxCjlr8oJIri80Z74HSdnu3L2OFiCjBzHMMkqLCe7McS/Ca9ZTiBngjaTj
zIzDmoMX190pE2Z5FbHln7JJbnXSpQ/YuvJtxNoztrNFz8O+Kyiit9xV3Y0QT6ZK3C30PD6uA2A8
zKEfO8Zk+4JHxr5QNB1MOeF6Zz2m9bZ8GZPuT1MSLZj3Q7MHhE9d1OQ/UADYfLFYCvRgXl3mvLAk
2KTWPlV0Q3haXULfZ2dC08HcrvuxggctzPgvdkLo8I8WjvFYlU+pU7gPokcQN3OqlOicdUmWZdP4
BzVjd12W+jKZ4EHAxfIdQA5Rarsv6ElI+iVTgEl6PyPWELcyxYZT287HZIWLqS3vX5eRBFXOsrbP
aY9y0s5Kw8dzDPYjypivUmA+DKVOPtD2PiNN0ce4hYrheeaCY3AsRnodS4ya0b+FIiFO0/IM5pCh
Ndja8aGq5Wcdck/AzBzWwl7klTi/V0Ev3kaQkMeuySL8xyImDQ8T1+gz8QRoMNAkM7NKchxKGBxe
i87J94GJCCQrHHEy5ZzA1GONxKyIalkXm0BB43ED645TI91bzDkXRWS2r4u/XuSApBxmcqNmXIGp
OKbp2D1nuVh5QRtuyqJsXxJndFaBZU8EuSquY5XMmxhQ+dWXiItLZsw7o3DBTJaqPILC9De5qEc0
+5ELzTHwXrUVQQTxukVmxy7VU61+h2q0q2rzGlq4nRwDYEkVpkeC3Zg8DghN2iFqXtu0ZREFf5Q5
DV8qc8i2LEajvS775pUICUzlmGR7UOi7GKD5K3arcVt4fLT/vhTEStGpps7+35c45/CeBK/hnERH
Tl0bHutOzvw0XYA6y0C5WObuepQUWw5D18fIjG/NTNNdOW1ynuda7rQrp+Ns0iynXtkhP9ewacSQ
fWLj3891l/wgsMO4Zm99fOUf4YhJz63aeecNS+VG1UGyoqqeudUIFgwzlMQjhjBip1CLxm7zKRrv
EEl1skHvvHmTycBsxB7g8aZsDJT7TwCMb9kxhOrzPHQB4heDza/Oo19xO5W3jtqA7kREv1Sz67Ok
h4gMiGIhOgVDU++W1vrUDnRSdoaKCZlmeCGBWBK8hzgyT1V/KpcXbFreKpiRSk8znitDdEgQ87rf
ex3B2H2WsRFInfn276WIKwQnmYR74rOVQIP/N2FQSETAc9NY3f3fS6djcj3jJGUJnIKgNHxjPZW6
PKL92SKuCtZWJEPqKfho/tw+zn71UwaSZAmSG2Qq7DNjLkEO8FkT5rzjs6VLhK8BAc85ulm+C5nv
kzwTHWMIiMz4VXIRhb5lXWadaqc6VCqdTv9emFg9BwO/jMRZhGKejMfIi6YtpyFkw4JKCvHLtVN4
klLDeeNIZeeUpgaKHk7J1s/0wc8pQ8y+kSAcy6sGHLfPcavvwVq+5KU5PmBspfaxsfGgxmdxR1uN
dc+q9l2tF0FD0Z7imPeqnNVBFTa00yw59p6+sdcZHjGyvjYmG4mRBNKmix6YJj5UHLOnntYiIjB4
tuvnGab6Qzmm1ziLSTj1me+0vuGfRkeypNbNkxTh9AqsEzMptQ24tOKGJwR5U2DNR3+maqRELMgn
2oqE4kuhRqBoX0l7wKSv6ubM6LN8aJTzbBr9ySHJgkhKtLBUcqBKRjFfUq4nSjBfH/Gt/Ipow9fx
YJfE0Xbe01zDlm2+MXA7qIOXl2rYpxM6xc5xbiwI4xerGQ/0vgn7RWR+lhWEp9Hl0c8RDL3Ois5t
pN/Q4Q3P3GQFUqMnozPLA2ZD88FP/Wcswx0P04UMSgEL+zWnjslfhANzyAjTnzbFhqkxpqx4zIuN
0fpfXAaMuvKCdJIWQFQ1PFuCNI9YpvKkmIzZSne3RlP4qkHaO8OX2SVpKnQddsd2Z+73xCFbmIkj
a03coQFKzz/guPggNS44jLJ96vrGPkhhXoosGZ6SoFJXHU43TXbe2kSbs7GyYcB2Pk9kScTM/8g2
5ZdFIGJMRyu3zWdV1HsHPF0OM/iU5cGLyFtxBtVwrCacJB3i8j10lIuAxbaBWPHH8P2HSfJBTjZs
qrwKUFtNagsqKjsbPeBKIrHLPRKBTAD6s3R7dXOT5wYebsOcICgb4lGabFnHhig5/pGvOA3SsxnW
IUdm0G99uGdbXSnwzUZtX8cUXUVbCn55cCixGd481v026pNz1LKIYsr0V3n0ipjVq3UxtO9dLj97
ORkHCXaMAQsEzQS/MUFaYaleZnDFRzcsl7l6MhxMUMCrJsCFBN19z/QBjwCGNKcaXBQ0SFeHOWKl
nvJrFqXzy5qwu3agfBuehqfSka8tmm3GP8wDnJztR1HSkhexA1q6ADRIFhg925iew3ys1yOOyCeQ
VIepztRiTkT+ahjMEeNRQP1iA+61iBrq+aEN6I0xLJhbn8QTgBCUGkypgnUl1SYIOV/9LHzBQJJR
ihj697AZiBUitV4da4yme9dJOKyttCUmxSCiVqjdoP2PHHLetgZaFuOEeyEW6eqmp2LQxjVyBrg2
Y50e/I5uHf4We/v2wK77HLQMz4l73SpOlE3RyqP771MnCmQRyuGY70FrNc2LHVX1KSmw2zWLUD2M
YDVHBUMxr80X3XqmoLIxxQgoG3GR4XTLF8NzaP5Gu/2cGKF7rH2PIeQ4sFIsqL/zkKk+d0tSaePu
eMdMEiXdSQS19B7pNgrtkahAZp5R/mCoka31lF402M4tXI7ayBM26YmzArO+iazZIohNJsubdK2z
4pm7KWMl6834bZxT5CLHSMmuXlm94WL9pjPqurk8d0BqVGDuR4PI5hpz7cbX3UNdIhekJPkQQY9D
qdDOFhTnu7R9b5dkCJPJ7PJFdWlCIF12pYEemccpgjWcIx+r+7E/VEP5OFnSOSn4+FYVuawM/fdW
mHBkVEVJtkx88jx9VlH+1Lvzae6xgU4dHoPG3IBrrI+QecJzdsBB02wVIFUEvf59QRrdG+m5bIJc
oKgqwFKqCDwKQi6TqXuH9qENF4ei841pCXfW9CX6RB6soV31g/KJKABoI0rUl1L3aLB5bGEtfyOH
AY5Docl5siv6KKBmpWbB6tTGoR4l6YyZvZ/MGYVPqXAze95nMsGz80xEUsGjotFF3WhuyYE7z7ih
4h6jw2Jy3Ie9//GfT2XyD6T5bgn2GDZVxBrXqO55Ec4HETVHUxCBFGcgsS0fRJppUDSL35n13nt/
WY5ReJj4yDO6XczAuRnivDeHp/5rCtr0yrmNFrvR702TjjdX+z+xjSqeWgOhpgF8WjVT8SWrAF4D
23/EXzc7ZzlZzd6vQPt3nttszw1j3qiO27sW7hchV/jGknE7lOWJtTlHhE1KKftTjzjnlR4gneOW
WaEYUDw4rx050/RWmM7oeDdtEhywlS+OKNCaubZ7Wuq+2sYgTpQyxU5jCgegF94ZPu/c1mPa2xFq
CkXkeanFgpEDOBmogqWMTkNJxTsGzYlEB+yNiQjuXiaf4eZSEhvJY5FB1/PyzrqwEDQogeo/cdQb
W6dWH4EtH42YqBqOWGQayas/BbvZPA1+y3lVF+PJyJLPsWZ9JUPrb0VC1WYYT8miH5Zkpe09SDm7
Ghy06KJXB+oLR1r+aYOBWZeIwLZU4mv0Yr9VMuFGiwNvPxuYKMIme6eqMX+65BJRE/0nXLfs5kfa
UEdiTqt9yepzq1PoRoCazM2MFWmtWcGmvnlnmtNsssIiVMyKPhyXxJ7Sq57iMF6MdURTlbChV6K2
x32LFmvoovIcVwAuLIQOYVxAiPEr9gV1D9oYIj/SqbLYJc2xqOj1QrM6tDMmMGPkFpqH5DWpFkN8
+0G1u2/mHEV/DVWXvg9/n71TVvVsy6JHoKrxQ+juENuMKzpZfbUTqnx2TJu4E3glQYSDEBmuqTDH
V8vHM1b+qr2YoB6EOid1ghz5yelKkTfNf6o0BwVDP88ovr8HissZBV8/cyV58bolFgy+Yn2KnIkn
R5u8VCbMvpSohpCEk77+KdOKcaPGJOYYKTQae3hHXaSuPiJ4o/oGMZ1zUKCCjZgADfgWL4RpPc5l
f2RSC2OnZRhbm8ZfGW4b8ZNZ86GiIB5xm64t5X0usZ6QtlhVhHXFzskYuVsWbJM53h3Bqg3rZIhx
sPzFHbUU78ysgBRnx6C1Icfbjbv18/1cRClhqxYNo1kz0m6LdUAouB3Jkkhd/LqMqY+YExg9umSq
pq3EmdlTEsVGNG/LJSizjIjspb9jjsN7ZRuSlYLv3HSGonesB1rH6a3BF8d0ZtxDnaBZnp1jBglm
KNoYCqrkljK5aWNSxAbnrbaNbdKM3FB8tYIm8Fe1Ef6Tfrr4fUlePCqFzL7BDmiffAdLQaKAGORt
t/eb5tmMfrsVQJK6dR4zJ/9jVvartpO3qLj1ZKknBH+JtC03uVvvo7k4ui4CZuZpfUCwFxCd42hY
zOzBgdgQbH3zwrT1N7Y0yEkgcB+ZWbLbRli2sWI00CJ13pJTUMDDoDh49Or4c3aCb7ZZd7NzriMT
Y25UnnSzGu9NGH6JAM8p9pjGedMxdtk6fjXs6Al+21vUpJC4f8999iOS9l3nzSM5OIhTQcqEDJsJ
VU4e4dMBHrOH57INjxhuTxKhkoeNg0mqealN7COGuEvlMErxN9lQgBtVNPds4kkYuFEeUCQQpUPA
0KHWWHCGb2sOn+0GEYnR5+1aKYw6VvRnTEDmmIJjOB2IgzDhI+HKZTxDdvFKJ2fRokmJTJx1jkGs
o8kSVBIIuHIL0dz1gGpIRywrPZVeZIyANapNvWaOfGJtiCTCTY6LvJWnX7mqJP9k0TJBHGij2RZ8
TKr4KFvlbIP8EVjgs6fTPwbI3dib31GesFgt9sZEHGiKr3oDTE+1QbE3B3/Nb33GyWsxKyHGe85n
n+SU9DFU7ZeJBsjRwAIHYhAi56MwMwxmegFl6ehDcBgCVES0bd/8QaPkm1YN3ggffr1VCwQlPCqy
TUlS6I6MCh4G7Me9pro6iyQNthvFrMq31Knr2syY38bGeU6Dix2QR1tN/nYuTnWH9BirFNqnnM+e
rs1bVJNNKt4ad7r0o3PNDc57FfwZkP2Q5v0wKixhSLAxNbs8sdhr3MnCvTvDfKSABq+YoXVGBQkd
6V1hm6gq4xmC4qcxJW/EXwLYDTk0Zg8P8oBRAQ9g9NNPYicWE2ECCyFwqlNqJ6+eMm9k2rXbKZwA
WzDzR1xzzHxuem78xzzzsk3uJLvAp6GgWeJzrymZUVjyJMd9kzbBZ5sj4Q1qBVbQmZmfJBqYB+d4
LRBWZIQHKEFZTixVzw5KfUU5mbVJz2DLKIF0MdK/2TbCAuT7Hqgj/ZR1/gvPWrl6DUNW/65C468v
httsZM9Wt47FO9csW7cSCQx8795xQbJHGKIpVk4llIudbaTERmKC64njsytElEXEucSjibQkzMe6
QmIWK2y3illiP6D1GiLxlnSwgBx7U0xElANaYNp7z1Vkb+yUZWlmh2/DaH51yczyuW6yNVbTu2Mu
7zRSexcxBrvEiaIHUO4SHDzCgtYFf1OMgPjqY8VYh1t7VnAIvbrmp2HWIshkp3CnXidThcc4Ujw2
axsHWQKk+540VcvASwqo7K7BxkwJ5EJA3ik01EZuSbXmDBoDUkYR3VLFexEx8kjOkRUuf/z30gw1
mJrl5f/f++9Pga1WeadD1opLtrtDD3By2hdDIbA2QiBxNi7uk1OC5/OWl2Ewhm1W5H9JOQrPXhAn
SxmGI3mGJEWaFIsJM47i3ThatJhS0K+k4NkqVBqr1kMQ4WTNtC5KNZ0LdrH2MNlbkG0fVUNqrkrw
mkYdORjhsIx0HZp/wiaaXaaE3KbU/OvJctWV45txv6Fee1S9v2FNOZveivJ93vW33INLO3gu1JPl
T+hSrf2k422Bb+DWJoBtCcHLvseSdb+TvnokY/9WLZURHvEHnGNgpPPkGKrC/2APa59rjAdlPH+a
9UjfEGbRLlAeb3uS53esUETOO63Y/fsy8azPdipq2HUwxNBavFRNcKlmPb4jtKlxdVmmXLGoMwhr
805cwYx3mCzQ/+TiAEaFIZjCzEGR8N5LM/g199GvQKUMOjM2Hi7/ZxV6XLFyZq7qNifDJSsm1905
hW1xHZFvAmkwt0HdWEu+FyqbzK5vC41slRoxmFzNW6Pa5m6SprMLFfLrPBrPvZ2gMedRmOtYXguD
YDc1nyTisw1OPkjmU8efIogSkxSH2PXYu1f5YfKiA7EiP9aCK8bPhqEgJGkVQe/axqtMmoU/7ZEX
bkn3eVJ5a++NdtwFVsNaIp6Jc7Hj4IWgvgSOL8FcU7pdau1o9hykpNSTeqr7DbuiNTGF3wjThoOS
vxjtzY8Vdsrnqk5OAw8X8CqVu3PaWu80iD+48TvHS9yVoEjfZKZbo9G8u5TBjMZ4hzrMPKuIse2J
x7A+OrGDN0GThVRQNBFThXN/ScnVXY0dvEEbV0JvudrmeDBqz9wMMyCwXH+Ws4OWbJbfPeTLTR5S
Eti2VwIa44WRJi853IChYjmVaFqTf99zU4kKn+Q0ph9JZ+2qovK2TWoxV/VvVdbHqyqfSc2WzJ98
Dex/hKG2AUH7NoRS74suNIkLQfjCvHtTNeVuImgI5U0AWQN3Bx3LtxeWEiOK534gid9Ptcx/9xw3
Uln2LSpIXwuyGyiBle2Gi+04OHmV758Kn4kp8hfGOQGwiO+EFdIGFd5b5rZ/1ERbHNOr7UqJl0iz
0BXUL8+m1xWnkXCSNBy+jGm6S91e2l7n2xDW8CUfLdBM9QCCQXvsLA1NbTYYsCFSeYT0cSEMA9JV
7REm13fF+d+XbXfE1EaxXzhPk7IXnRlXvLlgAafhraPR2RftGNxS3Av/vTit/kQDY2yxBa6iyS2f
HEiWsIOltbEZiQBsg2Oyq7Mxu2smyJTQ87ZQZb9rsvQpj0muWNG/sKgV/rTVLfe7IAlkxTZngg9b
ZeeOVBNP5VR7fX4ym8ZIqEf4+t9LOopsmywcfZM7JLKZxqsYNx1erOLULy///vT/l3/fAyuImbkP
EHaKggy0cYihRhkoOyo4iCdodd4JLzmI7JgM+0yF8Cab0K1OoYzROrmLntRCt2qgcj7GBD5MvsLb
Wi4f6L8XJ+2DE7z24+RYxj7GEnXsuNR1w4hv5bM0uCSyEsif2VJQ/jB77ioWE8kJdKmNSwzbRzyO
HBuILfAg2/WpNQeMBrqoTzgKMd2gLvYJqDvP8IzJtO7tHPGGvEHxhqM0yX6d4Xxch5gCUBSzZ2va
XMBJNlAnVCjVJ1ZKZ+iM1X8vsKkl6nW64T60frDnt9vEdhep7cxgfEzmkwnPZ08U+MW2xgQ5ofF7
GvH9zTbynMFYV6STYjv7GHgIMCRFdcqajH0CIn1HtHyrzs/TbP6kPvGsKNNSMO9kUcZUNmoBEqcT
Pwk6XnjODEyQ1V2nMATa7DyKyhh2VftTAhF7aGzzvUe/a8QdQKBwN8tfZuyCuJp5X2uEQmvlVc/R
nKGsIUcxUe0xTcydQsHEqGDdFvIUdwjnFQWCrU5NhQAtHzEz1DuCI5nx+3+ngZJn1sXroCBX1MxB
WUqCnQ1gt+fnquKjyQqfEcBh6DtEU3XA3pPq3idZKGEhHMXgv6nBn8fSuiOc2U+ovtwxZ3wuyQG3
xqMY7AdfZ18yCD9UQ+LOFKCOKA5uzPvW+mSxGY4ChDrupWK2SAX8CkIH/RwDkZStRYBvRU8ho+Bz
5kMsLXXwl4iti+e1pwRzc+d20PEW9OKsX9nCYTYe5q0lBELT/mSr6T7+g2GUDwlxsquwi1+jePwx
C/BrNb5Tp7QNPGbBoRbet0hsxKnBd25itxHNAJtG+wfdI0+17qig9xpZkOtgJ7TKBzIK5zrdjbL8
cd16B4c4OIQtb2Fc3hQCh7CnEOxKl8UFERzjJB6rYDc4YX+AF/AxCIhJMnrlOiGEngySxLVf4Kzw
VKrkPXdJReU5tveD/AtHK/sFGOq2Ml9LFKagA0pEaVRwMBX0ykKpFbrxKS3DJy+rOeHGYCf+WIK3
zl7e5uW9iuKWgGv2LQ4/s3arX8NwM3z7yacnXfHwP9RZlMIu2JMsxAVt8jEANqRtkB8NsLfIaeOd
4fp/yzF5iurgUSv3wGHAc6zikhwGunItiw+QBO/VpD5k8kGde0bpw2jdxhYeYxLbDGGJtBj4qp0q
hiSpuGNAwX1BLlCY9Z9mxMVR9QqXRPzD/uLNoU2dBq52sOMvdmNorIr0AipC3wy4ouocFrmalrx9
pK65of0/VanxHBum3jmxwcS0rM7oJPYqN7nabD5VPiBckvDyuI/wh5TtQ4xyaEiNi82lvzJN+5qU
scleniJzMq2ZthTfNZMnOgjy9ugZipaglOzBKYJnwxc8wkTH4DIQ+0CVCJ4zQuioXVzNTCMKBQAh
3qCM9OCu5QK0FcCCAEsn80w+DYzAy/QpuA0CtKVv4twxmbeqEGlyRXw0ljmAZsHK6Pj32V0stFos
twKQ1/P0kuRRu35F5wCT1b/0BrS+EeANB/yHkt270VR78rkZ3rT+ygR300/eE6qBTeHYGLqN8Mst
jX1jkLMozR2oi8PUYIupZCExr/LDEji6k3W5VRJTYkY+gGuFdz+pDh6GAPwjMIE9MhbxFZOB7j75
9wqY5JqMHYY186OTzT+6Mo6Q5VAdIq+zpQcuDTR+0j+1jhWSACMuAi6VaiTBzcGlnr3PCLzDJL+N
DO+VqL441TrE/MGvKkbbNA448cul00encbILFtABiztCB1eGjfSYzF0OgJ4VdDx/uwUgJnX00L+u
dGD+JgXLk5cc7DiPMBCiC2kvYS2fud5fJyvf++B90vxvWZeHGyJOl8wNUiUbk99VvgLJAypooL+M
eQD7CoW4qCXpN9P/uDqz5TiZdIs+ERGQkEDe1gBVpaE0WOMNYVk28zwlPP1ZqOP0iTgXrZDctn67
VGR+w95rn9YJ10TSMYExsoM/Yn2Op4eewpwamofUcBgRu82mKtTJ0UbNPAn+tPYYHEXeMxhZ2qEr
KcZ/RIx4UNttdipzl3+Edm5qaGT2bM6XyNGffs27RVPtE2jnB+4yggFykE0P07XcgDwcWKg9/63M
z1FQJKRBcgM6nMTMG4dAls2trt1/JQY9XhBjt0jG105Vffp4jcKaw08t/p+8sxQYGdaOw5NPSB7m
MpByOdY4Jpb4k72E/ygJJTPrEhzPUblf056w2TZxj33u/tneeUQ6hAmzNlBD0+eIjRldl8XVw4Ht
5tbDnLfX1GdjWiGoFgumZPYZg7NFV2Kh3lUhw48vY4wfqmKTQfgL2md+SH1tIIokTQFI55db8oI6
aGcXCYW4W6fPST4DvHw3bErOjINvD0OPinv7jrYzPaC9ZhrfxSd/xK2TDdaw9y2XFiuiy9FBdrIN
HybYJi+mJbgWwBtUO2/8E/cQGcRv2hpQ9uircBiHgVKb4zGR9u8SsgsXtOkX+ea3b9kGrM8GtlaA
nhWnDDwxG+ZL5uQAH1wUy8W1upNasWMRDMVadZvSHGYE0C82FZ1Y24s9tmEf1QTcOBeWY4dxwIHn
lhLvJ+DmY289NKxr9t0qsEFb9Q0TjQ3tNPcHZi3N9Nj6nwZv9XZAi+//WvAaGRJmLJGLG1SuvkTs
g3fTgjfCnXCD5U9eGz/ZmCbSbITezWy3UK/e2qLz8lHSyOEq1MAdDxiQSulxAiJSqQnSivuaKnJM
o/m5c83jEC9vCPrtY5TgfUGe24wE9LVQ5JirkiZWM/qrSiJRY/sr85NvaTnMxUi+z0BsG5vmjgry
VpGKipedJZIRxrnzDETXjTjhlAd+JfMg/K3PIyNaA5NFkXw1GdgAO2ezJ0XYsrkq3RpHSn2uDOe2
q0ogUoCLd2Opbzu3PKmYd9RC5uvGglhgj4Sjef9zrKyQdaXtXbL0r/IZ2FSz9dolE7mR4rdf9EHR
wvXJY/WqV/MRKlaWfyJvZ+ZmqFOms+8MPUChkRrJ2SAZMPpbEK47fzcRhV7ruj0THezvq/gbL9Cf
KuzwHaEMXnGGGFNBGKcpA0xmzBcEBh2LPC0wjS48OsoCEpDX1aXNxUP/vCCXmiVNf6u/AfdT3rbV
y9orkDUSgJdQ0DnOWz3cxOxwh9k+9ap5SWf5JYy2Pbd2jA1khbU5l/5j5TIGk/CyRWZ9VB04gdmZ
cEZNG4xfuucmdv8mSbFgPkfp7DnSZNBmanbibTibeLp8i+sZElgGM4X5DoLLg5v5sNcJWr0slvV3
dSwVKmt6dLV2g8ZJ2JqJiKy7hZ+Ta4MGa4bLOkI/QSnwZeT5DfEb3qVMfSIYgY+QD43Y3IY97vTI
GpRv3U22cY6dzDiTffaQRnRRrhk3R/78TmwGXnUtJBSRPul7hqCUAsqCWzy609mjI82nLBwqnYaN
v2YBBf6G7LwiTFCXOYmqYJr0F6ZfKOGyBV2n5Mvodcl+kImAxjkfLArhwWD+mHks5UG/JseGjgQq
eomkTCcNPhIQdIGIdXmMk+jAkmJ6WSPzo4N+dRg7vPRlZuzThXU0mkj8SvQ1CEbBSMp09m6HomJG
IE3GDXkqbhA+VweK+XTfd+UtYXspwab06y14HqPBvjK5U72nYDz40nlrzahhpmcgkOW68vNnAkJz
0AMxdWJS3HkNwAQdU8fUAIDiavqeJ1QRlgumNwN1RUnG1mYCHq15TLnIEh+xSZEghIWraa3DvkSp
DKL9yZny59JEh9qvfpA2gE/bcni1mx+nf/abFx/pa4NIoCq7h0IREb5ClSL5dV8tNRGsp9S38vTW
9Rk66CocCnmbJZ0XNiuiha1v9tvpH77cnOaM3Du7f4Z6u9kH1F/GfMlBVBWDj8lpLpbHxubnw/rf
z36+/H+/pS1iGKEd13Ja+/gz+BfX55G9f9Zzo48NC+lcrAAc0dANxVNnAAn3KBiQ5YPadY5Twoso
BfuH0dT6nKCnynyazQ7iVx6mVUdhyvRlyIUVYpk2HoBpZ+cNA7V4H6zOFCOs4UbmTtAnDMXTpn6I
DPOYsGwkyomDSij3zi90xTJ/mA56JBnEG8PZToi/TitEh+P8WPu2wAbrAEEkUdDjXuetgpWF3BAw
TmOKO6vBRl9TdqTyFbPES6zFXdY6d46YnqnrYZBbZBehsqsqi5ohhpgxAKAwEJ4fpFlfR6N97nlH
ddDJnU7RUeMKdPvoTjAa3UcGymHM/eY+qVgf4Y5qbftk4kPGXZp/p97DyNUa1IMH1NmWzyB6/2C0
/VU0wABWMf9tzCkGuab+RDXomOEsUgF5XD/FU2adVdyzRN8+dGPEDKiOPlYdYP+jMQXGtUfafvVF
fMZaeIGUfG+kgEGagZgEhCBtzSE8YVTAvpfBO0nuLKsC0amyC5rq+ykZ/hXz7ITGtsJW13hBfqk5
yI71ilBFGfNN7C+XEVYPAqUnBFSsFv2Bgx5YNX4f7JEC2BBryXQgpTFOf5mjfKLOQIyis/eC8E+Y
Pw/LhsDt2SkRjJGTbD/eooq4zmY/PkQrhuao1h8qZzOgVh2iUb+JcpPdUw24wW5PwhfnuoeZtjJU
72R7trbQkA3765jV99i5tzpd2KT113zIXvW4nkQrH+ro3se5B4ygfgZ08OrG1sTz8y8fM1ZkNgLy
vjRZX3fsOD6haaCJWKfmEGeUMNO2s4OHa1HMRlnzBZw6wNLA2KOE1ixkB02qbneJSg++YuNWafHM
/h4nWsyAjgje6k5ID6Ubbi253aczh+/OjDLjwvC7PjTqy0+wuVRqBEITTfzKAIYtqrHadKn5FGXO
72aJKgJetX0GdgEiM8XWFmWhm6sNmYxCKTJVdzGkxVjn51OZFsBjuxEqWKS8sLDkedxGqYPRVpef
oerPZz+/pk5z7CtYLfg0auHpG9nIO+E3aeiCj+V53YZNiaPvpeF+zyxKiWFmBjX+dxCljRa05dIx
YP7fX49JKwmjeQ5JJSzmG9kv7cXKnMvY5VXoWXCLoP32rfuOmwvejDgI33qhsEa6i6gJqTYIwU4C
twHbcsiy6kk2y7tdWL8EwRGct6zkiFnNMUHsfr63yA36v4r4Foh23Jhp0h21BLpd16UkvThtPnzC
1klEaCQ/oYFwuthHBd6CHqWpBLo9u2TRKDYrWz4zNagO6kRjwMfNtGWY99A+Rn1EYM8d6pDCunZM
iCu+397icOyR0y+1cSbiOTnpJHcP7JRuyUGazWx9sNXwYnVuf96y6HfunJGpZLTA6nnCThrUns6d
DVaNexNvKN1XTG48qr9N0oYxn9bEi4wwST02TxONeoZ6gbkIILYkvl2R1qWGDxcXBGir7SaQreZ0
0rU+MTe5i6LYZ8lPKviGQ0fCYh2J6W4u1TAMZIKoNA0Hn30txevl5wPfsPnPZ872+xRGtz20eyB6
25c/H/7v9/18afba5Ydfhw3KqAuVfbxrjQgD70qQSes9J6WD2/q/Y9qWdOFLv334+bWfL38+Q/0J
KnTR55+vbC6A//w2+2fOO4LVSkuBRCrbvDnbhxYj2aXePvx8WWHaJtoPmFHtzh48Nw1sbMDbVPcJ
frAOute0MrBYrPk/38TZrke1fSfTt+sgHtXzHDdsuua+tC7src3/fPBi6yWFB72NKbY6YWdVLmQK
4svhl+Czx3xkQm9a3oy5/1OsRh1EPs3tuqTBounxBRlbHczCNSZ4al6fVws+E4sXZjzY3V3A5g7U
GQITgRgy+PyVaDskFgjN4SF1xXhpqZksDl3ix9a3Jqsf8S+bdhsk2veOyVqyevoHzJpfTPx3RVBf
7Hp3bZ8+8Nq8mjGtcqePadHerTnxQ8bCH/BkeZvm5hq4zl9nwWsnp/VPXlv+wVrjh4IZqDOqNBw1
GZN+I8JhLjY03eXn3+ENzXmqhxN76z9Dox/sCEqfI+Qli5bAMDBXxvI7s3mL2/ZKWhjO64ONm575
48LlbU37IXnXAzEOTDl+I3hkqudRZrV4hiiTWPcWiMI8yVub7M+gIRDlMfJ53tp7tRgK3AHZC6P9
aIOC43awhwHMQe7/7sqeuwjwxlx3j4tgTopxYeXd2xFE0f6uuv6RQX5/yPhh7pJ1CqEKXKIOWb3l
J+/2K27HM8ODOQeTbKZed4y9fyMooHvgwv7RWIXYrYl81nBcA3bLr+Sn5Bejw1mTquIPtze670dQ
kb99bb61IwjGUejPOil97GHjfaebHru3SB6TMgvx7/yBrQ/AtWuxrXfE4Pn2d+JCyCCiaAxb/9FY
34XXQSNb12lv18VNJ58p6YBMSxpexyy90PE9hr65fa5MenGCpZMTUrSghCcWApcpjiTe7NlHkGqS
OzSQa9rdNvE/DEQHyxW8Mez5s9riGMvupVa4GjDfEoqZ2afSXz+yzrgZYnzxVU2hOfcInVJ3xChA
gfizyI4jyI0Ja020k1s2S05aZrrh7R2UZUJt6/PhBrEJcd9rclbLest2emRFCZRTZQJ7FInKChlt
j2sKxg1lkpNO9EoN8VceNWiBcH9SxECwySb6x3kfEuZNg0Cf1Hl45SwjsoPhrhl8XIYawsTSv7WG
QdNW4ndoGC0uZFaiitqqbbhCM1bEHawBBr0W8vu8dsqDcuqw6sdvu+2WM5czGwdoZkqy47Whsekp
Q2U1qyrI4Qc3c4AvjrWTKp4cT1GnGOJrYDhuNcm9K0/rFsZex+VHMplmqNzll26NglA5QsyL8jQR
dx0CU7d3DXgUarJlOSoGdrHZBuzsecgg5h1KrwKuWkfkYsOKx8iJuylp2uMcA9cbvBPnMaOYNEtP
9sTDjIG3ObWZz+6/ImzL8RkT+zkdinw0HB5AYbV31ZTJw5TgO/BpznYoSlPAJWRAOGkgtMTqEvON
3P7FZp7B5oFZqUUZGwx2GhSZG9+sGXGtY80lCEQJL0yBebQY/7bqVOTbBo9/LwYI82LWa3y1yxyC
s/fQtHRtOkWUHQ/iT2p3fyYy+IAEsEVK88AUhERClx6wcUJ9ejSdmXcshOQ90uWzT8IEFK7kaDZn
V6wMEgmUI6K2LRRdz8DMITESskvnaDxFaW1zBafnegMFEy0i8O6wKyRSgRVRaVuopuR2KLuCGdsV
vjt+WPlvph24rDFIE0hq18Qhwmnx9Z3j46XSvlbH6Z6MPKYwsj96/fiW+danaHreFAvDiI6pbzXL
fz5KnFSpt4mF8H7OmUPNyn7yim9fE0pFRzTRyOKy092jTBXCJIZDtgdeZ6w2ruhMv5Gs8WNU3KHB
6HaMrMjoi/BdJTdDD8hZj6i7OYUJIetNGNGmDZZv9uBlvvXoP0j8cQNq50fGtsFsiedKVfi07fi1
tmIW2taSs5PbJ46FcZJUrZ1lN5xIQi5HjaxW9m+ZS4SHZ7ynyiiOxrx8y4Lo72Xduu7QTZcsEFt5
UQFIsODSGrOKcYHoDwtNNIoGAGf23vC8h6gpftsZ2FYSoJ/hjoajVX9NtvfWdi6xQTXTLhPT5PjL
cTwkVb3zqsrm32zDEdKqP2inByrHlHdHnCicm+KCDJ9aS3RPk5lfgf09SXQPyCuVyaK39NhX1b8r
ok0cLZnOgrNhQ2GQazPvZUmiDeAzRJO9lwXZ1B5Kmf9LFvliTRUelwl9idGsZGBYEjTBHHYoalFZ
+IQxjbe26T0D4ixunEw8TkNzdXvHPc3WUB89UT9U7fSOzIUcIjYo+MFZDDfWgQUpFzj4nZCK/qoq
ywgqH3d+N8MMLUnR9hExSMGaHtNMHlDrhh4bR9+2X+RIvCmP22Ik7FAS72KOcK/6bKD3+SSh4cL4
PDpKi+UQWgnUp5JYw2bl0GoGnjutN+8bDMnJIrFPGtZwKD7ndDHRU0K5zOa52Y0bl3EVADqNan5I
lg0jPE4XwJzE+Eg2M7X2eJNceMM1CY1rr+y7JebIX12L3WbcssIv0RdlF03ycMRQGO+sN90WxfRZ
2UEZlE01HBtJ++xCSeyddTyXg8XQuToIIDnb9yFvvhkAXMGQ3CO0zf25CcHjpvt1hn1VstYM05r5
Ct2tyewI9GLsGH94yo1Tbt2PdfQqTCs92PgzeKjRRZokQBV6QjF3dAZSxMpC1ccWFRDAtTB3Qfsu
5We1cKsbfvo82+LUkfbKNeGd5lLDPNXYw2IPmKPjobUm7AnWbmM+GGl08ntMBUNe6KMYx4XukU0Y
C4L3LIE86eQZwjpE4Dc1cRZI25hWNv33RCl/05HoZaa0q34BHiqqzF+xM9NPseNg31APh3Uqbgax
4SK87F6nfXwoG7Zd0qhfFAme52ruIbjW8nXlamSubhB6A38Q7vY16qHgMtdHWbLWOJGdEqeyqA5O
bj4Bi9XPTg4RKVmH1wo1UCBZZg98x8igDM6a9mCje4c0RSgnVrswytrvzh4CX1rLzvLh2cC5ZQuo
H9saY3xPujWzGnWxe/YYdp5nrH2pir1F2GwOACxgGSCvApjLGLV/u7n6iGT+Z8mnmLFe/WuKVHw7
Fx+mD/ajRnnFwEwle3qKKRyjTRkIlXGs89Bk2RcwUMT/rf3iMJjE2RoMtHbO4pONJP1zY5X70WCx
hy0mwSLR1Q8yYd7Uqm+tuhUBAJcksT4HUrapyuE+rywnAWN5h6VOfq1mqm7yfrid4fkFYE7FqURn
vc4OD1SMdC4qvFuPqWc5y3cXUVaABH1P9zqdAYyXKOTgd2GjYUnT6svoJd2VxPKZGqFdtH0LI4mh
oCfYYflwbD0/piHDd4RZ4Bvz6nrstmzuKmJibDFgGyyJUNwkHC9DFu7X/6i1r0VcPfozF1qFjgAz
LK/uynNz7GwBimHkBhaC1sj78vq6Cb2xw8jTR88RH3fjW1FymaMVjknRsfQFwl1M4MytVuUHLI04
XHp9ywTh2XeW61ASEw9+VvO4+PeL2UiGy+bTMDgq6KmLLkx9OMcKgAkdoH2/ZmqfiepmdtynyIkl
IQTkZteLzSvtxTdLz19aNRIHIbAMIHWQiCDTriRp4cUwOPIcF9z9doCW7FtmE+SlEgjf84X+Na7J
pf8FNyM+2SSZs+eqkEkUDUcnWKBWV9iU05iXlBsbFNZyKlz/Gz5EdmPYzDldgVajQH3CykjuBbJB
JFfmVkJSffcubPpphcomeztoPOelYfRlN4uxFx47ETHKL0X4IVnY3dnozX2lCzZuDP52857nAsqM
EncFGoaAAqCrx+yu6ZoUPw6MDIflbeBKzfYbb3pGZPAvQs32lfMtlF2+OzWBNW7OX6PJ/bOBL3Mq
P1zDAQ6BGmw0OwDuxkNf+h9ZOahnYQns5Fn3MHnddCn9rr7OPmsdBuZEcBVfHtGdu3WLgSrZDzDy
gmxqqLwM04Uzos7K9jQiQCQa2yieXUPv5wW8JpAcPqvAPnpF+jEv8fgATpuMgBNCEYg3CeawBJNM
OQnvMuhtQDCYgDQM6Mnm0sN2STfY6JOP4WpDDxa8wvlbYXArKLKwQyFvPITNMOBs89TczrnC1tDP
bAAQp+5Sh2RIIl+rYJlcB2nX/AhD0yQeIcHO6vnLqYZj2BYCypHG+xbLbUsDIeCw2ZXcJseI7tQl
pKmRfGg0hGRYU+0bUMNVxnrKwVjqufNCP0KJLn2FJot0FceYbvuRLtPs4aGTUp3vSkzcSE6f+D1U
BY77Rt4O0Yw4/epOswqKuDq3BjsCQ7Vrio1F4MBphku5rzGyHvrhL218A8o625drL8m1LjFWA42X
vE3CosTI6IG6HhJlgFdHmjDMQ1BHPWkJ9bhXvLAQjYiljJK7xs0uxOdidk4dsiFmPJVTfulaBdAT
xil/PYQWfUHigDtNilOlmE7smNFC5MVJd6wyJT1wtZB6ZuEA2CW5YZw8UJnKL+/jyTpRcJmhUYIa
as3yMuEC81dy6p10T/exnqWd3BgGFDV6ADjMUXQCQXhLKvYj3OOvxm0z8pGg3Q1tc8MmaRGuPPes
JssmekSlngaWidJkVPzUoh5htC66U8VoOIhSg+NQFS99b457K3UZPOYzV2a9kXNsHE7YAXF6nszJ
Z1oo4cdZMZkAoAip/zpUwOpRY6Q5pOP0ZakKOq7r2Bh08jUPVde81u2ggs6b5E6wmFIoKT1xLZ2U
cWnaKfjw8R/Vze89a9wJ7izVS/Q6LpgHYtf8NZmgHUatNxCmXkILZoeRMcQT29FNNufrkj0RDsUi
leEDAwG0d2q4MtPHZzBYaNTW6lEzRLkZrV/xmtQkjswM5K0X0CndId1o3oZlMcIkSB0OnP8aO/hJ
h1VfKdzzfTPBr5uhEVfmcu4N55Q27WsS6W8Xg0KRGAC/MbcvDuPNWQMuyvPf02yRKWeSXWybLals
EbTlAltFio6BQDLM7Fnrnb1eIs0tWK4YaP9i53Et2WXX7KUU7BEWOhwDgDo+tf038kFnpPGvLG3e
1cArUeXmVaxbdic/RWqY5ln6JZtNlPw7bcR/Cfq6zkdrEcuZACAVoFV+6SorPzEeTqBu+EGN8OEI
+eMYlajiTCC/QQ2zHzPBGabDGmCN/Wyt/JEV8sFLPbn3NU+YVUrMFLX/0E3EXxGxcdss7ES1t8DI
5CDg/9aHJjXwCaLWOpL0gnKVfghiIEeCtyF50BQJm3168W/pSHC0va1vnxA0TnFQl4j9Z0UIWltR
efOP4Lqojsww7D2RY6/GzAzPyEqQWCyQ9OSOF4fVFrlTUMLldjOlZYpTLXvAtErqoI6eyjY767ak
7kVG3PG85MMMwt8q1YZKjhCkOiG1bpOw1l3jA2TBLkTO+1WBPzzWxq1XO9jJ4sUi0ANBZanu7Yws
bWeR6aFj3cGJYBORKo1dIsr4iMqfUKeYQ2LJ52BhQDZLM8Mpxs677Lr5tCbUfPQf68iD6kIoR158
g3rvbpRJflAVO2gboXQnSOwkXPVO13dtaoyHuOLecF1QAH2/LfuX+9EovmHUAQpAru4Yj42YPklC
N4KJ+5S4pPZHidOnZAJMRKf1cdkekuZ2ExnGnKGzD4HNzd233I2/1IBwKmq93+gS4YQ7rODyxFK7
nv6Vrp3tHv1Ymq+EKnM4rNTTxjzcolXb1NZYzbPtzerRPzWKgAOL/fEEEKXe9qqL7OOgmtQdabbD
ydA5jt31A+0d9B+QfswFYgyQYxz0kS5v4iS/QxZJyJndjsepUe8UKu5JRykZluI9YuOcURIGrUMY
k9bcnQQ8LSiXtQkFepS8A5eKGDeD0VxKraMrrlyHDgj39x9s3NhaDQRjigOIXjVCHc795+g/a1XE
AeYy0AcR/EA6EsiDJWyhbZqfV+LBUR1aF8bpIQiZA/YWFlGsXnb9PMS7roifZKmza0ZXmMgFDr9e
38ttPuZM5CdUaNQ3ugvPOUnwp6Fx79tlvoMzYO0NhAyp77E7tzd8QYTOHI4Z+2/jiKmVFlCyZLLx
WRJzBN+rgGxgEpve4XbHY5VjcyyXMMGsupTHdSQ0pt+CnGqxJISVN4TFMNoEeuRDarvTKO535ThC
qQJwfuihzDbuxlBpf5UrsBUxFP862b3hbD9nLtOSLkuMPWzpY6G1iRByeZttzi/fsc+Qg74SoJ0q
RfyGvbWQM7RPAhkzxnL3vOtextH97rFGHRhEHmcJIL2wSsY6vrD2zczNR6Mfm2izMwk/0I41HXXh
p0gb4DzR776g/4NfKbcVj6cOjlEW59L+BD78UFPsBHET/X5XrgQmUyXtrcaRVm8A8CZLLwUSJBQU
j6L1X9JcvycTYkdcd3LXNTMaBslcMZPyybJnRk/GtjpnFtDWtLU5A5G9UXoInmYZh7NE4iiyVoZk
xPziwaO0JWihiRCYZGl5te0bd4tLkMYoQh2vHKH5wS6IDdas4WDh+igdxj6s1+KRoSn2H6QNPwp1
9HwUHxJERWEZVONCxDd60XIfz0QRiH6+NUs5nplIRbqdgiWh0PTEfoJwfWS0eJfktBszC0MvZVDU
Mcg9JeWAVNSwP6h815ui+eyLrdxcq+no5I9xzSQq048ktPm83SRaDfM3RuRvTMhvZcq0hX4dxdKS
vo3ABU+xN52IW4j3kb+6FwaOu8HuTqa2inty3QLL17RfTvMQx7ThM2bYAzRY91iKsjmk0+IdLOnd
8L/+FIlRn9YWp6VKyMiaqqdlA+Y7iWGA4kRjguAojDG67BKbI76Pp6+ioj4ciPAqY2yOtuPKTTVw
8R2Ue/BbWSCbh7QzmmCS+ltA32oTRnCk4i3APKjt1x41LRFy2XkiFgjHxaFzcIAX/qx4XpkCKhTT
NvbliZ3Rfv5XGnTdI3hhm+eDjksd+rnkbWmwOusvPRQR3scEAvhm81qwteRCmtzjxsDgyNmEjUUK
o/BLIr7+5ecgLKTz0ld9ebJN+S83ccdLPP7awohIDt6ZOHI7jhn5JNErqaPskHCcozE7Z2Mn9pkB
XsryreXM/JEsJX12HfrcCHLJ0VsgvPeAlw1fuafCVCyrGVRmJnoit0f7ZhRo9Gr2RJiWogBTwEvi
mR+q9P5o07/rWvvBWuffbpGD1McWR1No/bUERR0MAza8Dpaf9l57QEubAYKa0eD4aHhCpwxMYYsv
EAjypeeqClwwEzuTm6DKC+ZreRqFQIreE9N5inuYcKaOg4nVkBzBc1gR8CMGxv7R6rFYRlfiZFmB
OAjie7O7i1Pv0wbRDYNFXsmA+sbXdkuo9aPJLjhoFrZ7/ixuRt4lrFPWercUzEgXelOnxeLvdGyt
sFqTKHyGDJfuakWVg9jKc1gC14IKrupn5kcUk8roohO5S8CMo9+dTxKRt+i/yIjaI5q1vTn1ZyHy
mjSysdklWvIXxKwbjnGTXePE+lpKHlJZr78Ti21lVAxna2G9azFKx9++TBhc+OznQ0ldc0EKhIq+
4hRDo24WGiIMQkhPh4ZZYJxmGXWYPBUszGruyvTKTMEP/YYxmdWwHSc2bNkXbavDyFiuU8OpSUKJ
d0o788viWgrNGiJE33dXRN4ZqdrCDry5Y1UYMwx0x9LfAsOcU9y4CH4nTpCkhrfPXYAva0muaKMf
JHHKaB9g47W+H1Qr/i6pdR2iSv2du6Yd1ihcBZ7JZORVXQYvZOH921LIhDJ/JonABcYk2+XbGkug
NZX9neniSgt6Y6AP3Xldpm+IsWjPs12+Gd1qXUyH6wX10QviSbVnJgy7M+nS+xzrSzuADJF6WZ6M
j9qx44NhLuKkU169Gwfu42EoiS1Oh+Yu5ecVtO1aHltVQszBbJWU1X1WhIkN5FI1tIaWcIyjVPJs
DumTMkZiNzZTFAgIuo21/pdk/G2rWu8rd8qPXXXFS/6kMz86NOJN1guEwLi5jxUyC2nDMJ1q8V0W
nbVPfBLLbZ46Y1Ty0A6cHZ0orF1uLSHhhr6NORXADb4WJrZtG38Kz/lmgwhbp6SUbowsbBNeN7UR
Aiwb5Z0Q1oOQZHCWwiVlY/gDrXc9Lvin5hkRgTDbJzJGNC08ks1FG18gPFKWOxms0FZkt41ELgTP
5siikxC0wjT2vN4UH4Tosb6yWGG7aXILrg1ZN6D3NcOMPY0APyaXOTQ+SZAFZnzKh/S+G73nvok2
7BBYEp/dT9rVQTVYH75uoecCtMK04u9YspWhqhMCC2LedOPSMiIss1PfJuKKAzidpHvdgg4g07kn
26YSysvz4ke3ZlVJ3nU8fqaZgT/xnatEzkydh5zizPwJ9KW3wqlHYLpHS/fUj+zvth8ZLP6VxG1a
JaQC4B8zfY+Zcq0ZTlNE9ozAHEU0HGvFITtgxWBN/ZPVGr2VnXXKl/Y9Y+mxIppB5VocZQcXZHbY
7yN/2DHZZ6hs0G3oyj97sKPdGmGUnOfjNJjrlXH95q8YmxeEyZ9dap9T8PhPjmPftV31jlYq2UcM
gxHPEsTZ0hMfJUI3od/HdfBPeN2ADmYIlGtNuRkT9iyMJ6KszIeFYkVJ2QQY6L5skUMOBLhxgbDo
7NEW4XNIrCvslH/TvWn36ZHNJY8O9gUwlCaKNwAvwI7gqPGiYdVAzM+D1koCqDs3lKVAysZmnivr
2bcdXO/WwVVYTiOrQLC55lkou84LAASiYKpq1vZz692JTfdvTw7UtymqeA+lf2dQBDQADmFxVboQ
/UQ6KE509Ou2wdyOhfHQqVNNMAOdm3Ee3ISMzqu7qdB5WcSgf+TSYHIUaA9ZFZc+drjASn3T1dam
2sv3VgLzweyHE7xdfYBDR8pGBmJX2GBQ/dZ9mgCo9ciTTwS9oS0iAgUTPR0ZyQrku3HC1mnHgWCP
gXbthIbP3qON+rZdrAysUbrQtQkvm91PkfZlsAIjOYjWumdipY5pMA8YnQgwB+flNkCUURBDrrkd
B1apMZF+B8wMHwjT+Y8tI1G6GzuT89pvS+JbtLYZHoVg8cBlcb+djCqiIB6WU8xPN+xYMdV6DYek
ikICa0/JGKFEctf2gPThhI3jmXnqQgMGohwHAk6Ame6B5cZuHljP8sw+krpZEjDAwGJ2s2vn52Lf
E4XM0IF5GDmoMogdG8dAyz3oMJzHqfSJDRUmfVl/Jgg0qZyCme0684h/rptC8pvdZ9Mc/2pJi1xr
1FbGE7NO2G5N8gqHhZq18t4XeIWHdVtzenlLqUwtEtgNjvyVtWhokkRB0PQN3Vd1VrN7u0UQUNm4
8NH8o7kocYkwa+/spr6nBiJQBQfY3hzL36LF2955RHHOYr5Y1fwm7sBjTCH4aJZ8OdJtxwMer/Rd
8T/UncmS3EiWZX+FwnUjCqMq0FKZIuU2D27m5hOdvoH4RMzzjE/rbf9YH2VEVgZZUczuZS8yQyik
u8EAqOrTp/eeizttBWRCw81ApmmZEmiHGMcCBbyYUWdS/sNbmuf8VndsfzMt9ExEy26keAZzIvfD
jFuNZOl17LyP4DeAa+CP0X0ELpwzL7Jm2MuGtrfjCEl/UkdajNsCV4JmBfF9npr3E3Z44uOTnZb4
DCFTf0smC6Hzdmyn65iohEUeK3mhR6MqA1BmCXokJTaJroSDlurjB2ktpJtwdBBQutBumAdYEPqw
SjuGZWCYVyk7Vi1nlz4bqbaU2oCYgMnESPCgWuvejq/nlNGO/JyFppwfDXJC8yEB3m0N+zphqpCm
/cj8FizCRl/J3AeWmd9VnK3Csq4RRdc2MEzm8clLnwb4l8skuPYM8ebp4AHtYlo6Tn9mw1+RisPr
OfdymXnFo+mQn+dqOicCJs32sIWhVxMraJvNMvBQ1DHx3da1h1geLlxBoyCJiJTCbsHmzHXOXc+3
K1uaVlVbcwKbnwYf/w1bGuA8AKO6mJRlUax0Gjso+HQCK1bgPYiihULTotqogxjBsIuAso5Y3Hul
tRVU+pb27lRaBCK9e6dgXE4t3vCJZv0S3v/W3KvvmaYmJJz00YIZeuUp/HsWoldO6i8oKdlbF9Gb
iWLJaIo3fA1r2AIBaS7hsWt8ZzmDZqmN+dj0tbPjwHkeyDMjUNicCH7HobArMM9aqEXWYcUdoeV5
B7zSWEUD/BE3aM6jZr1ZIIlhu6RvRgpwIRL5k5KqerbNaGwc2v7IKk17QC9QdwSd+bgpPHCT68Ch
QRCRdQzvnEknTHSxbHtUP5qRvuYxpy+DLzUmVI7lBo8dEvwp9lrSw6dfoH/7/Onf/v7v//Y2/s/g
owCTPQVF3vz93/nzW1FOdRSE7U9//Pt19Ib0pfjWfv+x//xnP/7Q35d3/3H/6VtRf7q+W9///C/V
5/3nD/L7//j85Uv78sMfVnnLlHXpPurp9gNUfPv9Q7hS9S//b//y08f333I/lR9/+/xWdHmrflsQ
FfnnP/5q9/63z6btfr8Vv98J9fv/+MvTS8bP3b3knx6jN37Vx6fpU/rSfNrUL/nLe5S/NP/l13y8
NO3fPmvC+I26W3c92xAIPDxdfP40fPzjr2yKZ0fXLdRDhu7Znz9Bzm/Dv302rN9AYLgo44UwLCk8
5/Onpui+/5X5m+MS6ewJYMkGP25+/scN+eHR/fNRfspJOi+IEGr4hp71+VP5+yNW39hxPNO2DGEI
T0jLMCzBRZRvL7cAZPjnxv/A6FSRSkNOddEjLUSAYJZikzg4iej1OSxv2eTtes9fDSbBPPyXZcRV
zFaC4+qOA154bNEQrBPwNFnIf8Mc86PYMJtvrMa66L3YmOSqs2vY1YULF+RW/ZgpEUlGOc1o56J+
ZJ7J1WKmMdPkNRHOBVk7olAz2pr1DSmnR6R/Sz2RO/Zel9xxANc6FzoNYJGKIz3lwp+26irA0Sz7
dpPJ7AgMe4PH9N4MaTBykRCORg4xaFMeqyYjrdnZMC296p48QZh7dKp9qbs7sjNU64YTtCZ99YHn
DsxDfVPDORQbXAobr6QXyrn6vQTuP9vWxSMFdsGdvagP1HSodHZ+NIvkNWzMiw3vPBnOQ1Lexp2N
eTDnaDeERk6QAb+QfLBdKNuluqg8p/ahkiG3lrakv1JXo25oH3n36mdzu34apX1SF0+VvaQlgpk/
oeq3NiXPLqWRAvQK/ZN7H2vx0QDEi2Zh8q0LE9SOJv5ONB1ljXXB+ERQ0xkQ7lHE6hGh5tOa4eSm
CF/To9ZZJ17KXTllQILTo8Gz8pthl5O51LkcXQjrlNvcYUPs1N/nKbYrd0tqzyGCpF662sbsrUvm
Oid9si4IG5/q2rhAKETu4FCKklMldgWB8KJzNoaKcnXtzcB3U//1LOtEpJshMgLhzhVPjl781vQ/
XFec5ol/1PGIjPDJIGsaeCFvIE+zF7uK04bKHTcBuUsRx8FpysFmfx7tkwq4iSd/2Tgf6gdyjTZu
uAkTcNM8H+zQJ4M3VK9//yo5wSY9xFfbTb5/9e/xOLTpKuRiaD2xktsbdUuMEMB/mb5Wc/hNZ2mf
G7q4k7MLLHsjudZojL6RerEJ+mLNJuXq+5dLimPPLZx48OqeqN+h3rZoxMAxi5O6PNp1y44r1kN0
jzaMe7lDVfx97Knx2YOSUW9+x1jM2duqJ1Lr3r3FWFX3klPyFfa4TUBprJ4wIXDLygXIkGVHjftL
qX9Uow8+/Gnq4F6UaAkYnG2QHbPe2amvpi6hIOFTMEjQfF7EJDjN5zicQT9/ZTdwF+i3uBzU56nf
qeaGkBeMfeoOnv/LZDDo1S2C7IJcWoVwFeNB3ZgIK/Bgtss/zcN/TGs/TGPMoj/PYjbYUcNymBJ1
6Zk/zmJdbRFTCORtqSHBzFAbwFyEpyp3kRa9qisPDdFcQUrBNy12amRWRXvsiPawmCVqe9PMctmT
dYBI8Ikz5h0hmzRc7A0O8OQIj/2EyOb7U/r1hTOP//K61ez8p9m3LPueAwWu20yrJzU8g44NDQEO
v/4YV/7V59iWRUdImqawfro/QxyEPZoMjpgs8zLGL5Gs0EW4OyC16yna4RpejVFxpV519fzVHcsY
4WbMpMcsIHztvmydE5Exp661L0lsnc5VmR3rhnMKuLX0mEECBvCgl4kbrgcrPdpJ8NCj7gz0/q4h
rGAQzJddepxTzE2Zf6/+uZpg0b4iE02OnEG9oJ36Prx6UT2ZGu8ph1PV4JwSbxcBmUdn8WTS58bn
ufZ6eR83zHn/GEbqul1yk0QqT+qdxAOyi5Wk32YvdkSdPA3mnZqLErN4UvNFqlaqIfjAskKYDhMp
X9TgZFZNOWbDlKiPyStq5dcxtC+lod1UFP6lfdK54Cg3IPiFm3/xmP7FU/rpbSBd5o+3WN1adX9G
Nihqlq0Y04XpnFCw7X79kX81cBxecmnrDmclOgXQn19A281nkReE6Kj1XC03QcijZparSm3164+y
//KzPEMXhoumCuPyj59Vx2VtNYJ8NPCBR7WQ/6NGwOa2U8udetXU0qaWbzXVJAM202hByaCuTi2S
asFEPnCKmQi7wYYpmR1JPyt4QdT9URfexLSpuV/xyHrLXk0tQxWvqbqP39eEWUKsMy9eeZKYpu3M
uqgFDYPZ7vt0Wnj3ps90yyus7Fg+q/mv74PxFyWX7VDVe5KzLuAM+o/3Qekw8tw14iW7BSnli07k
YeYzkFjJo15fdMGH0J2NulgtEBip8+PEi/Drq/irh+HajmVaHvIG4f5U9xmY8a22w6zVcr/Uu6ZW
frUcWdQVv/4ow/iL95rTCJf3zHClqf/0WYnF4YRLl29p6vKkqj7MG5t2axs0T4BbfV/9qXjUCJ6I
a/r1p0t1O3+qcCmzOEM1dFtyy70fb3di9LEIC167eWJQZzin1fSQZt5O/be2OAxv8rsUT6Q1ACVg
GSwMEhN521TZCGnmqN5LtbCoZVKtH6ok7myLHb/Apk50aydOkqnLMYsjCuHjkNsXtYBYozyp6Wlm
Vpl1f6VeRzXJq8+YB0o4prhQoAwqe2q70NrQiN6M19+nLIeCINbuVVWkVnrPkPf0D0ABZAskYLvI
LZ5qg0ZPdKXmqxBNfXXfYC9Rn6XKRQv1zqjzDrO4aSgiupPW2/uU10y9UyMP+9e32VAP8afbLDjO
ZTMhXde13J9mkkTLyQ/ImEnURsKE3D/H2BpnJP+IV3i/1GWqeb4OWG3xTzNyVfkQca2/vhLzL8YX
V+Iarit5WQ1TLbp/WlTtyo90aQh8iDnHAtiW0/Zce8XeA88Zq9NIcVIVgBpy6oLUxSU+NSTFqJo4
agpsJ7ZPqmBSRZHFVapiBr8o5IXgX9y3v1iZMerrlm0zNHT350kRBbeovJGLRX27RBHLZuleFd9S
y+E1/os6wPmvt4YxKOAZIHFgxrd/HgvAckPpM/UU1MA8rUtQOvsmLE9ecW5pqqnNXy61VeMQ8MKT
abgHaclizd6qi6BQFEv2krs28U5z5p5Iqz1rmrXqjPBVzbdl6lzSHqE03m+7wvKYN08EMi4JyFOb
PCN2T6q4ogm2sAByqkpaFV9qfwLv4Em9r76Ro6sK1g7lqadbJzVtDyAQvEaoU521m9tXSWvsNEfb
JRxDYGlxT//PL5BaEV2T2VF4tm6q+exPL1AxiJxzGO7S933khGE9BqM5r5JBnlT17kXMzqpyZ82I
GIzZEL2qIQxLDjKsdqSDuKvY5P6+UdJA7aJvyUi6U8+1LZ9+fblqYP048ITFeiBtVlZdR/Hw49X2
NTO3G0wcdWhsSIL6SYnqAt+/r2Jn930noAXr7x/5Rwvm5vff/lPP56c//n3zUai2SPNzX+fPbZ3/
7zpAakDQC/tvGkALvm/9v//XDz0j9RO/93oM8ZvhmYbhkZfA9Cck9c3vrR73N5vGj6EblN6uLoTN
C/XPTo8uESVCOxEURSzE/+z0/CYckyHqUSFI3TNZuP5xZT88ob/u9AjD+3GqUe0dUxrQgQkaYTHm
SPHHF0UPRTpWk7nuA/daK6t1VjnpqrEjdh8WkjU/xzjFGfGcdash6u6JGlnD71ylhblKbLigfmi/
GoH7alTFAdTq0m9nnwBhBK12mVWLMEl3KFevbLNOVqny1FSW/UHcwH1XRBot0dC+goC/EKgA6HBG
gI2ZFFn70juIV/O+bXBuDla0GcLqSbcTDpSEly2a4C4z3XSRokSdMxsKnUXWN6FepA4kazQKX9EO
smmS/pFzgW1Y2rtyKG8Nx0HqaGdIN7WPTivuvT5OtmMhl7qO09mfMWwGGHTmaHouk+orDHVychId
jTfBLXbHEiVd+PUjGzJUJ9tkzp4qP99GcTEs49Jsrnp8Dr6u0rOtEY9Dnm/xwZRX5YDel4QoBHFi
T5VBv57w3GRc+Jg1FoClQXjTSI7kEwxk0k5L21xHnlyNPeHYM0KjHNx16hpQMJxkYVccrOHU983p
BQAQjncYWH2CQkn1lUuKlhhao9Eyg4ZDsY7M7hwIQFmGQyfMJBIsLdq7WWY3dtNzPljEwaIWyUFC
DtYN44au+8eQl7izU39dP1hVcZ8D+yc3EczZq0dUOQTA+D6N5Fs0TPeDC9Gibh81e4rohKHvG2Sw
aXXSgMaBeD2jeBoHKAddDFBnRvXhp44Dx1qVINUmDM0vEv3DylBCMcK29HXJSZg0+3u0KtHR1PV1
bJBGP5HTbiScZ2UA2vraC26IHCQsJLpknDRcMDfRMUM5SlbrezBDDtQyAks07QUpsYHnJoKvE1So
LvC5VTj5RPS1jb4/Ee21s+WXKBPBQqutgjw8ncQMoOmI7giG/6aVeE9wpChIFLRDkJPWZHJGUPpX
BAZOsCfHMf8Sqpi1dODrxwgjyvC7f73dZ3YCSasrT/h5UVj4Luqn0FwX1YgYDyJSMYJ5s2IdypJJ
cB3daJo3SJkDwjhNpEHLuL4fVeAAxy3XiDDe48pYuGE2cE0IuVOQMl5265b0BLP8pSzzHedgB86p
8tpdITXfKQqRV9QPkKQ5SUKV1Yr6tWzbQ9YVisa2LS3r1oaQd1XsgTVgvSXZcRmmSpSP6SWZ7tqE
UycnioFdNbqDp3Mt0ENfWYmSIwJmSCqg8RLRlYOu1tfOFXRF1DMcklskgqP6oWSoO+4JB5vRZBBB
rMWXSUD9sGusNfhv4CIkCABln6LIR2VXZ9prYccPwgclbJBZ7jk+x/k4Ey1kY7hib8w5uG0m0vMk
sBoPONPkAOywbIIPJNuJCYSX9KMroLL71iHS00dQuOB58dyTo4xxqg2wbejobbok8oiOyUgh509h
M3ibsaCu6+9JmL9IcAy3jky3cWYJvMr4O0m74/1LmiUjyNyZSbLWICqMRT0s8+S+GINNLEhO0Srg
cRZCXjjc67ZHHUmyeyTNj9KagRfEnJcPFZ5N5LFMoHxHO4o50sv7rfKZ9pynklnEeVJmvbrDV7cp
boxBXrdxp982xK2urSF5A718Y5ZOvsx0y90jq0KS0SIP8N2Gg/UvncE8VbbDwS3xI9iBvAaZtSiL
/qyZU/fNIGZEMIr3XsnfOKiAspSg2jq7xkRrgt7XVVwfCMEe1c5yIHMMVbwMOMEn7VSGE6tAUJt3
7Bo5edO09qW1h31qsN/B4AwrFVVkck/zxHlqG+6bFeBGM7qwWFGjH8BteDgu7QtygBpSPp7pZNwX
VX0IQFUfxtgnt9GQ0V54za1uhdO6KAw8ewbeAqusil3WJ9tIYzNuKGLcqBvaTuY2BJTE7q6LrMlJ
4576S97cjQro4hWMYJcibefoaCwyOZDCOadnw2cURSUyFWNqred0Th+T3jSweJogcS39pE1vfvwW
IlX+atXVgxNCzBzwPS3dmAN90TCyFYq1LqtXO01JlEg6caa4ozjUg+Qmjb3HamOETgazMBRbY3Af
Mikeda18poPqrYRek/laussUIe86ttvsBms2N68nED13Z1g0gWWcdSN/17TucWqEu9RdeKnWhONV
zpfYBow6zuGqrdSbA4oFRlj1BHxx0RnzzGJMHEnW3BouegukbqPt2VdNoZgnw3hdmxCKvZJWgkR+
tam9Tdp594Rl0Py3b5MRX5it+PtaLb5U4TVogbRjBu3c5rEPmmUbyA85Y/UR/tpKoQxpKQe+jY0z
XS1yMQS/kWNNaQ5bB2czTnw0w3HEGpYFt7BZ1k5svKeYO/mBb3Zp3DreHMKiFt+mMLtFQ46uNRsf
8l4RB6JvrYs0cIxAxxITehwYcn7jL9os36FwtKCLAfPJov7OTZkTq8ZSeOStJcyznSdrY9TeCImY
QbJmDxzpvLfeM6lWD9HshctRjEc3FN+SwOU4ZKvX78nofq216Ak5ZOvv/Ky6BVm+FTitddLQrzIQ
QbtqUbGH7JHFcYARdUtG0bHowBuQcndrajk+UkityGS016SEFaVlM+7hoLjAXEVhSCwbWnmSvOb8
3NZiWeSQrSiOblMruk2D9A0X+7Lwccj4CN2QzV6PpN4LeSNdJChJirIlipGI3yIC2JOK9dpC5kID
iRM4E68SjU2qDXfIfJi1xfikY6qIYpIXZA8TP/eum4YjPgJ2kXA8sZ8iAqp5E27PyloQuzH0Asss
PKSKm87pNGf7QwvdyIfszcx8RfbiN6JkEOe5TKbMFqRipc2+j8lWgVbCCuENkMyw2zYhx/w+DLza
OvdTTmoMr6AVtocK1jW8vxdMmghjaoVQJIhCwx1ORl/5VukEQgz+OCt31B4pOmyKAvd5TR1ptqTp
tL5Jo8QeMAjwp7RBHF96A0bweM6hvKJFdIzkNYZCC3zdmu7sLHpF4Pss2vLBLbpiCSyOctW4zaF5
6kWpbaoLdFJtM6WcunmAix2W5bVbNvt0DB96q4k3aD4Wrtc8YmAMF1EI3TcK98nMWZQ9IF6bmqdM
IyJd2RsDt78WbomiyYV51soKfxjm8Gl2IHhicKLOcF4K1rKlbfkBswZsM64HXwEE3MqPwSOp80rC
NOsJvIMLIYfY062jrLPaMHJG2axxxBMBVVoUWMUXfBBPdcXaHoCZdGo06H2YPVgwCwS0LcMVL8Q0
7HRRgGiE5HpFiu5w1QVfxGhfDVnF/xkC7wTfySSyKrfnm5FoHs7ryNx4YmiuzCzFPeYDpB0wChut
0+NG1eHCONE6C7JzQsbZIozd50GcjP4psPxj6VHDDtzLtYzzh0TzXnUi54gNmciHKrYwC3T0PMzK
PAzjta20NxtjGlHFeIAzgUioRFFbETEarJx8eEFbnBPrm7EQu/eGk37RYvHSxXWHaU9/xTp8kwCr
vcLfmK/FsZlEtSDCZ77SVRgesWkLBJS3CU4teholGCJNu6ljX3IYUIBaEvPXzi4VbntYtHK6gamS
kPH9PXjnUPcQ+5tSv1NZQLVh4cOX1VloGAyGgJeaI9S89IdFaePXs61oOBiABa8Ml5LRLlGbS2yD
Vebe9Jla9/OdFTowL2vESYpyj+TtreUeLbzBQnSl78cEz97sqkm9fC2NONu0o3UZOuOpK3l4PWeJ
qIyPqLJnFymR5eCMwTdfBNTedbU1JG2HVNEme4Ro2lhyHGMi6dNzinhMwbObbajdMGXol6KdI5A/
+XMMUO5qgk6N741tw5jtUiMkGA43LjbPAtoBhdSgAyYSMMHmgkLDTTu6p5a7xMyULtNaLzdaQR0c
tRBGvIHxo3nyI4l1+2Ap44QVSZz7BDo4SVisW6m/9dJvz9oMwKse10Pq3qd+S+Cw6PCkwcOLZdrt
azTJaWCdpxwwJWHgkH5LHFhjJlYtySmLOBiAfw2SzCd5jhxrWEUt5js995NDGuClkCGO2Ii5OcOa
Y+Ey5a5FhNe256mn5iS0nkaNcqUbXCQABYT4WfoxN9oxTDpW2G6MFfq62ZjK1h4YTz6FpQLORKsc
gSpbH36EaL0JENcBACQQKRSuZQDPri5P431fB/1mIIdnQc6xBrqMmW7u+3UaOSkKTELEE1QJIAqI
J0hcKB1ai3m+eDY1JpB8INtaO7ftqH0Je6zLXncRnns31dPjbPKAZIB+TDunAkRc5/SHKiE9Wvji
WOF2bmJTwl1THqGyhB7UPvlp8+yMrr2cmiNBJd1No7PRyukCAIwANVe43TbIyOJo2l2F8fwWsWx+
2yn6o8P+BoMj9EjDM/axIHEJ6iPuxgDKcMXGADZIfqNwdSJ8jrSsIIMlqdc5mXNWW5xx+9PrN6B9
e7J4yuf13EYRBXK57Vhs4BWZ3nKEaZCXxObyLsZmtazjjDveQsKtJORZvQkfrRJyaO7gEJQ6agUX
5AXf2s/Y9U8kGVMo5t2a+uEOwigvWZ5jzFCOhMIHNzEjYr7zUTnvvYhDyck/FumQPUjILfQVNJ51
nD106bbGcLtITSHWhQV6NwnrbgctLlknkX5sAM8ALzQXtQZZOx7YipEctPOM4b61AtrcTnRXFLnH
SQAMogKTF+a4GZtO+uzgN78SRsTb2QO9MFm2siy8YbpGdUUAE8ao9UBLfuXayujUhrvSdJZDfxtF
1S3Sgva6TofbqZkeDaUstWJ+HU7ny+hmjxVgoFUOfoIYJgz/KOsRH06QktDKf+m1UpF/vQYIEnlB
ncGyMUdq1Z22NXHi6dicJycODqXSgyPcIFEtcK5JCWZ7Wtx4VvVQtixOmUs+2QxFNU9Ijehn/ysh
Mwuj9x/TMOVotUtXIjRuCrK5tjqOs9zFhO476XNpFueQE5LEdDd+oZ1aWmDbZraUWY813wWO54/9
dLYlIWhkKzDb3NFK8XElx4B0S3B8KbTliFpgozHp2V6ms8YtfcmN7gRs8TJhcPPeCMGbIPMbKnR8
BMBL2B1a5wZsVWxPT2adXhPoc125DmZWxzoYvq8fAgR8I4w+XExgNrG6cxgD+6galhE3SKTpjdfY
ciXTlLMe0gn2IKh4dRk0Vf02Ivc/xUnw7lkfDfnEQ1ruRtmUW6xarGKBue/JFLKwDuHMk/l6fBpw
nawQO5WHVklsS/ktiQNOGZ3O44pZNUcYAklm3HQIna+qvduSJjRQFy5V9aoZPFm7eix4HmVcXwKh
LhYiyqHOgFVQszVmf5im4Rj2mLVTOWFuSKqlPn4d7OoMVU+wGBEzZ41nnQADMeBq0VBH0sPq19Kt
KWhgrUxANOqpeZFp4LDuFs8pjRK2U16OUB3sRzJ2m2KgKkByfzBywid93X7ty27fzGQJVvE7robb
VkV15aG+T9pk3dSgFwt8yqwf+YsJb1gPD42T3OAd2iYm87DPVsRAwrxmpPL3EHk3kNrJXvqQI7Yb
x3uuB975LoFhY9Jkr333OMeUosRsPzQaobMmjlfDGSkX9JtWsulMO1J+fAslWLuHDi73AFKjM8l4
YmWVlprIOeemWQh/gSURz90KXfK4cEQHX8419+YQgBUChmuKdN4WXgkmCcPHhKAqSOQDqEAB2lbQ
f9HSYx+12XXiRPCGcouzPvthnnHIs9gsuqh6Tm2Km7au4WRbxQm890dZmTdRqjkLGp7OquveUEPF
q8BkuiPDVj80+NTQQC+1udAvAYm3e7/CR4KoTpKE2YKTq6QJwB9sGAZytM7ewa+j/iGN4m7rZjiN
ZjRU67HW5tU8gAQZY6afwCheyqzAp6MDb2YdL8DxGLu0iLDkNujyezku4rK7sHY6ew5x/ZNICJY1
qvmcIlEjeDwEeN7tajMzdmNTv1QdCE7NcAI88Sr0zmRD5sw5jrgZoZud3kxZtsLDWJDswPCtIPlc
UcRRrgT5MgWWUIXTsDRgj8HxBRmX09tUJynCmRG6sYlG+H2AtQ7SS0bf3Nq7tmIAfxj98ENFTx6e
1ZWvaeWWEOpTxtHvZobUSTOGQjJPHcJX/Y+yt4uVAfyUJYKx2CWoofF8Y4OsVhPuSJhyGbuSDBpk
byGuDjB5MwXdErrDthwtBFB+8zUzmpxW6UJqtAkLv8RcM3L6m+NtpV6PMwJbZVyRqjcfspQjqUwf
fbKIq+dC3KQEY8SmJonZa87F7LkkNZJ6Z9HTuPKhdxAy2F+FAT4fROrQrwXt12aqMQ1nzH89nJt8
4hIDx71jd3gd4MDAQcOtRH5OusAQnYQPXsiIVsGMscaLq10zlGc3XytWy1Xu+UvHKt9rPd8adI/i
al5kCTEu+fhUDMWuikhMwsC69itgg5VkU7PS2ERoKg5W83eiNncg28jDRle8ikrjizdBDajSd3wm
896CUhUYyshITEDGIdVVDOduiHxiEn3jzqGOIrpqYERjmpVdRu+gMBb+ELVrzRcTl9JcpplgU2mP
9gVPBPVLt4Ae0Z0zjQ1h6lO382nzUeUe0cLSNt501EPcXY2tUmmry0RowMYNi2s9yvbWZNHoSvCk
GU7JGCjCh6bw/a+5g269s9muZRVOpy7cejaNiLmPnmPCgtGN4seuG2KtxpYuDM0b3R2JtxmJmszu
hiaBJaLHD27OGWlOhskFTsiBOQ6El9tvo6A6I+LCXV6193qORW8I+NMwiccJwRolENonOcE0k+Fd
02IT7bJvVtU2uzg4SiN/4iF1je0vArYdmyIKcP0OMAedm5QfiqtCbMB9sUnrwNsUFCeUpjsSjDgw
Tu8jGFHrRqcYM0fcIU11cUK2a0Fyq3GUs6h052CI+izCeWEx086VvYWQFiwTTduBpGXpTXXeW7Bx
Szb+SxA+SLHsfgOwC5vjQdT5O60p9gi2XE9JBnWlQPAK5bxlJbSA78Ej8j3o8WmWPyPKH4jEot5Q
gNXQG9uVg+ZYHU0+g4rDja9o45YHwku25rgqLYNHnvUZzmDILEGfrbmzJ5ve3LIr+2snqL52E5GD
mle+5hZMDYIcn0uHlgQGgG5lzyRuhjgkPQYK9b+/H2LmsY4eb2lq9Ztnzqteq25BRBD+lrec/ng2
FSPWxNrR3tkbwROc+7XRs4Y61KPrsL+JTSp/rU+sO4n7ORLI/LF1qWCD7r6zmyWMovd4yKDTTTOd
PgKZimwb9xTyjqv3VwNWrDuRpRe7Ta9FmKY7oHZAB/wU/htGMJySWJzGCciZcDIQkUgM2bJ+kYMx
UuBXh9gJ3rFAc//rQ5eWB9yoaIVqFRdiZ/3Gsfz6MevTk1Y2+iG1eAv7kZYBRifSd2WzzK3JxfjR
X7ooz3fkvlzcFEhxPlNEuAGst7rSFlrRfOHVoYdeQ+2OoxYUXAE2M7ASuQpKllWfFqO2TUuH4OyZ
TU7NwRHlOpvWNhk/ej8guzvUH0gkbLpsj4w0hnZnoEcZQVtP3nAy5MPE1JjI4eLmpEZZY2rAA8lY
oBKauY0XJCt4MCoh01wHeTVtBId6ni77fd3r94OZpIuoJojQ97I7v7OCdci1USpYaxHCQ6yKUh6n
0FrqGu/4GISndqpPdmRHR8fxH9lOgmCpcAU6QLz5bggHotykHL7Qni75HXjUu9wdD2ZKy9GHGWZD
1UBpkLD1n9SS1tIr7Su1R9LfawN0Zl/2YEB1lwwdyK8TiZDUqe8ZxAzEP94HttEDUkJyEhVWriho
9gSQ6Ro7gNkY1ddp23Qr2ZHaDD+0sXHViJiBO3jkSzsVMpOYAd5CcSGf0djkI8UhXB+0FB30M9fF
SEhwR9YwmSXz+OBPzA6j1ssrN276bTX1DZvtlJT5x9SM2yud8Uf2rf1FuJyPRDHGEmla6eabOagw
UM3XUFjDhuu2ZiJphxvOklDGG4vIXrg4GkyBis7LbD9HHT0EK7TxuQGxkLNPfK8kfEKX/M+am4Pw
pq+y4ISrscO9y2w2Frb+pWIK0I2VpcN37Gmfb2uYgA749SRMwm0K03KlTcLgqxNYIznMnbHSri0C
n64gbcilnbNp153IWrpzeQ2LYhOK7OvYpOhLsOC0OUuhC38DzlyEYSn8SiCNRmFWpetK6/kydCn1
Nu0v0qTbmJd0XZPUgbXl1JQJcfFl9MsCBVq16g2XzATvZiRfZium6ODL+RTi+ibXS2brlHIE5iyB
FWicsOgU6lzOBUxeiT5C+KwdcQCly7wDmAzlFjrNnSQ8qs+jL5Y/piu75o44pDoOdrdqG4pzUBj5
AQfbpi98uhBRfO1KsLtR2GYrqUdwd226Gq45fiH1s9jBcg+XTYEmBw+QSY7L1SxTerycJIUBlEFP
89cZlGsgoC3nlvW3IuqfSZTnbgyAhvPKiK4DWeGoNdehBNPeZDlzag1GwHbH90hPbtoWR55WWrTr
fHkIRpbINAZn7Gh3U+YNSg9J0503ectuaEMOK8g5GAy+RqvbUQhLtr4Y3TFowgSlGHC1Yo8H1z06
J3oUl1TORHH32lEIIMlSQK0pMGZh/d9lXRio7TfK8f5IpdRs2e0B7PO1p962T7DkM/iXc7SaNLJs
5pnOJHAtIJagHMaR0OMhE/fE2tyFM/sojeKdewwSLoR3lBcPNHNT8tHoH1VEabn9LtItyDDmOF6h
vH5klZF8VgfaoaO5qY/5O061YR365YGDBgIORxdPQyWKnR/ss8TxeK722sXHszLoZ815oBM1Y1bb
Svwfjs5juXUkC6JfhAgUXAFbkqAVJcqbDUJ6alXBe/v1czCL6eiY6VE/kUDVNZkn8dQzW0Db1vv5
0W+Gg9d9JiOh11Y0YAY8yZEkiyr2yLbCVZ2k3SUFO4HLEyJy0GKyJFTnNrQLlL+qZxEg9KkeBaz5
mN4sz5tDJOa3ZE1pXjooiWVJGDsMzHjH+vxcQ/QIwVssu7EH3CHgaU3qOFhrxd1fBjeBZgzy5TgH
/ccQ7KHQlKchliRKUndi7MeaqoO3ocn+8/LC2AunAisqi7PJNHM0O5OTu7ykDVc1s8OPpH/Oy8U9
VqijpFToDrldYLFVJ10B1KhY9xO64krmXYQbO1vPcIkFyhkfZhUBW2j5/YPJZI5vVkfhYLFoYO31
OVYiPzIuxe5rIBnR481wR7463dBWfEWOfJ4dfXTc+BQPD6WgSinifVXhNJibc99aZybpOBLOhJuC
7OLHz8PIM0GpmFc3D8aE09DQBnsvP7Nbk+U4Y1lHjAFjpBrZfDL22Wnb+MDauY4VAHkX/k9plyeM
wE/sncFuxCOBjM6H9nhaFJV0r7xrPbvcKf2/fFx+Suo1JlnOS09sXGir/G/Ks30PW3Sdsra9vHeq
3zryY3qj8RwEbF0Y9bwz3dy2NhxGIshpDLL7SFY+i8rlwu6F951KIxs+BhP//5A9rl9My9nD7P+b
quYR3ciph5u/ri3jfOG1zsn80MGNYTy5r+5AHAOXFhCRpp5vGIzx3CTzmTfiTYinZg0we0OZUbPo
Lm2Oer03p6urhyePFM24k3dFPD7ZPrYIXAJB2T5R7IVa9yS9BtUT19ZfPHaEIXTWc9T9lCrYapNE
qBcmERZ4+6XctrFzn9YXSAz3PofYSt7XB7Za6bZgB0ojoF+YzwBBgHEFmWvHuc14IoueE8Xf1KvJ
QBN+Qm/V/9AIDeQJBSELgltRWad2Sn7c3E7puF1MvNFzOXcHXL7xiRgEwp8iKpD0ea45xww3Auw3
UvNoBglGU9dhDyNt3UN++XbMXFoC9WODYms6UN87EQMRwo1j1gkWkGiLjSHdf+PsPjVwYHDDeRw3
tJz7pjwOscuBD/fTIpBtl3j5bU2zWVITqVEXfOh8eYtd46ihy8emOLctQ3aAre5O2OzR5pUEn6bu
vo79PrRIcDEb80Q9y7fZZ1/84K9ydj7QXlBZdzi0ups5M+Nunex+BsNvWvGP0Bdy5x4Ge5jRrJJf
LfqDo8Y/ZmsvvHws3npnO5DN1xMLaOTGDYwRSL2ZE5lpY/TXajjyeFwv9ew/aC9+IjXjy4cxRTXI
G6FTCJ2LpvTy07/YMU9N9qSh2nL4518d0pFs0J+1nz00yt4OvbcXhgY5ACaWVFHNRUc97Qoumo4g
Lq6xbcFskoUI/y16ho5IMbPCBV4mbL5Qpt5Zvksp5ozmJnWwfcPJXD8RR64pYt9tvpDslwNp9cAY
qMG69gNShC6wEc3wTpqCcPksf8w44dnKmdwE1q9HzZHz85RnH6IaDzMTApA8WcR6lX6MGiu0mORt
zSZoQiPgIhGDAdG5n1/bTL+IkhF4YUmWqzb4zIa7dYFDCA1nYyXBTdjZEHZzf9eVOXTu5rCQ4808
xLhRju/QBrqcMC4wg46jaYo+CUl6JY1y3bsSbj5Uf43dnTjrSIpzaSRMWNFRdCOcjtm4SzWSKa5D
hOhdafyrr6Us900HQTSuJNs/3qWNVXcjAo3ioZxhGrZ9e+c71ZfldoDzF/83Ut3BXLEgWcWJLRtw
YevsbgFcWZZ/QUN8kJOeRN0/9MaEDXsRbzP4CWYj87CxAR6ziIuJLavX5MMI0XD+UnpF+wCjBlMV
t90iKE395sZXwuoD5FzL8JDZPZQPaqUr0WVwdWqK5Lr5Svg5x25mk4Kt6I1L12OA8qx6HM5FaU9h
f194sXVHL89WBEs5ecyMzBb08dwi6Fs/Cuh8e380v4Nxvk/iOt5FKSA6AxzGsSIinmoQCsbUA9Ue
1aVp/RmAGjQzIWBa6GSf+5F3YJZgbrOoeKh69IHtNa/J2QSpzHHrH/11tj7Vv0xXh107zryuTfxj
TYqVdpaE+djeMv68W5EzdJ9E9+Ha8Ts68uQEgQw10veyzHeTCSUyVrG/lXZ6VhlNcMfd4cHwAAKS
gSOlgO7mnyCKQeVa5j8VgHfwvRl/lPRe8sbMtron4mMJvqCA1Vsq53bzMliJ3DfFqXaWU8HExnfT
52KJ9cmoqytqnXJPECMjXx8qJl1gADw9V162bwv3Qa4gR4VsZON43bfdUuZo8Iyb9WehXWtI19m2
s38tIRQcmOmymWCE2BvOnrLZQ5URrxinkl5vvroMird5t5BIjo6NwU6EtYXpVP6IcWXatRpYDYTR
f5Uuf1P2OAkJPrk58DqV7taJre8afwptTvoSm+XTkHoh+NHmxQXem/cphJVifYOCb5/3Wuge/kHr
4qsEA+bV72ZpvnoqOk9Ai+DWVtkdegIqNEO9BklJEqexSoh4/0nhnNle2j+jUjfuuFebVobLVhPC
gvDCj/jWY3LhV6fmjpN9FR0pNhX2pe+oKhr3BgeVt5Gj0jJaKPrQ08BF01WhAk1LmsXO0IfB1eyF
HWCy63TJ0GOo3ehxLOU25WpROFf3AuhflPMF9zm4nCpPQrRwTFAQXNmmsakhmW9VbOIXMX/YIP7E
C+wV+JwKCKN+I2lFnBpvJjWZhQJ5D7W4tqI9mqr7EXO7HBZ/7LZutxyFuSRvkhk363LofNE90YUB
Atr+Nfl/XroYYuPEqzE3/DNmU39WMzx30Zf2uTS5zWmRqixCIOOaT1mhNRe99VsUkvCPbrbOFXB3
6LD6F6vxwfGm4OBjW6ryEepR3v+ZsXdvL7HcO4GFQrBgzassRKUIadAOJReY83zN4w5bkH9lEwwE
D+zErgoIKMfKecwZHDFZhs0a+zdlrUD59S8lSXvbvp0RxXgvHfOhkgnKPnNmbkA4Savx5dawYN5C
QQItUntnnSusFMn7InykhylJ9Q0dcDJUKwvC+vD8VhxZCanOV9fFn+2rqBZz70pgWG4jHvLmSdas
pAxvCyK5GolYR9wz75LA/8dm5VUoijAf3p02/GuRV2SeN0twhZzy2MbA9IRdsthCS6T9yTgbnYlj
mPI+G+A+QN5icZwB/m1RSjlZ+9f4y82KLoqBlWyq15qZ9RYInVc0rwPYF9m22dFx5q//Jw41K1C3
tsFrTuOP1dmQCRcjRnFrgaGV3Z207lMlP0iuuEWQLBnPn21bQTjprnFh73JkoWiVsJqDkonTf4v2
PvgU7mrT+0FMeLbpu2kOf/y2oq6zur23mHoXjMbf7Hs1GHp7M05IDEFwBWErsmFrdew0K7WzPLiG
Dn/RhvsXmOLXgAbIBU4uytxUn2mS0kL43k8FnyxYcYhdGb36fUQ2NAGYHgsOv5QEXSwpCFCzO6Vz
9a6oeQj3Q1ZLzpfRHsDRXjR6h50uExdgc+hJ4y3qPfv6SM7JY4tSXfXwFTVmVPRylBSV81tnqxQC
oTZUuvaliZZHkZBGyDKMe9agKsmGl1oNv4tRcotECqC2xQTOBeOUJc+9RCrkMWbuk5PBcHST8OuB
T7i6fglAqZCPOgjOqpb3wj84+K2D6eJIinlhWGTIkq+oGpSvkR7QNfj3DXESfTHA1nRiiaCc3t2O
wLCQTGO9pJRnm0RE60jhAzU9EsfT4qU2NfN8qV02hG91sbySOkQp2LI+rUTwVMn2iRSjc2/HxH1w
hS9+ywNCqHlnfZhrm1otg9gmUbqNIzawWTRfoqB5B35ynYLuNcqYqdGQEuuWRI+W179qv++hMuiN
h0lw1YedR+MH7NUBsWS59VGAEcLqXbqs+YqHae+wX51RUKuYwy9ZA6CDkdeHBsIANZNN0bPrtR9R
nB0lBUReRh9ZZIVNZcCWye+ilI48waOwrRBTxBVhz8RJzxF7G0fS2PcI9MLYBVAxI6yzESNLwZsu
M/FRT5eBEgsuwEe8yrPLJVT9oxWMZAySVbOpWQvm1SlPRvKZS5Qu1qOrDAjQrneecqhzo8KP1DFc
cHwrdCvwRiVqZS4Io43/+SOLTkKNuEQo5DPHKGAEBtE2L4I/J6mIfAt+Ef4nV3Mgz5HgzcFglVIV
nPHe/KsziyNRt0d4tGf7jImKDqLlMMkqAA0xRDmzH1+9FJs8w8Uv02A1bp9tK/qA6PGnUNQgGbiU
3uAz37ePbeVBFR0aTFt+dTTmErWTMj7j9qXvrVsX+KseHSg1zz2TI+au5swhQ/9G2ZG7+U/HXQUQ
yAZk5XkkMaOp883mBkdZsNpNL8OcXW0JogIN8H0H0oFATsLN+HoWajirVXHoaFoTsg4Og5NdICFl
7KOIhdGFJmnEJBQp8OzggM+L+RiQzA0AujBGbH8uPFpnpLdHUovBIRQnxw/eCef9S6Ov2YRLXngO
HgfX/HP1n5W57JJAn5kJ2rtItl+mRjcTVWAN+K4eFr/Ykebe3srfhAXU3dDc1wquYuTOH4FJ1FEw
OT+mxXC89MiWTZ0nd6iegrp6L/LEuYw5mA22LbwUbK22DNCD/RjXEgkGfHBmYXTjuRPsbNgluwjI
M68qrMya9ncoGQNwyYzhTLrCzo9Jk/BnUjgtjTAt7Rds7dnAjS5vse0eswxHZtszCBlxw0+Kx0yJ
LjnI6N3MkQzYbU/uIIFC+RL5RGFkCJgDhUuGsYzZ8Ufvo7Plg66igCVqluwzBLXLidhpufd7oN26
0ZA1i+5OC1GGKodWZDf6hbgEnuo6ITgYBdmhn5naArSiY41k2PXVvOOt/PLVShGJGJTStqoc4X9s
JcUVWPh7k6x41Hj88wcRgRSCAVZRATsdU2E/XTDEdeTx1Ggfp0C9LbnpY2Cob2PeMjTrUKBpwl0x
b3QwBvH7Anw/F4z9B9qLbdwGIwdKcjJBUj6N6AADdvyOT+ZMYWiw0DOwOhLHBOMxnfTlgzdZ7CKz
cdflUBqA1hwz9Yj9IT8ssvsdxgR0fy++CGz5GWMLiPrcIWGxmPwxdLGN7gc1/UNXqTsvs7/T3p3C
CQnQ1kTlN8Wmd05ywJZW8qGG5jf37A9flrD6hYPusUFs7t7mIdjRD/XbAtanRSJ62C7vQ1oBJ0V6
ARfzA2Y5uE5NXz2mby5JP4R8Nq+F24N4wgrTMuE7203xnDctSLYaO2GvP/l83Y3plyZNEv9g4qEk
VdmBhFZsQg2c0woVf0TbTJYpoyySOCQ4rnkh+nB5oke3hp7dLEXaXQ9QaOeb4h4pcs7n3pzGJiAS
svYvOQHRB+XNX0kKIMoy/TMSTShjYB0rdHjg/vxLYrXTwX1FJN0jH/qE5npV1VTvx7vASNu7VFbo
4qoGVq5FDyeg0+0QMYS6df4FwXCwPSJOo4jHojZ6/oQ6eAe+HXYp1s0u8q5y7LpDQ+jUnLqvTt+p
o6sF+CxT7tDWKkgPBnW0QY8buy7zszqgh0R5GEP03Uyu8SUqlzRCZvPbHs5MNCVPadzEd6XS/yEc
+S5L+6MPPGZ8MIQtde2i7GVKi27P2JvczgJAdFBwZvOAbDzOVC6iRvWSFKMIn5C/y43hZyRNDmXp
/I4LDQOIS1R9BflNCI2tJwbqv8S4srJMh6WPusscXLpqB9I5sskqrLvhtkTZE5QwZvUZBrE6CIxt
2yNrGFfAHXaTKrRRtnnFou7KYuAPy/yh4YdmiMh2EKw2NFzzHarK7WjEC3BDTPGqARkukduPiE/Q
X41y25vJU18xwvokBD6/c3J2+LXBr+641rdjESgTM9T2O7ErLCITPclaidkfqyliNMqegwCJElMw
crHJ3JGbXipJ9yQxDLgdsMG05aDsdgZZSRd7zrKN7NMQ0d1/SavOViPTk1d8atxruHPL+75I7q1m
dPET029SBIiT+FOluKJo5/k1RwGACCYxE3X+I/XebbnY7Z7rbxQa8fm07j+bNLl1hWQAiAKjrB79
PkO5UnZPcD2vvTeeeUdKiBBBdyrY6XfXQCWHZjDegEy9xQtsHkMR9qiHsPKXIvS8UZE7ELcH+gJS
1XSDBT4BTjv4lyI3plCjBMyeUG172xxTsZGj9hX08AxmGqxUMSpEL3kZ4pa7EQBvMb3Cou323Bvv
88WV+a9sjXnDprzYBSY4zykiqEMDTAa5q1HQ0VcqL0beswJvXCCMUeQ8ed61Kau7qsD8yNFNf9Dz
sLgToDxBVBGiBPw9to+zjT07oq2IvDOHh8zDQqDNmvBHu7a35ELZFYcj4ggG3LyxaPEfmkjOJ4Kr
nxLZh1ymX2ZP0voATiKOWbkRPH1dyvGWz8OP7XpvXtJ/uUzpWZr3N1IyF9Jje4f56iQxXoqpepC9
CJWSy6YyItILCv0jnRrIU0tGt+khbh78DzudKCqLZ+HUE54L/7mGBbVdiGZv65TfqdBfVVCqfZ45
T6POzsZQ/haj/4wbP0KydTYMogn6jFd3RoJGoNPGMzpot+MEj4SRRsmADbo7fGPo402b/AzKXVWD
5tpBVftYUf8aNBfd2J5mos7oK4rkPIwg7us8uhjeJE4eW/2NdpxbgruTi0m+pBKBUIPejdDBzVQw
+zch5Y1F6e6KBCMJgxkEX8XkoCz79ihLMQXAiqoJcdApF41sjP9q4a6II4+nSg57x0Z+nMXGvVVF
TBNROW0Va7pQi/K0KP95SCKKyqz79SYGaW5i7fwc2TVWF/eQz/lLa8MEq+tX1ppDODBdBLS77DAn
JdtaYhDiuMv3TuV9GuMSswX/IwTzD8TKsh+fe9+VB4ID8k0OX5bQa6R/QntbWSYP3XLg7mZ7lTzE
47gcVoLmaDthWhMxl2kSuWaqiLRD6rJmwiOHB7OO4HGsm28v97/JxUAfHSWvFu8GyQGkC1UU3l1O
lIftgaEd2zVmFlUFh08UcCnSNKaxNYYWgt4m+s/p83uZABYOer7B1ngYkR0EdnJIg2i+ZxqIdxPN
MYHG6R5B9gmfY8oGiZ1+MPvAaNkcL3lEcIRbPXlSlqCNPcYEpfMsBwyTxuL8OLzp+7nK74Hfclwu
5teM1nw3IPxwEUjS934VbPuHmbhvV6wt5OSc4158+0yiriUqyZHwAVaFxi7STHzQvwR97CC7Mqed
rrMrwrh40/VA+dPZpJtflcuJ328Ni8BmyY7HjyxgZN2rLxom4ay/N2p5x/BElPLM33sadXbLBbBU
8FCbNIIvnPgPuRgCvue2gnKKboMcE+WvL0BbZAdSd3Z0OQycmKtjCtl0nY+xEcLVxoatRXqH3LmU
Xkio2V67iOOdoCB/xZ6sm6GWf1EKyr0li/KQxnPotOOPg7KNrS8jB92Wx6Qy1s49n3d6NMcV8fUS
GyZVDCGNY63v0xig81CTQesq60k8gjE3t0jHf4qoD/tuuNMScTlqDEQ3GqAZXUgxKgr2vjtsteYd
mpfp2yn9j1FEfjgaj7S7gP3LcWXadsTOWU7YZqz5shlnt1TJZWRzEyZDUGM/YhjfpsU988CPeSSf
FFLNtfJxcy0UxduuWx25zXlGEYkRq6ZFScznNL5bIskGSKxBxrNk4oAoDrYMMB2ga5PfzBuHkgTU
xxfr2ceqyG6O32Lu8GwSLNp7AkhqxAD0WTI5aah+m3o0Lwvg5/1YWs02n6I5BB1uYFPVpwjuNUlQ
QUqjBEK6r+cHgp/K5BgpaWzrGER8ZS39PVr7q1ub1clMGpb8urH3ZW/9txABcVYDm5TIFN5uqeWR
bXqIf8881LliEYm1G1fKh125JEig8dkKMwp2xJVRkKhpNzLzQvtjUxpg7ezwZGDbA4LdEQDf9Rbq
4uR9MJOWwLSJz40JbRR/eGNKdh73DFOzpw6TdT4xvAYFOSAOwopvs+mjT/f9k3C7z0FyLSVRe84D
+d218o1ePGAuXfzVmCTwXDvb3HEatBbONeq7P6+ok0tPYGLhmacScwmTVwdUXkNm/MRTQiTOta4w
rUA6uQ3G4oatYYhjPmAiEX3/UBBUzUCY/pjbxNhhmyX8NxC7rtPINcgqavgE0MneJ2aNvXfkzSH9
x4Wa6p8Gl/lvh4R/xzAQ38/Md7mYCBY7MDtumqO4QChAmC585FpwOngd0w11dmbnLmFX10RAcwuG
bqHO4K3//y/uOEElcfVJJu5/g65QKCOuygwkwaNe9IXmlvskN+VGLPYbiUrssT1ulUW1vMGLd9cm
7rjDIP8MQ+rPY5SMmDJ/qexPZ6T6mmqCBpXDaj+v2+FcCyrDecXDBxKSpsh+1VzvSSrCU9G1wV4s
KKgWKfPQqR15QGPG77qwGDIj3uw08ImmxkqzYfPS7tJ52ptqfOuhvSBFztJTmckYk0uLEqBzb97g
zfshCf4ZuMJDQyCMmHXioobNfqoGR5shSwZNpNjrrqwv84hMzoFKCiav3USe1YeqTowdvvPhWevq
/JcPBXc4/5QskRoh0foh5D306xfAOVBrHRpIevuvdJz/kL0zgMvwWRn0uPfeDBrR9CsevDjLto5w
P1Wf/S4a831RiK+6THZ+Cm0enP1/dUx0a4dWB8rzVYziwXSeCkSeO/LiCegorf2sYjd0zwy4xKE2
qcIiosp9u/5JDV+FY4MqffHO/Wg/TApfCgIvN0QzrjaWu7q5bO+ryOSRh/xSTnVxdp35KIyYDGhl
DfBfFsC7ud2GvY/gpXPfAlgYoVeSjAH4GaB1kh4QFVSIhKOHIDbOk468UC79h5+wg0kNJMwV6o/3
zp2QGLogFp2Ft62Vd0GHIlosCBO9OP/1VPvENBg9Ssr3NjL9UGaFxOouVYAQUmldKiN9QfX6MUBv
3oyNwsdfMiAs6Vag5Vs0LGa1aw2I1FiG+bRpvCFYeHY9gNFhQeNK+36y+HeOpIqZA1f7RHjj+kF1
HDY036/uNFwKBdiD/xNB7aaQ28UV9bbSZHtgIHhpeoIznZZiG8c04HM8HGKN7iMImAIPsyYYXrDP
1khIa+Ftec9J7eqCf2VQ/0qBJq+284hDZ9gVbvREymZAix+9FGTK343LZekCb2Or/qkW2RvKAual
AninNXXnBEWJTIVxkVb8DElqO3Nz9SKHUDv6F7gDAPDps2qiNVRPcGcivWsUnERP06rI2mxVeal9
6sWoQEZvpMWXqYLfNkHxmndDjxQILdWsiASYHGyzUe5DNNg3lSrOC74noua/VIXQMuMWTJvkNXDy
i6wR4sz9Sjn0WceiqaDwIp+gESYkDpqS3dLkV5PWZ0INJprqUqSourSPPD5A3dLkzIx9AmRRkh9G
SPplgmfY9uJlOzX5Qy3rXwJd7N2EtYmTLD3M0jWPMi7bba2jltAYntd4Xopzpm3K82UmFTaus8vC
9r1Du+iTeLtX43Xws5HdZwV/bSL4vCyfLaIKo75YV15MJkYFEx5Lb2vxhea991aYA3371KDkiAz2
bpmVhoizcSlrse/HxNhHPOGOMd88TDgkN5zSyXujcMVW5r7JoHJoZ5k/Duz6NWoVNqq+3NaiduDA
47/3Zvuo4mbLsNva58WSHJRp8TtiKiRRmLlrIFy8hOPJr7y3RGeP7rmPeHIKy7zL5JkTBHNvdVbM
kp5V1+C3TDFj9FP9IAXwMdBefGZ7IjKoVuKEOeAQ0h8jtje03oh1U6dmspCH5WhGpBqoVXBkpa/k
5ipUZodxAA4bxCCtlgzAU5abD33nSVTSwStvbvzsdB4c9n7Bf4YZifwywoMD8UI8aE0evf5pBUqe
/FWlGE0gRe9GhQt0yOSVqLafgChPCDxSTrfcyX5QR20yUf+pXKPs8KZnUQXnsYV/g2aSMhzKQ4kH
fjulHLa5jaU6irEkxTHqaNRg4wr59137mGNhRKk+Hq1YrlGMTNv46LGEYwGwLG/rePNbF8V/buG8
waG5IwPWZ/e9kFcZkUpuUxk6argYpErPGhvx3H0zzhgf2moRx4KC3uQXuGmKTigAPdpo5UOKsXed
DMyj7T+CeWQalZp/pAMem4WIGiNqOBeS8aNug+pods0j8wIfAWR89WYzO8Z2sKv9jq7MnO+6qDyV
kam2RcPevPUXg55UHPAr0gJwb2wEidH3XJfBziChe1vmzoNMOAlLBv7bqbxUpv5S7bBPvak5GXrZ
JVrE+ya37Z0jSPFoUHS2Ld1OStkaI8WoUbGAzOAi6HOP5ffEyck512Gy2jpMrY+KeI+d1WrrUro/
hYP+ZcV6kfIZndvaCXXkNudYheBSrMM8pQ/rCDV3W/jP0PYvyLbGeawSZhKtd2ENI7mxN86IukFV
Sj1jMUY2ZIr0UzMlqkxxDZKE4SHCSsexGOuO1a0K/LdMDBT0GvTY+MwQryUitT2nxps07Nc6yzEB
/MUkfLdr419k9SlfrdulR0aIPE+I4Y3WuvFVf89pxzwemEo9QK8h/RORfx2A+nD6QxEkP2Rw8uEj
Z6DmoNeDvhb6YvT3RjUho65lckH3w//Ys4QUevgOGNp1Bq9AzA8IFsvYeW2gEaZnYFcmyKtiIqXH
YeiOpjI51RZhC0lHuHhnoAtNnfnXS7/qrnqe8PQ/gQayGcdDisgNjweW2XNUz+1+HMlRcE3zw22y
W9bQChZU73vTGFra1DwGik0jSvSIEeLqikOB2YTE17ucBf42DxgtSWuKUMohR2mml0SzcV/cw/ry
dVO8kyk8FSxCCAmOS0D4cufs02E+K+p93uPZ70Zsr2yoBCCgsV1u6Uyn2Y6MTXBIjxsrbzn4jf6S
9ep1gaYKVmDGaa4584hFZqVgrmsrc9D7kFDzCdkwL0ZnazJ9WmI0zJknXlZUlKbTflUq/rAZuRSp
2HfmcT0dikU/9Q7fTJY770FARQiz5hfbJ+iIBBdO4toNLBJvYoeEY9NAIK1aBqwU3XxTxzJKWeGK
Obq4eb/PKU1Mqh5qf/2U2zMyeR5/MY7PlLHFps4xR/bbRhC+AuCmYAkMGEvP/9oohm8tx+1irbb4
JX1Rva5QvjYfPrHdGF/vLfg3U5a+xvTCegA/gst14WNFTAvIBI/1odPOi5z41ww46Sen2/cRhhqI
3lzExm7OPdwoPRmYI+t/1x55MONfOZSvieP9NZPxX7JOyycK4EtpmhyHddLeEf/XbPKBfM6p9FHn
mohq0/ka9PSxnGhofoA21IXxgEygDUf3DQPFqVFI2HoSgTvf/pUR6XCthyOfabWSDFFED79Ku2/q
s5DzPq6rjyUoDzzb647DNnb+0Fa3RHQevPEAgVYQ78tGtI92tRxEZSWhdDl2ieu9U0b7sAgQlPbC
Bran2d8gv2WESQSyVYeIlZgYj6o8mnR+Lj37xvUujvNtyepzqnz0rAbDm3Q41IF+zxOkTWTchqy/
34YhR9RMnTgRGWPIC6uUr0SJsND2W8K3MMUODR7jyC2tH294/ZawOGQIgYM/p74bFW352Lt4IIR+
wbYbin4gPkMNxJTZaOWmGdGRWYldWj+2vXkm0D3aDz7zB9vQ3UOA5FNHghMP2dDITPDkuSwG+owX
yJDIMEx9XQrsp4Mk4YQwa7UVbe8fhM1gMfbG5JxmDS8eg/qO4zWzC96ctGXoDvNwC04qvvlNjESA
CmRgGrLFwBUgjHCznV/7/q1sbYtBFn4NSdcuq5qe0W1K4FSEijvy28ba9h/yxT1fcY3ulWd/Tqdv
v7PLgxVDc7Pt+uAMCUb8dcsh2f8cRsLJzlY+Pk3CwGZVtvOm7LHWRsN8lyUN8w08QnSIHqyjGP24
xM7/Y83xkzPXjKd7UHcdg0UO1n3dslZM2PEG6cNaVyNq/W/SCEA8rlGRYDEjmIVKlNh1VFr+KlXs
XmPlfLlGDN0gO+djetRzjC+ukyxbQGp3XLKg7D5N1uHs51lWOBlM+QjxgMB0Qpj9Wiag5a9ZVDEA
jp4ri6o8N1RwqvheWocgS86Z/RwVw5m8hYw+aUEHtP5NNpL+zUYAUMH0OjV+gpWRfhX376O5LoT4
Eo9yYR5F+E5/ruIptALCZO2KMsmLVX1uKfqkFx+amfL4PjPlW2HE5QXMWLE9dz0FbZoaTmgm9kNX
xAuBLzHuZuenlsY/L6r5eaX7BtcLmXqCqgyzVC48/17MbKd69dDqOUX1W78AIuFM8/g1A79g8J6s
8YHz/FgjTNilnk2aKxlBoSp1g/rx0ljIkpsSIJxbsnMxXPlXObR/foW/finevcE6NTGZWr7fDYCY
k5uKWKmNOW5Ix7XvaWRh8aAFQ1KKUBnF+UflV/SQAdEXQzUVyFuQ3nDHI4dKgASzJyvKP0tSqs62
z8c/+FdzyXj6scnDV7A2TTXdeuefqWns5AgMNanYHUXdOSspyQaTQUBdAjVhV84Y0x2SB6NiIOgs
d040PacdW5UpT+46x8nCUtyqBdM4NFmyDFzzzfBJSZ1aNGrT+BqoIZwMfT9N3t1iu8WeVRBatOTZ
nzUCSzwsoVcjb4hLh2l7z2XGTD3d0kMQVsQuo2EwV6RpsXk1BUoSvCXmGobwvWbH8PEkOMuCwdlN
I0o46ANcRXkTcDZDVKlAJhR4y8JoEcaGkKv/sXcmy40jabZ+lWu1vkgD4O4YrlltOE+iBmrewBQK
BeZ5xtPfD4zsyqjosirrfW+YIqVQUiQIuP/nnO+wRMaQH040pTKMwdmByDZ5/VbXh35h+IiEchij
hVAeuaFM7hRple1k2ueuZ1tg50ZI4UHWHyoh7x0N21friRsXC+1FVVLR3FEMqyKscOr1XbGpm1na
twtUYzD2yPJo9poMbxurVscSm2RoYtKRHhQ4kaT1/STydTT5EVEqariMAQImIxZmbHb2ra4nCW+p
cE5UkDv3Qd6Doxi0u7oaXjuHEJ5BQ/um5UyJg8A8ek5qnMYpwJ7vYdYIJsbaoF2YuGnAG62+Y9rT
eQgCYZ1t7bHCeotd982zc2wNVV5jbKL9OLBdC41pIhdRl3sDdFG6stvgR+93MdEeTJyZBFY1Fsap
CCPxNHYJADUC8gy1xH5qxu40hplaeiE8kGSqzyIfnPuyEA9BP7bPBp3TplXKFyGsg+VbKf3q7ocW
kfhgLQebsnKoK7Tom9f6iOq2vCPfa6Q/Qr3faTnB2HYEnAyqt1pMcmCDXQ9htE2YHQ62naxwYJhP
ajSe+zIx5pZF2opgFKhLBHFgz5iZSWWzcwV94b7GaNvymuAm8imdc/1grWyteAs83rFJ+DdoD3In
u+6u6tuYL4I3DVII5lhszpR6nrLSbVZxXZffgHHHLG6NxtNvJVSI+8GyoHP0dd/N5VeIDZJ+vZJ0
BvQRKsVZ0bFWmpnLPBtOzWRz2BoyklsA2Mnust7khJ5m2bGbxNEcY+r9Gs+hkUveFU7uPOjSq2kt
kWszMw2E1ZAZu8jqQxFgFe6J0hxEkn802K3uM7wQJDzLWwywFEGxSGZ9yD7cMcvbkOvPEgsVBSD1
HJMS05oZqr8niOeuGgwEe9XZ31rN9u8CgIIrvaSGtcaReAIGRPF4YDAg4mZ29o5VdLQJQS3Zx7tn
+t75sxIXgb4mg7uGN2jeWJ1w1m5KvVg6EBUcmAdc4rqj432YTcWgxmj6sMz+E1M2PtMyfPaqVjsX
YQ5GksJaW3nOuXcJwllmmp9NnavomD84FhyjpmOpEYY7Qhcki/JmR3+NPIsZDCTD4kUXTbpNvFae
NTPDA9sUL0alLk3Osklo9cPkA6U2TOabTmgk2wTv04tZi/thpHi8jKrdkGjp3VSF8EmysxkMAoGU
d6roCRxQbGlvLYdIjvK+mDx8NWOsPQ1Sh4WCU3Y9WGTuE6+cHvDuPbBeG58k4CTwTYHhH4TjqmM6
6ZwddGwSDRLxQcHGZSrEAEfWTnWb2hMCrgrDb35V3QaZvxJ4MF4in5QKzdjTswr5+HhBHVFDDTSI
iYl7m7W62nSyOjtW2h9tJ2NValfVu+42u86d2q9RVVtb2RyWWXJu0q57xCarlpam9TvJrqP2B/fW
63v73mUAo43l/fVOK/DhwSO+zd30Majj7sIJn84NQTgN3ta+Bxvj5PGIrfK/boyIdUmUHOK460F+
BfGtjyNnRyptQEkCVGR2/o3iWe8Dnc/d9cOnZLgRVGsecQWLs+bCDv75Wamp5ss4BxBqtOD4jJFt
3/Q6Uloajnemnw+nIpi20MhDf9UgOJC6T/BBrwvidQDu5hxBpmimB1BHzzjumlGkLgy2375khnyM
aEjj+RaMFpy5zzvmvOO8TRp70kgMXAwj1sm2lbQPbVXEi/zSdRpMS2vaQ/DGJNpmt76DoTbFKOuE
VB1rUX8X1WD50jnTbk+fLutSE2ulwYZiYSurxJ+JPpzikNcmJn7S2XsTgoHMgkcM9GeqGIEXELrM
nHsNizXMES5iOoMvFh+psdVD1m1dz2OgjOZBTL3mL2sgo5fNrpjmAVQMHdWXHgZQ+1uPE5IjE+qK
8IlRNSACAx1AXAbqAb2Ac22ym6iVZoOAax0fTbBBZ2ZvQBI3iaxHRFNOIHE4+7o+AvVgshM/hp32
1DqE2Z+JcWw6Nnm61rzYPot+oLb0YOguxBYn8yS7ox+9F/ovGR2acS7WHBrpzqsD7NDNPF+svPBJ
DrPfFt+uaZv1kYsq2Do/3TFP5XMCVsRpe5Tbdtxe/4Xjk+acQ3bZ4Xo/kSB/cxXvIK3NGwhZ5bQ3
zkUfxFAOJB9wTdmAbgJG6lOcY0JpiOaoGPRi3eScRh0GnDDzF7EyhtVf37h+9fPm6m9PvHcLMsR+
SqGryTynyXa615k/qHpkiRrY5eH6lTFqnDqKjmOTlO2hLRnjaLgkksX1S05GTA/fifzTiZv6QCZR
eHpFRbM1VltWzsW+69ofK0dJtoSBI7IDK4nsYCKebKPS3PaD3e4miHfFXJsaVuX7oBHvj1lZjey0
MJzsWtFeEotV4sCIkBcjXnpxccz9tMX1Xm4rjVqKJCYkgbS70BQSGLH9siXCA//S2+CH2ooZoBDv
fb+7xBJAz/zvmE5v0xm6GBXTm2H24G9RmIYaq4+vs38KkmdIXygMGJztRGY0NIxA0kazW6YpngNh
4iXNi51du8xo84ipWPo9a/1LZzhfEmdD7GGmmih+B/OZh5C74hsEJGNfR9Z7ZbX3SV0xGeRAztjo
Mv4CyEKMU2vJbbFT/ciS4UCWmxj8xeOCiJ23OUq9w1A7NT/SYbrpq2WJkg37xIhXzSTI9BYj7fCA
UZgW3MWU/xhaQ/mbPz2PJqu8gF4gs2XJmscP5ihZkFgSf9Brht24p3MgHUqLxRfbOzulEXXO7FiQ
HrOQ87KzjWlGBUUQ3BpME7d9bIJJbs84VduhrVax2aiNHk6bynxh/NsvgEjfOLmB705/DkTzRfD+
tk/qDfEIDIKB8Q5WllMT6q6yuzsomxfDmoOcfn6IEvsTRibdyqQDDJrDvITULrrrYsJzL4AO5uok
Xiu4Fl09rrGztAucvhKmdvdWasMD8uarCiqSvRF1CD6xC1bo/k1mA4A2nDBnyshvDdIAljP2Iyfa
m+2dMqBjOdjIFzRN9gQ12AkeHCd5QDe/Z/vMtCpW79Iih+Nv9KDd2DMbR+kVHKrphVf9xk4hasFn
DN2l/pBzwcVZ0xb1qy2LLXsR1g0a0OkM3K4GqjV0GQDk6N1+chfD0zYwTqcjWwgvKo6vU8yAu4/I
9/VQDByhdUuCTicCcMS/ogEQo/WF7eBO69jbh+l+TpsvcXcpY15O5K+ujwlo3IJo6xZyxN8iqApF
2smot+QkjAoG05kTnI53qcfN26v+TpbdI3hV6AVe8W2wRLNNLAaVWXSsR8DRoVuJlQq1W4926sT3
VoQ6UuLwXYvIik1S11D26JNGr8y4Huil+6MvCiY30RMlVQKHN9DmHD0Mlvd3lzNW3kOHrVk65jk2
TtPXT6QVBwc1HYqH7XRbTydzo03ugSs2IolZI+5/71Bvb9nVfxunvNti/c9BfZGo56zDDtNkbFCU
50zhwrWyjoSd1gMkbKoHIurQ9MeB+k8u2osoaplFhQVbLsNhsaLEjdKo7yJvgFLMtL4s8wMowX4u
bW2XfksHJIk6iM0t4QSn4jx8Ac4HA6bMEZGrZO85951tPEchAeqAKcDCYfq75GKFc1sOu6pru1Wf
49sPpjunS3bjWJED9oINrk1tFUdAZdATbilafYJeRbrr+zTh9AoKLoCwvp79/LNMnBfVDcMOr0u9
kokjN/V8wdL85AQVsdfdG92Kn4qE5+eB1lsEA4RBC6ZMYjtfnuHCUWg2ZasVSyyBzNEUTH3yOmHv
bl0fkrrthsyb5wUVKCymBtmcZ73lN31LHOfDNNJbxPx7q2+/V3vQKqyk49tmLPEr9ju8dzWClPpg
kcbp3Cv3Kh5fJSdUZ6Izbwx5OqDp9Hh8a0Z6YPVpDYHQJXvCUW4J1AlDAzhR6m9FxW+06oo+H3Us
zIDDc1CfRe3cdDOGSZGFyawKsq7/PnYxk4OmPwwCR0qVvpelsxrHGQExWruuN569Lr2dT4E0I3OW
MB8G1Ek70on0Xm3rxWsqigMp6jurx7Ras/TpJ+2DomZXWY+667wYdYHVzmHowyrMGN+DhOJZUGCX
NsVWHJNIYCI9wWC2DfxHjXMjQjZBVvMVN9ZNQ9QebtGEN6CKmjsjR/zOsu7kW92N1ZJiSNVnQ46t
roxzhg+V/vOOq4m7KSJra5cxwHfhP5B/2U5t+DS3FeitAMFD0+dX14cnXvM7lRY7PhX0dtav/cya
ifTTkNF+HcrPllXf7EnLFGolq1BzWegY54l+6HTf4umAJjKO9UU42pfoWbC35rM3vel+tveaDFS+
vo6bHgJsA9EgsQiUoNMs2BTdaY+96kw+uxwxWF/IeWAHz7tiWxf2p6ncxynkAIwdMHk1+YDavY2C
8oD+/t0Sk7+cfDgAWtfcu4GOcjFzFbPJ+B5J9B0HNYTTiTAOUk/j/Yg1IQyClR7F+b6KnIpFkE3q
0xE+HjcrPdNpNtA+6jRrs08Y0gizPAxYn37e+PPdYOwe0DEuBPjnYX/WrCiPQ0hoCfSVDl6fJoOM
e10gDfNCChsQ5+rrl4rM2YCuvYlxZtjBQKFV1ABehA2DnuSGxUHON6FH2LwTJJ98gbWwLI89IhGf
a2IJ0uBpZXrL9gHD6uF6k5jYURreK2Q9loZx6LFoqQHIjY53ICmJ60nimQLEueSL8nC90U18YnHt
dhiN1G1aaOeeRAkfpWhdxVRe1Z1YzFGKsqS/KKDTybQ+i2kwd41ewQeslFxVHSNwmMsrPRd4FU3A
Mo1238w6l+8Fj60h2W2nbAWD8tXR8QyyuAOCrMTnRFCWVearSJuLK1gV0DahPaDM0KMcM1rzxjZY
B50rgMFFsx+OTJFJYutVSzid1j7mXjj6pr2BSfBCFJ7ZImcje0hua0ZXzCCDQ9RMrGWs/qEAwcVi
FhxscXIon8NEjhboiCezDfN73SEanXFtj8jiu9rEjFs+TxPTwWjoqV+3w72VuG8Y0DUzCk5eFpPS
4QTmY9LZ4JbBjAtvg9XdJF2q7RliIDhygJnp3nLFaZgYV0v2zJxqj0Pv3KjaffTmFFYN/GLsI1YP
TnuMPO2r9mkeT78bOIvB8+8D2RHPXwZE9jIXTnOuwm3QyBurHz8NYTwz0P2uWB3ZbY81paSCj5Wo
pu2qkJozrWovUybYuoloN5jByIQJ6DBU3KXkWCd3BuyNIWcwVO5GG5rXkc0VbzVnQi5Ca5kQhqyG
cE8UzF1XJqkQ/paWXE7a+OUuCLInN0AvTOsB+a/awlVGnxo4KD2N0Rxn1lXn8deMQj8VuXWG6o9J
pA3maGHyozayFztnx8UlBc63W/scYJxc6HwZBpbiVtvHN+CaHq3xQdm8IzqrgdYBTmzUJQLds5zK
mgCGhGKoC34VC3o70wa2/P2nlWA2GmSEf9quT4WjnFXX5XstCsIDEYeMWTpLQa3bqVYxyOl7rMgQ
pKAXo2dTX19d+uYUuWH6VA3DtjTEM8RWYu2oguFNrzK0XP4HVG5+a0e2g8CsWoCM2FKNkEJkAjFc
2jGM9dla+dO7zdgJSzvmIQNfTl446IHE1phDLUWJK6apukURJgK3QnfJE8kSE/Vm8ivrHHca+D5W
6wqo/0haCW+Pw0gJhRb3mb7WKuS3I5nw2VSBd8Zg9FVq5DDKEDB1rvungmo1VX83wvZhEjqW9qT5
aCv2D1rJJ73T3bUh1IMvxZOK+N8xxYvtkoxxI0+usi8NaZJtkxEabJrvaNCPFlaqlWnylPxKQx8S
30bpM5qwzt7E4gfjte/ECDASwU1CYC4/SkZHC1Lh70PKvsxL7oH2bq0pW8WKHyxagCy9Sp4n0IhE
9k3ES45ExUotGDH4SsPvz90ooVkTxUmGkulcnm8zg40RsfvDpGnZyi5SNuu9vhe13HieOz6OVHtu
HM27ycf+QjL8IaIQDFDy90Yz4oXRsSCYOp5zC3MRvBFxi/YVeAZmBtf8aruAMaKGjmmYvGOoW/XW
yOJzJvz+oPX5oxcGL0NvR+tIdXeMDaqdArNWq5L0pyaAGQwUvTCeOcvgtmpomutN6tnGInvHWf0+
OqgwQvEUihIMYDsv1udRFlU/xsoxWYBE01gTIWG+WfNCT21BJ0UagoyLeX2EIUhOssytEPNwRGjb
PKWnw1RDjzNeO4dORcEq6RYcV/IoR0ej1JpaAi3gIm2XOzAUTGCLBoiEUh0vs5Ot9Rg5WLZMNbAh
6PkHLLTXbmKrXhk9+VmR3HDipaAgTFmx9p44AFXPBjaNAQsQURKKigS7U6nkm6PVe1Ce2I87xG5H
N0EYguddRTo9SQzYbrX0ue9ql3kdW9UYQ7hqhnvQxHQOmCE4oRDJrS/tr3yEZYFF66up2iMr9nL5
v61q49wyb/3bVrUtGMKvj/+z/mw/mrwKPxIK1cg6Nf/4p3/Wqxl/CFr5KIGy+DQrR/FLf9arqT8s
gyZVsq2mlJjeXDrU/qxXE3/YPKroOyPVZrgwCv5Rr6YZf7CIEpjrhNL5xbqy/if9ahQoUJ/2Vw8f
Qji/x1WGroQJxsAyeX6/tgaWNgQ0O4fNJZ1TWhvxhv5XUCsie6g7JU8dXilJXU+OIsdYchXFp6gx
ijcOtgMx93mxbe8w4EWkNIoDxUyEL4MoW1d3dZ4me13HMDkONjRq1j1Y3Di6y7YMt3XDzAwTaR5b
Ee2JsbtWcFraSgJ3zZIfQZfIQyxIYjFOMNZcDXeJDt7EcCLGg+wchevcaWSUk4SFi9ODK7OBw20t
qa8ir+yPsjC2Cgwj0/ohxjht3wL4Fg9DyocpNHHfEIjEuZhqFeIqfFvmOJDFAi2r4OYxQrF0YjC1
uYQtN3dEjxB6gnSdGYA/R7CwWyxVawMWyLGomnBrpu4T+uRS03z/4CtGRYEGoZ/omCnKcE8WvU7S
L63PqE5o7YdusG6ZpLIknv8XXdC+aHoLqkwwcM1TuF3kM2i9IN0MsGV2S43ttE2M/H6a7OcCBWlb
FHq+HxO2wcIYgQPVqJ3SooQSU8oTwLYXE9c8GHAjPxKL59wE5lxxYd5JW7vpSy4DeGePiW6BMpse
r7+tyAiBMZvw1JTSU6PUsQnNdsUrxq48BiUegS9YRL7/TAy3eBkYvlYc8scorcHDPfA+1reVYXLo
xD+6XpwlYbwnq2f5Hs3QsevrpFneN12T/cbEL2+l/rQLjFkMkQ8Vg6tXWd1PsSs3bktaVian68ye
rOedNRTi2KGkMGPkpBsz5y/S6TFT9RNxBRYrwSUdmGVTIVm5gbOrWvUeOy7DiTKplyBy/FVpFhK9
getDpqSzDRm9rdyiV8fMqnPSXPLkRIa+YAinr1OrmzZR1rOctzGlCBiIadB/Nak73WljsSso51jx
Ea6XoYFxnMvmxvWGfI/Tzawq8+6XtsY/OxF/rYn/rYiYjyjvnFDKtub/Gqb+WxHxZHHUtaw/r083
tKuA7jrnGanfua+5RO61mGqtEptTBsT0SZSlufSpk/sPBbVYqX8/VUjbsKVp82RMQOHz+fHXU4Uz
tElOZQe87+YUq/wbCxSk4KF56L3oOfCpJsQmwbgAmi5xfnPd4xdeDB0cdoT6ZTGgNsdo/1qif8L0
/xapfJcyj1jGJFqWlR0+BJGHh4CeEYxqVhLe5nW9Zh9ZElk6aESoqIHipkGngOKR3kpQSMBc5Zdv
tTMYlWFVKr11nNvPRN8WBdTQQztnbxBDmFX4eXXgOlwdriPzRKtxbXrxVww6fNlX2DwTx2KA7htu
dSBOUR+uX9Vx0m+dOj0O+fihGyQH0FeW/jzav071r3vTv+6yJ4oOAwYYvp8xRaaT5B8/2k0dS826
eC+u37j+c2Ey1hunZQRcmnl2ax2wRG3y1Img4tGg2M7P+vrVX3dNEp2BFwKvoZcpgRij2HlR4scs
nRxxPQD6NwV+3GZuCcoOLgsrPrg1nLLEkwo6Sbxlx/cMjyDcGCT/KRCIQWM547pJMkSl3nmMyzk9
5lfFLi76nTuPCK67Y8PuisNfd5PhLGMdY42dDcs+zeYsCDfXr1yYdr02BHuw/PohZL56CHOLo9hx
nLnvoT7IzMfOOX/1100sxdosUp2WtOiLQSE4UaetGfhyk7vufRSbybao7COEg2He3UDjzi2aTtJw
4xZZe2jtFHigH9BN2XfdB1hrtKs8wfhmNUg68SzpjGUZrCS4lYVXTQa7EBrTOqqvF/h86aaR+zRu
aPaEYob9wEYcxMF+oFTv+jAY1ulQuczgOPWe5BxV1kKSyMFk61iuECt9QqCMx/o9/omAGY8ZyoNy
a4ZKnCysKP5RVRCf5r+omP94VVEFtLjehyfMRNkLUQ68jDNwnZALsBMymzSswdFMeTdnnYasMLrN
okfDSWYxBxcG+0bkHbQLWq0A5JCWBSxsvhW+d2rng952/Fkdmr8c5mPKBWi/MmcZyZqlpWaWlq5f
wVvHiHMPorXddw3v2qiZ+l4z338SmKL5cL7e9PNA5vpVMota6SxvMfvM8Jj+1zf8hLl43rO16BPb
wyohnz2u+8GEaCZn+SzCyE/usC2w4LUR+0JktnaW7Lr5fXJ/qnDzfamGrTtLdPiEqD+TilmMTHYe
Op6wEfRslL0+D701Ps+n62/QrvqfnKVAcu3rCIiSbxra8yi+yNTLtTHLhy46IuVdGpsIZ6peeoa2
ErXRCZ7T/sKs4snMGu2YNA9xa35MKJSkJKARoVk6rNg9pTgTRVkAiZvZhD5LnKBIdu0sepJRnfsk
OKEMRb+Ixg9CiSiwoQVHCOfhLJ1SzZjAP2KRH8/CajpLrDVaK8wP9I9+9hXNQqyaJVlSlAoIP4/5
TKJmyvC906zSWcj1neHsh9rFM1N/laP1+nq9Mmbxl+JZCGvIweYsDAsUYg+l2EUxpgJoGc8SMsj3
O3cWle1ZXg7QmW305nQWnnsU6H6WootLNwvTzixRj7NYLXzO7AwC5ULF2lt7lbRnGQiJWw1z7MIf
WBlZJNmGqcDiNl8oWekkhmvfW0cn5iw0pkIdgCnsJqOWZ7vRV7491ofWZep8XY/ULSWYTNBHuDWt
WmcWzt4srbBzGoZcIztio+D7gI1LpzoJkmSNnahjAMscGok862F1YuU3BsaNOVEFGfmauQKPCWvr
3axdFj62SadMpVs4MPHr9NW4HDBI8aKV94ZkUcN15pMdJy7SEmc4dZLD0Z32pqJGdZi0J0p1us1U
5d+vT5c/zTjimdzEWfDmhJHLM7FWxmTmexz3jJ08xjsTkInSzcZFN9tPqjJrjo7fRHu/2RmycDbg
kaiGa7VpxbCDExgxpbmr0AX0QNWDWygc+WTHwyrd2W70RmmcfeOnWNA1D596EE6rLqcuQaSdhXxI
T+xOhFlwrluCMV7gWNtYUv1gJSl/Tt4N21ofDmWaxKcsdS9mSEMtQHKx8nw4AjWNAQc+LCDXjTUC
EX3LTYqxhWDZi/VajNY2rbz8KD0Wmk1QUeMIZ21pWUQpSwMvd1SZx+trdX1ITzBp1F3zg2CbJUyO
I5/KhTCi/ovwGEF1VE0YDmkujpEftKteK9tDlQT3Kuh3idvTX9jT8Zspw965yM/rjmu/wfFZpcOL
gfqA00bZqtn57UuJWoxGq396IM9ip1tpuVDHPmYZVx99NxT3HnKryNyAAjMedGQKGo4hKaOXnnFK
xXHnVI/XdV+oiZJBrmnuS212DFXOi8PTuQmqd8PfZQFZJOWSrYz98lPJC88suGuCQzs1Bi97daen
UXnLBOGpULA1wggIWWH2CwyNZGQM5OfhBfmzWQU+3cQ18CoVdSxTCTXInMhl4EUIUmwB6s660eVA
gkLeKJC3u5H9I3wngMopROXTNFRruwZ/5/kK6VOztc2u9NNuCd9aPBJ8yJvIWvuJFUOSB/9T4cGd
eiAMgwy+tRHaactFZd/HxiqJmuwu1NMtZq1oqxk4fpLC+pErOWC5JMivSkgJfITw5whrQR8Bp+W4
j/uz3lAj1LXVwYrtr6SuT3XZHEq/Wv/7BbH5zwtRR7dxh0hD15lu26Zj22yPf12IxgKjVwHfUmn1
jTJ+qIF5JRNF8hfqiM8uJHW9RjA8h15hrXM7/4H7EA0s+OgdMsgwFrCFtCYqs/4aATtaxSLflQFr
hLLyC46WucaG7cf/zkmuww5czL+8f6uP5uPPSciZ4vm//+0mnz7Sb9RafP06Ibn+o58jEqn/QZ2U
chA9hGuQyGRE8XNEIvQ/2GgIw5UQbHmz3b8a6DVDnwchLu1bOmML2ubZFeFQb4K//00zrT9w61mE
tkjOCH0euvwPOuiNf26gdwxT2PPGx1KuCdtL2vP3Pz8eSJjXf/+b8X9JO/t1DfOXfGhGTWFXnUzK
+W6hqH2laR9siUfgDu0CE/QYkkVHBeYitqp7p8Yc37ZlsXHLSAEtqFZwC0JwdNH5l1f0X2wRTV6I
X6Y416foELFmlMPGzIDi8c9PsTQhVVDTCSVobBuYW8rdmJiTV7oIpktUraLmBYMS2AodHj4fYutg
4+PMBz6jQ2xNF9erjHWSMPpOGiM6+pbFhcqGwjBZpFEjvGgHApnv/+FZzxvGv2ZPP5+1a9q6rlxw
Zf/tWSOyU2bbO+guA0QdkZTuOjRQJmuAFWKU+TcyDeWK5GxNoegWSwIDcWGx2zFSrBaNbdyzTXMZ
/5Sbkn0BVILgovmqx3RfJUdjVPA2qB9RHsxP4gFTbaiNbWJutwqCxUGALVegleKJqhb//k/7/S8T
itEewRFSbjp/2O/vh87LOYSFDwPV6vQ9eLzNOErjTOytXbMHDrCc9fNlnyCVrv7DRt347fTI9pyj
X1e8vsrUFcfEPx8MBeugKKwwHdm1ODLsiPEimU/S0uQhcEDRaiHXz7A2p30K6t3W16Wnaw9RBMKc
KqD/8EqY88n41zeZZ2MLQbsmVYB8iOXvz8ZnmaU6NVugCkpX+umjD2R0w3lAbJKm1vArds0pVTbw
Oz9E7csUM8Kqtk6s4h4ja8RbYbnfQqRIolvfQ2+U95DvqWIau2hljzpFBmTdFzoFKD9H25/D//O/
8n/xsTL+xXPnM68Epx4J+9P57bmbQZwUnurxr4VBuiWr5LFV3AKPNijyJLoV0/c7mi1uEJOKVSS4
bNfZvtw3Bkfwvz+i1H97LkyDLZ6G7QiDWo3fL3pTG3sxCCra1KYGWSWU8tTHbroSGsEXvaDkHeXq
hMOVSCMYuIpBDmIBMCziw56FWdAa1pPW5DfXGz5Yu14k2q6PHOMYZocW28LxeqepEvNIEiZbQ1ht
naUH4hOCztMQ1eZr7RhLQ6Nv8LrqpmKjhW9rYD5MMJJNsLPBAJsJoxNPO/D0MIZpjbo4ZQzcvu8P
dtN5IG8idZqB50Hnz94lWlFctKUnp4q6PTmxbO1SQrTGX0DTRwh5Zm0RKz3++9fTkvOA/Z+OTMd0
mXtbui712ehs/TZXy5TVDEopfxln0Zea97tNyXSYhtJV3BB2iZW1q2KRcYVLD+4YfOtI8R9FnRm4
/eYvfQN32qIc8wZjidUcr1/9/h0kKfaZCRPD67fh3t/Q9Ms8mzHUqfa1P29Ko41aPiPcJxrsrnml
0Onmn8mv32n/8ZPXn7l+R03YlMHeLj3CZIe/fuH18d9+7Hq3F7Ob2YZD0Fr2edJpFLHS+pTOV41F
XfpYQ9PpkKrmovDl3tCx+uY2VnH0zWK8L2L3kpk3hr8XmjJPGntExhxJQzZNPA744baDXc+Mj2yP
vRYrf6+ZhykEhzA27LsL2KI4UiYiI6a4z0JT7UDsQvbB9naJ5pvy0SBkTiP4iFpIP1a99YPKQCOz
4SGW6WfsV/RRkQLIfePkBcNzPQbjJq0d+8kT0UtDh9H3KBjvwibGBT/4b07nu0cjsgRGIeWgatJA
yFKCKTKtAwtDtS1z4D7YBQOjwBRQOlZU2WzLuEoe40Djoh6A/sLLtCsTUp1Fmjz7a6Yh9ELYQX2Z
HGfDFEEcgOfghZ6qE5UB1QZdr163lDt7qkufzMBPbtJhBZdJLsdCxx7fdSOlIm39VMbEuurSNe/Q
J9cwkvxTV1tg9FQ2bqYmaVEvbHOP79LNygWdTTpcUc16xpw/bnQJl9vXo2VCFuEEzqbcy147U9M9
YSfjE9p0gbMKyCWS/7anTV4Y1HLGNV3tvVM/OLX/RJBs2BrJALkrlxrWUpsAW5dffDIHLKRx2RdW
ZtI4wB/k6fD9+Bvqc+MY3blvyWKG2aQ+Iss4T6XVPkHodHZultKaIBzjzaxpdJ1/QBLvX1mNxCdr
5fZ9BCFNd79BVFfPdjvGh6ol/D46rXrOIH1tUi2qNte7QV3ZQMBDB6sR3zUHCKa50xfn612PkFwc
htOlDlBeOt9k7wfaFfLAeKbkIbhwked0nNvYqSagnrg2kqPvjL9+l2seVM/5h683bAGOCK3USMeg
TUxfI2GXiB3zNPyjQvceKMP0HkIC4zYxipvrQ55bOvsoA+d2vXv9V3SZfOc0IY7XhzQiaUc3JRt2
vcsbAs6+pTt5yIYKu0/McKo2tLtkvumHGGqOyWeaeKF2F5u+f28ph0F24H2//sT18bAGHQY8fH29
d338+jssVGm8DFjr5n99fbwLspde9NUyqcileqzq7iMzje4TAQgIcH/L1meMfj6WF2C4zcEsN9cf
4aoW3Uv6+9YTIPpVoKNLLU1v6rZ6hX3q5/20zaw93qdwMZZ6vNEdtpfU0kYU+aV4inJIbklXxQ/X
x/KWna1lwKe53r1+I2yIK2ZmdWtWrEtyZK91PZrGrg2BwmFIFZeqC6vLhJGQq+Ll+kg2A3yFC9Px
+lgsa5esIan+63evj43pjzylEvp6Z7ABagmxB8Qb3+g+KcmBJnVOy8b0Icv8M/USC/nBdA/M5wNO
vsI6Wo1ogKdFb5monWdAlRHx4Kq5ccwRYlTd0OrppuqiadBFMlLNX6LCdqDLrykggFN5jXq0SvAN
oEU/3Lr3/j9ZZ7YUuZJt2y+SmfrmNfoeogESXmSQO1N95y7JJX39GYp9reoeOw8VRQSQGwLJffla
c465rjvDu7ZzLJIOyeM7NhUnzrEPrsJJGjaTgrCENvK+zZmdR//2S+tRZltTW+wFQr1HVeJlfX5n
jZl+tNGzkUGNkgYJwNr2w+KWichcRSRKrSxaetNOFuj38owGT977dK6IyhCWGbzU80MVATegM1Sv
7Ip12CW86FDkjrnpG1/bBZDGHybRl3hAGBQwiKwhZ9SWfomayIaMNyV3Fty9WzdoPpOU6yjKgBEx
M9w1um++ucU4XFvamv99NvdyeolOI2pDNgl7wifrtsEqz7PmU4z6nxYeyauBi+miwdPYYpIame4W
k3ViiWXLMSNz50v94qnaOgXzQ0KjYNfmxaeY/5uRxICZT+mdASLcl/pYDHgjs/mhQcL14sEWD5ig
XYPpI1NO8Ure1j4X5Xi2CmYA3AzOKipq44JxS1uhLUZfZIX65fkwzB+N7EvbikSHxVfoq/j6fJhK
P762LbGDqVGfGUT+v9dbK8RwOH4aamhxfrP8TrS76M87PErfobCRkDRT3y/eyr58jbNMvTyfTRDR
0PGTPPZ82rUAkU3DMQ/d6HArWSBZmM8tgtRvzuR6u4866rd41ONPGdKuqxpbnSJFHDGEujtuEP/4
fLD+85HroH6frPjt+bqe1GyU//lkEA9ou8dkBx4qp+UYk96blWB9TSHZ7jME37xde+zW4UHX2/7C
Uaq/PD8KozoFi4tHKeKl/77+/KRlxOk2cGokq+2WI2rlTO0dZ5i8N5Q8SBO91VhF7yQJ/bW8mf4S
IQk/p6WTwDaDV0dteC8HLyV/PM23RTPE9y6N1rHf1N9aj1FkRfjPgP0CVsWyHORRd3CyIlf4Jtxi
Uxf+p5lVkiOPli+F7cb3wG84dfQRh93GMNNVRWo4JtkKKl/tJSfIWZfAzTk+UwPgl1La+fkgK6te
KxqvbwF+NngaAKlGM/Z2qT/7pjzC3sQ0kUpAGNbp+REhnxNxH95Kq3cmol0uXh+vWpzwSz4/9Ips
ovzOGa7qBFt6ZUWUPL+fgUlC6mOxsZws3HhNb31m4O1DS8/fKW+yI24WjLXz6walDKzzCsCHJcwX
vgT/SCFBUkUkZXWjkbwGdfwu0747BHktfAitbn6oS+NkMPvSCxNWYVFL72y1Jn1ljSwhYQKRCuuG
ir7gZ3vOpIh/HpLS+OiitljmgVe/VtnRwF76ZhWqOdS6uY3CGgB3QxikT2FQeO27wEu9TFGSH543
aoP6DDbgBQfhOma+zjtsiRPHnl/+JNtrUAHqEMR4n1U/85Z8Ax67gSyzZj7xfF8QM8R3DBE4iIPi
5XlltBmhDR3kmAIdDoArrWXXhk+7rsbGWiCvuzHADl+fD2XxgPLxngX19Ggy/otc7uvnM601p0dO
VIneFhutinHgu6GHAmHyXqug+luD4V1EtC52cW4Hc97TeEznj4ZE8VFLkm8010deVN+wNnp7gYVu
Mc5PSxdnjquYRwIzsZdWr/xDwdqBr0sxR+rQnZapCF+fD4GXZ2vXzrklTGS7rjl428JqvGuXWYCX
nJKovb5tXkXw9TTPPm20z4d0EOQUjHq4HsNxWAIbixGykZBOWo7drcYUpsjzxkrAHW3jyvlrwBoE
0ht3+RLutE7UMPg8La5eKn/stxEGlF2KdNBQYGqgPmSnIq26c05sH+p79gYVdwWleYArfXCvmj+C
r6c42KqKdndQc8171OXkRGr9pUuwPNVCvpBzBzuohGJmmMV7oLXiT5x3q8gNjE1WW87eDMhvwQ/s
n2njOldaaN+p4WdfZaOR5jQV0zFzSzKgektB1VSnoCL7fQ69X3ckS+7LCUhUqIr183UrqfJNjRVt
l/Uy/oz1V9XeoklpfyqZv6Y4RL6StEM+PtXtAyposvYLW7uMhpvvBmwjh3jyc2JGcncTm+Z330if
cnMSW1uGwTFnkHeYOGTuXF/159Lsq83giOZqMbuDBBSbxDac0N0YuE+glQwGh9xEDSYzAiV3FUiZ
A1ke3WnMKqzRVS6vnI1wu2lB/pHbAFZzuIgRFKAHObHHDA4JwtHo2jPkmveJBOp76v5R0rw5YVx8
F72QC6ePw/fKxiVDcuvQWO57NoF3j5ie/m6lCWkGuRJsm3iVIwD7xzNs4FD68JGIANMc79o5tVo6
Z2Z+FTpMwlEbtZ3hNfn1+dAiZV5mLULpjoYS2q0cfrE2YmjqwQ4tpaDbE2CfvoRjIoEgJGo/BdPN
n589X/rvQ8EgAUyhucoabgTsOwObKA8i7PPj0Ez7SbTlPhFttxGt3X8OzC2CrEl+hOY33G4m4mTV
1K+6owxqOn0xIOUlJihRl+c2lLpSXTjSv5sGevjAreX2uQolUk/XlQluW1JLUD3wtJmfRkVDfFgc
DZek8TcIu2nwDu0vU1TeX3eIb+gO9K/ajwgdxE1x08KZsmjDPy3H4W4zyf73o+draP/U/fnRkGhw
4F1N7lwLfo6RGsWFMfIEHh95VRMN4mRrlrOph957DTpyYkBPJO9ZxXCsDfl1nY6MNWUB4q976Adz
xNs0dBetyO+E5LQfTZrv/N5E7utqr3VrcLv6tAGbtqKiJP6I2LJNVxTpH7aQR8Nu8zE0ncBVr4aT
Y0/q5PpCrgtSSz9sy3vQh0Jtg3R7kwrilBwDWFcXDVvKWLUL2cwfnWH/yLSLf9ee82mbrXrok1Xu
7KJ0YIlW9ZsNke75BXZNL8cxJ0bJtYz2DuaqreG22bFxUZpoBOnMQJuWTc+Vb4mL2KOBBh4Neriq
6BD8+3ouun9fz+r6///6/7weB//n34lYr7ZtDz0nAyx3UD4aPN3pw7dGozPLUBemCpiTt9qSzm6U
sH2en5WFiSC4NZnjz188MQDYtinEo+dnh9BQmwD50b9P2xAoVTC6+LlclDcqVxN0qSkAx9WRX66n
E+2EQDtLy3z/99kYNI+Sonr+1PPLKxPNeml2ON34ZjmgiMq8vN4/vwIbAky4FBCMNtRrFO/Orapb
55ZE55zj55UKybkRqUysxEDE13+/oKi8C4J24/z88jZBcj8mLA3Pp8X8T9SmjU+wmYKlraGHIfGk
vXsgF8FQTpzf56fPB6vSjxqtlIvRp929rMCH9/R1V89PyiyOt0WgwT4CwddzmrgkNHRfyefxXkVF
Gp0YZkwI9fS/rwUuFaLDFQ4J2e9onmRdu3t+oSovMI/EuZ5acR7Zwme/uGNtWWW/n594PiS2gsXr
JyfpRtbZZoxsRxz1DDuqcDkkFDM4E9dOOMMk5odMS9KjURZqh0aXhAtl7JRIoq8J1/imjWJ9F4aT
/knrVCt07ZOTYrkzLavBOltonxEaeK0PwzcQr9gIyCB5XpwGcJw+1rNfDTrI3aATufx8fbZQ/Pf1
kNDkDX3Y6et/f32rO59DUdEWxzj85geRvRl6v1+3esHTunDIomEYOxRR9zYak7+bJvBRz8+m/Dqz
74je0fy9Zg/kVYv9XwY/6KpjYfxBP8dS13w7PvMGFjPr4KkhvFpguhfPL+g67SvkxHR34qnfO1Yj
NqBIAow3I/3H2Pn2296+4BCT761ixG3lyS1qzPwFYsghjO0PN9BqvlmPj0QSEN3SacV3iE80nsFH
bR14OyNV5QNPwM0d5Hk0wR1nZTbdFTphYlozSAutmu5lUoFeNbjWLHb+eZRjnhLUMPs2jtx9U6EO
lgaJLrXlinULmOh5fFOM2h2jrKkm8qtPtNfvuEi+R439sXt39aK8xsrHiJbGL8yG5bUcC3EJ8KCo
97jos09RCSIhssjA3tvkn0aGFU9Xaf/SJbRec/BbC1oNATtZQgGvDWidwdZtSekzX4Xu0RMXvvg1
htmHBU8wog26GExb/+tG+rft1Af4CvLRC9JPOHA0h8Bqo18sgxsX9/eDIMTo1ZHFz/NlPSxg2xY1
ybKDlS6J9ooOjhFzHVvEuA9B5/wAcb7zhjVvccA+a4zDN02x/O6bBCm4aVL+1srpym7fLlO7jbYq
wXiTYt9AaQ0qzgkzca+DFAIDBVo0GIToesp5H7V0Ar9kWusiQzbFcegrpYHSAwL4QZwEhia16K6i
h8OaO2KPYG0FlYVO8diXabBsMGlv+5qRIUnBiMS1CR+QrSXHoLVOlpt9hE1gARdh3a/w3uDvQEDN
cTdBhOm/F7EWrMLD869pWbMXpkyj1bOJOg86ll2TZUczYPynMSo7w04gnBE3Z5yix6FUkKdcQ0vq
NLV9MdMRAweF7MpF7rOjADoFWR7D/qcNq+GxDa0LAabmMTa0Yi0ciCGdfjZSVEgyIb6LS3Z8tZK6
24WDIgUv2rtNS7kMXWFwg+4wyXyf+dnaJJJ70tTsjOm+Ymnlq6pFAam74gJAHAXZ/MO0BgkUQU7f
AiMi/k+r/OR+wYCnktcmEWvpTg6+S0CSYek6mwmtzaJKIMYY6KB2OhKmF2UBmEl65iGtS+xHfTeS
yTz1omB16DR5rEZUb0KLKShRvnGGs/aRNwAhd6oMLWeSn1RrvaukC7asD+nDHJF8edY1AVg/YMrB
XzeRxt2RDkDygUvzrWRkNU99xJB6uFmYAkMVOD8fQkeehCocWHB1fXOC0kWCx1nGkeIq2gFKBf/Z
hcUGvi8St1shM1FvTle/EUkKxLZxzk9lOJ5U3jxdE7BNEYrPn2xU1Z+ndC9Cen9JZsmXzsCcR2n7
Q/E35xCV/qpOPWSKnHTnbdXMNjydq2ESNZa6CqzD1KkXp3L4XqmfpFd2x7ogukbvZLqRY+q8TDR1
lshhiG0ZhrXwIowMghCWTnNe9Xx8H4l4P6LuljhVWYW0chx3FZSVdRZ23kayAzFFY9+zZLuHgfnm
WFl5tBlbNuDU15h8AlBGOmxXZ3rvnqJ64l1Wrs+RM+vmgE2/RlwUKVpwevOI06K5NHR5HCTqiN4H
UltVeKo0z3poDZtBzx20GGTS3sY/IavmLTJSfP0hyhYo/6Aop7D/SVH+2ar09mQJ7JJYzJpde/Vs
YTtEXSw90Vacc4q1CvIUKHV8Bi3PmclBaiaCEO0rDn9Xi28srd5rU3cPD0skwuq2WxdOwM3s9+Wm
LJuj3xTx2QxMBK3jregE1FjmRaL01Znssa1nq/ydnYKfGdZatDOii29G48Xvb3EBAo6fFnBDFNfD
fvTcd8fRFOGX9XAGgMHtyaq8njLa0JqOl5gpbnIMxyvqQC5RYuWqS92JxzQjJCqle3BHG39bNSlm
dJH9iRXEnrnPR5fIZL5ew2cn/vFRT8Kjp/DXNZxx62h4NbSS1YOJsrnNJHMp+tIAp5qECIdJLRkd
GwQtk/8Xz2O9dhq22iwfDCrjH+So+p4YJxKDRtJ0ush+TeCJj0ZoHhsNba40AFMNnXxBwYtNGcE7
GBD9g3D7E7lJxSNiLrIzM8tYpLnjnoRnEE5Syi0geW2faSQy3+KB3ktSZxj+Mp2TsYW2uZTWL3rt
41GPHECepd2sSkQGa3R/CXdr9+5ZNW1Ej7ufMxwLAgDrmi7UATV3gHbTqTcQ7X20W1jfPSdzaEeh
JsaQQ7520dBoJDvPoCzDJK4+ooykQN6EF/wY1trA/blLfG84T9PvqnMp7Jwo26da7V0GT/2Z5XEo
qx3mhVptHqMp5w0Z2zdYBfHWDGpxiIlovESTFCs88ha6ckNsnTrArW1Y7AApfLy6y6ejV9hfYeNQ
dGY6Z/Ex+kA0VF/MiAiJrrZeucqYQGp4+TSEcXnrRZu8qJeS+EUI5yxiqk+YL07FOi7OUWYnKwuy
2FaPGVGPuT2tp7zy1n5CiecpRke0kdWO8JxmRUEZrgVZsqjiy46VNT+QUgZ1X+/qbe00C39AlGIV
gsRQgpo2KoXvVBDpe4jZYLHjNg/Z50hsLW+nTeMsI4/x5NK/bytk355IXvs+3A2j1a1s4TgbS0SX
BCMBFtcawbrICQSYrFveln9A7+GsL/DBgqF92DkNi2QsPykrSPkhZQ3zZoibP8PkUyzCKs7OsR+Q
qtK4E3JJjEmaHWtY3z1jYTs0lFC+m7xHvBvx/Eu4bhad8Os8NL9qds0kvp5brhBuuo6s9MDuURHA
ZJhbu4klu8fYbnovb85SG0CCJF/uT+gP07VkLJxHYKQ6QsND4Fm3STcv175Q4tEjFFqouTUcaHa1
ta0g/tIHCZtx4PpThTbzGOzipJWEIvT8+UNdpremICcsiNzfcjKbC6r7w+BBnmJSs6pwanJVtPaR
AGLCIXJdP45Cf2/IvF9kHttx3dX2tkhwgk1pENwrZJPIe6Z2SZIjrXVDVyuLQ/W2oGTagrUpeW2g
hg7lVzHnXBqBRevGC990O4r2Ruh9+whOb5n0P7V5gkHYV0w3glbU6EC5T5JNy5B4a4Z5ezIngBqG
TrAqhyIyqgTVXyhmOFiJH1R5hP+Yvf9GoAsSigkSDJMxnASOHH9pQ/JCY5mLmHpkh61Hu6STs3h2
2HvgWuArCRTr/Z96ZDAZ1lO1JZftd5Yb34jU/rIhWg9YGIgU0PigJwCpLA33kgT8CIxNtnZGkJUF
2w72cYHkOfZZ4AoUrkkuXpMxjba+Pa5FF1BfTxZBdlkB6WagvtZbi3RICr6O71433mSAbo/gKds2
Ggzh1FfXJWdvQgUTZLuQKgMpz3FA4ItXLq1/odkdZkX1SzyQi9f4qlpVppSrtDsOQgI45nc8NF23
l23tvkEZRwYbIdsimgd9uA8zH50GSmzCPpDFN9UlEapdF0lFyrXI2sek5QjtalToUVm/zZ7rQXT9
7XmtdRBuNlEx+gQUwNA2et+8xWZm3lpc3fYUJGRdSIJiQ/kaE3Er/YYmTfbDKYX8LW6tC74ZBaQm
ST61LDv5bfZaqZFY4MYO92HWpu9JGWwHka4srC+v7JUJgN0EQENKBlTlszqypa/g3AW/ikkCIe2s
9jImxGow3O+xoOvGpoHNETPIhCMtbx3c9nsoN83gxZeRyCMiPc5DIqpj3JraHWugtjb7Ylg7cb00
QrQ5lBdcV55P44tZIRcEMV11luwix80u7VTCps/pAQjmhegnwG1Hw1XqGPE98t40C7xrNyOSo7QM
v+lJFE3kfClS8CpCkLhk5RuGhOjcCI4UztCJsxeaP+2wdfuUNBUYRn1el2QyOI8Q9eBOOv5HpwBx
t3pwoG1arDNpI2/IfMVVmXf7sEAojaf6pPe6ZCypxzez34dOwGgtpjENthfbWmZce4WYqYfL9Y8q
8RkmVsZCmWHVYCF84QRhHPUMjjlYEZnBfmqI1vM0uWltoVaOcmnTWUPwgQbhG3e0eR59G+2llYU7
aaMK8PMBBxoNgDwb+IcbeTLt0FqLOGaarRlwrmsopY6wITAZfv4YE3ehE/ETsH3QwjOA+CfhzeDI
taeLXvMH76ofyzQqAjkdVJ36cGJxefNnjyUdnq9uKMUKjr/q6Jzh63Y3IWOLhRMvobrUB18zk3Wc
xVs84n+YGGtLx8f5OrH9b+IgP6KBC0Aqz2hbyj5MrtmGySihscVm8AjgKq3hxu6aIn4HXJISxypD
MRD+w8qd5ST5KLd/h/qJv6pnnu0UajtpEMfrzpPfjas+iqBpftu0bWTfbMxYPpQu/uRNHmzsIPKJ
HSf5K2T0ihIPnVsr08+ejF1aWxWIBMO6+gZHVAeygoyi4dCh+FgSbnNF6p8dJ5YryIScm0DlYOgv
Pwklw+/E+oHfprgTAYugJmhxAs52CtP/U5bDSrZp+mpR2BdNipPNLf2lxjtGdbsMSkQLYoAtGsWk
qfjJTZe2oK7ViNfl51oOhGHB+x0PUk83cGKsTdyTla2N2JWM8UHHJjvnppugyM3e3ZGBI5Q6D0IM
Kt4BlvUS1ExKu5m4PdAcSOXl1L/VbbQWTaWdw+gWa3WHOBz70hQRqEK20xYQDz6T4VZOJiFRJaGv
SUajoJ2oU6RVES068lJuISwX2kofyn6p8sDaYRUaYHTn8UV3flvlH93EWB2IdsJ8k/91sugtrWt1
MhQkuW5Iqg1WVW2JLNn9YX+LLcJRh8IrN4LieI0XctvT+V1mUFc2ZJTrC8+CERtprlypmAyrNFK/
sJBv2Tk9qEw6czKtuAIIBvsz57L2QxNziuEcYPRz1sF8eC4b74Jnyt9U3EUr2OFLuIghQ3hQibXo
GQ2WingLWPkRt77lGL/sbk3jCtC003ZHPXmXIF5fRnNiJySd2yeJghSF3IBkZEP1T+1T3HYd5zji
gVOFA6Wy93pYck/a8W5y1QWkuOSA0WyZJxFpUal1W8wZMQMTq5HMqpUgC2CpApuedVO3Z0eZxYIj
aXqwavLOImwOWl7yQyU3Q0Yf0jA+qsBF9FpNu1y171rPcChrjY9e72E00sm71xLgTFbUC8mAkoXS
VmfPpOvL2dxdeW73DyrbCjpwnKJ4hLfRucleEsd91Jrw1rUB2RIpSEzKRNhw9hI3VqLcAXOz3iwT
VvQERcpHyVW6ZYYllnhKvtp8pXwis9QcmCxJjliavNdkzwZwQBiL9n0T0MkhwAD2EHpTtY58uECj
KlFlam8WkKTAE2o3YspedC4AqcAJf2zCi9ZDmK2NcnpH0EEc0OQSJhtOGzeXnyG9bJqt9RfBZixt
HAQGLMNIn6N0aXhiZZGRfclhenDpU05iqH0jvhFVAoEJ1NFbWx8gESZf1eDmp9rtIZC16G2ZNnNw
sXN9PWrShIOi/WM0kuLLdTBckGjLuT/alx4S2hJlz8HWgP9lpPQRar8JpEHHbBpQzDGO6mmWA852
7qOr7aYYvoDh4r2k9DhypGyXzWBv4tGrb20d3/ygeVcWMbxd+Bex8wOf4clCabzhsHsPJsPcnTxo
MTE/y6NgO0n8/iUZY/NA4Uv6mVWcRitif6GVV3UU/FmrvcgyO4qu6u+qAQ5WpjVZswqVbBCPDJUi
QGJkW3u68+LMSCsviR+eDu/I3TAkX+dKD1buSIKP+G5C+7M3IOBI1R04wUb9Ep4TYskSvHTVo75k
aRqPtR7+42Mxw2r7Nwp+ZnbcHsc7PizCZUrdvAnPSZZBTnaq0JC+S6aSq8GPfsVMhRcBdw8Gr4ho
DyKzEDTGhC27/SqN9Ggvq34JqwQjkFWbEC9pfGAhXwAGTncEfsp7zbH3ZGHvAhM/YVjY+73OX9qr
fhroYFMAVzmP7eymXEgmgUNQLG7YLZifdWGLB23FN7cj0rwnOKKzZLYlv3OkzvnkGNUsdBdiekRN
RMAb8nvXE+uM9LxVYAb9x5ieHNmqd9IbIRgh2l7Zw/BNHTEtJ5+A1s7QD5ouTGbA7Jj93wz61dKO
rGuqWn3h8z/N1S5FPpkHyUryMsERW9CYGE7hnlMYfY2+OzaMttdErJmLbKuBJ8NM5RFlY69VpV19
dqsLsaDeYapRrXU687K8L6EDxkVKOlwKD6mrUIi1IAKE9AGveDNexR0Q3BSv+SjzpVP6HDcvov1r
JHg1jRmlB7wu7D6l1JpVlgXxiaswW6Z9/MHRVWfBG1aztgFw4rRLZCN5c9RbVYkJeut0MunMh4IO
UBVpziFwRHQ0OP4tXZtoSU/qK7OiwOJYQqw9elaDXsGSHPZFJVS9x/d68DICo139Thvz12hziBpq
71G6vCGIDRhLdweWe8ZX3P7UkgO9jqAB0Z2jZjAi+73sOmuF4ZyOcidv2phcgFE4xGqFKDX7F+lA
Fp+iqIB0Xh2MdFdO1ke+wMGdbmmWdmu8bFyrKPuR0s0+cySfzVQwUOizdAWn8iMU5zBkrG562O7K
okjWgQ+4TKb4YbUJVllQTWfhwBWLKV16UvJ6g9Bo1+FsmPTRBhNHiFEZjjICCigstF7YCH3qOzo7
+QllAJVv515K+JF+6V0J71UvFQL3oYLrPVQtOVlkBMeO9t1PKeA71e1wiXDIoyHg4ENeeVPyakw2
8YaFe/KnGEvmNlT5S9SpirP8npiD7sjBzVs6Jis8y8EFECh6ycqiGxjQ4rVfpqkPjm4fPnRC3+oK
rzPh4HPmCXp25fD3MgEPEfhxoD2Y295wLApx7GNakJ05/p3KieKhBBZniB8DE1vsoY8PA6JH2Sat
KH7DuE5IgZH38zHgr65GVvcECgjQPr3EJyqFNS2T9oUwiQjOSb6NXWPvoNTeQrmo6GswUByqF1ZX
hNc5LQDw+i9VefcGRQ2hG/oeVAuxhuFScqvMoNpfYTIdRx+RkV+CeosTroFAT49tM7tDfRIWG8Lj
wqFFeVfMyE4hHCyJnAbhaOOCqZYVs398ocFKZNrGbopNmCQ2Pk1r53kRx9VxsD9AHGsc/swDcO6Q
Y3YdrRkAlPTfs/UQxO0OBfNrFkO/l7ik8e4XQD8K2S9ED2K80+dTSkDwWT9hNECuDBqeXmE/MWMt
iQOKBf/ZJDiLVjfgw8idmXpr/v/cNglOdO54Brft0eXwYNjBq0ZDCiIW6BqnAmw1RvXST3wctQyH
uKGZ9/jFC8f46j3K412BFCQOKSiG2O/3czR2Yho/CSZqF/aL6uD6pbh083LpxARSFYm2KxB2kspM
13HKxzetOZlsJ6dhWzLsi0csz6j1yQHB6rKi3/ISRYpyQUeilATFmSZEvFAyAOoF962InL9COdeg
RPrZZd+2DfCALuY+kqQeWvKu6/1NkNVDB4OjX20Pa40SERrWXyM2r7FF7hbskL8weaMtxP7D/Csx
SCNF212xPfwDCPdEi5OYteDUZ8GBtjuyr6l4FKb4idkdqaj8E+VdQ9ZAuFJuxyYsihU0ODA+DRdJ
S9pqFkEuEAhiJ9LgR9xlyvCOkCaghCODID0keaCkPjRinWbQq4K6+8Fa8pe/7nboQKLSbRpXilW2
yeyQkjrRQetw9RVos4GbnRxYYovIc8hBd6fP2hE4V/38sq0KZazs0Puxu6ZZh+GBSs9PdwH+l0WX
vnPP/yKZEMFEqF7K9o+Th/u8Ddot/mNM+10CZQxBfm0CYg3wJT3JA4nVr+1BG6lZyb/597XnJ0jx
3WDTECtAp58W8VYhO9mh9hFhTdcU8dW+tjARa53Ec9oUzkHrAvugZVCNMzIK1mBeGfmpGA0GiU5d
h7nDHzC/AGkwDa6YNLbg2OVjv2xAewR2h4uPIDcq6/Ag4tRfJFGNxzAw003HcB0nO1iGGOGNaIW7
HmrnDwRPWnIxQwl22xHSCisJiSdt25KaknfsMBYdbTrlbcE/5wUwNoyZxZnUg3VIbRPXf9ZTJaXN
WjCkpoVfI2Z3lDp3noVV2cJvZ2lkXE86Tg4bs8LVnB+QP4IeVuXso6mCldlRSQxEtLwyLF8i+vlJ
k1xeoor+iBlrCe4gzqCp3l77+mixpd90Q4NZ7Ize2rRkcw8ivpda7zkQ29pE8q20TqdnnNofsdDv
ooL2z6ggOGccdEDALSzY5ffnQ9QgRdQj91NIBsBT1/R3H90mOj8MKsbo4jlAjUGKGEzlwotPpupy
pgCjQJ2lO4s2zWlqqvBj8pP6wMwiQKAJ2NYazUfFoJ6/pf3jizraAxU6w6jSX54Pvj1v5U7Q4awP
PwI/RofvDv2h9O1fOknpeKPUKxa6bKWFdrohFheXgVcc+/PgNv5FWHGwyAfyb/Rc55RVRPcMtfYB
2Xf96lchQsDsRqo8M0SbgY4yO21Vw4Nj4llgyaJjSKcgC1yg6Da9X5soe9KHxa4fnW9YWNZL711w
6HL/6NO4aYLqxUPkxqEz+xAwli6tk5MRgxR4oftiayhzurukcywzlwzFzganPfly2+b/xMwPd4Vd
3cckSS5Z2E9nXV/1OhPk3uxeVECXln8V7XMfoS3V+3Tb9AfeHMK6omkf0LA6Bqg2aPTlA2kw2SUU
9owXyGa2Vkk7zJYnGN/vg2ba0COohSPfi7Y2TbOX6DcmOnXMR2idUPkJ59S4YyyyYGw/f0uGv/Wg
aKfX7WUqNXEZOtzew56ozPpRZtVbjUruHIHrxDZ2q3LjlGYZuZ5OsjNnQKywUrIKc6l9Zu74gUyr
Xoa2sA9lCOGFkrHYhwSDj7IwDhljnWJBCUe/pO5oDn5MQY1WjUBfyJb131HHcWUjDCQOcow3nluC
lvrMDfInw9ycbg7NvRUIV7FKwmKur+msySLyX3PQhxvmrmh6ZlVXhoQR5JZ0Dko42kHXmE+MFfO4
BCLwwSz3hFTkzOkuqo3sSzwUS7/15cYVXB5V0nG3op67jhVdfVKw5O+w6bbh4Dm/HIsSWkUmy8uc
KMo5ktTUsbOWtUyr73SeFCbuq4HbaA2jrNqg4naXpQFJ1sm5Ug0vgjbRjjZVuqcdCdUgIWQI8mvf
y99Rqv2ech/haFRn+6Kaboi6P3Q8Uf/4Dsz9H0gpzZdXD28K6SITjRUxmOaXDGSw8EfTu/tlw2qZ
a8mFzkm8Tz0TEZwWbazWns6hcKx1kNb4mML/Ieq8miNF0ij6i4hISOxrUVBWUkklqc0L0TKN95CY
X7+Hjo2Yh61o9exopCogP3PvuR72qEVxY47tmwmLRgMOexVp/I1Ns3kZF94oWcpT5gpxdGwTv27f
OVfZyE82B/shWvIXr26I7O6LEUk8qlIE7jCqkoQhYj2995P4nAZyhczxUY6599U4Tb/jNEfIOumM
32pLC+bKrq562tqXSVhIMGrlstLn0TqPhCabyCtHRg052pbB+1mwA/tRZbUN2QpwcbI+Ui0xhZpb
5uuF1x0B+CLEd1z29lDfHmyGj0FWKvOdPOjfWtVb33ya/ioj69z2hthVWnuHnVkcOorli0WGWKZR
zCfYqfdChygkHOIf5g0r9O/lvy/piSCvqhVZVyo+8PnE4RxhkyB+BqF4MeuvcUEUYqa0Fx2r5Ws0
lh/1iCPh31d6mcHVmshEJ+LstUYa9cq8bQ0NOeHy2b6MRnwG1PQ2+y2+rOAZ5zh5YGtED2ioyVYg
NPVgozARnGtP/71wzcLu0ylQNTZP//5+luv//x/kj7SPo/bqpl7YtjNutObDa7ZjN8n4GzAgJIQu
1Yktzi/N7PEkrp4k6yaur0Ypq2u1/anpsNDKwgIKttbTXlcMMJpZbDmVmfQuMiX1YLFmFKvbl8MY
R5jbEv4xC0LvglyKc2eujv/+abf903SzniiF48a0MoeItTFL/QygwG5hrro627Y2Hj/nYfTO7uL9
poRMLvgAfZQaiNlnyzxqJ1IoaWRD6XV3EwWLYiW50yPxNyL4m6itz4L7e1d6Q6DaqbuyKts6RDb7
xX4tk3WXW/jN6nmif4/OhIFuCGAFqdhoQjVnT94y3TVTpQ8zYPA1X95dt0PkHBPVDC78qiWjImsq
Q18o8w+paY9mVZOqGJo4VX1UGVEwm8uZ5ztY8sxJIIEwgIgSkhiLbdBVpG+6JrbGhac2EAgfOc1l
80voAqK1wYyNUWZdPSNAyPdTLmEzAb0pZwcDSvw2xZC02kS7DetDn/GNM0kceLlypq7DcnZ1pONz
wvQ3qryr5V3YmuK6le1rN6XryS1ZwhVV+1Ub9EVicbtjBmZfQoWtc+1FzsZp4Ai12HL7DWs87AgA
oVd9DhpFXHsEi9+wBcPumq60Ga66I/wsV9yCxHsLz9wzfaX/6fqHaZKA53msdBhaOrtVvzyVBkCY
Rx/H8xL0ucaFZdYPDLbzZ1bVT0gzQldvT8tsnZRT/zJi/JiyRabCgir3CxP3beztWbXVvqyb1DcM
Yz4g24RQWUlmoFiDGl1HA9R0BKLy3o0N6jt+faTC0h+i4mpveWHW8m5NA9K1xnzZnuNrTmkZaQ9p
kS7HRo+ZdrEEQIrhPRmteOlmzloRQWOKEJSdUCAF6Mm3RNs5DjBCcB6TkwD9DyAmCYHehIzN5UAf
QBgGZmdbO3Y2Oe7q/dQQgTSRFj2uNPHczgSpNDlITN16mzqC+8BOFnvy2vDXsTDQBvNzNRYgkOB7
mDtbzFIR6eoeN4OIsp0zuvl1GrtjXUAyJoDmPrNWjHRaPc1Ex5cvxRnsHfEDJHsy1GYYMSZHw94u
prx4NyJKBZvmaxGQJao5BL15y9h1SyXOg7U8VnX9SNdvWDmddFbEwUptluZPmKr/LPSrqZ5+mWn0
JLWa2UM2MrIBAQpci+NemD/n5sp82wmGzpwouSOk9nwmHbde0JHVxuJ2lzcswtPaOSS6IjdpZCia
JsYURKkEAcjtjheJDdOIA5H9sqi1jx6s4Ri1CZeucULNQofM6kSrigAVEqTQ9qjLAfN/Z8Kw0pny
AG5F1EtEd/9argQFLisl0GQkUM+huukVnXUf94G+HRVAGPA4zP3Fsklgp2ktkfHC5+TyCwrFKM/d
ahWEGAeMeXvyHwowSDmBUAGLusJvc2mH9HrrlnZRNfrPVMjnKcbB2uAo2c35ctIbJG9jkRsQr3cG
SWB5R45F2mWEhRft38rxmC/2Vztd7tJkFCRz7S2bit/snNLTiKz6X+0MJ7wMyARkupZ8EyfIUDJT
P3KVUr+thNMP2dMs6+msAKruNyPFDmn5M+HGMsx7Gwn59tIjH9lLsuB2Hik60Le8t36qWEelHR2H
gcGgInHV4nfNMocHTv5MFgMGTefLwJA4V2xMmlqtB6oG9jfrlO0nNiKlMDCkS/QhWt77S9uiyCpp
JnS9C20PS5obJ/SqRjwFpq0O3WL8XFzkIKZg0Ep1OgT2CvXbyqfPUU/VGSPt35rNuFm042VJ1x8t
YbUsXPeu9OYDyrRsz21ekKSjUOYYH5rWhhu7ciCWa7dWA0/9CEh/lRGQbVj9xR3Wq64TSMipw56r
u2nEMO4qZ2B94mRHoqDJVn+jExlBwa8kKS3PA4YdUTP2YWI4BKwuRN4Zj1jtjjHvOFbEHpxf8S3U
MhyyGiWCin8yY37tPHAzvBXE5GwAu0y53i7f1vh44RLWVMAK+ZECIT1jjwp+2NEgsYRLTHa+rS6O
7kzPM7mgQUX3oxRW5lNLUSwydWuyE5pXJCKFHmSdQ5Kq2iscZj7BecSF6jzR5870nSh90GZUf3Wq
rP2CNILryC+lS3ESI3YBRivnYggSrv69SFbWGTjOBqY6XU6QvCbakzHznhgtMkK2hExp6qUQR6uM
nJ1NzhQguWD1VBFUg/GO35LtAzEoKdoksbJdVsuLiUAUeELnjwQm+XRoLLPmF7Q/l7FAiNc7UTiT
istdxukoWoa2PcL46V7MVPMrtwBPZ54RumH8JlHzws69xtDGD98NLHmJpD+XXs/tyGcJEd5n9W8F
NkngRDfvhoL6vhyHlSQy4XcZ8eFm2lHZjjGDKY496sB2Z7jaj2iYkHNUFMT5VL2sKKWhUA7TQe9r
m94dToKRNH9TfuQzi31GEOV9NCLfLJ1jzJI4rPXlLDxo5/Ow4jTJp5RsqOpkKootFBUkcabtMS0Q
i0acpLhL93G7WqeMSLEDdP1n4rhJXSe4o+YTrvTvbkRARc4p6d6d3ye9dk4964oTGn3NbJWXFfgD
u4nm5EKYP8Q2QFNx0m1KOI7LFRgbH8u6b5PkwZ75Pcm0Xbid21BzjN8Tej5sowVhFSI+6CCeSSh5
qSh2jyARiKTkvYxJ8dyj9UPtsRsn0hbKaTq6kwuSb536sPjkFH+J45z+C90L2QT0UbF3l6IvHvti
+pm6fXF2umarkK6DO52lzTzdsKq3Llcv+bIAg3X6txEuY6Zb7Ldbi8OlKna9HAmKy7ugnA0ynPr0
oSeiaGr756QEFijGyg1XCyeJtjUBdjLt1STKfbmuvyveUmpxHjZKR1/uFqhSIP+1VkXceceGjv/i
D2adPT14VEKliZlt0ERREdTIxXbluDI2pKvtzftClplfW/rvKBpCwzYbzo/HGXnnvkDLiRfwEFVg
EYsnnVQKFOP017qrSIUjZcHUIl+4y14sEBpd7VY22XRw4WEEtF03EaEGjOW5jkl9iwiMmNY5OjOM
ZPxnYOEqJFaHijH4XTqHZaJKNNFXgRUMslo7VbbJ7tHsXDYAs8kIvQu7tACzqVf3JpV/5GD9Q/ln
xxwmBGNgEoW60OhcdTTxuqGrDtYhqnf9Vkk79sHqo+zUTDG36/S3JbodyVRDr9bgNpXvGWDYHQaQ
kB3xdMoHx/N7q+W4lRNTYq8P0cZ+krQgqIcc5rNLfkNvJrmpmXnHvDUh0UZEJVrtKTMTf236P4D/
78JOx5Bf1q+N+ZkC/MtQWnvksA7hr4PynZELNOmfsu4fMvyOO5Pc+F1bWdjYy/JlccnKW9eaCUKz
MNnHZR1M7k8Wjr/q/s88kq6EwROQt3MZQLBnYB8ptxrCDWKorHE33BxonuTxfbDdDjXDRWufmL8c
cpX23YobO87Bdppx8UImC1LJSupH10bptyhuO0vDrE/XhvLunqZZfUIXELTgUMCB1xBMsVhtSnuk
YdV06Nr1vZyzv2I+Ucr/pMVGBTCKfdPnK5NhPvKGSEEWJfk+tz2FDUh76IyJpRmcNYQJHGMWhdo5
Y4qJ/ehE8DxdmM1dkxlv7OfNXWLFf+SMAjyZezY6PeUwPueT0YcWbeBZT7cuIUZE4/0u9QbhhOe9
OjbjXx1oLqPLF10ZP1d+NQLSMqoEfn3CSkN7SZo7PrvON5ijhTa2VbGYTOmK1T0Y2BuC2g2aSTwQ
uv6eFFpC+EOwuhGzJXNz/Ok0U0PacREQ4D4Mz0VX9keiHIDxajoCBkVMHiMgs8t/LBPGXPAVnCyZ
0PaqdbgASPWYiEQel8i+QWQWjOihBkh+EO1WtbZ97uuo9BH8Ui7Gi41+n6qqSjnxsjWnSi7sXVl3
h6Qo4XWOxKHmjX5Tgv+0vml9sfadCUVBRNqyZxcvzOGai9VI0jlcXFsL16w02fR6KacgM/eaR0C7
S6abMbMWWRyXAhbv4N5cxZOl6d/GhFAAsKYHytUK50xDeRPnT6tn51SSVutrPZgcPTpo+TgT10L6
GGsz6edgdAlkWs/Zqn2l0tvkazniVQbTvsUT+OAkGRq9Xl6r/FnHi3isNXkji+1SFUXoSOuLgpay
mPFzIJL5MpC1iYVPsP70Ynwgq/5XW/Q6jOoq39tS37fTxEUEU9XdJFKpbv4utPhHNxPeMuUNEzBp
Hwc601CfvE9DtI/roCHeGNssXCFDshaLi9Bd1ie0WuAnSIJ8sLwZMVFhtDtpoL6fVE4SYiF80a1/
czd2As+UJwdKak8G2eS5TDGcEjy5TQ5RjpHbNUb3aK2oK5sVB6TmXOTEBN6L7CK48Zfs7WKcjxmA
F12k0BZGUtLkSsUYSfnb8ibzyYM05DKyZ39GUa2L7G7acgoYLrywcr1w/jeHSrQsP1AoAwvp8leI
nA81yUt+6pFtJCyeFW1WPa5NB+p7vGZILD/iBl3bOgDNn8b4PMMZcZ2CrdjYNwdbrCeVQ4QgB10H
bBLjhSfoK2n3ke35DpW+b8wFKg3LfkXBU/pzEQVa1Vwi2WlHs2JGUuDisqoJ6ELVo5VgzovCpXTD
qeC7NKn9wQrxyVUTjV1mOijFXIqwxA2mvjF9e+J88nKjQuWziYrYeAueQU7uWm+R9sIP0O1XqFms
fAgOG75jHdiD1nrRQVXts1rUj0SJBy+OlqMcLjpGiLA0FceAza5H99KacbHN44V8mbRUw8NUji0O
LHIjgTtQnlazPPEpDc2AHE7z1rAq2jRwthGTg+2/SgYaYqR8MdDie655L72W/V2RxSuNNtrE3ec3
oxaurrcgrLTdve7iPsprxpxlKUFcsw1rpWP7DVvhnQkDrG5xnq5HNMQs3gtKo04xnE5ot/ofBAZs
9IUr6DeylHRkdRoFPuE1OrNOQxrCrzwgVECBNZoODGJj+rAsy7TfpgJZCRzBaYqPfmjLA7zx94WU
vmPCpUse5BAUVXE36PtZLDcPrjszRoVVGDDE75C/bSFgpnrNMXv7JiokPxNs02vNM3c5rICSmQvw
vuVmCgJ524Uyw9bGzJdGf3aBBvv6SD/RdQbKwSU+60ORMkNGhJxIKl3e33xhaMdRicadhZORmyfo
9Ttrs3h2pnYZNtPnv69WT5sfytS6IuOuX5yl6oJGrtM+Q6PcMhkPAUKjqfzM3PtAFXgbvSF5YROS
nTjOaIiXhU4pj4cTTLzk2WjIf0bB/k7InNgJfZYvU08EJAGCxLEjQbLncj7Q4kXP+oyJWpNUQcP0
AciXPrcfzbCy10fZDtOzZ1m4ehIyvkmTE3XqPXcYCu9DicJF2JF5WJKy3WXzv/wfnjaul7LiGQjK
NsTwmurD+MrEG9c+lCN9FRcKMPXoyhTRVLYSbB93LmATTPlqcUzMHsjq8t7Z2yzW9v0cknuEX7+l
qOnifnj89yKgN4Ss4BR7n4fKUe6tnCAXTS29FqpCEAFxTrR9uR9i+Zpb6zPuTy1kpksoKXPYt+mz
iMvyYW1Vzw/YBYkHT4uBO7q4DEUiZuoWXM9jkoFu6hLx7U36cqvWk15FV8fMkUmlLZ/m7MXvq0k/
0oHcuf77slZYulSJ9I72tDy4dgZQcUCaI0Bk7FocR1xlpk3gc0UUlPc21tqxsiKijzTl7Nh0eo9i
Mh/AaSz4XEfkcIu4W8OanJA8U+fSqZneFL9rlPs0pDxPrRx13dhrT0VRa++THX8wBS3JOm+Zx6SF
eaoFpLiEGW9m4ElNwSrga0KAQCdqvEQeIZqJJPKPgY1GJiAZ8vNyyIGx89hS8nF2H506dcld44tB
5BIqWwaYKxZpmLlm+TB2KNeq2T3z+ZI7MD6R0eQ+jdniPMFpfKH2y/0mI6ZM09U5nikHGa5UW5HW
Pztj+URuHUNIPeufe6NAAkLJz75rCDNyg0jQ9YcZCFfaPpCWQxYV9XPg4BZzO8oHa16JvVPyqSwc
4mBSnBb//oTsD9+LVZDeVxdFeXYl9AqMKgeUvNvF1SVP6fbSLMw8kS8AxbFQNyonz+7/XipG5OXa
/ppwY509t41f/r1MrOS1yHvoJt7yCoBLuHTtcsO8GzY1yH80/Rz+GJ1bTuC5c6o9iyB7fZHbBZCs
AD6cgScdh3x/K/QE26ZLeDSRZSCoHL+XQ/XqzaZ6KTPhy5kRLUb9qe+7m26W5ivZiEdRO9oRgznz
ud4r74Oir+HgZx/SnXTiJiK7/zbqEhqqc8zTGEBhyWg5bqQfY4Z9kC0xD2WHX7lRqDinjsm0KY3z
GKWKxGLcIdU8hpmHkXIEcMByIWbWHMEyyvTfeTqzaQeGH+Ml4PYMGlyAx8ocfmjU2wgz5dOQg9QD
OdNqC2yc+jTwvwwtftQpViKEEdRtyq3QFh+kUKgT+QJ7TCYB3JmNVY7iLyF0p/5iB4feznpqbTUd
RZcfslnpb3N+MHowgqWX/qpSR/fXkb1cV8Zw3Hhux2MPKKn8GIjufiib9d2ZQZvmGM4YzHmYorro
tHWJxiakKUDnywTh2qjQH5eKyeeSuvrRik+YHtKLUOeJQ/VIRB/aX1ud7UhQT6CldZzmWZb1G4ow
fYd3yNm7icdQXM17BT2X79Bk5yU1On+IB3DDpdpvJ/8OR6qRWT9MPLU/nelZeiQyFuIW0RrdotT4
trhN2YC2hHzOWWg29ldXUjQsioKmHCjaPH04R9YCK4qBqkNhfDYcRszY4vugyr+1psFGUTP6GVMS
TpqRHa/Ww+dDMc8f/71Q4XZhVFTvTiVc5m1zucfTQ0oEOrh/L9n273esYRj5LheVNzXWMxAIwyXp
5Vevm/2+xj7bZK6HrpauZ9ssOj0GBHszRMfEFLBINEQ3HJKuJyPLdhe/tvs4KGLjc4rIC48FbpQ2
4nkAIffMUAz0nIF80ogoBybFdAtMxOArhKxK4gTunN68jOvy2hZjFHp1iRruAnxogvq7LM9VU367
2bSG+az/zGAzYzgf9+lof9Vy/t3VuA6G6oN8OjJdjCdkihTCuC2xxJMNPA1k1eY0PVF0ccBvOtH0
t7ISZlSdFbbLadWbhX1L+YiK/C+hvlvXkChcrgZtq7YyntvYuDVqlQNBYYjEpM2dbGfUxZh70jqf
CVdoBf5PsmsjZ0bvIY0Tk8l3DPDkkFaITJzyQK24rwf15cLG8DXbZZ+nh2vPSN6se43F8qbZij/o
aLmUR1RfNOXnaKK9TZjNDoRdDaR0RZ7thEMfYzhwZH0WG92upkUaNrlabxXsCaa8PWS6Tq9YCvVQ
d9YS6FOv76jIzX3eOAsiSOAPJE73pVR+Uc6vHY4KjmDjU6BAuXoOHW2i9V5QD9XvuN3CtAcLikLa
E3nJrMlXOl5U/LIovtoMhtm2pDdrv5jj7K7bxieU3DMYpKNemfukheLdCe9ae4TJKJxLe+E9I5N7
oVfoJC0oukg2pymXKKGBDEJ0ya+jHlkz3GJj0XeGKF5LRjBj76ZMqRfh23H5lyvl1jT1zVg5PgRB
hKPJlHb23otu2kYNW1YTSfVlFpQ9Swlv6i7ZYn5b2O82DccnzsQ7QfHJLnMX85QUHe0PWd9p4yRP
keUkPuABnIV9PkHSnFcIiwj+kO14zOGmFxpkPhQSUSLuMr9VAPrX7jsbvSLINp3Uv5domkwfhknh
262H+PDgloVx1opBIA6t75ic7LOJ8SOIjP5WEQ3aCQC0Np3rYS7l0W0ZIaCBfSxVz9XO0H2XTV1/
XH85s1cdcn3Cg8ZmWm8+Gyubz5hNWAIIcaVpQwhkTWHsztEjvrp5NyzjBTKkE+IJRas3Oujo7mY0
9EE7W5+ZY/11YjpJH/bChblu9tTZwghLY05YlvV8qPOPSi+uPSOCsIrl+MCw4b1GAnUA2Z0Eaxev
b7lpWnjSGXlS8/4STqsfk4yVNY9dZWGliRQb4mJ4Uy5yRwKIRgqd8UEZJuqx2HR3yGzbZDz2azz5
wDOYh2p9xhiN7+NxURl2ZV6kyaqASTwajG2hFNd7NLnmySKwxSqMu83Ge7fIDg1nbR6R47s+KiIu
KrJc+vqYJQqqaM0OKwf+HWzwt1yz1TWxSFvmYW4mRGxGESibGQUvErv4efXY/uFqPjt1/ylBeu2q
astfzxvOeZL2xs3RRfCqteua3g1GAym8obNnt1LCc7yKVndI1HJC3nQcpHkn3bnaC9emJ3DePQNV
vUEeyS5rEUqn3osASJl7FKHFqKtXKKJzCNr1ONXGR23rHw5IsamB0IWpYU+aK5OclsFul0U/sxLf
0SKwShVjHSSz/qQpm1gzJ36GR/xHLismUqvFCm3TLIv5vcQQfplLdWaojraODULhjj9jRRbApNvD
T8tpjl7u9sd8coixryXOTGoDFuDlUcvbYHARMioK+XPTiv2ghi3Cb3it8fs/R4W1Z8isnTSkYYy/
OMftukyPnH/jrhAOLlGhn2ti70MyUUtw7464uNa0HCjK7in7eYTByPUnpzCBfSaU4anz4o3N6hMM
D4kBU0Suv41j/CdDnP88W3O0b3LtYBMofIrmxTnV6w9El+neqti1iMhIcWYVj1vu5R1p636MF7nP
0uHsWK3Gag39nFMbf7E9+GDDyh0UC7UvWFKTJvwx5YT60q2/MxLMTwNbF19pxQseDIpo0vumHpqB
iWOKVlCTexLFCPQqyj8JBj4oZEhO9DrGPkTDo7fJV9SkI+QB1CBqTlnudmiDFrt4A3TI7mUaEZnF
4yPjoBgFMtRWz4b2rZobwx15jLP5qywTWpZODKHowRJIAGWOk0c+FvqKbptlfmxr946ANjhJj95q
f9ur93tpezr9kXhgaUys51dCn7FaZe8rGp9hmW4TTVLZWIDqG9x6riV+GFBPDhIGhmRvxwwW83Cv
k57TkWmORfXLKLPfOAiNq8V3HDL6KwKmX1oxEEFT0UjWvXWIaoaFeDDR75clOm8U4BYlkh49cRKe
+j7/NWvAZJCIo5Gw3F9Jt7wXafNg1fqtMYroWNY8YZvVDujSHwTW711iDJ8mauhgbW9yrsdAmiWN
YWZFx2peWF4sO6NZzcCFaMPaP70bguVUkbvk8TQsJczYZ/tVhsbG5+wr++xi/eWRlHl8Po92onuB
5jiYe6ljl5mrAb5Z2KsUzX+KRhmS7GZWMpgo679yHHPQZPsPs8Itj69qJ4i6O4DsxQkz+pPt2gFO
qolnIEMy2UYH0yWZLSf6W7oJ/W1EJCGXulj4Pq5yLVaepNpDbpGb1cKOzTjMtBGehXst7HQIiwjL
FRfbR4FSax3czwiIzr7Wqqe1Rn6xovbEUhUYJqOC2Y5I4qkkwGaeiSzizPYpSewnA1tbgAf71Z7l
zEi3q8iHDvg08Rq1VhOM0iGMk4Gdo9huZ+RRXkoGC82q38DCjEen4UxHx9Zi0zV+4i83HgZUDr7X
fHoeeK9sI1Hhemwj/W6gfVVfam2+rC0FKTex/TXOn5pJS9SKbkdUB6oH657GUl61en1cTMVPw2IM
4DZQzcfR+ZJtWR2izv6yUvM5mZ+VtY1k8wZoxWjwmbUvdpr8KXKCwzJ1F2mFD6VSn+Aylt95w2a1
RPtZpVfNzu2TtfIQQmdgDZp3apUB/KpBWkAQQY7XefXw+xVMuAt4KNYkgyTV/DQmEyWBS+XnbdT5
DmkChtSuHTq9zKBHyhLiq3FY4JNMUpaudWLSbTJm8NptR5lT5emwRncR/nFzCfuMiFdkWmHUDTBn
8rUIFE9hDIvMFarKnikZvYFrtb/ghWHdCB4V2dW+aOovF3bMzUhxtAIV3BAzeJ7xG7DSTB4woeYv
MRRbNoalsw7HdXB+mbFXPEqE7fiKl6coVzKojPVP5sWrD+Pw1/zH7eHEio3+kwD/cSFS4n3DAlwM
xU+o6S3axC99yI9utNG0F90O47Q5eNOZLFEjTIrx0ehJRKAO89DeYe5hf09ixtly83Mf0UWsFk+O
OjvadvdTXyegk1rz0Aw5Tn7oE71T3ynrYN5AQbWdTd4/O99qAVC0RDHYjo92RpbQ18ZNlaoNlm56
krMukJdi4hQro29n1fx2mIe9MbmEoeds9Cs9A9KjlvI4xnT0C6z6nYxc3JdbprmK+WoYeciBvnVK
iBXCymUwxy0F2zb0SeRPKLunzi4uEGGuY49+1F4KhJVtTDLnekuhCP1yoZ7lTvlGzM9foCQuj9ZM
R4JFeT6SVFXW352ZQS3R7zKbeMowrtZwbBdiLcPCI4pe2SZIftN5zHBYwlwhu05feVLqUMoU4KJy
1n2LxV9SKv2cRKxXBEqQNZPaDh4QRctYfjWjsT2qTMXuEZPAkMwRR67poTLGuDj3wxMjCCKx0vpI
Im1LHHLzyHbj7wh0Eu0BSggY3e+stnMAZGPojGygeGgDFd/+hOW3OTCfvotyHokyn75nqFF7d8KJ
q7Uc4oYL63N+703S6gZFJnOe4OVqJ7nPS/hAEddvHDtJWNe3NsY9B0nvYRwJi/Oy6k82Tb/ajluH
jLEI2AjVAg74JqDkDos2eR5WZb913HzmbBwa+F/xkP4Z0MuyFgZ6xbiPZ1bQMlM89CrvjyQNslhs
2AI35gVjQ8M9Q1ZlAWD11GiVG8Tpr1ToGY4gHUMO9W81Lfse+PwNjgyS/LzeV5oEkeW9iatXROU+
tqCiaelYP42GtxUJ9hkx0HRMEpa/TZkjyUGoVWbVvpoZjlkWY+HW9h4x+9THcSBRycUFhncJk3lZ
nhTLrqKf+GWsZxTIBSGZvEmQuywnemmwQ3En1wexGkfo9Oau4eNkOYeUL8I4yP7Fson8Bf+bsqQv
q9ApEaNggxO73NBT6jqq7XKtTagGFe2ZqP5i5uYNWARO2YrebbIEl+xNS/P7mnXfeAjCVBmfW8L9
BpXoewzz+ZQ9zMPcA5Kds1veRfSMTf6UL/SxxEty7Yr4NV68M2QA5NEXtZ5mOeUHrqNlJ/s0bGxF
orSH4RMEy6uddy/QETPWP/sF2fChpln0TOOHQ2YSo/gZTeegUbxJ8qfXBZeGHaftQdo44QfPvi7Q
kCQP+avptIAd8vVzSpMn14ZZkbjOq6Y16FeEvjl0PjhePqRqHpduCbIGZ6ly2UsBjT/ba/Zo146E
o9wcsqK5wO2Vv3rzLyN8lEONLX1LY0pIMSKZIpsYgqL8yWlE+sPrtPKSsx9SOFN3TrxU586CntqO
xJLqaBBbdtU75Mxj2Jrp+8IH5ZbDn0HWbbhkmsO2y7vhUx6ZG9oX0oO7A+4fdVCieVlK/tUM2TeJ
DBa7Hm+9Io2XPNsxf/8dKpb9MQGafmK74CzkdapLJsERoBCLBZUfOc0d3rJ1TfL2bBiQYFO2kVaC
DD9tBJMTxg/F0B69uKIv5GgqIm4eriCUZYWZUZqYBA9H0DlKFf1oCz7kGchrSvbtuuK9dfLXedFp
EzFY+/3Cm7KaHC4V7rlCK+u9F+m/WeI+p9ytr3YEWa4utduYdI8NmX5P1Urgj2p4WK/CxdXaJw5R
drZzI0HdXyMrLNY22jkawRd9ZXzBCeDytZzqvSCFxxel/B7y2mIOk2Or2+bL0UhpxfNAtvRdoyoB
R1t1fa0WgV4IewHhIFysxTIfmrk4uS77upGhEw5SFk6Y4n8vC/ZcAherfdE1jwMcoj2o73PVCfOQ
Yp8qpngIIAsEI5rRvb45xTXZXdzi2UA37+uKCqI3V4IsYtx8c5yWbAw1/W6nQBrBD+oF9ZzApzBp
/Y/CQ0WX9p5Az1L9nFhp5h0C6pZGQHOJQxTQrPIp+tXW9IBjiVYPbU/gVrI+YPeYEdlxQ9mu3vxA
gv2hMjQDk2tjDBhIAalT+SpKG5lFpF3s3jbvFkPXvYxx2kSbs3qUaJm7UWQnpbBz1n0tTshwvmUP
LI3MHO4ztGUH253Mg9unbxbVLQAisz8Sulpc9TnaEkrcGv129l0kznxujfk7z7gaI6dMH+xkEBho
1iAaQbzoRtSFZVeboQWemQUIOHDPbLIXsIzcVTrJEzo4UFOQM9+OJ8GAAdaNotkp9U2R3vXUFmhS
zXWpfrfS/DtFtryUtjWDycrf2HSMx0lruqNJA8oqQf2PsjNbjhvJsu2vtN3ni2o4JgfM+rZZM0ZE
BIOzpheYREmY4Zinr78LUFa3xExLddWDrJiiyAgE4H78nL3XPo0J2kIkkgX5yfBHB3JYb7AjJZ/c
WX5OzW/F8BkPzksRJ+NHWit07fi4YX8TL1PoMOPDDMNEdgZmzGoE35jICXHtkuIGoi0PGeHp+5yc
j0OrGaVvdPpL26vXhGMchNnifd5pDp011j6iuIEKscRQQ12MzFR3oaR8G+dOu7RM0NiDqdccx41f
kuoryp6e/oLSd/GYOzsjA9rOf1HgqdFnpImvWxbRAoV40Ksyu21i/IB1PcWPLlruqkFBF8a+57FS
SRh5xNzAowG+9V5rF9mmzcKAxukpTAVN0O9pRYN2dJLqOFvl+wCW6U3bNTndITgcuhdVd4GCvuFy
orkLoIfsFv00s2GmoG2RHBsDuUFmI6CFBTtuKyQPZ9c9pCM3ViGc6ApbuvOHsgjRR4Ij4S7u6UXt
gy+GOb+LYqjstr1kW3peQO+xrjdmXMaHtGv2EspsSzeQDi+0JSOMZ+D3IWXCnUc2955zL0b/FN8n
3ZAQc1lGE9Ia8eWl7Q27UkmOSjM+LNvjQ59Mr9FYWSdYD9qJOe6rKtySMV8e7T2zvnUg7pw9OFKY
BsQV8bb5EEXlI7RFbVv0ZAjQINQYR/XVsfOMTxU11nkCucej82kguudg9m73gIhHnOa5+Ip78Iir
2GX+0D8Kb+i4C76YjvsqE2veYzMOEXmafi1TYg+CpapqnLNWMyY37Ygm8GSKe3BSEw2t+zTEfKkL
S9928GYaG7Pkcnej9Imm57pIxdnOxi3hq5jBa7nHXIDstNAD2tdnfiJdGGjw9NuY759E100nuGIM
/vu42xlq6nfwYigB3ajbz3L66AI3PWt2vit13Od03y6yTaJriiy77NR01i1gmkNinKYOw2uAEnnT
DqNLh9pkfFqHH2odoXgPzfcqA9kc4Q3NKIjLD0nGLK9pR7gOCUphMg3wEBn2dnYvFG39po+dlySO
c5wy1PgL07zVXOtUF68RwfVkZfCHkKlx8maMrMCNkphjA+EWI3MkjsqNxSFcE3jcIoWKpO7lXdtM
nKJz2JaspPlT1JmdHzp3c0I9ldqld+3VRPScFB9zEPl7kJvuAQxFuHOXpZl4XJ3O4Ue+aHVCsINc
WWf5Ebatcyo9ZPJq9nyvnQ5dH9wPAVwEYNlIyDL0rw2DNChnyIMcm1UlDF+QIAf7ATeDbAz3nOsW
yrSEJgLlUHHR5lOqrEXgxCl8DJ+bwCZQDaj+hRyJTQcy5M5xODLG4PJKqfQPc0OXcjLSbRxZt2mN
MTin+rw2Zf6ezgRBHGmJ+rf8zln21EJ6QvliClBLOlMQi8gHWe2VDKyLHUU2EsplMivr86jXLlYW
17kpTerjpFEvXh4ulSZjDtezfXO4sxPLgn2yj6yqOuiEfloRjTZpCNBVpguDiZ5tOhKrQgQvvMRk
55KoQvspf7Y6E1dpQSItWKfW17gC1cJnDRfoa2olRFJNd2SGhXvApTvasSAGoO1uctvyoeEC75i4
PEyGbtK0z48e6Crwg8FZZFWyoXlXAERIoMVpju8EYp+byBppq34RjvkUa1Z9qDt82vg78dDQZ5kC
4TujpATMy0dNcdL19IJQiXgILwYJHlXL3q3wPW7pB9UdDXctmg9taVE25diBGkgDERp5aoRq15vB
N4wiR62r5/2INKzkJWwHTk83PZUQmjlVyg9YGi+Iuhb5Aw3FIlTHMJC8imxYfMxEnV20Epk/GEQH
YU7xLo71+DCkaun+cHZwce1tQuW90yvARvqiCxj9EQyNL8I9dOX4JCJno6pAHgm629uQccFBcjB0
OEUaaXQpMv3DNNnNBuX592H0rglhGicnDp7h/fC2Qvcu0dXHxDOWJB8sCimK9t3ofsgIhUJMuxER
+CaVDocOwHTSIlsU0E9RuoY7J9FhKLhk3muYBMEMQ8xQJuOcxObd1IbkIIsi+BJF7xszNDj9p93R
dqbbueMpJ/kRYkhXH8Ixe2qSnED0PJTbES9QCh/kgX1rGQSN+wkLA04dZ4dUsTtZevDdEMQbdfYF
z1qwDxMuN8DcvWyjT6RPvysZIUZeW92lHacsFdSGL0Qk94M1OJhDO/JVaWKjn4eIqLd1zLCFXlpE
ihJj9ZugA6ExlTzQttt+DpFI0CMiO46AvNsaWrwETeXh3X1YlIJbqflT6sYHR9N1YkkULn/mJTdK
PqeIQ26Kuv02EvYODcXcGjMF5zCkT/kCJU6XP5oKLgTMCKrfUlSHBUIJbKXyGzs60VIUF/T9YHBL
akKkEZc6lPKqcWzjNkLhHp1w0UF2EXciNFKfIUOJ78aheKDxeQdVgKihLNM2Rs/gocWdT+OtkSdd
VOXRiANGRaw26Wups2RywNilOZ9nNzKuwJT2kIrHmMEJnXv2/tGZ+kurUSwXecsKzwXCeoRWEYYc
6rVo6H09h0mbFjHG3zTGjxHE3SmrddLPnUQeqAV8visgoW8cSF2ag4PuJWd4LNN2pvJlZNXiZu97
FNA0jSOz/KYpwHbQqacTiHzI5csf9OfTHfJ1Jtuj9TnU9FOgDx/cgYtiTwx7QnaxNilPplKI2uP4
ebQnmroBdTGQHJw8CyNnCF2am3CGXPD4bvnN6KAFcopgd53xOhT2qD+EOs2WyQjfue24qxpLnGwn
zQ8WThn2vTTbjzpyQonSjTxo0w97wz0iFdxykllQEbQL9RCTVdcskaTTXCB6xW4vWjLizDHw0ItP
XX/68X+70ES+VSQ0B3no9iXYFWyJD7lHJ782oXElEVpZPfXGUz11lMIjjCaGcO0J6GC9heQ/00wM
3JNd6WL3f8MJvz0GbVihTXp1u1lD/z6kfq/l4wdEqfS3G+dZofO9MuxpbzoE9B/aKqA/TJjUcf2y
r2YOVOqqmS3uBa0wj1phXOt+mo+hmzkgFGINmPk//0hsrQZJ4xQ7OGc//8X6LQYdxu2EWWMewMYz
oT47ouvvpgWsD2ePTxxr23H9S48j/I/w23//Jf22WXOxX1UJ3TKM2jdf/ufhm1pCvJv/WP7Vf3/X
r//mP7dP//X8b99V/W+3T/vnt9/5yz/kx//x65eU8F++wCsTt9ND962eHr81Xdb+M7B7+c7/7V/+
kTv+PJXkjgMnLlBcPH4LY1X8HD0uCc/+959//C9x5bjw2vrb57f/4Nvnpv1//8cy/yFMyzFcw7Nd
z7VMImX/iCp3/sFXUuqGZwnXs2xCmQuMf8SRC/cfujA4jzg6eAVPWPz+hhbm8lfGPxBI26BNheEK
SUryvxJUbti/BNpK0/AcOh4UEOiPpOm9jStOqNp0LVog/lFSUFiGxmXB10bSqw6VNPHdWTznNone
oui/ZgXsloljG8UYwsLB7bfayH6UubAQiQmJTxh1Fn4qU1ln2Dgls8Bial7YwpiH5FSnaHru7aLZ
/XS9/yJ12fg1v3p9G44gcdkxTR1VpKHzNn/KW6/1kFGyg+iN8fkEGR4VqkOcuaF8q+Fpg1aj/Kgp
hrOxNN8aJa5JhZwrw7ApPIBJKrYZX3kvlj1gVahCOqqTlL5XfcX8XSCGlajcFe50fmT8r4Vv/3jx
XErTMKTNn2uM808v3mvdEYyGZrNQ6eKKI8tCG5Z8igUzcys9Jxbq+sLUlkgwIffW0Hzm4saHPneO
rGLFb1KOzV9To9eX4+pSt1waANxm5ptg+MjUnDmKIvgnVWVAzCyPbCbTiRYL56vWx3gMEmrsDhio
bpxKyocssY+CNsERjh+nOA06omyepkkfsQpq18HuUYhqnbEJXMs7cnVRILEk75BVcuBmAIsYphi2
Wpjru3E+zJTa8ZTrp5CQ2t7WaE049m9uGLG8if+JGP/xJnnyEDdK+oPSehPTTVevSXAcWgA25+o8
BP2nkiQg5hja91kfGAESTbWvvfkcR8rkENM+ooJkmD/2xiPSKkqBUflYIpsNap8vf383i+Vuffvi
PM/ibrBpLenGkkL90w0hGbyH4DYBZZVZgjWcrNrlUq03RBqbLeIJpPVN5Btectf1cfu7O/IvbgFP
tzxpmsLCwi3kry+gUkxQDQuYG1CTS6TYxM3S3eDGLHZOOaIdRKENCB1WmdtDNV8/3D7P5c4k7uY3
F2OJ1H5zMTwbd7xhg/pdlqtfX4vKy7IdoHUTx+fYZ4PzJs1B0j7IGb4gMXIAQftJPiHjRPpTBWW5
1ZNE7ddHfnRNjoVT9Lvr8+flRrKo45zl5eAH0d/cPWXN3WxWtJRaOWeHXrq7IhLXyNE+5zpMSxSM
NpyC4AzDnHaX1hLci7aYpLjwWIPl3//mEq2/79drJIVrOeQTuDaOEOfNDeOqMgR9SqRkCBFoJzEH
1xaWnc4ah2t91zTtXqGsuZZRjF5ymSGyL5RnMJHlnscZMPayyKGuZlFxudE08GsQaVNkXcZwiINA
7kn1tPaToC8IoHNE2B6l2OzMqdoMZlWfmrlJIXHMys8LVlADmwtHc/zL4ynpE/cBHKvy5Yz3OwHz
pwUJTudoss8jM/7KAmBfWwGtC1zch3bS3+u0XyRMYDWa1llApFDV2L6st141J+LYZIjYZqPgbSHk
CUTzaGXqs8kxph3iY4EG61wuS/6g43KiaVUTd76qETVcihUGNo9Sb11EJ/rkOk50VdlnBILewUaI
bU6vhajtc1dUUKphuUhFo0rRd24z3P0iFbk/TfF7E2XogbzIXRxl+AxoJsK17cizHyFPpIn76gRc
0vWxNa05OPbuhkmxu7UBEm8g4WHMQJ3oR2hKH0x6HJyb8GRL9qu2YhtqDB4yJFcpwv+jZ5SfpPJM
nOaBtsmw4xe58+43N9Jf3deeYTsUA7bueuvW8NPCE6OGNHB8/rETIXW7aIEBkyxz1KHLml0kXKIT
BnlCLk9iZ17fN2mZbyYiHHuzvPvNq/nzGi2F57I261KCSrPfrEKycvvOJrYFU/4QYLh0H/kIvie5
DaB7htDpmTYGQp431XCZp6hivsBApntmymOpwi9xNDGfd9zfPm9/WpJQKdnLs2+Yum24S1H102Xy
AkUzJSMhtUmli/La26DNwnWpg/9zAu+TCKbHwgNxrqMWARyj/L+/Msvy8uZxN1if6QlJdOOuWD7G
n37/4jz7UTAkS10VcN6HwYY2dxF/Mg892OQEbpDeGJv1Dv37X77+9De/3TTZmQzLELpuGG8Wvwg2
GO0jFhsUAJirayIDMeF9tya0LyTDDhgPgtvOwqPLYF7uy0q+cwDJJv0XpBrJb6oVIf+8P1C3CrRQ
FC18HnLZy366GJ5q4OpV2h/lSmw68YEimxZ3HXxpo2wEWk47cTB7cROORXyn8i8zI5v1qewRM24C
R52aZTvXs/SqiVHbVTabzFoQh0NzUQb0QqW89tqEtp+m2nwsl19gLlLHIdCs4/qzuh63mjDNRQdb
epdUBfaZHKkAHz+bYqwhX0eaxhG88AiZmph4yml2NlRI5UfaNXivh/RdzKJXJEF+7xHbdupyD813
haKMsneHhR2NcxSRLlmYzpL9Mexo9IaXGGJK7k7PuVcbH/siPUg0Ged1IXa65LsXkF2sEjfbWg7d
Aqeh5RrSbD7Re0A+aIanVNrkHYZ4yMPFdaHiXStjGAna2c3L6GF9xWkDRKyuwqMWsBePwLQ/EtID
QhSNGqXUQ4CLLmL7JgrchL8IJq1UJrazZWch0gc5mosSE1zbu7Hx2D7Co2mwXaTwC5DCo5mNnWmz
buYocCFCAI3IGWb14hqDGR2TCUVq1SB8fqb2jHaBBWMKytpp6vNh68gi3bnggQ/rsk8cqX7FVigM
+qRR+8KsZ2OLlh/R1tCFlx8KK30g6XKwz22gPaEvV8SQY05mLPsCvagHMkhvZ4z2Y1Riq6/NQ+Ib
j2HSxEgik4vqGnEN2gwFLocaZ7SuKLAGuuHzLfGp0V4rPPrSbDpb4dGvZIooSTslzo2IFLC/FdgC
wAuf0EmcDT3sTjbbNy7CJYeFTtoOh9zMRh2iz06al7lIuls1oMGiHlcOIutZ+1YaxXQYcBkwNAt0
aAvJpYyFhwOBabdJZNAOidk7XdYkNhSUHZUhrr9ZCP5cJUqLyQh2CyLr6JAv6/dPT142BiAvGwN5
aTrrkN/zEr4Hz5GdO3xOaA9F7WwTh54rE91l4MARIE1yHMiBLX63JnMifrsmEs/gwvGSHGQt+Waz
8DqjC6I5cm4KchicIiruOkKFjyFB9FuhcmPz47lb9lRVOhiLu+5zbRj279ajv7ooroc2UefgLv90
mNO7we2SlgP1+mnVBim0EWNMVxAKZjNfyEdnO5fhtBzfHtZLMitj42it+a8fcZatk/qUDX052r8p
Cqu5HWtgZuR4Lxe+9FQLI3QeN+thnKaAbzZNAiZjxk6Qu3SbAtsfUGKcZqaN0Jjr6wLbqIrJBomx
/ZfvHZemh80l8nS2UvvNvWOREDV0s8VKsiwQRTbHzNtZGMM0SjaRC+uJSTOVFM7V0ShPay2kRynh
K1zMv38ty53x635GV0a30e3QnnFd882dY0bwg6eCl6KmkTwYzLuHcFDeoSZyi44du+j6Mf39LxV/
3rboBoHc0x3bWvo4b/Zw2ZotoUctTotqSo9IH7NbSvzyY2Lh38fX+4jZ+muSA89wPP3VIBGMgAGM
NOhXrwkBWoMarPvfvKblov96JTwuBJ0lBg+eDST11we6spnqjpYHOnb4NJqYKMAI7qaMXSolVLWO
PRNpoREfwoQkqaYJsbZ9DdAn7q1gJg2tGlr22XazLqt//9L+oinhWdTyhiWXHs+fGjxY/bx6yC3S
k8emuQDfemwAuRBWRnNA2tuBjGlCsDpjp4/eLU0osBDLo24VqP8RKG7NeCHO5ckX2RGxpIKp24rR
Qs9r4uSydEbuBeegOSYWKKnI8cXM7GIn/CDD8QbANKTgBGVEkWb5cdICItIy2GouKKy/f59/UVzx
Pj3+J1jMsAy9uS0ibjWOiy4S8bJ8D6j0KzIP/Or5bJ/1Ev5jGYQD889cQBgZmN6l9ru66iNSXUYd
8Jv8zbPxl9edqopO5NImpFH56y2Rdn1n9ebAdUdY2AOaPq6rieqB181xoGEMFO+g8J9ncFW7uZx9
3bMXjhJ7r4hmY5NFLfE6LmippZYKR9xYNSEfw6zMbWYDog9c/ZxC0p5qeWeihbjKajNKXTuqMP2Q
Zd2XVkOYuz4Jq/MAqJv6zVL553qazqFDn2NttgBT//VNOqJtiCKW5k2zZN45Uj5bRX2QsSoBVYf7
9SyYz0nvT7r9/Pcf+LIIv3nkbOFyenfo99IJfvN5MyuugyRO6UMtLT1vuTnXY8T6O2UaA9x00Ku2
VK6Hv//N4u2vNmmYcoN5ppSubtIK+/VdE8vGqSuCXqAMzDPhCCMb3M/WzeNvQcA2vh634TwZG7kc
JeDYKj+rxAO6SYg6Sy0yRT3jLDl7u0avPrs9Ui8GJPI3L9R4u6XShDKEY1lcHodF03lzD4qy6JrA
JEKorZjYxqYki11O1PRMgA/zNMJkbwRymImSbX1Z08AzEmdINJq7krT5ZpDTps7Gu4Duw11tp0+Y
8NpD5erxrhfhId3SCPtdeWTgQnzz4ZqwmTnF67icHLa6t22iBuMJQEy4lJFB3kfR3KZLAmQNEokq
pdfwdEQMC0kqmN6lnQauP7EPsLzx3DvkVbJVGzPBhKUFX07oZPuwPxDCoifPysAXP3s1WszGfrJE
fbY64BBSV2hvqdFTwjNuMBfu6mUKGcyH3nKhPQQzQSRaevbsr8HI591G0beqZi/xzHKbJ9NL11sC
RbZ8Jk+gwJS7mcD/1xHHg2YcYXHS64vq6Hs4jDidmkcbtFqUDB9p7hC8DahFFgS72shobvOw2TdN
75MaZfu1qS6Z0byf8F8BhpcOqfETsjo0Ve9nxtH8LOBV3dB+DFkxGADWVJRbpXB+4zMYn6ah/KxP
8XRxZmt46vtS0HyAKorU7bGhR3q0W3MLsehukddcpgUm7NZUxlhiDxNW6F3FkpGGZXiXWNH4SqjK
Fm0QWExHWvcd5fEmq+VjKDM4Pkt/MXWYYZrqKjBRhQMEvgnVUFN5GBhT7VUZU7lRYZVu5dKrKdOC
QSZaCl/Hq0UsDIgfLelMADwvvVfa57WuUTbRRJMMn350g/AsPRw01YHDartvmpzerU+9kRSENtLZ
3UQxaZpLQSQNeH+q0l8MJXIa0Z55UIr7ZDacu0jqX4kucE85d9lNUuffCT9/iR0yQYZlnEP/ID0y
brwA6RluRr2CxBVhQW/AACa5dtEmLT1Gy5ghT4dTYTLZn5fYWKcjC5Keln403AtOTLWzzTL7sLzM
QSomjwq/uu4QE7Z+acU1h8V0+FHGNQ0i+Tm3+0MbUtliZSQgAACAU+F39Kr2JbRrCykkELHQLhsW
npB7Lu47bHDtLc8xqtj+fVZ6aPkho/T1HFxDy2AqPb+WQVRftLCGT0UaCSdR/Ynzf+33XrhfT5Jj
VhobG+aO2YzFw7qCrRfcwcKK9DdwdhMaBk8rxvPaGilb82pPPZl8sOtg5uJ5XM/Nqc6Myik4dZZQ
eP0pGM9GMcMDbi+1Oy8GevNllg+s0vpxpB+7UwY3Efwb8FfYmjhswd0NxEgiy7yvkoguwvJHJbqE
+bGuHbKlRKmbDhGYqEyOqW20Z9wqLlNchVtAReEeT0i6yzXjSlwl1Hp68pcxpGdo0v2mUJOg2WcE
UWKJRCsEFQrz3c4fjS+6VwE29YT9DqzMJizHzTx08beInBGEzMy0zebBLeL8klXpq5W3dwRAoJav
i4+OJO8km4IHz6PBEev3I3Gs29E5ixi6VwwI41DUE6LL2bxbq9F4qvBz0iG7QWc/4MLiOxLT/Uic
mcWaRT9s0rmLvNB8gVJC3i3wCfYbZ/JDG3cFo3PkyhX3N038xqhImLazryFEHiTXVF7KUfTPoPcg
Yj4AVSyXY7dZAFFvNBBtwG4rpFOQjdIGSXxQJxdQYyDxbkzJJUNBAHLJKT4Uir21navPWUDeZmqN
x/UxR5Dn08oNid2uXm3cvacOyaOpSWcrLehGela8FnUAsUsHNLy+G0eL3HPk0Z6e0ZajaUkZ3tMK
RoW0DA4nsamLQRyMwsbPBdjzqAz7VoV9dGxGhEE6Lgm2n495YLaHycXVnpaet0cQeQgs5z5wIx9V
UvLYQ5TBYs7ioqrvRrQSOlkLRotAbJuEWmFUFy3B/OpSlK7LhBcy2Ew8PcLcj/wxhTcGEL/yzTrW
kc4M8GKEVnDZVISDe8b4IzOAVxYWROkgbqjjK7A+uCHFLZbs20GIcGcERn2yeN2JmAN/jMnDie6I
ZrLuoMUv7rh5TyyidZVZsmdDzc/O6HNY0DYp0owLpm7S2OP+XrPvOtLtL0of5w3xp6AOpiy/jgHN
jOWrhEgnUjZhdo6mwh1RxE8JHDVk8IDDugGZT8Cz5LgHp6y5n5jzMhJ4Ag6Au6LPOw4hGUZrB5t4
YROGg/x83okQlFg4ppysv8UVouDaWxYNNLe+C0IW/wrew7ia93AjZ9+qLFjnKsnQnysQvkDrCQ1J
1b3FvFWLTVJOFBziOiHIJiem9mK53Sf6NhssdPHTEKMxsZLc2tRGsHP1ilG43aoLALEMLGrmnWMX
hye5B4mdnaKUimtOYL6WiaP8ODy1HcSC0bLg9FTiOlfRKZmEe1+C54BXl+faLoywmFjBMN2axYd+
ruODNrG0hgNjmrnK71UTFOd1nVsmD74CO4UBrvMnmJHwRqYO5hDKFBMh4lQKDSecuwd2f+wrZR/X
w20l0ktokbA3abPLJAhDsjaV88UM9HtIBuwbdnBveZhS4bhAPE16qAEEw5BIxIK7FqtVrG71PsZk
BczpRhvb27rGRVwoVOhJMT/oMzxnyzBpx7UpnP1O+EQFDMTSqP1kLVYeAmF4mhn5Fs2X2XwhrnBn
JmX3PONUQXPtFX4nSzR65owyM8QC5UCnERqMTGnTdh4Rdu05QBn7Ttrf1rU/rON0I+pZPIWuoLH6
kQld2XbWaV72CTxHCwMzJUSJh4uc7y3x6YsygB82JOf1J1hsQ4M+Y/XM+p0dtO4Th/mz1+ivKJZL
lH2FcYkEgrYOjtxSDtSVEDxwenTSYHBtPM0+2/hDt44b7eplrBNTuaawBu8EG/CStbF2QNbR//o6
Bslhasxpgoa3Lo4BlAxNCl1IvA+aliHV0nruexRImQU1FBgRTy04tGW1LIHkOrFNs3pcNIIma32D
+piWor2P4DAvo1LRIymc4C9CDQHFgQDlGJea3MilIZopJ9rRmcEg8NWpdQmUyi1x7tVflmSyXRR4
HQpa2um50xT7gMxyRorpEXcboJ5lYhZyOGP8KcjrXnvwXKOjXZLPVCfdPQEx7VaAE7ipxkm7GmZ9
tefHmuP0j6kyHAL2l0xMcJbGZFfJnjwFeKprJ34tJqZ0xEbXAM1YahH2CgZ7LoS5pdiZEwNlKrVY
mijE84hDf/zUsEzejZ0lf3yeEOmjM2XotY768Why/F9K1AMt/vGmn1txXeswWjKMj9CSmxkwVeyK
8H632nL5112gTK3hpsV3MKt+n0N32PPxFOQjLzQna0IXTrCNSzdk/WgbTCO6kzhbixsfQTYyL7tB
yg+AfgdfeiAmyHVAvFifx6w7pIjrrmmTPoO7A3xaYE83R/BrHADyUwJCH5kQTr5J+ezl8zay4XPM
1h999OVSBunoJxaDFoLDtw3yIqAKrvZO1uMWONzXzIac1I5juitNkSG2mN9NKqrO4cRujLYlitm0
1659T/G/0Ur7gyXGGtkd7ujK49TXIXb3U9f6lDTykfxTfY948fP6T1LDJmNyBhyxDqNBz9BtjBEX
EWN1NDV4KmvVxYkRQG4p5Z4K+IuLbQXbfigOsZEW97jLOEpy4Fx/onDb/FzI0Of1t7eEa6DOixSI
IiflZATdAuOfWR8QCcSH9WNxEz3zE38eKHv0Yhp9ETHmmMKmeGgTkN8azIc4QldtnocI+kVsEtsH
DupaizsOLultUiKTk31wcZemyzpPGAcQpB7dmK0+YAtfb8VqJubQwCHk2UmNEgoKnVukt82QHkcv
La6RKcFk1dWhx1h50vEEUDEEWzRtn6zRI7oHj7nbMxhLRnIQZQXMfSZMgzKTTMvJJs/TncL3QwUq
yxxs34pH+UeZp3XhcEyjgFtJXlYBTtQRve3NzZ3+EnCAC1RWn2a76pGd4sqXaUapmBhHcEDQ9sp6
2euqzC+a/rEve3XtieJxKmhEHJEe82qMntoyKa+5BzpA73Bjzu51PXrPAYJSODFwUoTmbAYL3X7R
Sx/KyXCyg+Cy7kEcKvRtkeWHoSKnoxSMSIEP2MTDMqUtxVyftag+Yrb/ULauS9yxUZMjrjcHEFuM
gFRJ5b2ITPp2jA8QUioKUIPJTFDtSQVk7t07JAWOfcQUH9VmgrohxwY+0iVSCfYrTTb9vSRTI7TH
Vx6SHkcIfQNtsCMMq1i8uVXS0Tpxhm7R+ztg25ZfxwiVzuaECYpR17CJpuJMkoPaJA2uZxiOa+0J
f2zAxGyp/YhtgH5R82W07f45LL3bkKg3TKbF/RyRyLR8BTBf3kJ2Z3+H/y1cw9mvdaJwIcGPY+yc
UbqeKtsQ557oEVQ1S8AAiXgjizF2U4wt60vHPaIh6W252dsiAPOAUcE2B+1dPvAWDLzWeLPSfdrp
95Tn2WmQmn2aJu820FJ1TVPzCjazPFED9AiScU7WxBxWfF8c+l3e98/GkJPMqb9O+ic8PdV+XVDX
rb2kJt20c/NDm+b2MPhnj9Ze87AOWaGPPJTcX/gj5WFdGEIbqoZtwCNfz9oNvWLyIkgIXA7kidN8
GLwEKYXod+u3r3tSWFN/5UNW78wgJUtZ49ZlIvu4tj3prPyxIDVzfjdo0yuHq4JikM/M5TTFo3Mo
OTE7DVMOLcPtUxnZZb1ulK2HHpf2fv1VPF0NR/Ym3Ys+0fbKBYhBnPHJyJyLDgbvPKggOuZu9Jqy
8hGVE+Gyc8pmbzSms1tPuqrnhUYmkZ26/UhzTlzXq2ACFuswlPguQzJk/QE6j5zDhc6TwBgT4HJb
faC1GPuaHC952cjbeBaw8zymMJIk9q2H6yVWEQ6uCVtTETF0LsLHkGPrxjPgEoXUmbPjmPd1ylJt
x7lPP8zcxHDfIdoq1h0Yq/MI0dxpbIQPVvmjWTYtcsXYoHmYvlh18zIBwz3bKkLEbeThJ2J5vGNA
QVwbRbbhsAELxYNQkypi6RCDkkRdGc1Zpr29SwQghSiZ7hOaGjcxQUTHkjDpG2EN0zlu0QPofcJk
lARS9CIJcuP6brai+Fz04vNcT+kd2CVc/u702exb7PVeSPRmjd0fuvtNvmBqhp4cv5xwzueg/Jw5
dGg8NLAXZCkMFQS80xkIuxVL4ywopSB1Vo9KkmThlllPTE9DVEKBiTngUMFxQn4ksOOmrnFOOSPC
ogo0/TEX/cZ19OTUEku0gVn5wYg5NbvaYi+BPboFINljhgMWwPntY0UK0AOuiYNlG+/jRckUzTJm
cYU2z3HzGOdjvFlLHUrJNrf2HF2rHzUECOLhkjRQ8BtBUfSj1HNGRuaV9ZkCTPl8GCS5Dt1VG3E2
00RsninJdK/F8t60UIM8me/nQjqkoTWggKw8PEv6FCfdow9fm6cy7+xtO4lD1YcAIq30itRS3DoS
aRL6xefcispnAmpuzKwaH8GRmPc60aWK5J2LQQBwcVay1+mAxdNLilQDkyN4mTR6bBr5pZcMREhX
oXtfPUcpTNBBkbQ+jkCoeIrhrOyo9I1dFAX+ULvxbRZlHMOSZ0dXPPwRqVGhYaBqkAxgXQiaupi+
JyK+0yqgxDMs801nvE/lhczX+laZ5il3ahRjYQFAsJ2cLT4GuraQVUzRTwcP/mCn5a88V/CVEXYx
/d8NnoZ7A27mVsaew+w8dXeYeTilzJTjkxGTjv7Fgd2x01piRXMdrl83Dd9s3iUfCxDQOX/F2+QQ
SG3i8h/x9nHBcd4VKjoXpRaekwqCTqnP7+a4Xx6H4CU3iOWoIz/L5EvJIRLjWM+534OhlvHY3+DE
eJ2s8ti54TGZ8TbawrqfnRpyfm3qz20RPTiiGW86P6L2Z6VmY7rB37Mj0G7aZGUEDjkPsA8awX1S
M0mGdWgdSgTweI28cZfEvlH/f/bOY8d1Zduyv1KoPh+CnmxUR6K8UjZ9h0i3SQa9N59W3fqxGsxz
gWveBS6qX8DBxlGmtnamREasWGvOMWGISFlx2s2tDE2dzswwnPGQBr1PGiEk83QwHYK22pXgwQ5i
R9AA3c0SjEFQpTmBZs1rzie2tOPSWTtEocGuIFQJIAytiOjRhZu31oaOOF4teYCiVhpBNWc1LB3E
tYxv/Hul1PEKyEUdOHA7CuMbLvnjGCj2XoIm3YfzH78Pe83pl7liK8th5HqcKu2gT6m4oYtZCQeu
6O8j2dKsjJttFNX+Q6V3JMg+mA5vqoBg/FewVhd0r33YcrK3s9yzSGdZVgrQTaDn1lTReW4siORp
nkLwwZPr60TByYj9DrJFG9ePqfR93uCDo/fxMhvYcpuSv27Gn1rwplf1tWKXDOajYtjkLcZqhsCG
BUKod/Gy6GR4kvLa0uqc9imMWa+rih20vWdqs29FvA9pUq2Nhp6BWUlSbcljdRuKycjq07WYwE3W
cIdsP37qoxZ+UZIQT9AMYLemYJXRZFqqMR1zU97svsKubDLubF0xnwZvnQgonmwDv6xRnBIdsEec
ZfGZCG4R+dnGaEllt1J8zX6j3UBtk10Ajm5LzgrHhd4gA9sYwmPLVRibXUM8mn5x66ZYpTHakrEp
d79xtu1w0mO46aLKHiN7gHdnQVCX4zdhVRCXkR6XsR+tm0p8dzJ4KQz9RWehiROcLz2sOKlPRE6p
Nst0CwE67neZPoJWMuAaldZI860T+0TTvBLYCezHvtoZaUyE1CCAKzjyyRVp8RBR9w2u7tklQwrq
u0UwCWPFWQ0dFQeGRKJ8mj56VUdxA35tYRcs9LbA2Or44XA0jOgBfnovMKG5aL5wapUUvtMdNvll
8utwTS9wk5bwWHHIof9+xucC+yR3bM9kCSyDTF3VBiMbxXmN+B2XTU56b1/YDMZigoei8bEpFVyu
qXbvXfXLxQq27nVcSq6T/2hKCZWhcdbEsIHJI+ytKuWzrAsig+v8WTOCb19iNwhUhhzoDMcz8n9l
E2YK4F+83dXEjayWtP35iQ7DgC1NGjlPNfUzMCvGpr6P3y0kUYUchDxUv5zwE0lpfByngxXG4YVx
qr0tVKKUfJceQYAzbG+NsjpYU3+Y9Kk6O0H51hotZuOcBMMYXk3RO2cjp2s2mUW3NacErh8xHqh8
P12/9R/KqntRHo3KAb4D+HAJSpeGuTPUXgrfxGN8h29c1A+4UsXGGcs1nkTGSO4HKLgVHrEf0+yV
bRvR8RY0whZddapo0npE9urIrUBNsL8tupKoihF6szLtxsRs3oWPxrAKy8ck5QhZSnBVusjp0xVc
CwWYvp7gQ1zZwIsiHAVWiEvQNaHr+PaB+r68WsZAzzUkOm9ys3bVucroyUzVL21kWgfR9OdwfgRf
Sr8YVCiHxqQk5KzbV28gA/c2nowlnI+aszrbu4bpmH0KfJW0fU+kpbp23E3oqsVTJ5TA6xsSq3XZ
Nct65Ht+W/bsuR0jvdL/UwM8JWwYzGDYPtGi3mHzS3dYMEFhdJrxXGE8gy08KLjtS+ValNWG21rf
s9le7Z7ILVKXdITZgD66uiZz3rUfWuunMDj0FbKzLuqU2BdH66sHjHeb3y9hMi3WtmbBViTBGL5+
yCerVCttNKODMR3Q719wq6mXgTdyUU2FtlbTyFNIJcRmi7ZZb1mDdcR0R7cIrHsRrBWcjltZG8HC
QKWI4TKpWTXT9p7OydoWvCmIhVXuKQiMCPlgqfP5340dhGjsPIUT4wNEQTF3gd7lmMSbwn+pfTLI
rNZHDwPU2BrFszVpHyRSqg+y4l3JKphWCTCIBRKRfKcXdXRqRSNw/hpP7NPd3sYjnTTWdJygILT8
Jnxc9D4/g9KS7NW+l6a1RrS7/gKFjgiFtWM02v73DxLtwx2aQw95X7U2iWVZqFFZP9h2b23cvHsV
Vs+kKoatQYrE7/9L5L+rdKwK4s1xWLstvkpjmkjlokw+WGUeLerRhXNV0DkAEXboEW8GSU8yDEcc
rym5juLe4jKxdi5xj6sM6+Yij4P6AWR7/dB10Lhrmk+B31h0bQmYClIFD7PRIXN2mMcx5kqsXUcP
zu0c556eo4lmYqQLA5ZG/CAasGH6EGnEKd0yRXjxZG0wZmFNfCKI4JDJCMAy7DbXKndNX93Uc6hZ
hzACRUBJgCdXy65j5bx0Fag0PwhfyxZCeClTsM4x8MuYX7ilqe1SZxJvtpBh/GiTErHo/PcRGjWt
KYLue6JGAZ+6gQDAlNsElMSEYphoB0iBlVoTLo3U6dckgnaemPQTeKV2aViQ2vop7g9NCvO1H1iN
iB8iGQdqxqqghs6suUpPtZuVFm8u7XZ6UIxuXBzxg6afLQmB0dfLo+NiiIWlgHJHQyAkRu4euodW
aLwZYaKuGwWxZ6Y4uLsafjrTdyjE8URBqx3Q4AzKt19Oby7iPQsF0SprZxEpQtWshmOMH5sNugsJ
jJ857p2hvwN8CfZMPe6u6C5S11tALvrRTlNCK1QdI27XfsghHKHhsI9Zsj5zfl0R/GuvAguNZGk6
nzTangxR0DkiK28lEF0xnCRviuH6nSCzS2iTbQRJEky6/RxBjHW7G81IH+mA/9gPkbLq8pJjldG8
2wNBfkJvvo24OeLN/xIJCT0tY0MbL/2Sye/L4LjvovFv2MrmmDKxrhqoAqQU2a2Zztshuw9wFYe8
r2WekDjHtsWcsFoWNdsEUR2kY9HAsuCmrE3Z4hdr8AvyP25EbegICl0q+ovT90SuaNFuwkVhKMaE
6Jd4mJZTMQEW3Q7esNfT9KvrF6PqP2oaKcvcHW+QETnjaSqwNnMpbc5tYb7VguCtwSHmObHzlGM9
RsJ3I2H3Sn7L68zP9Djm/sR68m1TF1vWVVcysjaJfnjK7eIAr5jxmm3RToH6MRB0HbukXomMhp3j
yGUrieFixhvQgZjcVyNL3mqLLMrSiM8Rmuepb/D+uwUEEfhLTRPCjkmVT6BmRJJa9lH28fuIGgvR
CmMY3jc3i94UUrFDM7mRK2sg5Bhb/PFuD0nEcDd1Rrah4xLWqGj2XvHpCtaM3ReV0yMDLsZvsF0R
aehhEl9y372ndvddSuu7TJNySYj1wQgArUBnwiKIyJGShuUvmK6lNvY35MEEfJuzyweaCw07W0dG
ThrADiFDf+PcA1IS/GeEvSvlHAS5cGgoGwjV62+/TyGf4QstZ4dbhy/5eRufSjc6/L7675cQzXcr
dXBywtTmfyIS/jEF8vnw+11g4my0qvr+179gZn3i5aTYr/963IbY7kmdvfz16m6s78qEHvTfXz4b
5kqazPvt79dUTlq32oFQElq7YRyQIOnc2IlK86BtLxptJKIpv0u9D+mSDVunYyEaKNhZiL9a7rvU
r6AkF98zHRgkB5C+H3cqSMjABOgkcF6gIRlZthtRrjT9q2aLT0SQm1IiukGu/jZFwTUjtNaLCY/N
QRZ4pJ8pXqXIl7JRjqVOBzdR4ZnCqFlVMdnoDIWXTpX/iZXyJQ1NInCaGJbZlJztEPmNpjvbwiZD
jJn3u2NayooF0u7d2NNsopGck0MfcgQRdLJd+2IP5nDKNLdelFStqqY+qEMTekFzA/1CbidBVHjx
Jt6L5/pUCnbvYbK/jfRiKTkoMxtGO0CNZ+nnaB0NcobHIxCP/ujbMZVYh3bADLmS6CcwG9YZJbYq
XXejAwLrBltLGd7B1rWb6K6PKFIUjIFNkqM4qWwF3DehPKnKMLk+lASULdoCjFn3UoKWwXdrXUwG
ud7Y4RPNBDkTGqiTHNWmFVqsMTKpFsUk/iRWsPQlsVjkQNSoI0IQ5hTDUPTQchIT09hek3zmYQJh
Meak1IQuA3kiUhRHcus43Y6RR7ppzSxYmLMQUaC81ikSF1qm/YgUNUCF/A3uSHov4yRkHguOY8Je
hXwDHIUFqg+g0wM1/rY33Esf5emWVMVNzAfBwKF5C2vu0cJqH6Y8uNQGqI4qRXXjqNo+02CaZA5s
NdKmorpgrcXZvzBTwNB2lOx1xx2vph7vzJJRbEBZEzfth8+BoKjxQtAXZMKgthdzgn2byJyqvtdW
JJ3hARMTrhEFj0WeglhpicfgY/lEDCc9kzz0FfSaI2mwyqYoA/ZaAFtLP1Deuy74BKGhrMJGzp4g
juNiyEglbebMIE48xKTe2ISIKGoddERRs6h0098HMc0f6V4FRmkWMT5tFOf7IE+HVV+VwMWyMxu7
c08aYHmdTfGHO2bJzKyjhtduCuDfBdckFFwGe2YrNpmY0DImw6NlTROIDJ1cEAJTGdTIkvNjtRyw
RXTmdVDyV7/AZ9EcKXsF8SKWTaJ08yRcVxCtvezK9EsoEMMCgGlVhsyvcftlQrxYXZk5sVBy2fk0
HLBB9kuCTa+9jCFbhcjEwgK14vSo0DKUhUWZ0kIKA39HOUFHP2zHYpWpYbCOIg0ND1xY1dRWSaRs
3Gzc62ISC45kbxNvckng5iJuQ4wkA1cuewa+bUyPEjAJRQstr2QwVlpIxEiaEiMJVvg89UN57cLh
ze/g0LVl89C7qbpmDohupZ8IR4IOkkaNQ+OJ8d00qzdCmy4boMYd1pxDIRRWjiI2lyDyms+iJRyY
ZDrdXwWt+8d1j3U502M1nm4ofLNSCG6fXBp7Q/BtwDApzB1dasR/pl1zgJmn55H/rGDt57MgtS+0
gbhW/QnkMdCx0qBxl6CJSBD8Ct1kixRg8NGtMz5RMMChLJEyvkRj8uG4LC24i8je5HoZbWKAiVCU
QDWo67eGDoQO7Am+kCh5LUtmxJgHkRFkV/TeHJ1T9lzNHJ5ARm+x1fwBYAYYOOXUUPV0J5BVqI6X
VulbXEbPqq784NTSzABMnCh/yJ4b46tBpPhNpPQG81RcwRN8qNJG92FXvefbDaVPb/rLTqu2BX58
zp720lESbgnRpMfMoJkdh4QAVra5UNOJdnegfJJyPJqMas206d/guQtwYBNVqKMoe+a8IFIm+W4n
9Q/WNOzQkniCIqkOgWGpJzNwTwMwqv3vI4I2iHhreupYakbIvUSmTcSvZsOGJRZBJz2TVaTEP7Il
ualtml3fIujxJ2tcpUb6mOcAYAKRk1ZDqTia6U7Le3enJQ6JjK2gZEsIXKyYxNDtDLbtvD4mkXaA
+3UPHe3UJAIou6kuykjTGW6ZN0vvPnCkGmy2w7WZCIKqo4sdIF7T3MxdV/FzivSWI5mqYvmiHVXj
p+WgxW6k+slWcnBccIfRRYoITYLBcEgCJiDQWTF2aPUtg0q2lGwDEDCfIh2tfer3F/xi06oKNlnK
0ZCGRrBwY17X5KxPvsP0Bv7/IS6Lj55CJRsKhnSqyj2t+G8Ksh91Hj4rcB7zP5LJYc8qRz5W8KKH
Cm080mOj/l4xQoBNSEMA89s61sdHiuRVGwmsVUVVe1anqVsSFolGjfyClA2FkXWaDAcDP/dCJ9K4
Dv27Q7rrvdHnbWMaRjxajX+H+ELaD0Zmz54fIruLL1I4G0H3clGXDKaG+RLKRNIddBiOjBs1+Kmq
+6LqQX3//QOox3fpK4CwJlHdZTvo0Ox4T3+/qdl1fa8SaLSla5GtwTOIte1WossYIc6vEShVdzEc
3/t9NM1fIgMxZuqSKdvfryVRrR94frD4fbXfrzVmz6miix/++luDa20sE9Xt78PfPzT1KRAiuf3t
CXi3wtaZB6wWrB0jyw+BsD4aGiWPLvIIVBmVAxF8sh+VoHzVxir9mp+Q93X5qNZqug0QEPznJ5C5
9A+v4KbuB1Ct8lFTnPTf/hMoeAwxFf/uCc1k/fUz/P6Q/+YV/vkJf/8h22zsV80gyyXLS3EOydrI
B6fkcBW2xwRdEtJRrXp26s7Z4XVQGRTwXT4bJAvQW1eg1avnrphlrY7017/fddwg9biRw13WmxSr
Tp8w6iMtDdQ8+Nj2ZHTRGIEWpTtijfWfXM3WGqdnxW60H+jlq3xCCU66zc6C6sTamxL+NsU0XWiK
boMxbb/VXj6Z0iohbZrM83KrebUy9EoBXv+n1iQMwUGYcy+Q53ipoYgLgVJyjXSsOQ0ml6bVYTrT
hV1gTey6pyZUg0PX0oZIFLt7UlGdHjOMacSw810XxfQDWyL21vkhXdniBCP0za2i7qnyp+5sVuL6
+0jYUr8MUXTI04b5QSWaXZIbwwk4wXCKAdpDIQpwBhrkE7I288XfPwpcs2navqkcDp5ZUsMsfIMe
5u5SCx12GVflmzXMQ40+ry70mI0Ls/3v36/zyyoevrtpl89P014ESsg3QV24a8oK4EDiFn/9ZXWc
qsuQU4S2qS29IfSQULo3fut+1Qq1PxXNkMJZ92kvuLNwLtOe4o6MEJQmdTF4ykT8iVJnHf9c9Jom
U3KHn0uymY1aaz6G+BqVVRAlq6RjcRzNPj3IH2h70dIZwu4xIypJMwFCFEme7BHIrLqUlw7Q9Loi
3mb5ON4GG6WsND3NKgveOSRPKOAy7sb8JdB0qga/T1YWXlGA2RYCqEDfBFXxNgX+Xw7P/89zwnHz
D2aZmRf1T0Cny0/1f/73P+Kcfp//F89JsZz/wgHEwctSVZ3x84xU+gvopDjqf+mY9EzharaNJ9bm
W38jOiliJjq5DvIxjrrYQlShYwn8G9RJAfikw1uBEUXb19LRCfy/UJ2M2bD0d1eRBZoEl56J+9Rk
tmj+N7ecE2rkHLZ6uSp7cqxCQMNYcIsXpbEkhs7ypZ5g6DGfSjZqqWEXBvNdIgxaVTjUMWpzApKI
2uL2mBUOqsD6i/H4RA+2vQlF35NrcGntL61KPweB8D5o75nW/qERto5auSJcZYPy/3XSbbkIO8aW
amu5C2pHikGf9nnDNDBzn7uSUkGidmy053QMqlXX+qu5fa66r2ZdYKpAWrX4D8ZT7V/fGuoJofNJ
wJPAvPzffJeElwSDokAKcQfKWndYK6l9iGhudHq9kw4gORlCroeBZbDpL6rCWuURwbCM4TlITOPK
ZZjYqP1DF7foWXvzqCbtV2UIe9+X+6AuIHRoDslKhervcQ7O2eOz4UD5D7+I+s+uKGu25OmOA1OM
/1zTsP4FeWXSZcxDuxArplWJpxbWJSs4elbReHUsLC0d2LqFHstgXz+KmRuPhxNIsKNu/+HWuPx1
Vf2PrEVFHGVN/b/+p6u5//qj2CYWLQxssGe43nDR/bOTLNLrfErIv0Vmlu7TmyXM/iUguMOKw0cI
cvY2NAwyNnNmsoUvtA1WOmZH0F5WA5h+y3SmdYsiJ/UD/UgMpQMtQsc1Dkc9YFrtvthJY24c9bE1
Ev3Wrfu+4xzTldqqMVa1MpgPdlZ9ukOYbukWEHiWudWzxPiJY2fmkp/lVLpogJxiCUGShbZ2PaMs
2p3Pp2ymVJlGlBaMwkIArkF2Ba/aR3r8AVNnhQ32uZvEPjMq//Uh0wg/oBu5FL6JjLoJisehnSTh
KcyH21x9cpPqqyyInVecWu7yuoJXHideGULdw9TsHsFKorbpOGORIFsGcO65SsFOGdWudSptHVts
EKmjPVGEh14ryLpAQuyfOp8odkvOqsBpLkDBn/iN/IC5DKDavDeq6B+zcwjq4ZAm7cdQ2NFssqox
KmUM76e3ymyyrW5aK0yw+aF1ySEtwuG1JEhnE1hqdEXPsmgtTBlOhVFuYFNyRpvBS4oNm0xR2rMi
fjQjfMiAFqZN5tb5gYvz1dWAdwsrO6QGjvqUYIFc9ACDSN22mvIWwG3ZZBB9jyMD+6PSEPDc9fRj
mmJ4KBg+ADMkQzdD0FEWQ7UebMTORkm1nqR0ihJ9JFzCOSCG3JVKoH5UPZFiOhP9OSG2g39rEB2g
RQe9nEgTL/G60ZUb1hlkhabdtEIGjyIh4y4XckOHwRvqrnhWiMtdobbOEJFYcE2r5lvplWZlt3cW
OKRwtkW3uUIvjxJSW6J6UHCWHQKumx7KZZs6ZO0Vxjk0cpfsahZMW2CEqc0svExBB6HTOKEXJD9c
iI1ddu5ZmSCi9dajk5IHV9Lljpz6ptBtJrEwKDZtTogm4WjFCivkwwjkbtd/NaP/CepDLiiu6yV5
H3JRd9atpnBZ50XarImo+TPkzkIQunFMFP3gT7wX1TypopjMBoOqUf3D3fMeSn7h7uhXob8mC55h
GrNoBpic+/oN7SOax8w0cxm4s2i2Wc83TOXTBVHRrXiZf9bpYFyCtkmWAgTuYgB6fbZGpnnoBynx
Mto3avTa2H2wdR0YbjFsU87vxZ6szHZpasYD6ikVRIX+Afp2PBXfeUMrR28RCoLx+e6Ae+NojFel
a5whV78WLmmYPaf7uojDlaj1OfeNMUpW668opx9r04K+oknk6YX76SryMNT6ntCckOtaJdXcUtEO
CHjoUysfCdl61SUmIZGE18riq0ybk0vKoTkRkfPj+u7jRK4DkZJTdqmBQdEIXSCUHNE2MJJWSh2p
SWteNcH1NqpyU8se+8mgneGKHAkWnyGD6Hg7S1/Hrv1H9q9xObbHlDCoRd+YrG6462Dmklxb209I
uuWysbkNSl4VWxSiIvjY6jrIAJLAEJYRPoZhmKqnoJ5v1bFOd6hcmbdejUl/YJpMs6HQFhaWQRpO
4+tgjYRTMldgBJh59E5gEktlEdbpB2quVRK7zGKn9oVeM6lMVfDUhlm8b2IiJ3Tn/GvhqdQPxOPR
kjEaXYfqJ9FMd159PsWMrZ1q7oK4vZPloO4Z8JOukyTjRm1RSzPPWVIO4QbVGTsgmaq5FNNXEkNR
fEfEkBFScYyK3l31TlGui7QTnjGO26RrtzSvi2Mm+hdb0pAqLMXfSOO71XpGwD6RNWQe3ywQWYjp
62ojOerTpNVt6DWdQBiBMlgj2TdRHNCDAxMrxD1e2By6PoNEL1D3FnFzmKQ9X/0SsmWRq3SqlF2l
BCsloYvhIy9eiYJtXdb3VDrxqyLpATrXMe3cL8OmP9kqo74MJyBDvaw3TuD4K4LwHIoDzxkJGwgd
ZxmVoOc095wNX2YhPh2mvEVO0GYSWStHcU/E3R0m8+qWJoNWRp49U9iNn1TPU0J+iV+P73nX+ByN
fnVbAqsWmZZa3Yf7tgs2qpXbp84inDK3nhMTKm4xkICZuFqw0Qr9rleYcUQPwV+rh5dJV9GJiYzp
9clJcLjRMP4gooYILTNBkKRohHq2NruD43zVIe3rXiI+1WrtbURF2DmQMmk4JpdYbcQuVmYbZL4s
U4nSIaZX11N88prjyC1AeI9V9GcnFPENG950NFCRqwhTb/r8R5sghW/8VYg3w8tIiv3ryz2YN0rC
goSQ+S+KTiFNIecHVFgIK9spUDLz3CnrgqNTD89jLbzSsJ+boU5O7uhGT5VVrWQMkphCu9oJVOFe
3rBj2wPNRiB72oILvCRUFUsy8uR95UeDx5mWCf4AlSYOr+RVPNk1NrS+rvsdkVfPvqWey2BkjBZ2
DfqJ6XUQ0ZNf+RYcIPjRGLonBn4vvsZ6EA/yrWx95HadXKG5eNeIasntXPV0kjeYCfc3YlJhN7f5
EkD6TYO5tG2M78KvXpzS9pcuYfAYLO+cpelxqugtMnT7PX1Hlxk015vGTkljrHVyciIzJFyRiYba
KS9NFotVOtn2Psmb+6R3Z7rYBFKZ8qeLTDL0ajjX4w89KWY26CeYl88zLJKNbOdPZ1cEinTPXE3A
vjOUkHZpk1hLpNCSNfSPoCToqrhYoT/LUdvIxAMwvUxUexvMAKm+SvR9UL13bR5xDhg+3a5OmUpX
f4IBQwChBd9tW27UGh/ROG4MLJlbt3JQ5lV9eyU+5RrHQeWNlSKOdCXOVcagQ3cJNMsmfkktrbnu
kuIYa3F765zkKahoSNK2+2PCr1/bn1URzCFhMkWxrNwxLNCctL+6DtqxnzB1xLr3GTFRWiKT/Zks
kE3KwCSjEIG/VGUOa50wdw8Lbby0Ba2EyEqXep2WhGeRT6Tc+rD4dMOu9+SQAI7Sku82mLKT1hcv
dtwQzGTEu6S3orWV5Igek+KkY93FcMVfsaOU0sApceegItB0atw4mjZFYp+tqnA3yaDew0YlYqZv
ro02NIe2ginNBTqtlEqywkpn3+nemPskbxfnNEyrTSJ0ctmG3/gjkD2aD0KK2CiOIShfJTLhh14f
gSJYyWcNYypKzEtnzfLwzJ/PdBPZ1j1kpCmwKZgIZ6d3IT7gmkKri0h6rbGMmHm17ydzVWtqdtMa
8aP4yZoFV/FUq8hOOeFUNFV1dHUMbpQie5k0ulh5az8og7EuDNe/ExvrUeJs5lSktV8w9jE1NBU5
8chLVFyEb2hwGegmEmEaw8Ont3OVWUvyGJawbYDDEDoirvrIiI6SYevGIFs36Uck8mZ45H1OblWB
plBTE3op0NGsMj3HwMAWduw665pcvjUREa9J0Gr72NI05OLxsZppxcoYHqce7iNC16VMpM/sKb6N
kbUJ6cEZblpe7FJufTWioUxZuJoYfO5dqX6pLumPTd6dKTvRajTRrSpBRuJoPtGWZYTdKLtcjzvC
FkkehCpxov+betDGOeB0zqcaNQd+9Oci6zHUTioNV1CRschn3Xy2lU3/RLvQRl5CQmupjtE6c3Vc
U0jSs1y7TJn/TLthtjmAVxCxcsBbB644ZdLFXB2LvE97yCwzdSOo2SlTkUSBL6bbZIAQSwhdWBrO
wdUSohKAlW503V22Twoe/IUotPpqU9hjL8uYVbcEW0gcEnn27sDy89rc2oI23+hzTzysi01uoxW0
0dov6oFZR+ZEr0Bz7Rv9S+w8yZUknmUQ4Q6MG97VsO6JNaa0NUYOe6SxcE71TAvJk4/XgHS+fTA1
MUmI+gVn3TtczYKoPSjV49podVY+CX9Ko3AnEBb52TpKeR1bCwHWNx5rGO1Q+4y8ZGfhVmHIoP/U
nfJOusFBm5JTzYyNISTFmpY7ZFL2/h9fv3JRMqxLdTLbucHWJWT5pSCdvamjnZylKnkUPA9zW4I6
5gGTxwcJ6ue4YEOZs+vTOP9R63viw7qP2UG1CFOPXE2WuRMlkqXGVj8IcaRcjKCvqhMyH9g1c/Ww
afXiOcqUpVloDKeHRSTQUekT+eX0CJ4bDGpnh9sLVCSE1xdaTCvTnD8zjRUf9vtSC1SgySqAQZI4
FOTILWF/E9Cd2bh5StLuLdLI0ZlY6NclIi36yNewN+9ubX1kdXBWS/uux/GDpSWPppkRsO2e7JSN
MCx3baLdCF5rl5r6luABA4RtnSonfpn1q/Wg30GOApMV9IlJhVlGksh2knGZOBG5pmSP9LSkp+DQ
V1LjkeCChKRMfrvI0h44tOuzZCaS7Tk3kke/Dq4aOSm+U4oFWSicOXKGQ9Yp8Au0eRFz8JI4kQq8
RF2eg4onDFYDn7+2PJ2qVJ9vsIYE4KQ8hGh8CVxHv0/7o2ZCovyAe2X8JuV18CNjGRPLuxwK3fMZ
2qpDcUuni4HtpklUNrr2oqAO20mohMxbjyIcd9JSGE8XDTI3Skl0D9tpI1mPdWk3q8ZuP1rD3AXu
uC6ynMCSmN9ByXR2VbPdioIx76C6zBmPZZlriEwVZrskyoeIxWHAgDNiRhwA+CmTzjOpzjwzIKWl
UvN3bEYE4tYUikRzqqDBFipsmqXmdNj7pzes6GeJWynu+1UMzGY5lfh7Enk1ueggyNOO+IobVGG+
a1O14ls1G1y0VmK7Cxmb6lIjpspRsaAXEZZpqVucY3BzjjVJiYBS9YYbkeE5qTsFIULRV9r6R1R3
NhSd4jR/ssIx/HXRWuskLjnWY7LJ+k2PRGTRGwWcd7kRaed4nWmAQiUnU9cyz3ALYiLC0Ystwl01
sya9gqNjFQebqh2++ql89anc7KYk35TOBUY2o1xW/i4rsw/wZiUQEx/RuYGKsBspbN1vwMRAtzN/
4ZAE45F6hRsVbEFIP5T3w6Gx4o7LOLdew7DolqmtPdVz8p7I/4iufOnisfGC1IaKqP6ZJEMeDckb
ZzKCbJQvR4ZXQruPbSI+azsAtBPEaP2xVwRlTu7J5LzkqXkt1QAmky3eMyJ0yyJzKX9jibi9X5uZ
hfWffAHNRCc3TAN2wvhkq8M7utgfv6GXkxva04AEHujVpcFnkk/GFz5/puoTykJsSuNKz6w1Dtu7
BXuewwUAlamCtRBte92K0U6PD0E53Y208uEZvPkEB54lglvoLbeyZ5gE3yVqiJlp8P2YRL97WZDs
g5BJS06QTZWmOe6GWXG8k6P5Ntq1vsm6JV4J6XU1KS4MR+C2+wkjpyAlflVZGrj5kKYS65QrODSZ
IC9FRwHnqH+iqsweIOyACDblvQT8/kTmzqIMLfNOBrH1pNYvVjs1XjUqDWzlvH4y+LfZNcdbGjvV
kzBs8KOVimkSkHCRF+E+0d03lLbug3TjEEMAQ29ewcRVwkN1xKPVmk60/X1Yg51YR5CesWC4yxGM
4VNpm8ZaxwzohbbNhqH3HzBOlxrmg0bTSKqm30jij+neOLEd9Rzpn9ZGxnZS7fRNZaHDExe/+IVa
HOSogfY1mvRtwHhGOi4r26gVNDbsjKmdaz+1TLmqUKOnMLPiDL8+NcQZpm2Sv8VC9TflSFZn1xPq
W8TW/yXqvJrbVtYs+otQhRxeSTBTVKBIhReUZUlAI6MRGsCvnwWfmZoXl4+vr2WLQPcX9l77idRw
92WsvF2Kf+2k2DrC0OWrevWYhpaoNAJAtfktMMh2qsuPsuWW1jpIBX6vkNw4viJATFzNztVfZg2T
sd0s7Bjb6F/toj2mRdCv5TB0Z4Hk7ZXN+L4YASIlHdhviMbtfjbFizE6V83vKTsm+z2CP2GAdrsq
V49PQkx7NBFkNcrxIuAQXZuWtoRU+GRj1Cg1GfOztTYpA9yG4Q3LrKVfLPedpMPrKdg/lN7eBtbd
zxzuFMGm/yVAfq7+/daoTacVeYMXHNhLalky3jp89o1VtXjJ8XNHtf6UQECScz9tyIHWcV2q9NAQ
51QE+GwMa3axE5rEJk+R+PBrYsRnCDnEVaRin0va9saLW9SNoUPXe0LWxLDVyA0knwKieOsQA1v/
VQ0P/ARrjr1adcf8hhej8v7YbpLSeZmv4FiQJUvnYU7R/KZjdvTqNj23+KCRGcOZlwxpEhLJUH4A
JLFQbeTDfBRDfPWHPuCEa35BQG+Auw0hWAKCWL3iavr6uCtLRMQy/i1nrd4aaUuMlFc/Ckzt4IoI
KoaCZVI/oK33VnFRWmeEzFxYEY6QyJ+s3QQWcEuanL1hFPPK9Fc+jGiKr0Yc7Kgjq1PetpepVF8a
26ZN+16hnQ1ZJ7rMa118kv3RGSma41i+2BWOR9tE6RIMn0MKIdWD3vMwoslAGlRuDQjXKPuQLbmt
jSxI+4kXUa+B9aGA9FqW1qayRbfOMG6sAgTmyLdpOm3Pgkrcs9K0gnLvNf7bmMCdstM0zHJd5wWe
DsNEXhlRfCEifUDwnhhXhWfgh8sZmbLZreigQQtI905QC8E4Slu7vIWbwqwf+9gYl8FntMsn8Ukd
/JG2s3odiuHRLPTPRCr/gLWDyliifwg4QAmjjqHXJUe4ithbgmu+VE0xnjryBMWWyZHaLorTQ2XA
VxyN6DEu6bdK2PPkJqPfN1WuhWldV6fWQzuemsHez31ARh4r9+PMJM6RXnFwkHoeHR5Pbj6m5zWl
plDcMFmO5IZzAFSPGeTwJmoGogzKaVacdy8QU9hJjYs6zsC7ROmO9CLyjB3ZVWADAlxjQf+qeb+9
fSqFG+z/fZmKdMZjznw6hu2xHynFUZpoRnXsHCchtaq3QSwa3aOpLL71UbavkL0f53qJQyLta41E
M2eukzksAKOjPrcT4a7IYaxAMueMmwOVEFmADuYTbfmhKzlmrcVgbbDSspa/W2tn1bFavuZ//6mx
P8jd3A6H3PX3PQ+E1jXJzlXTo9eRaKWKYhXLFPFpUlasRXhd9j7V+jglW6lX9YUysWdF9FyU6Xeh
/hQ8A3vVgB3pZXupUmPXYlrc67qOW/I7K2kx/LxsLpih+LeXEBqmuP8a8tkJh865RwWkuLkGkANh
DfYNCWm6wxwBg1mFdLL9KK/AU+TWY9e7BhiI1BbAdZFqO5/h9jEFTwEKTBBXbk0HdjvIINrpLU59
bJyx4ZFs0D+K9ts03JvDWDKuGdhwtNlylBvq4BsMiJ/CtyjE5+lPF1gdBurmufcJjTDL9siEh+Zh
JD1XVcQBq9KrV1J4iGATNIdRjyjTHSlblabOwRycZPoxzcgCiih966KiXPmm8TuYxcPAeJi05vwH
if++8S26r5i8XrxhySoakOgPiFnroRlRLXRBSAD7a162+MewV2a9OWxGQtvYzFhk88YpuX/kCYKP
QXDfgOjjySg3Kml59aZih5n/FSdeep4nhCqY5BmFdgaieXYA5IX/9AhNT9xGyHKDXYNL/bn2sj/V
lL6aeI1hTZknh+8fcLz00ZLbOGACiid8244IZNmRoUB0XPZHce2s8wwOrrWAlHt/ID1usDcGVv6N
3yCE6SfIEpdKzNHzyJ5xRqsCLkKItVyqY7t1KZszzcI0Dt2QdMK1iBRPeAAYhq0jCCh/T4RKFc7E
qW7NbrJeXO45NgH06r29lb5tbqFY/5TDi1BasROVlFsCC9nrN1u3kTdCMM1tyX971tFEi1bYwyma
MIF08XxUlFi1ljevs0ie9TYn7i9h/Zkx7O48mzuVOHPiLR3YTYD4PPTHVr6s6c1EY2F7zfTmA1nP
S5DFBNda+TPiYs35tKOHIcFhJomLZa6G8CPLyzee/aAo3o2GjG3GdflaxdV0sfwLIegldj6OoIig
6NTud45Uv6RnBrhf1Cae+4Scnto5NoyVMuxmm4JAuEhlcu0H0MO7ti72cCc+MRO3ROIxG3LqMhLr
scnJRe3CVPPN60da1lFoknkGahcCXjpvy7Lae1l5RhdkbDi/UNtVmM6tpuM1FektovMlp4FdS9Tx
gyQyjyWs+p2D9uyKmkMviwCoSX03lSNn2b9f64a4OmbtDI3SfKwxcvCdXn5JLj/8+5locyZfKnrK
fEY3/35dq4YSMPr//SeXGhtVZjCryChKzPM4cf/76b/fiBq7YYJuq9BlM/i//8t/Py0R85EdDESh
AmQGBCEqjpUyiuO/n3Fc/7Hb9NGpYn1XmfNDomlkfs8+RCHMMA8dAZRYaTl/GPRsXdvhfaR4qBfv
oKZarJRTdjLspCM7QqGKlNqXq2xqfntiKdTlz4OLr1d3nZdeq7Z5HT0Vvo+nIKY4YTD5AwVg1/Rd
xquUDNgAgPE5ZJHuUAesle5NV188+Y7hkqINvESAQOEJI4Gc8KAlQhjTpeX0j26TC5KvjPccccPZ
jPSfmgJwFXeu2MAS/DGj2doUSNFo+dtDTU3JA/hkKa89K5eX1EYoNjbDuB0Wc+iMkrhIPWCCFgGt
vK47PxtvLaYtV6E8a4rFCsz8ZEH4o2eyftyyj8CdekFo4icNhVaLm5npBy1q/gSevafVA3jDgCnw
c3XiRn8y+6ThXppDb9a9DcibU5BYrKLBXdJF+5QeJhrp2WF24vTozAU1DVUbWz1qx1XpRO06aRFi
RU7yDaNcbuvpXFE2naZuxO7iLSVg+RWUPLYoYl6E9ND9FlhiZf2WZcaxqxf1+oBRP/YLcmO64jVo
S8QuYvbDDBAViusgB6+5zgSSX/Cfdu+Pm0ihF//3xNbm+L/PLv9f9wBQy14e//8e9eWp/f8nfA5i
tXV1RhbLI222Lc//vwf73w+aRdgjMdmY0VxAifvWmJ4LXwfLpaN1B4/KnAN5+9TAxzXskBUIdM9C
dmE78e5NEW2SCSHwIbasQ9LP83nIywuesD+tpqNx7rmVhshksILwcltH6d7wOLzcSvFWMNi5+FnH
AIsBxcZOZjzY2vRN1vjwMGJzCtuh+W2b76IMZtSV6Qq9BFmlMV395G4ti0M1szT6WoG7Az/d3Zmd
clWVpr/NS+Nv05b6pvSav2OyiJQRCSDXiPZq4llUYnroWTStZdG+dD3ohi5Hsm4SCr3VpLoX5oxX
O+fbPSm7CjNDZ2Zat0wKNNI782Z+0jzDW2MGQN8quhdneOrTL4Z9OULM3ma1tbeVYbPIABNly/6Q
cxiTUVSjsPyEboDwvQ5AQvX5uYefiptO1aF3mTyZQOzLx+No73H+FSveqKvyR+0YsRDbDv2QhUGe
3KF/xKtUocyx5bAoY1jXBoF10yDvruokYuutfN6OOCVpLMZloxVuGBsoa+me/gk+WHzJjdNk/bZJ
1LlGk30v4kOxM5GMrqpg9FaaosBmDygwaw4kVrJnLdaYq6aEJpmZIC1aUP7k3B7Q79M7Z7N/bCu2
vd7InQju19PHdFsy7t1aTUEOWTmQV07g7VQhk5jnUVuDn/lKzcZjeyNMljbQq2KT7Vjlc2NzXRaJ
h03rYPqs4Xyyku0BMpflDAdtZihBOhRZfRF0qAISA2vigQyvmOfTJtbDysw95gTy00lx5lT97lTE
ZjdO34Wmj9vZ/aTvk3wMoa8cINRmdGe00WyTlllQ65DsW/EgbK06uaUh9GoxKmeTL05FK5HlvrYx
PDmqx/D8bmbxqw35bkdmx1nra/cYVOUS72LzYVZltU11TvDKEvuhnBOw4FXKjK4n9HD6JjHc+PGS
D6uHVCR1Xx7SMvmd6Q0E9gNg89m99r3yNNF7YnPulkStLBzsoAqTsUh2UrK7nu35g11G/lRWVVjU
fnHUE6jMTt2d6i7BAMEcoxiiH8cnlXQwXuzafMVIyvaKSU3nGsFaGTOLQT5f32HuyPv26nnMYjHO
hy3VQRHlL6aPeAj1Wx4WBDhVAOY4+Tx6SbaruUBHWvQuQvLF6RNVJiPchQ+qVdFzvjyrusvMu56v
XIo0SiRpb4Y88NinQGUyz6Sz+QejyBmnTIIdURDcfRQRluKdlN783Mr5VFdlqEqo11HQAOmI0y3K
X1xusc8yKzc3HqIZ+L9jRqNrgJe5praRb1uBr4SosVXaVHzfTOuHwuCk0VetVJNc4H1FKyFmJAUI
ftnkn9GBY09Jq3CI8Pi2QfZOsoDaOxOKvdgcdVx8gC81vtaod+PLbHDAtSMqDtt+SHR8KwbmcexY
GDSol38r/T1NtfiZGnhxF2Nbs6nMjID3IU9Sd611PdFYhHJlswh59lIkVLwisgHD4tnYjc2M8CGB
s4Phkz6REYag2AlmAHBi/AjIROcRwLDsjcCrxm5c3JugTZxaEWRVy1Oas8ZCULqqM7THDdKkzmy+
IBqKRv+DOWczZfUNmhLjfz/6B9cCG9ow1k58TGDJdJ2c+FBLhpOOcOWeg9AihBm4fYv2qcuwEI9u
UpG0vXF8pw2FF0ThNBGBzvLZP0A4TyC9i5MezcZ+TGNvPQUlusmI3Z5bFxhDOmKBxYzEqi7Dbq5X
LPMFwXzOd2Zs2J89+F70N5UeUTU6UlE/+GmrRt/oJtKsSJ4cADUho6520znNKXMYNCdI8CYZBJth
gCU3kqlk1zRD3YhcTOg0sjnDzcRXp4bVBB8i/bwt1H7OsheEr4xkjCWgm3HFLD/Ik9iaffCFRRbP
Ta7vWBPBDycWfJUsvUQk6pPy9fWkDddxITvwCZKfiwQpJu5ybVAnz6AUd22Hh75lYdTYePdb3dTW
glAc1uH9oVGI6BPl/pHZaJ5M3hPN8ZlQcDpa3OuM1PDD5i2capIamtlgKgTUy62xDGaIYlxp9dsg
5xsq55FznCseN8LaoF1eJZgSWWTQb1EzRnXprTv23S1CPJYeRBJ0vv1rLvXICI/A5p5fwo0KxViH
dfLOXn4/z+FxiuB/ZgkZWGr4NGzxNJha6Lnihhsvw7YETYIkdHtjL16DVEc9YbCaXeP/Stfx1GPF
BGu2hh15rU3mZTyAsDHn57lD3SWtsttjZ/N3vK2vxTicDKfK2Wnbap2Vp0SKX6uG9Mqyt12hh0rg
EEUjlvIhDRUyVhZ/6YYL5RWIOhyUCtOiTV/DiogF9Zi8TEDuMtiDABJLDtxK34tBlNsGr35eO8Y9
MY23UfLOg8n1z6NrnLtJMT+Li/deF3Ar/PmxN+Joyx9krUFB3KQqkagU+ATn+MzoPd9ovUA2gYiy
d9lUYzpcz15NS8g4aI2Kg5/JYu/04m3ENbnB/ffAMOs0q3LXizQDpzMl64GON9SnMtRbGS9LRfTO
XRFgaZWbRKXquRuKvRGjDZn1+dAH/2Q/Z1ijXpg6XCBavkmt4jbWhJ0b+ZdjMxWCJcNcK37rySta
2R748N62OZvc/JtiBlJ0RiaMSR5KKP3IX5m+dm8NwqbIdjA2hadEaE1AtrSThDgcRVx0tXiVwNpX
IG0WNuar6ilpSw6JGyEBi80txfan+Q1mzeYh4mu5XKFtaXOt8sJlYw1RklIpCexbYcQhBVi0rsnq
ynunu2BeZZJi2DQOVXkFgfleua/tEH0VWd+DLNNIiUFJykyoY1x1TNrQ/JcjYWxYjsx2fh+ljnHK
jICjNQgdCJ8Ym2lc8ZrDVpxZ2VYZcl2n3ZtWB1yoFejdHJhXejNte4ABaGetb93uw1w142OlTHMb
FMpnQJkwUam6b2grJudkfbJyE3yU213qmYKsYRg+sTlap435VAxKXwvs7B550Q8kiwUAVuY4A2TJ
QWBKJ90iMuVVG3wgQByGKL3ysxghkHAi0kVr3pUOdsv64Lku/PjSLGZQnbWUXvxE5RgdUQ4uNyHK
iJbkrnWmwVSUQKuZwTYeLM/uKJuIz07QiJavrlmlGy+oE37QHjXGzszDY4fvvdwTsvIc5R1bce15
6D1UjooRnC1XbjaGJTmxuNwQOQo7WzMLRm1boIw2ktAbF/WrdcwUliJD9UaYzwksG+TJRoXfmDMc
Yqlhr/LYPMxadYVXecuxtTELeB7S/hr33p0/0Q6jhtHDyASmcUvakrgoDiNmYuyu86sstKvwlyXD
tsKftpMdlmNrGcYoJtmIHzedJH6grTt/3XRyTczos6bw5Gv2u+1FR0x8v0GcfXYJqHQXUYU7fnpB
9ujUXFQMgV+7Pv7OMozQFqIZPVbvTQLLuep1BiD5udGKcw0GWU6cpH7HBhJJDLbG9EJxWG3RPDDw
J+Y5Hx9MEufG6TTnuCZ0l86G8nRfD4RTpPavLpcPKXeGfVPmPO5oWLZJU1MskitmRwfWXeQIFqjK
LaQ7QfMrA3AXhmq+jGT8cptgl+kTLCFMSSPyPN50dz1q6A0kc1L8pk2y4Y/bu17+WrqTcUEcd2LH
OOyMhFNVAFYd2k3dUefEgYW7MF3Ob0mOqsIcKDczCkU7+oPpU+I/CrDTtxCCRK+dArJ7V0OACs3u
0wfNbP8wiF6zc/p1p8g4tD5znle2elsu979+pEJf9q90ciO3ZLUurfFo0m1uy6T7ROvKP1AsSUi1
LLac+ZtIT77ZaV1UZrZbfWASWu9jK/rTE3YAhyCJgXI2XF9ThSqb/GBXvtHvLwhWbu2ZMhTSyxG/
Orr1ho1Fupee3FtmsOVLVSs3QPcwRN2xcQxoN27NGK7ZZ7X45GnRD2W9QAE0RB3RhLYpM6/Lg6KJ
6Snxc2dtJczVTGZ4IzjuabipGEtdyX5/nqO7W6AKJZoR1+alUQ3K2Cx/1Wt2G7Khfgkq0iLSRbPM
TLVlAmsl/MJYY4nxSVKrCFbhQV22I+lnwgp43Xagyy1Q9YIirPP4+yA4+4ngp3fjR6WzObMg+MS+
jidgRczSg1oKD2pKruPfwmCg1/msfVDokW5h7IlmZTZp5UcEb4fOngFyMlNoZP0yBd1+Ivh5+R/h
8G6ldhMjAQp9VFz1xPu1Ju05a2AwMMTGhqY3QCrsZYkMVKdpp50cuRhts1pBDHkPhurQAPdaRXoW
llrDcGz40YOF+Jg0T1NT0WfbT2mcfPV97vGxp4jDczjRZjqAlzEeupLtptfEL5n97sSMTKPxWuTR
37IBIyASJtBqim8l6qhgzN7LuqJOT7JdQQ7AZEos4vPwQ2TUe9GNyaaBI7ijykPpyOgyhnJkyy7Z
+OZpYgW7M4fi0x/bo5dY9qqNasBqto/ACfybMaNwqL27b4Eh4gz/ESMZaRPWbY6suZBH1IS7IkUt
rSXzlbzLtqnZCy7TpKnXftJuREetP3estEAImHvwpRQP+J87078oj+QBAkFvrlIU8dW33+rp2lYM
kgrs9eM0kCeTb8x+fOSFu5jDC10AH640bMbq9t/Yr5/kgrpp4+LSG2C4DCovbM5IJxL9r7UUwr5J
jSI5GKe/6Whb5I/21y7AkSJksgpSLmRPS1cuEX6rJGA8kdNaq+rNgLayN3v/deidNZAsGtqltNSG
pzIaLwmNe5rQtLJRALCs2Q1HefqihNoaUbtD/9JF9qOcSKrA+YxWYAkLKaPPxKw+meOgl6wX6UWt
tqaLAWKS/T0yOCj6gk20kRw9+7vUTNz8Lbd9PeT2I+OX0Evl30Cf3rMk4xlZ/NM8Jzak9qW7CXG0
Osg89IDiHRm4YT0q1o0JYTCrrhfDFqwj0itFAEqmCgCXRAe0LkhXz3LZhNtk0Vk0d/h0W9t4nnBs
Q5bIkSYJnqfoex4ierMek4Diy7EJXtn+0mFf6A3OIrF3VuPsEBHAmvPnayTJMmYPG/ZoxIS/7bPs
nOQTZ6YLDAJUdph1I2El0kdyxpnMhBYfsFfuhWdh2g5OWoEAWUteS5SGS3wsogQm3Py9/QQinK49
sNIsV8KobkbBHIfAjV0cI5ub0Iry7jMXLKrvxOwORa7WNXe6cL2rNzYPweQ9cqoQN9CuHCyvOO5h
RWh5dzAEL9nAdtoR85NlJchgJe1/jpDZoX0m4OGlYCVdze0xcQxU5aM8WJBsjNo+e3NxQnt4ERMD
6NaoiCM35g3Oe53CvIWvmn0aZvH275sodWmRIgBLrbY3aaROtaLqhVK09bIRC1K0ByB4IaT0Dk3o
OUrVVZWIi7IRkmjCH1wAzKoSvoybfZZB9ck3f9+ZLgtTxV+qclAJx9FfM8/gr0k45vnRxSG1JcYB
fqAfukEw7hJv39oOsZ3TJzr6ZZ/2VHjdGWEf2YeIkKqNiOGSt95fzXsocuuCpDOCJFTvc/DnNTDk
tZhAVYyxzsC8Pi2fiGkXiMo6rtVl6YLnfgPAlQ0KSP0YS7/bqnswld+8dgdPI2TWgRZfTD9pxBNr
NO66zJ2HcnY/rAay/TTk9ziFdJUTyTgzVbBG7WNyrUVUoj9WfvCYTjhrwG+fe6t4qfPxjk9brRsH
XD9oSxwVESi3KHjq/BLHWGkcbcfeB7if++p3Stmb0g4yF+FOoXHhPRmRtLELL/XhbC6XlSsIIGRY
uwrM+spK+KvM043w+JfMDGUACGzm3Ljh2ktCStoXIsqytYsOHzlGtlfMCNYKuh83ovfH6ikLTfPT
yHpjhbjrHRpxuWKt9SmQqgSNe6YVfDNK4z1tfmxNczeBhhI4ZVVN4tjFruq9tZ4wsqQz9WMWPE4L
UbMjpDeZPAJARmwbIGyqje55JXWt9yQM5CGed/AFhKyBlPGxe6vm6Ucfm92iueYdZdrLa5HZ6AxJ
U37ucdAUrRbvOmVeXSo6AXkaG9phcZM3gfVaBmOom0dHb7BB6VS37Grm+hcNyc21B2dt2r7F7Gdk
hdtpP4OtPTdl942yNuPcJ5+hrv44JkKOiRvNSD4loPcNwTlt8TkZDain7KGbaoKPFDmkOnj/sfYf
dHcLflCu2nY6pQ6cpqaKQngMgFrn4C5Lvq2jYLrgib3w83Yt3sm74mrOk0OGvzQwzKeki78LIg4m
ZLjk9UXofNPHSTHXqcaVwmATku9Cm+3q1CnJl51C+B7xH846DL7KL0+9YuYUTdAG/fioBc0nG+Ij
REWqeP29S1lA2lN2Z9qBcDbjWDAHPGJd4Lcb5V5Mc7iAfoTxpyjoF3KNfqRwaFcKNdYeVNPK85ob
IZPEbHFysIU4AAL8tA3E3CpjN+B45l3zSYQrdDa4fQYrRPbubWBZBR2Ip3RCrWjo/VlSIpAkv4wD
yzc3wdCoa+kWgOej8LQbcfS7giAopni/XsqrbBC4NerOw1DbT4W7DCNi/lZl7rOoyF/RJD2VbkIJ
GKFyFdsUKnsSn21csZccGkHJlZtj7a2D+GvI3NfOIqcyK45jyd+4642dK/mZj7yKItW6pHiyAlgp
3eQ7aw+cWS8Y8OAcrLYuus2qYd4LYUxtiKZc5zinsuykN5BN+0sCo4H8tXBomHHIiXGnXy58PPqr
wJTdhk7xJfaWxLzK+NS7Dp+b07/T7ewTV4DE7GlE4NHO6KigRJxGlyQRlhOZ8Vmwydk4QXc1nG4z
DdlmHuiFB8/EGujeUWcczE42m2RWnwSCVICk1qQnvMf0w1xKm3gwX6y0fPZwhCKhs1mFTzerLD76
yr5avQ5PWtypByqWhv294GGBtHWtc/HYufmxEjpIsAm1kdzotgUep313hjRjrcV+liAR1wTGrP+F
FoVmbhzaLSlzb4uXI1q+x/aCYNRj+8Monburks/aCsJsqE81IU0bImsOMJrP9aDexFTwYfsGf3Lt
7DMn/uM7DyyWOFSw+HhG+VXV4t1PYL40TIJEzZiK/m+n2d4j0z7a8KBh87tk/FSEbtF+OrI6KeML
dTXuvYcCsWaRTI8YF1H3D1q7GzqysqKMF5YMCRQ+a6vOr1alHo0hQhXChNNz4BqNcYoM3TtYowLf
WXwWxaYztQfJftBLWbrmn7KPka0aL042qJ0sWBrP+Z4rwN2IvvvWq/nu9u6T73ZPoKE//aF78ipa
b9fzN4i0EPSa0z7K8OUHlHnIMOLmVubE4Y2G9sDHS/2mpwSAwoJkUYxtmnFD7pMe2Rl46RHhsIJo
vpg9Hi1HvzN+LSCQ8WmUbY/lAy/W+jNQUxPa2fRRLdywqEofcYIy4AnsN2YZJSYjxs06cvPaK2Ak
Mx8oGZQ0+TWjbhERkt6cEK2RL6WlTGSckYoUU9YTNSvXpfEeKX0KXQ/mfzQQp9CU29JBnIbpbGU4
D9Cgb86MAM6V4qZ1dBaNnJCoMtsseDwcbd5qZh6gxsZ6VDEqI53yibXAd8t4B6UVJoUkuI7kk+6Q
8tGk5P1Ff4YiXuM5lJhq0fc1WXwTfvTitpoJz5e6XCMahO/SJWH4WDcdAioNyxi1GFSH4DhwU9fZ
vXe8TxvLyqqB1gBLuyDd1rHQTDRMOvi9DPRIwc6pEwimP8jZeB1F+Zwn0TERGGfjps+hGODwrJot
zovqsNw4qd2GiVveLWs297ZOOSp87RJXQb2y70GHAztS1muBJBJnrvxs6GDTqWsOQTfscmW+eXr3
6FrOxfZp05IWx2A6WM4KpUdEZkZ2ts2MvXoVpnO9N/ruM6tBnzsuL2XSFdy/fsXGoRv/+OxYY8is
wCGbs2sUv1y9u0gZD5I1+oNVj09MYS/ZwFmEzfBTzuinrRb4FxzlYWauphNEEOCmNIVEuju+szvG
NzdPd8LtDBIKSDdvl4iJ4Wn2Z8oDekWmAsi1VmYfEn/hmPpxqpt9aWkfvNEcyyjja2meBaPUtByC
NZHbe6saj64mtq10rvNk3IosCUU2L5YVH/0DkMAuTXkqXSG2hRvcUNg86KV8URniVnu9NNGDr70N
HYtKZ7mPkLczoTSzLTw/Vs22dVJZucUG8Eidyt31FvQAIYVWHEpGULwIYQ7Ts02sO2c7jVifwXMd
Tl4vDq2WMK9tz5YmWOSCKO9d796YGluOaTqPM3oant5J6zewf6nqbZYGtaUeOy9HGyng9TZjCE0S
yad9tL145pDBoieJzJ7K4TvBJuOwjV75rasdK3dmNY+y2R9MD7Q3hssk7Y8K/32FZFnWjNzLAKlV
nkw8U5P5wVv6M6cNTFU7P3oFYdTaLH4CCMzb2ALM5mYOi7vyr2z5FGfstnWvDSetY3uomRamV9Xc
3Ebd+wb8ZhDgwhh71izw3BQFuoT+g5JMGGxWRNRI5F9/8iZ+soAEhMB1H/ys6PeFnoSOjuk1B5hf
/2ldQgl9+Yiq6zGrAoJQXBRkMYQ+BhFsd5g43iOvPrlGfiNZ4BGtI+DUhcWIDCSejE1iZDfPnh+k
oGooBk1sCgPtCSQpl1t6mvNuo6NwYif0WHF2oVSnH07VjRiSk6ZNTybCYMy+X11d7rUaaF6eA3tO
5Zm52qrx5tvMTI+GjkWOhwTPbXy1MhP/ErkDqXr93tGdy1Sn34FDmKeHIHodONF+UFq+b+biUHfP
nl/t0RjsdK9GZAqvPBmjt4rMMXBeO/bvQCbzio+0e8sXw2PHXgatw/yIBD+BLYfkEiwUUwjxO8ju
s7XJ741wewX2CO9U16itLQQJUUNWXe5eezMO2yB5iAV9kE6iReF5l8TLHg3YhW6EH9g3eW/z+lhj
BpgMDUNQq6F3xemyuIg1aks50aCg6GHGYxEo6xUrnfSXlaL3HfyBKRcpLsRkuB1vVjNg74qHkEcu
WFucZVuXxtCP84PVY+geMVZj9HEi76nPgo+UUm6V4tKfkL/DR91XGpKaUQcBDMdtsNs6LCf3Sc+q
D3MmCY99LKMat2r3XjWDMMQ8yTTD+MpLXwsrb5kT0q5ufT15sXO93BljlW8HhtM5jo896qRtPffH
/JsX7QUGIaM6tLNrM0pvzF/0g5l++2ibGH06fMZgDflnkBgyD/EhqeMTXg7K2ix/R2wSrDxfDnQP
qbE3dGNr5FW8YpGlwHIBdpqH3zFAiGyidEM595EkmncunUM6jMNeibwMMU7blo4IuNnIhHssJcBh
jbuCGbbH7AB4fr2NnPGkCZ4wYTnovIb5lE8VVk4V4bd41LFMSFUwW1HcuXlliA0J1xCZJ/PdHko/
9OlvR3O53QiGnVMjYFZucd5AV19T2xsp2v66utUKtuB09Kq6J1IXVYveTnvNzUoM3dzbNeniaKkY
Hmk+hnMX8bodC4xhJSfY36QzjSeUhK+IvJIwW6y6PdkqGND2gVIPkiem1KwPzdKfUreDAwTSQ8Ts
8HJJOAH8ZHam+ZdrI23KGw8mqw5D5RSUnIk0/sEOVfEHhNe7rppw0OkWcXAxVYm8B1MZGBTpEM0h
weLZIjlVSTj4xASXCBO3Edub7bgmYwjflSm+/4ek81huHMmi6BchAt5s6UmREilKKkkbhEwVgITP
hEt8/Rz0bCaip7urJRLIfObec9Mk39Na8pIk/rRuiK8ExMm/PSGnN8P8cwqRPeBF3MB9bM9kcB2L
Rr6kiFKG6AW+ZrAd3UrxOa593KVrCzG76ZHfxuZnO1Pko61pP9l3nQuLmV7ocS/LmeVAi79zPVjT
c+ywgCg753tK/PQ0RS8VKZy72IrBM5AGTWPwoFG2MTOjZTMl1LOZ6muZWQ9QcwAsgbq281cTIjB9
An+F8R5uQyXSKwz5a9ub5t2Mxh5AhjTXZL2IT5eYS67cVF9wOW8bx6mfFpnpyihN4wNWIzkboqgu
MsjC55BEAIoETlsif55ITPY2rms3KCYH8GXmU+7Ym3BJ5ImzfDiXdr2XOmJzw3OfivS7IugAW4PV
bWYvME/jm+dF/YccjeaYl4lcpz0zVKcuP0mIvgSRbl+wergPyYgcNRr94tOgLQ0SlOGymhTBDaN8
THtuoFJO4Qd9EVHHvWtfBtZxeyQXC/LOezeNdPwkDQxHYU34OblK7YNvgxn1wuqlAGz7iZoEzlpn
GQQu1c1rHJlHkjt2orfrtw57ArYLfkTyvmE18CmWSIlCJDqfQRCKPTsULPzLJ5mbny4U1ncL3MoR
AqkmnjA8tX4Tf5SF/TB1/viC2th4KE1mPME0Nm+J1269rCM7k0D7R+0rVrxT62wcZ4J9zWoVfQTi
SuNDkuy46dr4phtmfFFJ/6ynY6hv8BQi3OBVu0KGx4DeYN0FkJgZi3VzzWxTjk9+wT7ey3tsrT3q
ETd775UvDtOcjExeYMHDB58n/1Itqu4uIJZJT+2JAR8DRQJNslqth4zViETotobo9R5JOsIIVYQU
n0NSEn7TTZ/UUkeJpEDwegjslZhpafTmdE8E4quOCLVhAXETOZFyFFWnuJofGc0b2pMMC6IPoDy7
Fo8otQ37QPcg8Q7xe7IPSHniV1MIkNlCTWqmt6LnBgwTi7HCWF8jGzA2TnGwPcg+I/9rEP6d4owg
mOX/wBVfYKrwFq/ZcAQFFtDHoaNBU4EIppJbZ/qZMivkYxiydT3P11lRgmo2LigFcMnHB0aV78ob
2lMYxlerL1HTmdZTCMl+NyA91QD3uUdbgtgRmhUGRAPegdWyJO0ySE/mHxFzVjdcaSmTfxuHiBuZ
VBGsOBlGQvCmhvZvke+Xu8h5FjjkeScjWtX9JAxArXwrtkRf5zk8eFn+z2MkpJAFrdt2/M3wx9de
Zq8QWZLn5TC49clnDQwu96bJt5hRfK5hoC2TPTJgiEoyYsGmSpUgDO9zsQmzqN34mvmk1BQoTLGI
tSJ5GoW3jwGeZUo79VuoyBqpEENKckEQbYiDXX371TSckGZOq5i5DbtR+hy3gWc9PbL3Y1vu/O39
GHtr9WYZdI1FZumd3zsHp1LvsaLaKCdzazcmAr3QRJFPXGJT3hCMuRu79+x9S7OJrBJzHFKXokKf
A0INQTD28aDbmTYshzHmDfHaXZdkv8xcM856BFNeLY+5wPLhFygjJyXeGJa8x62+4rVg0c0b3I0v
jsewzpnuYNKZclWE8rlvEypGUhWrrW+9BUb9d54BSTodkfXcHrGNW8P2Lrac8JuCTNfoZ1RXu6sg
2pl19y3xHBGJE9zQiTtH61wp62XIOdRRA70hvyuS9lbBe7jmQ3vkwkIvwYS/Tf71sf0TZnyS9qAw
2Y7XAptuQh29hYRAwwylK2eQZqMeSqFJMPJYjBcm4X0MjZB1Tt784nSIwIKx8mmb4mOp1IGQT5JS
MiR2KsOHQQda59iVuM4PvP1/KwbdDuNZtkGPVUT4DbtfdlUkCNWOi3BedM+IF/kGOhmjzlR3Q0Xw
c1ABdP9RkXIsB8LPVp1MH+O09TZzb5DVPDA+Fa/5EOLUgZF2JL7Knrz6kdmam8flmsPmZtRUcGGq
Pgrg50QG/lauuHvIvRfRLkOHRnxD3jkP8yF2fseAdJ6qJ0N4YSPFiQs7tK252ouPAYv2WtWcf6BI
0gZm2qK0JD8d3lM+BJjg/40F4ziipHYpZGzwtfLBJd+Tk4G2aJDRT4/5g+w9a5OFwa9D/gM5193K
ZHnt9ijtxC3kflg5vNNhEahFZ0kLVhisw0SyF3b8Ob8C7/5STktq8uQSn4CqyGi22ZSiGqyO6ZDE
wP3GZNnfRvDUUM22rbdGUlOtK7t5c30XALKNeT/5y7jrzTenO5NUHHCzdbYGnDlojDnaW6DzDkZ0
5pwFw/SVkibLyH/aBkiVxVhbWGs1EO1Yk1W/HfMVzyOqoGunrcoqa9d3d/AO1I0OIxRhT08+1jjP
uaAnFWjPlm1tHbKEQELiGUhvkRKtc/mRlaHcw5t9iaPoRPbHuw6d22hbL948njI1TbyqPIBC/bGk
h9tXtL/sZGkfFaEdzXbUZNSwj8gOhD8eDCNhD9f8DOTDx4PezjJdqwkXZtgtd1XUrnGa/UXmx4ng
znehUfbmtvngQIxBD0SoEoq1j5rkplmW7+mUsGTx5h936H3070AK/eAr+OwFZ2hfexd09qRWPZY+
+0m+n3HF89C+D0mbbRrN4WS2h9KIsEhGjBmGiVJ6qFH0sXgNZvU4jvmlUt2WLRbGoxbt3dzjyGWF
xeiZVKbxMrWLozaETTXlGBCcRT2Zj/zTckS6IefqUw0wps1/pKJ9JMYO2MaJv0VoHVnQnoSk5Zn2
WozTLSOPDkXzZ+TTO5JlE0r+GzCkwGPkd9dqgoOl03fusAvFzkEIkh7kgIKULJPWdr7GBLCRKXB3
hQ3KkahCHysgaTUOIkERI7tk7EzAlZZHeGxndotnHNxb0B4bfImg2zNEAi3AdMQQ1oYfOODiPIao
qgx+LjN2nmvGlGuESgeGtX8ZzpMNpHnn8uyQO3cDMCPjboGXtewubm6wPcLFr2YE9LqONlX9JycI
oTSqceemwc3pWPzB0GD8IIvDxB5vP3rdvfrPqJTjQVDepvSofXSeBZtiYvnoRdErtJQ/qpHyhP+V
mxNpeDLQnA8uYyEKxO0o6tc8nZ7FXL6wXVk7Y7mny+5Y8b9XmuKqs7lMw1iiH3f+QlTDC1fDhrCg
pM1GCjTAGBEk4EaXxywE/zCU+9BkJ6zScWPGhHPzzMKo98wjMu0jxQhKliuJR2DzRP3U8j7mUJTY
GD72/kRI3pcOzLchU7gVIPo9Sq0evCGYnzCMvcVz9WUG8ju3OeBjqzGOXP3E2+2kjJ7iUp877kTs
XNMjn+7B7/p7ZqUPaI+x3tEzO679pgrcGsVPJHcenjLVQ/KYLT4VERgMtJunOq38TVGS5TvO2Nsn
GdDOKj4YpRjbq+MUF58E5LGSUYckZ9Hkq2OmJzKbkbLPmX+jpFk8pDCF3iNBxARiL7W1AC5NseVs
eis7iQGY6qyOkvGLG+JbnRsaXJQeHaKMfQneLPNG+gV1aq0w2fjJkrjOarMP3zqv+aYXuzYpprvF
8rI1s3HTMI0VdTF8glJioNxTpPjzLigqsfcsfajGbCsHlNtliFsWCylhlNgwJXEiQyTxl6MzEaz0
uGnzteVWv1Yd3quI+aLGnKGpodaoqjpKBoJzZjJurbemc9+Q+r0GyzymUoTQIJO1i+xXUQJ0YXd1
QvGEIHtf+yVFMgJPVstn/EN3CNLYBtOj5yQ330FiZdpc9VmtL5D4HucCRVMu7H2sg71vUYJGGmwg
1tFtED4Yszibg/0elvxTg3tF2hcQQDEeBxtTMTrTDba1Z22P363b3WsGFKNinhEVvPkOwLhkil+g
llGv8HQohE6aWk4Z8dYwZmr12WORZatTFvs/EHyeciI+gMgh4ID50LgDd31DjE6LzqS+RQH2qNGm
1lrKlMFhPBsn1CKBJ57g/p5BimEVsUJeeO/VjOS17OajraPXpDJqPNvNQy7lN+XxKm+6dylKqkps
aRN6+nTYVfbM3eREIaETCMpGTTakj/8tLTP8/bFxmEe8zDZwVpePNLYuSKXIyZ79cyKM25hVCDri
Yp0mwSPRjJwJZZ1xEu1GJB+OzV4h8I33ubgFunhrMzRGbT0xa/QrnEmUgqN79cyTbf6LsPWxQ+UF
w70XUBGbI0GMafHcGmqnFFooPyd1cERa4zCeNFP6yWpIC+xom6x+GgJIR2gKoAIkwLntGRKQphKL
VXiB7kbsK4qP2gLLNtS/pLh/Rpb111r1SG64PMRTgQp6xDq2Chlhrx0jIKsnqw8WUuzKyL8Tpolo
GsDS4oBAqTMaeXfsIiQiqBUgDcAi3PuD+y9IIgVaVr63UfpnsrpzXfR35fLoytop19M/f2ZuKYtN
xzYLV6mxAYyo1zUmAyWy37xJSffpue/b51SiN6hFdfALqn82zQ+DCM4NQ2fWNMxTDJQB/JHpEJQI
OORn6ZCF68eQQtMiYfSLJm4IsQp4kTohdvzNBrbvZOTNK8MxHkM82HZgfLh2d7Gh99SYUGNLfyI4
fCmp0/ACuLsaR/t6jJ4cbWa7MTVumSg+8ZO+lgHPOawZeAT2m50GI3+m89chXgY7a0vtEP7gMSI5
pafKUGmGRV0myEKN4iw6L9vVEUv2+j11sueqCx+bsGXcN5E5ZfRrq8ZFDUb2oVb8wF0+/zFQWe97
TVltFh8+9U2ykHTa19CowO6nHp3ZZN9m2wr2Y9i/h/5ranR/TBus2YCqYtOlycHmy9h7BQfS9GWn
3mtd0oXwO0vb+Ir99CmoT2HCWWigCFz3VvM6CX0ZCh9Fp3CIbzGvMqPFYpWJF7DGHjHS6ZDrYrM9
dKfk25UzEjrIQOzp7vhjzn5qvvtzd+4DwFgtvoUcnVYMBhfP2LAnnwb5y2juZDP8YFZZXtus5DYt
XRBfuaN+hpD0EZYZvOnriFMoafVDK7x3Yci9S3AqRabQW8Xyb/whT4lrhzk9kwrjROKCtYk8hyAU
1gu6ZRlUP5FrxQ4fCAm7697cYm9kKB1oufHc+mkceO1GtPM+WNKVH/ruNilsivASAY95l74ntyOQ
VmI+rIGswH89dQFF5qEnI4UqjmI/JGJnyJgI6sE/Sbt5KCbmAAODMDF3FyPOf1KLTHmrVS+4Z2EL
0hFvd15tnYXkSiJx8JhMoyaXdpME/XvEdIRxHdN91PTZyJY01qhtQ3Yd9MGsdnq1kS66JPKg/nk6
+kQCjN2btTKdCIVt2o5bkpqFxaEcdDdySpPVUNbRto+HnZ6qjzoxXjCvcGYxvxgt44oG49Tai+4F
O/gSt/K2lFRK4khEbm5sfe1i/MnZvBj2c23pcXFPcdA4q8ogV7RI+Hhsp/wVrncq0uEHL9L9P/oE
cb8wL5ftyBjyNQY1h1KGNBnHD0Kxi5HiwPXL7h5NjBVK5o0sglEtjcykPYW0PgZjoWDn7uz2QoLB
i1tw/LUV7n+l1W75PXxTHpddeNfZx6hiREOn/CPT8lUPtJNeQrjU6F7ctD55nvc35slosYqtfH98
ACCEusrozizVl91cvchj2H+VxVM8en8wNu2LJpjXltM8CTkjQW5vmR8fh8T7CUlaIMRvP5XZe9Rm
iPwNFswJBFX2SzlPho4The0JAEjYOScs4qm/tHhiOIUSCZhrODFFoODpCQy91cq9RMuwPU4+c6yf
5xEPSKD8i2xiFhZUv1lmx1zz7ItMxK2D9d0H+ssNI5v483ZByQxbKf9PEGZOGxh/4sC1V6b11jeL
cxLu/aZx2RdTF9rDUcz9eNaEMs8WbobeZN1bS/dGE/Cqg6Fc22zuES9lr33HLFtDkWX9km11wnPQ
44Ff5YVN1NKeW5YZh4LEHHouqubHqcQ+n9pQEFidXwHSXB1Z7aMaSqhh2Ne4bK6B270nDYpMk4bc
Mi85YqMC+YUxZU/8OAzupwez8f90hjgu4wB4kiQ+KESvPrJjEmzedVVijwvTXdKRr9rOtOs+Iqeh
RSY26HkbIibhQFkzWBzAo/OrEPd2YxDGl+D9QON8GEvobSG8S3PeWoZfbOe2eg9QTk+yI7W9OROt
JgCbmD+TS/dUAe1eVuGE8eJMgswLRCMaoFwaj9Bf24Te2VjsApZlPMei+hGb5KDkBCYwX3YtGY99
hD1AjuEnEC/qwVzfsaycsbXoKUOEyY20ytrqoyAvCPHM9DamkH1Mlwe0psrx8+x3ZAuzKchsKrzy
u4PnuUnIeWJ2tq5zwegedL8IyWtSmuhWFCADhO45tG4JmkVgA/QSajrGrgmjPiAnkAPpLYxJJXMJ
7sq6aF34bAXrmhmuJ1GZsQ/R5Alu06S72k13943wK2fNHo1UvwQou9A0mFyKumMHYqCV1c2Hjo2P
AEkjSTg06SpO16SVYoz2+MBUb32UlXoN3ermj90dtOyik2F1gL/+fQy39cTZ5dT+tUR/Q74UodI2
g2Hfyd+9jBlGwrINZym7rhYnbPCWGai6UmClrkPhk9EluwX+iXAWB6cNBBOchCPU3vavwKe+Ydsu
+zLxFLbBJlaWuwtbD/Bx8pGay1nteRVQjDcSQlfsW9styepMDYl6Tpz+Gk0QRDLAoKuqc/SGVBNZ
MrxxGyr36u53atyqkSQXWGezXbUHjlI0GIYBUwOGJzl7xHe7+OduxHB/FCgoG8NpsA72elcRot51
K6Zb7Lda4gFk88vgAmDnDKNmZoLVogVdyQI3hYriB1sx1mPjjWFx2U9RopjYiemjmWk6NlKwYB/6
+Stznu/Mp+d1q6c6UW+RSD91jlbMbLgUDJ+YqTx9wNWWb0BmHFoFf1OUB92xHmU3D8HwErMGQMMk
9kaGHgFDXH4cW7wPPtaiSYySytc4yXqRJ9I9dZH8TdzoZtfOaiCQu4+rX1YWZLO2p7yM/yakOAIY
RGLSXV0nPVPV/C1z1gtB3JRYyskbL7vh2ujo5o73gr9DdFByyiP33GBHNV200x0LrCzRv9RyO99D
mOVjgkafXek9Ma+k3YdEX9df9qTy78G99Aki6ChhAemGPb8WErnUT3igMS0zsJPr2PKvbcdobAJU
O7msAJpTqII/JgOBR2ikez8an/WYtMwcCYpLFipm5u66UtWISLn/gmHhg4l7aoHvT7hlfcNhGoyN
Ix5QfoiA+MKhu9A1i1VM9DTyyoT6BtpNDMgYiw8rv34QUCHU2QsGvr7hLUDN3lQ5HKmxeRcpRdlA
fl8C2TLWHc7m6KwW3dRouz9RnHIXcbJ2Un+Jips2l39Iyoi2jYi+0jB9HZhcyD79tknpYaFKqDZ9
jzSeSrOi0HOaP4JxlcQ2sYKxznNXHFXOgzQgDnOHf5HhflmET3g5eXIzFDtMzxa9V9PBV/cZUeYp
NpPQpb/2Hf2m86U+pgiaCXEgBLD3GI3Gij9Puw70Rbf6q9AkUp+whun01UgQ5Xmt+dQbQbgiQfJa
lSh52bnxsUXqmuaMEjBBSwX5LwpghqQMfG3FtZ7lclcvhnzRf6dte+0G/Ar44I0y2lCqvYK++UDy
8VayezyWLvGJy347nJs9mj7Oorn/TUkAh+PxadBirbOk3vuO88W7dPYSfRtAIS6b5LsbU8jTLd1J
LfgZvXofN8O054m8ydLd9kF7J1QeB6wbqRXu77UXNj84Bw7j0OqjkybmugeH69urBpbpBoShOzaL
VYOvM4LsuBgsfRSPGemlhZ1yfYWev1F99ILGZhsoNigmlVJcc1uGtdiTFA+UWkliSduSPUxyrV/7
5ZvoF3FPMHx2uv8JouGvgX1dQEs3oAKR2ulIZL9CQTOh9g15UXibUtLV1iAHsEymBdQw5s4+r5NV
sl5qjzj6d1GHKYKoAg/Dj/dQ5sgEbaO4GzAMKVzLRwNyqrCN6KVN2DYDye5bVhsRsO3QCpGouw8g
/2gzneGxEF2yC0tO+BDegs3PMaTODh3whvuIAHO9UhVL1AS/Z1Ilr8y+ji1p79oj38t1LqqHluJG
00mZxj106gQv/1ABxnyq7fg1JZqRAWKZHerc+dGBdalANU1pfJ6G+tJ0ctf5OaQtXjJxmYxGoFkl
IjwqLrgp9rlnPmXUJS9atncWhYMF+suW6y7KECMLlyk/E9+KQwhKcL7rrK1Pzh86FhzaVw4G8oTH
8alJe/ohfEYl/FQw04x8cja3JkM9D5BGoSZcy9jH7NH0iRMKcPBMxkvHQhBRCIEu6AWZzEYZTDfG
YYnn3ON8uOcu7NYi8eqtyllKqugBphxO3NIg5qbClN5RNrIjxVsLv3gibwAk6mDcZ6Rg6ywrQlgA
9s7N5Y/F3p3njqGADQEdYER8RkW9j+zpLTP5BpuC5ayNNcXDXWAUfYNIH2tvjapqeWDF7Kz/e8aw
in4VPlGA1SN486/QUE90qNnWddX30GYveiZAu2kd8VAz4cftbd7LZPrAoYUqPtLldoLccgrymx0s
keOJtokNoMrxpSx2YeJ22yyd3lyGx49exjlLm87MTnPDJHlKrYBgqIpTtTiyuQf7CuUhysymycI9
z6nDbu+I579jidCtkh7SC0Fhc8MCz8yj12gkvHboh3Kr3IhTdmthPydnvtooe+mVpvLT0hkz5uhR
ptmzyTwM361hcWvWO2ptDHIZ9QnEjjUDWj+oofJFiCriwd5rUEqSmTAO93URL/hv+dFhDJ7AxNrc
Ru1gnRwmLivQAVfRsjW03OhY9vq9cjiU27Lah0wFEn6YYWh+mgZUKWARlO0dfxazmWC3XOopIzXN
IUqi+Ic3MXqrlnLd8ObwUFv0nayC9BB/FJTjEAO/K48PJBGeuVJd/mgZQbofiJ6M0nLv1PnJ9agm
/Lx+nbt+YJVo/thoVqvGwURVxUhReFwGAvwoYOlw7eEiFDIbZ7FTVXXBDAI1+nKgUkKBVE/jR7Mh
hD3mc/W/4oGaM22oa7QAwJXL8Xvha7izaazV2N574f8byvm5pzDsu2pf+C9YZ865rrq9yzbXivN5
mypqc2dZMXfQeE+5iF99pVm89PGLX1fUfa75jKG+WPdRRcYLgnm3OioTop0dwjZRodCPJiLeGHsO
IcduwQKwzUiytP+MTmaiTB1+C6K9+VXTpZzrn3O0rVgQ9jELrWMTn5p+CskA6S74Yx59wQs9aPdS
qoQphE9chan9d8DO61bT4szqzaiy8uyaP4TVb5vYhVfcW/c+yZ88IFqL2snZTP1w6GgiG9OUm7C2
PgaGRExkPslNSflNu/40FaCh5volqxmVufkvsM+gjM1tyJrDbKKbxRwlNuU6qUj0tXHZTUjA+0X2
M2ARwHb3MTGPWOqAmQEcGC7z6rId3NnAWYGeTdsJEqiT74cJqTxj/i205SejnYAgoJRxcLNOSwak
V7KHsNedAwdixvuz1X5yBqJw7vLwn+ADSgLWEj7DF272kVTXcQNi5kx9eHXdAviP5e3yYgxxCb4i
ryHfu5wj4oxY6ZgA2FZeHf1RNqjkpWUJynnbmsHfbqo57HvCc3XwV0roDLUVXAJg2ikJ6KO7NhJW
tY1voDtBTu/lCbccCwmZtedqpg63NJggrj5Zxe91ZH+b4XJaNRQPqXqbm/RzksaDmIA+uTnC4ZSA
cJbJO88oMUqyQl+iuAuRbYbpxgEFNSDEkggogbEfHX4cLvT9EYa/SXleJ1RPRbYoixalHgZ22wl+
mJXQi9k5MQ4sEDp1bSIKiWFsy5OXsAnqHqaGl3KaogtCcTQfkfjsB/+PlVWnyUTsPol/Xm5vVMv7
05lcMko2e6PlOenM6AJYlNvPvpgeKRl9WD31XgSSZwHx3AqSgDZe7QTHWOGKrpv4YAjjXXsOh6CB
nd1i21TJt8Byg1OQmfAdYUCxtGWZHjQEVrBUhaU1PBUt3sqmekdm5DJzcmkRlPOcYooSUX+fvfHc
d809Z2lZNT66PdJwM/feoHqMdXmTfYi1v2EEGqydYHwE2/7E1QshL5Lv8SL6ijSKDI5SCmwq3yR/
E2by6RXgYUy2v1hat9q1NAvDcd6l1vfkjZc5a6ofcyIJLXgY/O7mBoRemsRlLbAOcQ4xo22LZiJT
qJw/7clGIWeFJfg2jSsdnQcZf/b0qMtiM3lgu3jdH1uuwgfbQaqVTyyqXZkgfsnD4NqJfsb6wUUq
VRntbL8CpvRbklJ/TctRXRGnMNTVcXn0u22aFtk1Gl199SbU6YUIu63fs6W2MZzbGWVNm4bi2rLl
hkKIlT6y/OA8iuJoBf18hRY9Xy3K0hMAtHdE/Z8earQuPf33X2IJSCoMWA7er+CAMZiYgtciXYgM
Qt4xSLgrLYttVxQvSSbYpUb6NEci2vJ5r7AEE2g4jMfEdC+jZ/FognIfagg0A0ikGW4hq1ALYX35
NxPCe/Okd5sD/RAa4r0RdXQNc7vERjfJM82eulR5j+Vd/pjFmHx2vLLOPyHYkIXoXx6KIaF4T26V
1tMdizZB7UNSgf3Cf5wrekPqBw1SqBE/XXoBWW0/+4REYQ4PSfHOEZeXeRxucyjg9uhbx5GMqn3m
ec1LjgWGcVE4/CIsJI18HcPTOrVj6Gya/Mh0gHzrkj6MMTeZ8rnZXFLFTt6e7fIz7uxtszz2hBLI
rQ6jce0tP6jAQbBmvYe+tA9PZh1Ue1Tdl9624X1MZX+ltSbRvUBsZ2XTFfkWnQeSJNfNJrIR0oWp
D7ymNGwcm9lUHpYXdCN0/YuJAsFa5vlH2w+ggSess4DpcFsW7XeUs15qMaKWfe4/nvu+Rgxkjb+m
4XlbFMO4wCIXqF4ib25Rmr/IWq62SvWfiG6SzyXFf5V3ZMDVffbgmoSPSDAiHelRV0PWXOHtg9Vm
8jfy+y8HBO0r2ey0ZEH0Upp9tkOKNDyJJtnNZgrvtkd7mnd+dPMYQ+IEdttIENlT149RJUg2I0zo
OW9scaDcmA8z1tJL7bWPVoODruafH4dw/o7lMfEhEiETnDdyiOWOx7NAKDaG2OdNczsn3lcwMdwz
rOFCq76MhGCvGIfA7K1bpJA9eRxolWJZr8DBxP6MJKyhhpYYqVetENbNGUjprHhf9//9JVBBZuqR
RU6Hs3hyfAiiCDKhyFZle0RUsMAJE5M1HVQuYosu//1VWnssfyPQ1yL+wxi63tq+0BuGi8otb6E1
s3cjJK91csYcNN6MwMJRY28PI33zkpY+2vGgQ0VEupSyeeI8WLM7m68lgpGnClr0iO3czjrxGHWw
Y/CqvYX9UPOnGPFTxzdS4aHLlTdvymgEK0s8E2Z4w0HHCl4IqYuU9nADFjre8CmoR37BHbZK5kWT
pdloCpy5UhHiAUz8Ek3JyX5C68W4DevFjE7zBlZGoZg3jv/9lcUFDXEwO3s6APCsvMcZGHJP0OCG
pjre4h/LblXkeo8BgRENEu+zN07reeHUBe1w67yiQ/YIawOwWoK4cWNXg3lIopovMI5orxr77GVa
3ECdDQb5zjT5jAnZ8mVl+TxBuyAsoJ/XSJVfiCZTj2aUkLaGEwq5BDFvbXGVU8pExWJdUpfMaRv1
4IwcXa5Sw68udsv34TTafMxHBmQoZF57UqFooER+hplKKKkxnHu+5BFjre3a8cdQ42bX7cVuBnnR
KY4rAEDrgNOzcZcB82zoC4mgQGEmyn1mZsWM1Ma1fHOjiNY7eZj//N85zDlZ5ho/ij1dsU9uY4go
GbO/jQuyexVG/o8937Mc5Ni0j1DhPJQ+GyeVYTc1gTyVDj8mOHd4NgHS4qiOAG4y62grxJNW5j1b
DdCk2A/2VoKijDTs8IzZFV2dzd0YsG6JIA+jB5ITgObwIJLsOZf9ZxxXn3FfPkrISauSh39TBiyb
jTkHeIc9CwXYLABwT4spwfb2lY0rmmA662IE6JggK4JmMUO9Eao/jgN4/aAFp8vV/TgNgkFqgO6j
NLN4nWBLq3r0rrqP93nsAXXCZ4iTH1N8RBdugD9HnyYPLgPvMH0wUGOtRr+/InUE98oRa7p3vD8s
cj0sFYZO0PIYBXKbHt/GaHwlMvv20MWtOGkBk/JvYJketyLRX7lTXJhRoQesE+dglxkuq27a9PzM
iuCONWyMdRuCLxhlkexUfXYhY220zZ/ckhSfCg62pqIxZiwMnIUwKOmzr496Dvl8PJolyxTBiLCG
kkhsyrxWbcnfTzx1+e9/WqL+gjRdJORyCzwVnza9sa7QRnmqA0wr5yteeZZuIasZyK8XrBQnyx4X
NLVjrfsUHko4e2fCM1BWU5Qy7CQHpBm/kaNmazcZ9WbQXy3JuheSUPHkBd1xqp23xIYMBTCa5S/6
HAxNbjdkC4b8u/YKCwflvwBYuEKS44dGcrEJZDDa8lgvTiZOEfJykEWtppI7VaVbZZbsCxUEfD0D
5KI0uiXAG3dTh10i63wPch87CZ+YQmSAFIgGrI1thcQcF0keIvaJ7lmJBLlJrOjgMtujSxj48fY6
7T9BnZNQM9d0/WPjvMb5axrRFjqONx/6jKHSkmPVBvwrdGBHdqg0/B21HUj+dSnM4CgoebMpPLLU
4SuyQlqJ0b5k+MqWK2vtk/R6dvz7QIt+kGkOvr//rcmIXbO0+hOL6LPhc/UapmsN6LqA8cJKmy4x
ynSsJLPuCIDiN+ooqISPg335n2bkO5KjAfucpc6670eowctj0AQ7dL+LVZiMIdZfTy13PG8P/oUQ
Kl9HLqhZzfTFqb/HjIXJXhgbs5YUudiM92aBQIaIDYtGkmUdke8oHJJfw/Q3/lBDMA5NVkLIqtcg
ycHgFxQthSImLAjh4oyy+sLdCE7yf4yd2W7ryJZtfyWxny+rgj1ZqDzAtfpesix3L4S7zb4N9l9/
B5VZdXDO000kBMv2tmWJilix1pxjjg7EvAE9ZK5RhNBZs0ExJmeg+gwLDF7foEgJTJkUQyAYGhqG
GOOVbh4LXa4K4b3aNjtPHBDSmLU3jyOE745oc4DpzOrC/IEQki1siBRW1maXCd0IOnHp5sxg8/Hs
B7z9/Jsuw3xry3xl1NVnKOiupA1k3R6v0uBy1lOhP1vhhyuLswOyEe2V1JaBHnRHRYtWKQ6PdGg7
8o9wYpqV2KuIVtgW0lOusuAMQ6c91LqHUAWSQmmNmN6xiTh56y8bndlLp7AW5BS9c1eKfmZNjg6/
x6UR9aoFY0mHxMQ6hHSNwnpVtejDPJOSHo7+zC3Yhp22Q6Omjd9KMm45u+XznD+bvhxS4z5FX9cz
JFLjLV7WggUlQOOBowBc98LEqJPG417resLKUjq1DQPh/IkmyBnGBJl5FtwVadNkNSOuZNVjmIgY
YspZ2GiVxUVbWHh9iPucxQNZ31pdvGJinOpKlAs6f+HY3ca2NpZpKJ4F8TCQwJGA2iTaAb4O1olu
LyyLqMDRfZJ5BMJIbc4qODQnsN1NPLronDvxlQoTTFXKOL5O0Ri3OPzADGA9R6a0wu/FqY7k4w7B
sXCVs4g09kEzOLnqB/F/yRLU7rNO+RRpiBAyB7ckbCdpm+OCdjn1EbNcPMklMVIexvXOORF8Gc5x
aq6SwHxgyVxOcH8W1S+1aaYOU07VHsmjXoUXtzLKgzLdyEY7EMCLCDbJj9BixrnC7GmG4b7ZavR6
Qlc1ycQjiKDxX+ApaVumZNrMz31UXirRhex2ziK1zi3oh1mvm1DZEvIQXJv8KENU74NSotb1DiTU
LJJKv8APw7cQ0iR8iroxJmy4PrGr07cZldeqMN7qFuQQ3d1yEyfgUjpnDgsa6UGWbuAKME3LImPK
oF1Dn1X19rPOcbjlLlK+CF1IG/kTc0LbmGQpmXo1J/56SoqWmKUQ7hBeBF3EEt8Yp+GZj0E7KShv
psLQ3HOjG0+Z5JwBe+49l/F7qphzEWhkiBQUX0QO46EHI6Fjjms41fp1N6fP+pvQm89Oq68yIqmX
8z3zBTYgcls2BpCGxmPvtBLgC4YK+ydRziCAeK4QTwQ+JgRl6PM5FFNWKWsfqa3KjNVnCqjHHFu0
b01039g5BrVDRabSaQ9sRmUm4RZFsdK57LCN9yWz1CBe6wrT9rhHI23WFt4Rq1x1Y0qHkuotHvMf
xs/AoVWsGRVh7DPXU8aHQanecvg9RdiNLyPJF6GpkqI3TtMUp2PwOIdKZizcGt8bVRTuUNj6BCsy
OPc4wTE7c9uzpfSYBjVcEF3YzoCDY0v3o23uKS8kNis9ej7KQbUj3BUzMDaL5sf0g3kHWmhPSiMm
E9BLHISRWdc8bqaCEo8dYzei/qqfuv4o9I31XYsyenAlZg/XJIpaNCXQV+qwIAxuFOKfddtdrVRo
1MYs91TRD2MYrVtTbgi+rj4UXl2UczuBQ20aGF6A7mJwTzjwQyre1LX+JNB6YQKNKCoLCEQDuDKz
LKng8HByuQyvae4/Now9x4uo6EoE/VxPIvRBFxXmSOZpz0y6IxCauCHCG/XLu6dmu5zB2T12wNxM
o57A8NbswmdN9NvGYA0d7chbV2MC3Dflusmf9NTbYNxaRBjd8WXbT2Fiaw+hguw+Io0vZlOKWTAe
Rg3iCRldi6naAXT17OT4XVUyZC2lJScAVXxKH49XnBEIyQrYindjOEKjCDd+I56LvO0Wo4UjZFIn
SIWOmROm33rCK9uO+K3NMUXvPf4WIhLLoa6vSk9diboNiQnN8rxBG7D30+wrpiE8L8A4FXW87VLe
c2TQzfXK/inNdO3Y6bPI/UMTxJcafQ1uzGVVEn2syzMaPEg5lDf7kVg5YocSpJXbTlKLjl1wM+wI
/5/yRfMDRXFyVRVKk64W4kHDCAJ6bZ2mEd5cP5Q7qwHWpKoSZSH+Vcu/+P34mTOLtQd2ocTOftfC
MR4YDel2oDy6HLWhJyg71PHPUoUDz1B74Yr8ZNRWM0uBpY7rhJ0KFSd0RIupzuC0q3gEXm23q6zs
SeRs+lXdE79D4PWswE3Wg//n1P6Qtzhm2xlO2Fcf/RK53p+lY4Ge6zEj6Q+uXTwPOs93nDPlD7zo
+WvgZHySlNkOPgqYRIlGegVdchV1AC+RYCIu3gYMo7WZhnuVcZNermKGel7kPxIgSaOgHPaVN72L
e0DsSUTZi7Vmgs73RgjUWvcXcQQEnh2DzRwNqZL3L1aEZb3LsFj4uKIQ9TMSY4kWmF/A2AEFWtBL
ijYhvxVJm7t3EvW11dkDauh1FoN4Qj2LBzH1oOlmMQIbSZxUnJ+RggOiyD4IWrT/Jn9axmCiEFD4
mGb1QOxD6gD4MOFcSU5kxgMUs+VvqPAr91TZ6qcFwXumVYE6M1DTsxs6+H9WnoHFKo0ghKa2mu8h
9HybQ3Aq8Zwpjf3iV2lHt9zH6ZZ7CKpqTuB9PVf6agviZoIg0h5oo/bSpZq+8B8LBZlY2nG415yK
lHkdj2gPmZQZnvXQymDnaO01SzHloseCB1nmKS3zem8NAWTGVF+P0fgbeRcD7Bb4eqO6J2XgIAOD
PQwOAz0pmRefTQb6JiPew227j7DESO2blDJOWAQMLzQ6CxlrgZ+FR21gOOu6oNBEvE2aElvCpK5G
a+u7fMA8mweaVjNTqhz90KmMgoyZajQosEk/Shnql8KZm9J98jwTRXTwWNv05vqJu9aWlBAelwFc
S/8IqfO1UqJHXQPpFGvv4OFSJuFWxvuX6q/ynkWAWF+r6kvkodf0/JbGUcE72p8mNuMegbG+MdIv
jvvozNkagnRcWXkOiywyniEnMLyOcjAcdW7TJImOSnGCgQbV1hzteZFxPo8oI5yyEzMzOdlOU8+J
t3+nB3SZKkIWeoCiwCICG8BfX6pyrdQG4kJN0JnqW8Q6/bqLegZ2YpELmJ7kGS28MvuWtSStGugd
YgmDa6ch0s/yPjlq3bxSVx7CUTmnTPqGyRSh0qbtixS4EDusLzAacZSBYUlKCj8kzMI5IX4IjBLx
TL/EP9Ql682gGfYKc2u6MFnKD8hfNxmj/0uSDv6WyCcG/0FFBSqaYesjS9p2KDx7xddodMfBY5h1
4gwJ8n4nsNL9yND7SqMr1pt3+IzNCkAn1wfLjU/XcOdX1TORPdbBk9tcG4oF/CEcMnoeXAPQfExM
C3eByuAlw+Jx1EpbIbCY+aafVc7F1BhlcvqZt7rRHVrVNneJXnD1q120T3nQuJwMKjZwAaRWYYTz
lHeyOb2tiiz0sXQB4Dho6VMcIEsuLu1WOK8MLrB7cuZ+SeDAgj2GYn6/28oCwZamOIzzi00V07xu
AQPNtIEW6RDDxq9LFJdUI7NW17ojPa8Vjs3o0dL7BruYGi1Fs/KDnH4sH3ShgiFJNNXFDfGPK7QH
G8czdh4Qj5RM2IUFrWxP3MEAc5pOlIzDZtf4aFIztSp3Sjbgkht8qvsqOVISqEgDchTPCn2CNmiQ
89LfVrpimI+VVxyqEa5PB/hwZmkmVFQFJr6sGjmz47lhKhyYCgOJsmR2kMZpywQm0OnzN18eQQlY
xDPzasXe1sXAQlu6agsahpGHPHgI3nNX1Pshik+W1yoHJc5xqUp58VGJM3bui7capgJKrB5uKYom
i4J4FpTdCkhqvxY1Gm8ntCuEksVnLvPgRNpgdCidGnj0qIpbFHhzRWEW5Q8jY3DViDag/UiQdmV5
GAx55YiOWJ8kwI9WkO8cZ2HOiGaYaD2Uwc0o5UbqQmxcabC+Vbq/amXnIVDz7LnDAGreCo9riH38
JIEdPYgaR3gESmjJSQdafFRvAk5y9COB1kE0xDuh2d8OwfA/lf3qoKpcqY3DSCmupUo07qi2ayfI
NEavcqEQM7WLCuGQVuNycAZ4wMVYOWcFj+4is7DNZg4BaI4G+KrhwvkA877sKWV/Yl87E8NDc0Cg
YBg5BR3IhEK1hy7mGSaywxo90Dqq2oVP0/zEmULuUDVwNijC4R1H3Fmh/fZUko8wq8cYix8psrMR
otPrqA7ILrNabox2JL+smKLY0TPtQc2pOwqj+51KK9WFlI6NHB9fykNTNIfad+rz/d1iccy639NS
VOF+4FWzjEPlRimgn3e1qjynohaouPN3Yux+V1m3a6ViPglzMJ96TOHKmD3RqVO2PiaSh9418FwZ
AUkEndyISrv6nRF92Z1xDToGHL5vt4fp047aH1TXFACrlWHTNki3DUAQVLahveyigWP80HTPSSjH
bUOoy9EqtHWVmt7lfqMpb2GDmrRLG+Npyu1G2GgVF1TZJGLiJB1QkL11devMqPkRN2hmuktGjeHN
VKjppItNj58Z1VmgSqW3jvo+LmnM6+0bmDL/J04kF/5opEvhwwfEDkH+RBEDMBt7MJMM0GpInpDK
wuHVShFPt0NlnJgIGhsae7jUg2+9Zv40fZ24CHfV+AFJOZG1sNucJT0yTUTh4WssnfJ6/5Sq5L+1
Ckl1RarLomKE9+T1tlwi14Ozkan+01jGxqGw90GpX2NbtV5rBNJLo2z1VRWQ28vMZSv62Loqhdkf
PS3kZ02fZ7ZK+IJs5zgYSekL8/jmmL1GKMOEEZQ2EJgSflVV4r6/f7XSQONIhhswBiokXJ7lvIqG
83RSZ86+4vR30/Jxfv88ISIvNIUAs7GBryoj0yCfJRe1DtTPIEXH0URpe7GQND1UZj/OB5qIMHCj
4j2JiF8tOvUzsjJr1o+BddDGkhICOApSo9rDMm+lG4+0QkSzvPKMzopFa3RQ60sD5oAT6Kuk7IOr
KsV7AiVqUaloj/XQLN9wrmKy61tshll5Gkqe/E645fU3lMdo1jKufkt9REIVZJi9mgMlCaW/vn8e
sxWl/pjQTOuG906qV7WumqsnyE9VUrrHEVLWyoakhEha20P1U9kCM7xdwz3uggo5xtTsKZlxC9ES
iaJrX/FhlutkC29IntxWtjvTtre8dQeTPmuF3CIb42U46NXejkmXyXDBeLw3H1rUfyuX9fjYgAKZ
YR9W1yVfIQ4oAX1iGfbOTaHZN0HTL8HlWiuFFv6gT8gHnpqbyngkbKv2xWgjfU/Y1cypkQYmDD6e
S1/RV0xL5MKtVPXAxhKzlxZyZfhRf/B75dR5bvWEaO/JVxxixjhFlOp0FiYC+SFVqvQw1iqWb/jF
S2pEOHhs/FjkuUtqNzE2Mj43Zm7cioBSily16iPHtuTYpfHGIXlv6QH6Qr19sScsgps48NGCun8Z
hb00ncr8yMiVmzVJcGNHLtaVqalH00DFdr+6LM+b48QP3wKGLagM4oPatfZOr0vabIUafEqrOKDe
V25GWsBWb4mylDRFuxzgXWzQJPDqUXxqkTkfilH+pteOnpSkB79q9S0umXrl9wPGo2rsXlK1WUag
+LXe8U5lSYh0pLiPNI+1Qz7dc2zS+7wgNdFdFEiOEsvaBBz277uuh3hwUMS4GwEnznHPljc8AjYH
WL940+PsK/XH4asZ1Ym8wzmT4zqyn/aRbnr+EUtU9oV04hdr5OXT/EZeu540q/rS+1m3H6eb+0ei
dtt9YbXhRHhMFjKTwXONRb3I6Vl3AnoJGG605CDMXyWOAMO0eYrB75E7o1T72gg0jv3GLKi99/u1
zxLLvLXx3KPKhPhUF+ARa6fyngy/3DkpyqUKsPJ+aCoOhp5wTqIhhkgvjbPaDtvQzAZAnK2GB6un
WMUlv1QY6DJBDE1MDZ72XifynLgh5wKwzuCj2xfG+owzK/WCyyZcqWEJ4YjzRdTyqmf0hcAzolYy
SkIL1NbS0OVVDu2SQOFsH8QQd1ydQIYchptdYBe27af7NmfURcasm0wZyL3OoqVbQn/LcVAPqFsT
VPWlR4KIIsc0V7mBXaUPUgyHLeFgpR5uOBkNS3vE6Qw2mNPB2A+vdS+c5Rj7ykIM+VqmmnYzDPzt
wInFLsaQZyRtWj2kpl1sA+H0Z9eAWAE8RVmRHEddw+IydNVJ5wdBqy6LRZ2FGi1I0qAYbz3DkihX
sFYfwwAwLqX/8AojFUKZahtbmjjD69gdShfqZ58YKhA9Quz2auHVyybMu4gseJ9wnByuRW8OFaOA
lCT6RNN3pDI1U7l0vM9HTN4u+7blYBdFNQtbMlTqwifxZu3JqQuHpvaRxKZPmeqMfGTqYJ++weyF
wsgHHb2A+wcKgIu3QJc39LKPrWv1xzpt2yejpSGiiVCQ9NZc0rFlbGHnnwFm5ofQdYfX1iUEJo2v
miMJI74/AtdzNmHI5EZX9dcOARKOmWRe6G12Zgwa7nyh/gyNsUF8aVwdp3n0+ypeKl1YbMJISXb3
j5QWM2TIWBoZgX8YTGhnkJ+DdZDV4hCm7m9l9IN1UzJ/TLgIa5Kv/YegOfHmENvGKsRKdbQXqWMH
Nce8OSWQocGMVOwsoQ/GTyGfk/cRhJomitbjyC7i0tNQcI0hsHvA1jSRwjAeMTgrt40kHAbOdLG6
r5Bt9qkmvQfCVn4xsecyHGJL7ipLe8nwD+W69d1ifOizGmQW0ADkq/nhfpMqDrwFFySditDoUhTK
anTb7Oh1nU12gRadHcyPao3cniihZUMWV4UwyfPWf12NgB+6tSMKZO2V1S/MmnlzQ0J1SX73VXWz
qVfUh0sTsjX2xdE+W8NjHj0lDDyvCAzbazsyHDP8WK7DvrkFo908Cje5EOM9PBn56G2SjH04Ltzo
2HNAeWhrsfScLHuC52GdHBljXdf9Z1FUWArNFpQzFzIMDjI8hB9u6saTc2NixbE3Wfhp9Gp7v5AA
Brb0FGpeZwt+hVOrq8wb/LmSUxIruSIg2rY2eS+d3q2R9W2J1DSvVawi8+5jPNP6bTTxvXDUROdZ
a8nyftcGQJ1boBdJs7+/dp1r0JDxfWWdxQopPgD4slgeO6OGZdxVSCmaymAfDYz9/SNU/uW897vw
Zayi6GQqJoCbPgb5TwRfo9Xu2kYYQQfjoVYhr1k2PbTpNFY11U+uYMOGqAcTA0XQsWI6B/EUUhUT
4ravu5WqFSCDmOkdc4WmUY83FM+lNK9JPiuEOqxzbyznXk/MVCbjC31kf8YLtMzC4gNXLomsmCEt
vwgeNZuEhHrI/C+zsY5qi89jDO1TjDj1DIThrcH1+4p0dlwIJs86MlVW1dbxd4BVeYyeuWL6b18T
g1miV3Uf5lip58JQb5Q8+M9d1P/3K9tIdGtJtW0tpjHlizUUUK502BxOlNBxM61wG2h45vO4b9ZB
rKpPAnf/kohfhqX0VoERQQ2wR9dddiRCQVvTmi3iTLxGprG710FkVOdH+s9YwBUGTAp4U7MMkUYk
hfvdp0R2TQvP/Ya83l2HaW5VuD3U2SEBZyqb8tGjmzPL8WacIaJdOZwwm+9d/yyNLN8FddwssPcA
S4+OHtk/x1CP3JnRYrfCiePtRucsHCfe9UmJAlHn7KkhWueM6sbXxm7e/Iz1GvY62KzSnWkt0xYf
vjeAsGXlB8W2nCYIeWqiKfNFvnKkwzPDvr9rvPGpxRW5DLpO3yhNTqdZqObWtw41TvfHjD/uvs8U
6fBCFoi2UiYVsNIX4t0PgoWaWdV3gBGTYUBVPLrBt9fD7arzprhl1gScrHxi6xNy/tRJCB4QyH1t
Qqo1Dt76lnduvKt7K5qFbKJdYee4vOoSqT3v1EWjMv3uAYXtBrqvOw3P7u5+F4g02rdBPo3BqO9z
ce3wsx2iBi9FWQhwKvf75XdWdogdYdLMmhBrwUNaWmITiuyF7Ip87WeoBO6tlkYgQjMbNNc6BdTN
InN81iuGsR4iLdiKqYvRh91bZ2vORhlGsQ9q9MTSA15RarS1g2FtG6mgyVFES2kjQdbTdhNOouCK
FWkfW5BvezsVKHFVax6QOtxrM9oewNZb1cVpbH5jBmmZszmvDiITGtVoWuSzDH249CGirZSV59Fx
y72J5vIFHf8myyVYMt7K8xGXj6SyNEIiOKYNNTdSdVnndT41y+Kl2mbDvO+7ZpXrLN62Fz5nQUbJ
I8W+lLG1zzUKtc63xVuPAAx4xlMdtvF1TPkregXtkE/jlXGhuaumajtUsUdYme8sW81gVCz7i6fV
1AMI0Z98rvtlyGnpzTHfo1qrPmhkdYuGAfRSUYKTovTDXsnh5mWG1//1EdaJYd/hu85K+Fj37xj0
IVpzWvr7e0P+QKfozF2A4hAiHkea+w1KAXkSiYPW2QMhCt1rW9PRfNHhtCwgoZszN4eXppM28FYF
aznU+cLzTbHrOh6U6iXOcjJQ3qbUvLKOF24v7ZVf6OJZSTEbdIIc9PtdhyyqLPKOzZjLo+r6+q2U
/fv9Hh421KCq6PdktRdJO7zndaMtG4Y7a7AcyZvjMIy3yPhhH9lhVCQrI0lBYvK73srAnCcFJhL6
xFfN9BzYwyFEmEomCCRihKpx267MuI33fmm4lHU0g7KsebaRgDywCtDLmu6OqnWMONqd7/ccjJEh
uzJGIP1d+ORaykCA6/L0hVv6+mOnlfsKpMqr6LJgg8nXBgfl3QpMuTfDPISK53w6BTSmxoxGpCil
d65DCtPQcV+6ODgxIyxPpAH4G91klhnZzua+f2dUOMdA8zEqpPHqryKxtHWblgt008yz0y25Nuk2
E8nGzvR8XvaVec08ECpeHNzsIq/n1fQMjoHY9Bh8XKEXB6Er8lEPg5zxZSbmmUlLWvZjdymcfl1L
y0D+hgPu/qo0CGLWQ2lvNJYMKKVDdVGK+iMQXnisQMlbKKY/sbjBANVG+4iBmIGhT6YvutZhdr9e
E804kdpjY/AwjU1T6o9a1vNQKpm9ur2FTYT/CFMp/WebdGJl+ryJfQRt6Wivahj0ydCfmtH2z/cb
cu71ZecY6ayO9StPn9jfnyyeFyqhMfG31PvB1YOrP8HR34Crkz+NC0EN21f618Z7w4CszOkApn1u
Qe5plXVYa9GC2RolueEfO8dTsUr29tavVBqITdRcVLd7s+mQMn4NnJ1KJNgO2P6bjRACAwwd3bF2
TiMQqnkXockbhlx9UkNSvWVEqaVEbJRSRmQUJD/3IlQThJD5eXXyObNjhUKRG0BG8WIVQhF+lGPS
dvkB3SjT04nAcFFTczlkG7NOgjdlFNbGtnMdbK3uv0Udx6pEGd8N1eAwIe38OXTf+qjQXxqz4UyR
xcAWw+5nIP7nGSadlqsTYcQVJ2SUyk0j7WckU+cgsL9EoDwdGrlKu8aukVOP5Wm6tizoz4Sw0BHF
y2cqGWxJJYy2vE8/PXhI566MieQ0XWtV+UxHJAjcnc9S+lLmwSZNRuUx9qV6JEiClU2rR1MuOez7
B18E2Tl9QYK31R0J5cNR6YXsaCH764IQgEdrTDiP8DQbdfljWUW4hUmi3agdrxTJ1Ukza/0mSndn
jtHcAzm9STDLHO832CvtJcQpyMB2A1DOao9+0LTXlNnp0pNJwZDAo6XTyC+l3RSlWX1nKn7+UAY0
r/Hab9K4f61ilLBBqj6knhbchhDTjZ31+gm33MiQJr6VLQBjTJnBIdIHnxeNA0veD5dehAPYXOK4
/vmQcjDeuEaK/T8/b5aZu6o6EE1aqxLKFdYtfuj/+VdGV76ENmNfk1jp+59u5+wmZW/89RZNMonu
Kx++kza0lgp73Lo3ZP3Wm8f7CVWWrPBuaC+McSBAcjoAuXmPAjLe2/hXjmh8Sy6Dr9ytfEDABYLs
CHJFHfpgDYdSPVc1MAurk+WnBEISSYdsJNUcQNzSpiFURT2mU5suoA9FRs+2L+0azT+XBKJj7dDe
j7IZMyNGldYltWLrq6nDd0vifRYIH1Z08oA1efpZOjLZJeCq5xlR0K/CofFpKiGEKTSVLQP7XlHf
XMjxbugTbDhdHBox7Nix+n1smudCxNoeOq53kUEXr4fegcdkOiME1Pf7ZWYkab5rzUm5qaXnRJXZ
+f55K0MShqyOnB2zBOBty/ap45CzMQVnJXRY/Rr+sLsKYbQ4ZmJ9KQGakkqT1sUH6b3Bx1wu5fB9
3/NrH8ecb1KLh8OGRAhQh7hKuriA9Zz67yOn/GOiO1QBFNSrgbYcnSVuxHSDbvlsAMCfptcbrwze
uibWoP+F8SO61R53kglfVdf99f06ho9c7WUlPsOEAyWLj7JHdTVuoiQHPku0L+UPJhjUZSmShlOm
0xKJRo4rcevSGK2z7mFuAPc6jkoEdm2KMnEnCLabNO5nDX0tKhgFEcXwHjckX6mlOqwC7NvHodOH
I04uCjjU752Db9k0+8/EyB9NjQ1H8KYkvxQXem8wviugwd9HQy61nap51rNudj7qrzfQ+NbjmAxb
YTnOBds69McaXShUyfn9SAO7ZJglpkuQrhtuoU/6e+Kyy0VY1+75/lGGgmYvTOu1S+HlGmndwVye
7KKtb++HLK6ektrYqqnSvgUJCDW/J45N8QzGx1nsPsFfI9dL2P3ifrfrwf2m+dRmZR71IEsRkkfJ
dhQrqji4rRqfI5cntK2S7MPL2WQSH+PqmGrhKmgD2EiDFr+LUtnTgj/++uM///Hf//nV/5f/k5/z
ZPDzTP7jv7n/lSPsDv2g/re7/1j95MeP9Efe/9X/fte//pt/zK//9+mP33n1x+G6fPr375x+3f/+
Q378379+/lF//MudRVaH9XBpfqrh8QdIX33/JTzQ6Tv/f7/4BwNXfsrTUPz8+esrbzJwBI8/Pslc
v/7+0ub7z1+OdX8i/noeph//99emv/TPX6uP9DP8+Pfv//mQ9Z+/FFX/D9uFaE1VqFuWa+jGrz+6
n7++ZP2Ho+qGcB3BDHoCt//6IyPfIPjzF//K0SzTck3TVh2Xac+vP2Te/P0lYZmuxuc0Bym/a//6
nz/8X16hf75if2RNes5Dev1//sIr8esPmHjTKzn9ZdOjMvnf0lVN5xU3HX5T8fXBCN7n29X/EziJ
o1dtAkEM2S7JTq/piD8fZVjl1e3WrXduA2mkLo1nD4Fz4CizHvDrGAuY1slXj8GCbFaOvu44hUfP
zB4BUp4WN2WA8pUo/Uc5jHvCj2ctwerYaor3NLDpDhn48kwnIWm0eu09awfj1WTg6z6iY8xXBKAs
IfSla6+U1ZbTPwKW6eafd4O260k7yMkyVt2/v+Wv70sUc12UWCDHiO7/kD/ZenCq8lBZ1kt1Amnz
vnE7F3V9VgJYvP/z+40F7x5yZJEsSqeD1NzHzHZrxnRNPiJ1rJwW6wSKhvuNK5E1BH31VvbuZzQs
Oad5ATt2L+xzZrJEAoKuELi13qy0wq+SgVeDVlQor2i2QcHcdXVhBUHOHL18yxg33+JK6dYaPeTE
8IiVJNcNLCLnPJj96raFId6v7x/eb3BvbkRG87Jxh3EnLXI64P1muHDd/lgXBzy7321HJIY1uZh8
dVoZgflSlFo2vwsJwGvkUxQj36FhJ03ang/JRD/QBEmATcvMgqxt1j7iCdToaEmXYUdePeuNF10S
s1oLc0Io6lCkPEm3w69W1vQgSBWSGCGUD5q1KoPXixnSMFCZ+60NiPTU+t5KCpbtnGjhwU70B+YC
YCVN+eiAnMA+qj81EETHiiju2hqjpWMlr6WuFhvHGpxTLoS5oog86S7IK2OwVuwWPWfwkfAtX6wo
TJnOs9deSSWn/UvwTTC65pqewNxurBcSJhHFROoG+TuK7UoBTeJ3KVEobY0/Fr+t1xc3Qoe1LcqX
SXaNSskw7MUQJb9p7jAhRQdg4RjRYO6X6PVng9/Qvmr2ZpK2z8Bx2OrkRY8762AT8ffgGrQe2nrw
5kUJgAvV8gYzszdXHWq5oAIOGFRPriqKHf5/a1WWxpODOIImIC0VX3OjT10LvgLAy/MajcPCYEHZ
kjXtQUW4uXb/2am9DwsQ8oqkNuPw9zkgC49oKOGm/7JGVUIjTEzy2lAIhdIk19AU6fwSIUt+pil7
KFR/6snEG9trEUFmygf7WrpsSqjmyGgvoT7V3Glwy9K2IgrbfLQioeyzhtKr7pI5Gn130Wq8slXL
cSWzs1uqlaRSabZ9YwpNJgtaC5QB9bHQ/JQxqgv6OAfiNxQWXooRN3GVhvO+0sJFUAWLcUBzplWQ
UdxgLLDIQazJ471jyxF/Ie+ZtCDhpuNnkttizGriudQiIuKpdFZBBhwztqBFpq5G1rO2zBuymR1H
044C2QQpycOijWSwalovWqJzOmU1HCQznU404K8fuHD79ejhimwmt1/yEkkD4r2WHdIebXoM4wjN
5vDIpJerj/yKNujF0hGTuhVYop5OEpJEfJbi4lSZuSOLRqwJlV0HGohln25vFGRLX9Vo9fnriGqG
KgheIZcu/mUQGJJuokcQFznOoCrH3IEbTJqgiuDwgQrSmaYrPFvMuYCB0WRJEcmlKpYCcCNcMcn7
IDLSw3IMh4yzTDCdpMAiRCCaXnWfkWWhOsjcYJX1GPy6Fu9cmKckp1TV0WEaAWtOQYIT2Ud6vS7N
SHGssMrSorvELTEZA+YndXjK0v/H3pkkxw2023VF+AOJNjGtviVZ7KkJgqRI9D2QQGJbXoI35gP5
DfwmjvDcE0ZIoqRiFZDIvN+959bNq0d5zGiikztleNZGXEMuNu6myv9eJNQTjSiMBlVM4q83DqkE
Ni3s9qUdmARPDUjTzN6FCbZ+QX24LBq8ShORoab2wWAqOW3NrA0B6xpwG/3pwWuAcs5Vu23UYD/A
dsYY4xwxei7GFK+6Ems0d3MRk9xBumVz5T1atrvXnTrBO1AE3mxC8No1Ia3mYpvUrY9xEvfvZFML
3AxRe7L8mHxJCoVsmOM1htrohPB+KODe+Y5Jb2cNNmAyHnoctvHYZYfZQoPvFLk6jn93s2Ziqoz6
BkJr3wa1WnktJkuvLn5gx3mVJEIX8v7XE7mmMqWfzRhIAs1lZGN64uMIkzh+yCSfrygtZt+j9cNj
Tu3txzkEBGuIYF9p1e7twQ43vt2u/USEp8qhemWSpTxYtqG22ICwqBf2sGKANh/zITpktWRMEHEl
UwRh7AqQsZsxn6Od1XYt3hU04zK0bWKlONeVHV1sZz4p38GHr2HbmUnkLRW97rqcdbxnYkahAIdt
j3d85edUKnbGrTJJpYypcR+x8ThaqHqbPBuegwWrW5P9XLnEMnn09OAk/eCgq6DjpV7TGa51j4Nj
7RjyAD1MXihnw0P1OzatuvqlhfFeWuTrwnI/2k1yR8Zql0j5FeVbGvPqc5rKRxAx8qgcZO9JKHa7
CXKN7aBZNS6WWS4q2wKDmzGh2grBLrpWbLRFO380DZSuqMP74nvpUzcjE5oTEVLlMA2iLZUGoVKv
I3Ixapo1iVHn1UdTo27bpHPPiF5EQZ6MoxaBIpOx49g9Clfl24R0zLUz2lMO4wVbfHIpudy60v8U
rAgHXzy73Hmt7wyvEdLvfQ6Qpp7kmx22zi0uJnK/vv51vcaCJlaQKag9goQh07TIz3ddMT7nCoIx
KFp8dgkW/dK9KlmYL51vjayOQHisAg8R92SBhr7KnQm/J6t1jtvYJFF5MlL9mmkaglK2DruKpnWz
xwVr5snNKhM6FCUrotW1+8UYerUKlPtpqI6Q77G9kPkn1xttJiOvD5Dpy9OA1QluhHtuKo0/DOfO
Fs9VAyYBnhRtu+CHrLY4OIU81C5FpWjF+775cr243tEg8Om6lX+ymID05F32UmGOlPOwd1qjOU3L
dkotXybhk8Qu3DneQbl5CaoQAOIgxvZUV4AP4QTXOGtm96QH6Z5qA6gv7hkbvTqpT1HjVae0l8GR
cD6JlGSvy+lHafCzed4cVS/FehTUJQuDOt7euDmtPdM1yf/raYWXHAAiDafji4HquqkLH7SOUany
9O9LQvbjNCbdRfleSB09vwI+VcNDKl1qAgIc3U73iHcSoqLfE0VWVAyc+uULjIq1U0Na4kS9cJox
KQjJvNHrBnlIBJhwuiVPMpP3PXhmoljpmT5uVI7+vhARvqrlC1UVH6j3X5E1V5s4KZ5pJGnWKqoz
rqCV5QT2sapnrBLtvI4FgaFhaE6NstotN5FNq1J7lyD0YP+cXjEAzruySb6MynaZRTlMbgkbkhF7
CnrVrpOswutVsImDS7sqUkkP1HRRPEQ3KdLzGor44d+vRD2vh3HsN36e/o5cLWsu9NcmpaDNSPFE
ZPUbiGWwo0ImmxAUYhhjy0SclBvL/SPcLGBNbL58CzE2rKY/TUjCbTSJRjlxa6+KUYH9tVrGOUAV
fZv8g45RIQYeTJ22NmUQepuBG576Su+uKXibBpsXMWGf3LDDIdaWQznszfRKNRQ/ycjaz66KNt+C
RwuG7j1N03u3odEoBeA9T5RnUf526sooPdPM0k2Anh2gaJtGmfaRQrlmCDeuMginDWzShW384mvr
7vNFUlI9W9G5ph4hqPdjsPeW/DZO8KvL8WOrAY+Irpke/N++7JnNzi78K2KDBrxC0GVNvZsrXjzA
l7tSkChQBYVJ1L0wQp0Xn+4p04QTpKLgQNcAZOrSeiTiPzG/XVKZMJQFAL0+AAw+8u+gwWIv1V//
/kJmNhUZ9elqWrhltvMIJQEY4K+qjD9WUHzaNYYc1/OxSUJ4Z1C4Fi3hLUKdE5FxLoRtxvNhm87q
qbLS37Rn8RVBj1mo5f5EDa5VxVxgxh+M2X3XAHhZQeNdCPtGsE0TXKuVI4+BM4LfHyIHgb5gR1VL
YweWa6w4/OhyTS6POLyXP7e2cLatT4A+wgYztI3NpTQwjeux3UWFsQ8FvBejn+6aRM/r2RYsXJN7
SCkbWDlWd8ktGI/B8la5FluwKD8FNujmOePDmy8UH7D2xhese+iLusdq1TLMceMdkUkoiWZ1LKzs
jt1ttZnG7+WNGir+reVHZ9940HMiN1GBnN23xtoFm7FGaZObzgY1MhVgiVh5aJzj6h09Z9oSKmq7
T3RZttyw0DcjNg2+zzo1zvjVY2UWM+6gWsN0nzFbbkKww7OwMtoF/N1MedDWk9h5uBb7sfrrxRJQ
BKHaw1Kjo1tijM7YcpzjtmmN7BP7Z0YQusZXVRg/DRUMTsMaWRdsrsms73rHu9MMvDZ+TWQTcX8T
qRHaUCE/ezYsazvC/ugAYW/L9LfkR/73zdCZb9q7J+IOAK1PgRhsq8KHZVoTvKOy9SyuKUiYbUI7
OURexjk2ezPji+kNDMDlw2NZPOrARdf3eMcZbfzCb8G91T8z7fvlQECtWPkGM8A/BilAe2qHTp16
dczuWPhOtf3/ipb+p2j5/3dF6+t//o//roDx/f9b0RLOf1zTsp1AurYrWJQQlMZ/gpb8jxd4gU8z
iOUDd/IXKem/9CzrP4hLnhkEpnAszlkW/9x/6VmG/Z9F3xIB5y8QGx6up/8XQct2XPO/KVqS7ZdH
RbNtSuEEnut7i+L1fyhaGrxEPzYFFgSPhmG32syeWLcWpMfp2E8qO8/9szUF46VLLPAAcX7vJjyQ
c2w6a0miAe9IhPfYBJS9cJoNjZV/VtXTEPvsGdONjuk7rd0IjJv+GODRnTuHVaFBvcbLWKstnefg
vFoOrWb3XYzFu592cFID5V8xo98wOZ6qQNrvuT9BVIsndxdYIT1uCy6t9Bv/XFFZeRD2+FcUwEnT
NIhPPik6SPvT1c7xI7JIl+vKME7hMF4TPInbPJh2QV37BDnIebXNSN28ppMQ0PaOjMV0j0/qpcFZ
tq6SqaRGo7A3+CPq9TgIe203DYTAxqFF3al+a6NfYw8grw5DOkOcWGOR9I5ZrO51QA7ZZmY3OUTJ
sS1U+xHbCtZ8DK/dEwEykBMm85kstM0NQ7e1IQp9gK+RvdVxTS988uAui7AVOYjsbwlbEygf1rTt
YdBqgr2b2JAhL62nu0Wmd0Oa7Qc7t681g7qbM+QSuBqh8bxzzkENnJud3TPOJ2qQTG/aoevz9yzQ
uM64vB8g7Iq8Xw/SfJ8C+EKFNZEjyeSLnD3+XZTLRloVLWh99ixcfv4Sa9aFPaPz2BfPXUTqgKxl
PpKWDxoM7u2Q5ldXR5+Zjr8Zrppnpw7vAnS0NUNZHC+Nk2/GIX+LydlcbN/jUeyGezBgll9Pm8kB
ngLgkAxq4qc7T7ERF51eTxoITwfNZldIosthQGfG6LX6uyo684v8ReRxFcbNpLbTMKRbYuXZSZB9
dqz6LXEighSeD0BMmGBgtn5LexjO2s8IP88MP/lVcbfu7Cj2VoNKX7k8i5exgO09RANEFaKPB4xJ
wV5LZAytymQ/BHBkOM1AdMNcwmmIK2O0OIxTEO0oiwDxMPw4NUyRbHTvEWpPpS/iPU2yGh8aFjSZ
RlCZLI6fiYOyQvP4xEjiEoRlt24ca+MKaFeNTelPKJILeLBNMQjqVbI5eiJMy0QtnZ8Cl4rtBryl
IL1BXfB9axYPWeb+CeotC8rS1TTJPfNGjjg+gKM0gl+KfrlNnfrcLmP2drEdGrHbr3sXnxTH1Hgd
t1HFyakMDmK6yHZmigKw/w5gCEQBL34eCkVPd+J4B2cukuespSFa0KM9UisBXCzet6n5bbA7f6jL
0HyYH9U4MN6t3jyPjG8HODtyPXx89GjvKsZpeyyyK7L0MDWYkXslfsI+oEI5w+Y567+ww/562ugP
o33qPIAlnkelZj63tAS4PoQX89JyFD4yDrzNOV0QcT4ChZU1py8XJJZ74xQ9HA2Q4aUbFWCguxmw
CbBGFZF6jCKKnOigfJ3NPtyaXl7QrahwDtJiTYZhPslxDrd131+7mmD4CLBhQi+9NmC2Nr1PM0LH
1Bf/aKQgaqe8vGhud0b2OA42vtcoOiSDQ24p7k3yfrN/HCEKhCZmp8RYBu11+GPgJRjpwHogx/1h
AipgC4YLvF9UuZK7cRvL7t2u6APPW3HxZA2k3fjxsxJYDpux3uvHfW0N8aGOxxvMPBximBIq+K2b
QeWvKLwz8KiaKnkB9CSpnlFeV6mB7pcEzislnHBtcNIAH+30JqJgy6KR+9zPTM049uCXd+dL1HdX
h1XwRszqk3sWXSGCJD1qD3JUkHZXtswe4Icz0+B4p5OQjPEk7lPhiU1FsVXjhT8lnbXSLykjb612
Txvom5YURRTNwlyzQL8YPCo6hn06bio2Rjjn4ShtK9oZb9rnadIl54ICvHFkjpJlHf8oe7ikeDOl
m/7JCYpPPg3fQmRc4XbvE80ixywuoVV7EHMikp1dDj+RE8+G+jjFqydVXh7hHXG0G6gOSquLLNv8
BH5HnaKoP6QdYLCi7+4cU8JwZMkFuee6BZWufIkpH5N+Emwtv3zizeGcLZd5jB3NnMD/zWL+/ToZ
hL+a+pk2esMT+yTuP4Acp4n727bqJnQdH9sIItIYUcBkJbiGxZ/ebP8O9KQ/kMyHJN2Sz+8bssBY
2k6eMwIO75PnYSJz5xSlizeeQfZ8To0FGANFlgcAuV6em+QwI/nJ05YfiBXz7HWwTqsgBc8OpssI
vepAyQXxPWn8NdHH16wfPo1yAsE3t75toe17CLHVgXHFT2w1/dZwwWqW/dMcFu7HECVPYIGBoLie
e+mxNgAHzX4ppwy3S/eQYSh5UhkBG3AK8bZ34x8KgSllyiqNBczg40IWP5IL5Y2NJqYhbWsfoA2+
Rt7A+RMqi9eRklITcU+0Z0HD5nwmr1Qe2kw7F7L2xzAIm3WckZSvUADxXnr7SfCm5Xbonai3QtXj
3esa8SsH70jCdLjk6kicyIBb15pHnM67sWQyYM9AWIrWM8CWlezY2+5ad+qDHOZ5dm2xR/pd0jAN
/o6zCEPmd5CZWMicC0hs5uWKZghZ3xEzwKfYR0w2mGIS+irGpyysb0rl4smZMfvWyHcNQXIKh6g8
UDQN1C43WaxIyuU5pVls1U8U50JLdey9N9ClIArRIEoCOJIjCLIw/QDJV6wsUyQHUgzVqtO0snHj
JHvQ6EgdBiVVVqPJuwPooJV4GrFpj+3ekj3ukDo7EDMMH5TBGrgI2ImuxT0dSBOeVvca5NQSLjNL
hpgTf4b1xHJofJxhlaBfbuhwRxhGIWsp6j6GkT9vkDDgqA5RgwjRB5CXsiudlIJZT+0Sc1WodV5/
CczxlYBGRZvFgsKQehtrKNEy0t5ZTMNT1vmPTIJ59sFD4Dmgx5NFlSgrPYS5hs7OIUSCqJFKtaP3
01Ac6KxJ0ImkeIgQQOfRX7c0TcPpxiIV1XBfKZWG1YBG17ALCf222I1zRx6Cbi0vffYtVe7bnv4c
zRn2Yi5fgvwxm2JsMKWFw3+AFsOcICRKrr352dfuuKvmmmwf6KuV2fV3ALZ4XhnuuMqK/A61PbjJ
9GDM9p8gM5d6OHGjivzHyMZkNZjdsEmxYsZyXopWeCzYkb+u2L5t4kpeqbMDRlGpnTF7/Z90bK0t
bttN2GcBjwXHuhKujbetAgJGyt4Dfa8B0yNVuQn1SF2d6x3v+Mlry/HDmSHQTVheNk0PdJbV9hSa
jbsbmZiW4W707fzWAMCke9C80D5cvnSssw7UDDsfne+s+uWUk8Bghrbk6flqNvqlbFXyUIXNtDNT
Dv4dVG6rjY5hUgU7I2TmNotyPLqspuEStpxV0TxAuEklOLvBYtE1fWW/MNqxqILcOOg2BJnC5kkH
wytYmealA6Blz31yFZnVnGAh6OCcVFSr2FnVMi8yv8WM+F2AIS4m3jnVAYrwexreU0yJgIBhXy8V
LaM9vzFF/Jv8428oZ7e8MNSH9qXMR4przA6GKBvwyhifzLCoTkms114B68ZFpj0nsb8PezFtJarS
ys7zbwWYgDJMskjF0vLtDw/S0F8tfb2+5ztMowUGNjtZEx6W962HPOc/2DPbp6mu7rXMnYPZiH07
oQGDGn0pG3jE+E4Q8WgSsmRJa9woTUjK5CyMoL9mqQHCM1DQGB1EMYaaWMmXhGNY1vnZi53m1Vrg
b6ISDq5Q1R/YhHSoHMxSXW5VW/H8JSff993w6hkBPAUbjqb1hEoPdkH0NnodUyZcBx3ZJrPNZ/Je
MTlsfNnvuVsBtgptlkI88rWX3M0Df82T1Dcks3vP4p7haCA5ZQeavg6azNljH8mDf1WazEZAOZTn
Fpe86TjZsCcPKs5QIcgS8pbaWKUjKzTbMH0YKBPgoTutTOx31ApXQIeZO47obyeKFdjRq/pokNZu
vPoxlZP9DcvvIRoHuXcXRc7LzDsJgZ3CKebhDeT2AENa2TY3eKUfbVvnH3ZZE6zAS7YOGGuxLM8m
+mbyErXxDeJUzplJ2RuSGdQBFvZ+nttXq6ZrsR0Z0LDXUd2QHYkvN0s5+T1yvXeYDNZC2czgRuKg
YEg1nWzRUChQw1Nj/A9Xp7lQiYPnOm7JJZW4j0rzrRUMe/1WmrjyMTCxBZ4ki5GXlx8hAZeAbE1c
xK8OjmGKDst6M0e0QxRS7/KJNCOFDngjXFrO89G/p6LhzfLkfKdsczoWZQS+HshLBRvg0BDU3ySP
uT0TcI2az25o1SbxsudRUUUCQeGVUK1J3qWWd11mg1NNdkZaYkltuE1kHA9YvoZ70Rb9yRjUvK6d
6ROPxbmluAM8fV9BG6LhxJu6a0rB+bHT+go1m/pHGDYzmG9IwHI7Yac9KecSp5SWT13yysZ9WJKD
A8RnDulpjNlcZ7izZejRNtnNPoyOlor3FNPAkJEtCesPIwjVrbMJPRTTncntMvYYNe1adRt/TjSr
o5wRAzsh7/CsY+3V8XFSTXD377eMzAwJpOaYK5h4Yv7ly0wnD85AkMiMQ2fwgBjMVk60MGgwocJM
0AmdfED1Osw/u4h2O9aY4kvavXXm/GHd2gjgJH0jBBJCc+1QTXHNIx5SiS8UurXgvgtD86y13MgB
jDXUPzbWwyRoN1z3pTefnAqfvmIEkppUGbqTfSzip8IuiB82+m1y1bPpI//TNhMdNEmWm0m61Bzp
SCxy8+iIUr/0evoT9VOwzmaq1FrYOYcgbu5Mg21wHBMAHnNIoaSWsAxmaYr/Tt4oml6XbogoUZXP
MI2akw3dg4uDejuXt7NQj6brdKeChx5Gx18n65r1RDJim7MukJTinOu2lbOHQ8m4LIt2mcskMXX9
fmX9eK0wDzQGPweB6E//vggVPtRjcbOTm6tS+IoBofRAsfEcyQXQBXurrW3ggFOJepncm4ANtwCu
gZ232PiyyemZA8d4RGNED1FRn2EpcgmQS1l0k/nF4kLexTEpjIyxw8p5cDtdPRoYJbdDwdRX1M2p
aHx6KqpFLVJib2ngGQ4qPVgzG1yhFdqb2ck/aR9CMG2DRxV1v6KGVhdSNcP7x2ulvKHamBwda7OG
tcHoXgw+FQuB+UO2/lNC84AuMOeXOgLTJYIX3oR5J0q+h3pJ7+ZO7mtXkzB2uAz45CJdn7HVMvuy
MuDuejGMViB9dSEOurYUvmd9Me2bnhvFRLKEA7i4M8fwIOW0sorI27gtd1pRmy+Mc3dVS/sfjZ8d
2ErnPIfjD6+93CedB2YF9S0sICXahIlq7U0bvKmUS0eXwBL5UyseDfjY60bJ714FHySl4MQ7nJ8c
rzi7zcycmFEtwgwsWDchlFqr6N7KzxKizjoxydjkSl7tkCNMG8SfFCu+1mDmkEqSCKwNjOPqjo3Z
3ipjZoVWGWwlLEkdi/uFDzVUJxpGeOd99vmzzXqTzJi2YxJ7/fTkFPDJ5zH/LvvxCx9M2CzN8jp7
92XRY4J69qVRrcgE8Fm0AGPn1sOa5dFuvqA0orpl5j0Gi42OtJ3NIwK9Ek8CZRKdbcBPzIDBFQOu
IkylKOdlpOhZTJBBxMRH59nBcHb1G93xeUJVWaa68/KqWi8JYPHS8F6puwqn7dgKGumoLmQCme78
1g5OTENOSTv+2lmY/UbWvizWSo3eUYUkIKmqIXsJ32Tb4BRQ4INPsS1Jfrc89814nRTeta6BZFOB
SzijuTPYuK1hYAZuBkPU+Ela0C5dZ9Bb5IUPHfjxG9kS0IgVviOKtnv9y1O1YmzL4aHslvU2Y5/s
zS89nFBwH+bWcOgCVRzueMZt3Szm5vW9K4ND2FZYO8wuQd7FNFLUU3IIC++PE3Bxsi+uIiHe/Mrf
p+ZjEuCfGPC8Uz4ap/Dj1E4VS52LP4p71U6fXf5k6pdENtta5EBG7CI6MxHc2Kq5VYXxUvp9+wDU
tlzn9AOuYG+c0yE1Lkniniarf4oh/g+1ZdxsZzv2ac2yDQa6Cqi/9E2O8xy/laeAcdPbsIYUEqWM
SEuH2hG3oB6qSdSZgmpIIV6I87Ic7iFWbwYHdF7ArnibE05qE+e+lNaiS2AQT6N9Ged/jZT7n3sc
Ys1kkOE1wrNvGB58UDoktJcsEXVi9DTAwM8KwGZUa+YBTwCPsVy2vKNU9k2TA3U3jhjwptkv5jGx
NaebcvFtuarbado3HmUrzvOgH1AB8k1pm28wD0xGmfWLGLv3dG5+QuxiC3qReHL3p8C+oemuxET+
S13hYTLDLZRXkISTh5xUhrBsGtfYuinFm33Qn3IxfCAYrJKGviRbpcciiOK1FOIjjMS5IWSbJ9Y7
lixaBucsY/bdsrGFlZ7yMAR/o1fSLJ5S8hBG7N9TPrZ1Uj7tuWu3U++dsSGu6JOXlGPzyOnn/WSy
QAyKhmAXtzeWSSJFJY+oQFPEAT50TcRh3OL6/SwW3HNW/6l+ih61Joi6d8kDmyHBtQc/QjSNb5wH
ksJm8NGHYCxF0b17FEes/SC7Ra51KAUJMKkRYutR/nZd3TDuS0n+B3eqGX5mbXAwXWi0nKPvg9ki
OG8ax15/uSbVN5wF6WorgneEnFNBrWRrKnX0NT+4G8OjiQCpmwuMG8rV/ahLqsA4V60M8ysenY+h
ALnWyw/sUrwGSkAmqlwIbrFklfy9WlN1+NCmOTQIg+1DHxKUH1rur/DZbFtvR7XInWcaGk9gfI3y
abiTQfjKxWGxMoe3sDU/igD3Jaro2fIUHSkYH7Iq31O8QtcJFwkpABqg2MviNDp7g7NLvPnAgX3t
N1CS4rl+7BPnkI/zKjam9dCZa+DLwCYH/5q4w4ObwLZcYtKVVX4CeTiWdgb3Kol+CQ0BUgvwRBh9
xnhUNIxFPhOwRCDhXjqnemfwda0lfxZyE60KgVTJjf3HyTH4RCkHBV2hbguKzvomWVcFu27fT+7D
gScoPMMjdT9Ur9WfaR3e/pmJiGRsur3vc2on4rH1lqDlbIR/XGbJqHBPwAiRdql4m6uenQ5iah29
OPn0EzE7WU0Dj39EpGPa9w86lje75TcKm2lDOML+c3hzBGlu9psMjHGBrmbH+exGPMXNI0bZbGNk
JVVA7WfDJbBls1xtjECchqh8Cyb3R2sMmX0xPZjssreupP/VcTbulP86Kbx5K2vvZsJQXvMAV4wK
cGKLjIn5bxqTiX8Wwb4HY3Qavq2xOIxZesD7d2WWvMnwMasph+bspLuWjLhv9Q8J+4ks+1MG8lQI
i9gYJ0Wu2wfbZKPHAHqYQ3SLnBdEwToWGQjsfgSsIxOUVapLmejXapovaZ7d8zh9jX2tUac4+5fH
wtNPpmHfHBfvXlENkPj1r8h/hA7ZqCxY6FwQ12abbWX9m1k3u6rmI4sM3OpJV/K5YeggqbKqRXse
B65xUOisOBTHRQ4KXDLRryQL5lfVDSfN3dISDt6yZWgjnT2nAjoWm/EpHopjTv02U4v3eurpbm7K
F2nxfGssbAZjm279f45Dm3pYPl8x0q2Hi/GQWjk1pFQYZ+9ZbSO49PmRmem31hBx4iGnTw07S6IE
lbSxQ/oNIRXFSAdmuBugbGw0dKENVnk+GgHJHxM771lering/So7lIk0ewTEh6Wf8ek6hqOd2Wg9
iuaz0Y4f5YLYHSh016P55AUlfwI5OWcfkyYWfLYNdKpXr8brHWQvnoNOZTXtE/5xWFHDU0TUfZUT
RolMUoMdq2LNj+tFwxdoK7DF6ivI2wsYlqdKusGqU/68UGRI5nlkxM2GDZtcLMLr2ZoB9A2AJp2t
V1eA4/ybjtPVmJd//bekN15D+ABEWbolisDcrfI3DbOEVW+cueTOsVOe2HiYEOULcNXV8HdBNooc
10V4UJN+KPrvucbQQMfUUnzyVXGXe75/C2m6our0R5XikgzsE1v36Nc2jEGClZjMu6OHo6Us2TO6
DCscRx+KqKcxnCQTiXtwBZSNmeEzrp6L4/MML6xlIopHZ1lynFZ+y9z6zKsIzQ9ePN492neapyX4
IxRj4yyJ12VUHeHf7wUtYCtCZdyqun83B/kdMSGU+YPyRui3ivPBSFCvttKN5Obr3P5pqIKNX+BG
C2jpNHVwsbrswR4AD1sto77Wj/EBZ5hQlHq1B/+nKCnyUxRSewf2RSvpdkv95YVDndErmL8xTz8a
lLYhZKIS8zGdbfddIF4JZT3ZdvhsiQ6/W7bBMPTSW8XBDOp3fFUHTswV3Gl5Wr65ToKfUBrP9lLd
kPpYtsL8YrThTUBNIph0T6buC4XlKZRRsnbH/KeO+KyZlVMYB19yVc5Y4ArgDVh57QQIa1fsfefQ
Y6deZ1szZodicAUyTOZomFBqbICgnVzMOLFPnE8VNK6w3bYHOlgDFCMchLRaIDylPVzqblQLkXV+
yObnxM4eqNXmGdLyn881aq+Zp/fa4yGZsDduHGac5l448hsjbrRGw8nxsurXZhWnPtGBIDm6jv0S
ef6bAtVWLRp2nr2A9m/hz2EZopfM11NNeoYwh1v+Kahh4/Ll3NQTC+HkC89TP829gIZZrTvTgucM
TSOWzoHnbw3VnSu1b/oz47oHuyLZi926Z0Bh+t1DMrrf5J7L7VSKq1ANVLZhZUEDDqVcR9O4C50P
z+UlUydIQUVovaaBZtsRXAcvIMDI5mSskw3uj2YHC+2IcwCUbG1UW8pfKFPmbLloHJ6kWaKJWKlS
TKp9nz7T23Ipc0qGZL8E4bDUee/MFN9L1b2zeYakXoVH3XLVhvU+no2baOCwJh3vfEOZIOop8DvL
32QJiwGTsffojz3H1dbo6wNHpk1dcX+FwNosauXNePiqSPj2syTM+jGW3qW3NYhzryh5kwnVUzMX
IKhxLjvGLn4IzrWXOm3vEA+oynOvpfhOBQXY7rAGXnEubfus03LHCfSIhWxleua9TiBHlWHEukda
qU9PVPk+pUPVIOj/+PNjVldnu1M7F4Ol9oNthMRcRoQs/FHdyoLiR9+e8XuK+O+C300b475mwTa7
FlA2m4Aijl46RMta1fuhFiScQ8zaGq0XZQS4+ktYjA+ScSzYEja+Qz880Qs8EqvX23DZPEclRagf
Y4pza0y+fJH84g97qnymDSLhw+oYj/pgMDC7Y0pzF/9v3rCVqVZOR3/1yLSQOz0Ks1PbsQ8fxovw
y4N2modxxKmMKTY8ZoP7MKVsToroJaubPfDcR8kcEGETZV6FaEsVW40FyNCKOwB+X3hTv3Uk38d4
uNZlqS4TVR1Z5XQPDkLrnuwVPcGzcxVe/2Ml9rk1vavyKTIgJcYQUTHW2TBnuvAxPOUF6Kc0H/9Y
eUWC1t+gU9CE5r0xi3uO8vM0G59Iu9ggxnlL4v1hQOWuVA2nkEXG9vRej9mfJjcf2xjdK5pfrTm7
Z4zzarLezZo6D4/GbZwYf7TNRKcfT7OC+VhV4YcfWJyOw8OIK2cVaA+Cv/tNRg3rJZW4SWbvm5bM
cFN8sEvEJWdHOchNtivwkyi/LYcZEWnXIdBGZUDcHn+rPw+byMahYKt3tuoNmQ5/o0L302kwrTrj
gXStj/eP9TCJLsY+AbZSa3Eb3Oy+kPJT5OGnnGPkWQpAKpbFtAa1FCTAQCI2uQjOe5PNiLdgeZqe
of9AqZxJW2LA/U056M8Qhb+ExteADuAk55LeXp28KDO4Auaf2/QCgDAilkUBuaV8dCG7ng6e475F
7hfS2CtDNRCqM7m7cvibdf0OHNCLPyX3OY3Me18zFUxC+sqoz1sj6x9iesmcQa9VUSu0lulgUNi7
CQblYvNbjkYAuhjSsJWRNwC1R6F4aOmSMJhbP3WK12fa4x3mhy2oWtCenhjWxsT4w7XiimSJh/14
SvZI/3fKdW1yyv6SWjY4s5YJSx3Utzwf6AfK2Z3XAGt6Y7T2fsm6SJDaXf8v9s5juVZl7bJPxB9A
Agnd5a287xAye+NtAgk8/T/QuVEnbqciql8dhbSttBaQn5lzTIn88WbmoQTYGBsJ2PpSgW1H1DTs
qzD+0hlkB/tntJWiIW4dIu78UzgFxC9bDEHras8M7bPotgVDaYcF1jpUNhYbnTJEK07M6b/rJc0k
beW11a44TAiAR+gXVhP8ZXKWrXSBsMYCwIthDY5WvTBiEsMv1hb8xE1hXYIsQE2MVotJAAEyZUqK
Exknnuj2QVh/uSGDHLfBDk6sUYFUYI01hGOtxsrJGGC9GEFZBBIFO3tbd0pvqQuHVcFikadIKfM3
z3L3yYD4qjTXHiqllgjhsu3uYuH9qdIRiUk3rpSJcAdXCTKlaTWmy0Wec+SSQVKey4keyTYYbjTz
hkCyuyaxd42V7SPiRysNNctgQe1W1Qx8vNoPNYWiPQWrd+uhjZgxYQMq5oujnKt29WueUKSHZBvj
td+lWBK40UP0PnPJRIE13T2eooeA5b5TdO3qNZiZgngWGdOivxv99JjTQxGex3DLZO8E450UKSwB
UMIvkQf8FZI4a9qlqAGH99b4wwNo8veZDAE6LB78Wk1bZU/r9kWM4lJa86PJ2H1czG8MtTa2IOSE
Mo668FgOzrcxEJkZcnAmVYOrcrgzDYA/dm++27D3SnBY1BWs7PL5NhHdn7AQL0GFwoWf1g7IW1H2
q0UeATpkdzeM4PvR/tY9odwANO2qwDXE7W7KHLCStZeddHbBZDyVUNr9wv1I/EnsC/z+iPU04E7+
lPFqDPaLWBr8rMoemByvLSV26EiC3e/zj/iAFT6C1RB2d10E45ECBV8eCcra0dmmDTOsUO26RwTu
us1fhzKU8lidGRbxBszdI3oWOQ+nifFGREIuagJ40vgoK0KoVnUWftbG0jO46h70xwfOP+sIYeSK
8oRbjPHtKl3qHUElNPvun7YBlCm+JeXR2qdUJFu9PPQhzNLC/isme1i3A6HH7BY5nAfOMYHogOHV
S5MPyA/tSpKHWZ9MW++Ten7PQZ2zPEDIguLAbEmcMoz+0QfbaBerjryAPq/AFZFnvNKRT8eOVk6B
VhiY+4uGyKrl75UsPlYEwp3bECRQlI2r2CcQbmlviGg+ME7cVnZH4VCH33HbwGufMc3SdBE+0x/4
BvcND/V9m/vnoHTdcwCCYxM5BHphGMJv3MUK63Hg9+r0+zXmWmDh2d+ppKcmq/2NitjBrVaj267s
WB81vZybyPGcF7aJFSKSK2FPkPoNfWmIimHSn80nUhfnk5VxqFviVDAJpm5D7f/7y2VkQjNM3tqE
yqLw2FGAHCXyWVGQcOjHSDgaegZz8ZskDnDrGeP/FlnZpxEFctvJIgBmVZc9ySMFIkpPvBGzNK3B
iJIXYrtnwMD5XtM+/f5Evx/SIdPbIUv/QIk3D8qC27n8yP9+qCbxny+RCDIZrjwSYQDDM5ZyzdNA
e3uMlx9uwh1NdHZ1+v1MtDyVdKWcg9HeuINTn8I0bjDtDfXp3y9zTsZYpfWB+heXnYbUFKfZ2oZI
WMYZRTQkwY2MOSVqs4frk+5dMTHHAMcIWQv9OzE+JQGnmAhyEkjRVY3f2N/ZRTP+Xsv5PiTmZ802
Ukt/308KDx0WpVSw0P/98O+XjmmmBwL5aNt6Jm6aTDpTkakEUNpZDD1Nt1QOUVd/aBqL7e+vpUu8
TfX7G7+fzjfjLHnmLX8ehSz+peXDv18m0uX20d3jVE1kXhXnjljjPSS0lr0QV9w/n/keDd3Yttgs
84AJpvXzj5HqX2OVs/wQmDuZ43cQyxpq7ZOPJlahosPTGm6nwl87uFF2U+z8cQumRJVFdvQYUPvY
Y3Vqlw9eUlcwcG7gvhB4yr4L3mU8YqjS/gnLB/NgR+H2RtKUuNVhnJOvMDe/Z48FRzWOb0suOfdN
SWeOnraKCcuTMx1Sx7MjQTyG3T9+IYvhIYuJGMM48BXO7aWN2i1N0alQCr6x/GMNfXuyOh+4a6aB
V8pd9CcAe4kBTQX8xwzEIrh+tevAsaw91hclv9yMKSP/Yl/QY92NmYXOukU+53TRbnLiL5MByTpo
3W6Da4idlZehm0QD4qfnAXTVEyvTYb0g1GCfRQzXfcXUqNQN+P1QXZBKzBvPsQLu/bg5dAwY/Vof
/YEgc/bv6pbF5Qo2HBBf1mSdZdzavlO/V4Gxa+nzNiOalVXlL+lZ05jd2ZogbnfaAaTCHcxSjkwc
FA9GHG1/aZd4TVhZQNLGPM1JAqDYOLQzW3hV5IxTfN4CBINeANA5r6ZXYkqLi3KptWRChpEjnHUV
OyaD6rdfRCFHe4/AuO+3hTTKm8j4SsMxHXeabnJrd7a8wuIDLhhQuYp73eLA+jUq0SBPR/+b+2JB
Tw9ODtxuMspty6OaZrz8YjjIamxmgxuTVXdO0Po1uSGOWRlZF8N2jhDUSJg2O72rCfyLMlzAQPnU
TyGomGJFIokVps02UuZ7Kyb2AXX/bsGhpW8cb2XVMc6kvOAMkfcwjp0bkS5zBUfqJw9WGHcEHsHa
IlxzcPh1Q7k/A2ita1Kz/24i5CIybT64IfYwhl+ED2/719XVlPPBXSimCDGJnXfXDsblMwIhEsrc
IzFz/qMggUOGo4e13qkPcm6bzcTa8FgBhCXhioVLRpRQVKjkXuBNXUajiKnaNLpp52gfBZQ/BHhc
3J4gTDSQdwhW8VoPRn+UGbI74mD8bvKYhkR4++Y8uJQo01iEM5MCUx6vasP+zhU8ikwzmoShc64W
/HmEkoqBeWTf9yQTGo7MYGIB+GrhUZ49Fq//gNTM1jkqJcvb0cbmarCNo+/OIM0a7lMZFNV2EAAa
LIOnSjzF1U2y+Les2Ix3IbFcZy+PWe3zepdpekc62tvvNTHNuBdINsa8H8+EOSB3TseqeLKK7CUK
Oxehe642zIXIKTOSb2tMmnfwEacmK5rbqMjFyasJE+OHtDH7244i6acwdl5BEKWhO95JO/kwtPPF
wg5mqUPmg+rHnPcjP/DgQKysFw7dcoENVXCuF2JcjDuABWuLAhrhJgeCONOAeWRalj5GhMgC2m0w
8zGR2dUs66u2BQEmq/KKPamixBA7F+boPbqNF6PrdypyyApSWEsB5PubnlXqpSzCRcEYPWR5NPIM
SQjPAP+3nqog3OUqLcgeGhzEvql47hSBWXLspwOeGYtgBr7ZcNFnhP1W+wO2iuXuCm2Ok4ZWjTw8
/9gh+TkGla9+fA+WaCYx7g6V6zBAMYlCKzEo5pU+o6Q2rhpsvF94HkYJvkqLzD2KRN1UqksIgEjl
1k0YxNdh4F+kksHKs/PsosbhDqziWSb8SmQ5+EcDAkd+/0stevRCja2WgmfcyYS2XcXKxkHZMx3o
4De4bXDbdqNCVEG/wHSyOv9+sJBO/fOPzMzjt3k+h1h20uNgA023CjJkzNBqLlZYUwn6/RMmk+g4
hR1gQ0ndyYr7RVdptfON6wAa7zwVI1eDxk5AAjM6RNLAThPRFlv2f2tRBvWDPSSfEw+3kcj5rB+J
/etJtewJR/vNe6njt7FOEpifplpnzvrXMxuRr4EEhtCU2hcXoSfzggNnF8sOHqlLZTw1IrjOIROT
UpPcIJabUc3MBzlSTmPs01SpPN+1ReBtppLsG4wZdufxJINLHMGTuHGzdtuqjrg/FezwNKkHlvQv
qiEqT2ov3vpD9M26cb7wDhGax8f9zBT4CB022SctEG4gIPRNvw+xIHKuMZKB1+xe2jZsGlX2a9dI
871TosBLWuaQ4/Qnrrpp6xWEv8zJQfVmzJRAfKc2VJJi6lju5y0hg9hAzk5n1Zu8TXkiWOPICzzQ
dIzx7veX4kwFd/5cvoi4uIZJAPU6oUx38TkeXQ0cV6k83dhZU930HAZ9znfMD/ana4fbIhVkwERM
GX9/+NIdjpbNkTrU8wPiu+RGmN0mrxCapDDte13/7dH123DS1+EY4S8FKQvz1eK+BsE3BhKw8dDF
KDFoh5ypqNdSYinNJqweUwXsLCDXBhSK8266hEMAg76xEJitNC7P20GL78ByhmPQFMGtPQzMeF20
nouMCp/XJsmhIfrdtwqmYTWJvHmMFczzcer+xAgIEeDZ0J6bpt/bdU8dEjOG/IUW95gPvI4VYtxV
8V2TK7RMITgFZ5jUdZzE44hL4hdULdSU7IRBbBO6WyofJ3oh2IFzKNN3+ew9yaSyd6WGiQ8hJjj8
vv7eCE3XdehuxsQ7BxM3/O/R66dFvhucUR6cDrViH7iPZtfMt9CD/Ysd8ZeCjv9tylzvkIilEEK8
fC+6LD2FQuG6ETNBxZxjiD5v/DyT30oaPxDGTZm9RYMfr+uukE9DC99/JI/6dkDOZIU2qVSG1+x+
6X4lmmHDYg9kWZZ35LphDjsi7tcuLasZcoXweBzOExrOVe9OR8/T2T0KGoQyi1OV4JiJkW98cmbu
nC6XpIDkwXBjUq5deICTkNr4n79ftUYrQUJE5VUD+CMbLNk2FkFb2JbkXapMxUkXTzvtRZ+lY9qf
E58QdfTPJ5HBotzJDZPKZd4hau/eGBx0O00G3IoTstyWTUiHNEBM/vczMDAXLusBYk+kD4as7Gto
TuUu9uFlhNomo0yF7T5PDUo1KcdrkuassBp4WpVM+oMnnGSXIbs7jOOTjQIBvBULmETEYo+l+bX0
qk9Jm9p2rvXkDQ0etKWh1MpsUQXjYpjhBHL91H/Trdnk4UNbuA4DcHc4jbqCQyGLF9dnAzCz6OpN
O3mbxxi9Obs8A2FmW03OMSwjY6fAUvIMM+0tI52eEHbuYavDkEDmRhyScKcxeFf5H52xDTPS3kRo
x2eRObxWLrOLeSTKwuWBdoEivofDHGxKYrr+OUNS7jZuX7gtSJsYjftdtlcS/KasdiWqopvQx+/S
6hHSQFxfZpC2L5bTy23DiicxR7ISF0askBez7vR7HOTwo+pJr8Fhf/g0+C/sJh4MPXofHn0N1uvX
NtPNCzMtf+sYzafM8DwlA6LlERgDDEi3+DYShGmOpNROjec2Z+SD6nm4sfFHeF7WnwqXUDWEUN6H
1szXo+KlKrprZWIBdNK6vvi2H90RGotWP/Sth2jKSFWcp23fd9b3ZACjBcm0j1A1vvVLHYeI4Z7t
wAdOmRgaxWQ9IlmKN0aE9nqiaD5Hy28kY4CazTSY3oXZAEDepLNF/bEafHOBKQyPEAipjDh/MYeF
t45iFBYaSEmmpJa0NZYgGiwoiXhu0j2I10/P2uambT0NyG2D3s13v/cKI9aO4izZeYQGrkjuAx1T
UWEMhv+aZKO6d5V4R2AYf5Rro0qHN6C2KbYb4IRzlb+1oyPxsTnyAHqaUDs7uSIyBplpez+u4NJp
8+A9jsb32VZfc1vpW/ZT5qGcx/JIxJaxc3u2Bkwz6q0LkvhxCNElwpsyOCXDaG9oTg/IEJgUGuMy
A45mx1vqJ8m+ipl06R/z3PzwaSX2jY28fqz6ZKNChXQpTAVjmKjZtWMYH+y4fUWXJDZGEaLD4wxb
lwl+BE7Xx8hPromjiAteTjV4nO7Zc6+9Oam/dV99MhIESSW66dC7VsAosfWuHoOePazIGy6xcmuB
IHtnhXCfST3ypumEzKzMO1qad87NtXH6/1b0f6zowf/Vih5/lv/NVuSP/8eJ/j82eaVuEEghBEer
h9/8Hyc6nnLy6Wil8aO7OBUs1/8/VnTL+h9LCpu/5ZOHwu/xt/5jRXf+RzqexW/5gWdzBsBq/H9A
K9q+Bybyv9iKnjBt1+dbQXrjCILS/9uJrvxucAaDBJymfTLhSDVLTU3oQbmPG4upWTGBsfcTmh5y
VGMYjiSVjRGFqWVP4b7BtZbPDR3EAiKB1hJc8sWk1y54eZfem6PQWNXCzC5UJbda+dVNoODMFFtt
R9MdYU34SMAgXYbY3snAtPe9H1y9eppuUrsiXjrU8DE0MZq/xdcQmmgOMhYbPbmpWVneSQY7ReY3
lz49LDo3mj1/bcVGsSUQRp3sZmIy9v37neHnju61Q2apb8c8ROshOScFUtbaP8hqVBjbS9A4Myyj
gZnUumjBswCP9zYtbokr8uCrmKLs1JSlOgrD+wKfVTLcQGIULm0N9fq4A/XEg7VJ8kMVzMmOlgGk
dlNmO4CGaBZlPRyhLiJatVlrZDbBJj0gXDPhTySeelfc1TUjFo9qTKXGmVmkwR+b9or6eYuFy73X
M2tkSxC+m5rDY1eJ7iSCgeqUgVuWhsVN3G7qZSNaRI2xyslEvBGTyEjGshmoghFkKzkE2TntMGV4
CPkIXL3xQk7tKI0fMkiNA7IMDyArL9Wl7coU5WQNZ77M3pDm3otG7UEpFbdGCJKvwH67NqSK9n2q
nV1UbSVxMgZgv3u8RziGUCLvhG0GR5dmwajx7YxNGZ6cNpC3vGLvcdLedJlvb/QgoM9xSNmlCG68
gJlmqBeJSM1+jBc+uVWGFd/mohBrJ2P6FtnmvNGJXV217Z+XLcNOWPb+90Ihb6R+aRWLpvxIjqg6
Bqig8cCD5+sxKk4uqvZOz/DFCxZPdK1WVbqbsYxHJL94ZCdFZqYHtuxkjMWzIdJgbwS/Dj/tXdTE
BwBB24bB7ilM2n3GAGoF+WugfLVgVimGJqDtbk1rNohryN1b/vMzE5LmCEqd4XVPGIyLf48lX3Pp
cEnM2YAZs+rjre2R6dq3PaVigiAss/xX8n39jQZ495MyGrWjTR3PNpk8siF8yrhmZvZcWAJdJo7B
yCmpbMb+Wui8Po4ZahrYkcNVZOSnTiOb3Lq/ehLtOXmppPjdgnD/MUril39v/dIG8tcNfXExBHPp
AOe/tBr3jl3qdKRgBL3lJeUVKgPz/XTnpEDlfl8PUXvepUeGKQcHyvnZlDTbUnTqnIzkBxBqTd/j
Z9M5rGHfxf5IGilf6YyE80EQtWJ5xaGP6/pIhkl7iRxGppVBdhD3MRsBRM3rIhqXZOhxgBZoVs+O
iGDDOAziRam3Hrk6JKd07bk2MDPxRuYkU55rXlGHtfS9W7QvxMUtGLKpeWpN0uvnutgTLADOrbLK
NTfFtE6QlaysDlt1NA9JTZPZdhRDo32Lru3Nt2y1URK7mbBBpZNMml6Nov2WrGH3htCkX/hh9BIO
JN0WGMVZKxvZuRiZQhC1OG5QbwFHdCL7mQyH+M1tqvwaODAjfWdG1pu4G0YGKaE+KNGcyasfixJY
09Tch3KYmNkFf9oKIFcWzhvguD/EKxylgX2LUuwaGD4lbYCLh+K7WVUSXghe4hhdFNypRiHfaBpR
Ahzsmr0CbcBrqF7yJoEzkH0HnsjYwfFuT85m6IYnKsWjFE2JhNrhFSyp2hFTzuRzQV2gjL5vlDed
jcpPmSETjZzAgGNjWUQQE/LynNe2eciV/kNaNCHLRfm1Cgze6QaK5V0/yVNYLOZ+T1Sn3F22ijMu
kanFVO5gIfUTh1lm1v0xWYEzeIV82rQ1lStd2iiZ6fsV69xgyL7qBB3gYOSfsdHEqxRN494tvZOi
ML8jeOHYzExx8uzI/LsxG7E2tSwX+wW9f2ai0G4CRBdjsY8znCh5u2ScFHigaLqYP5oIToee2Sxs
P+0tPUENjAOKGcpD7W8b5kKjiYrBkpS3qBTAkjK1x9jJGjH+K50cIlHKfTV73toO+2rH5bkaNTOQ
poruU/yEyPbYX9NsVsSDw23zNuzBiKgJH2OC3pCG4VDj0l8bPuiRcKye7SR4zYkw3tqRmNYiW9NP
qI0790sKrjph7HIPSkR3c8Z3xYzLhbWEY57tXKFwNIz9uW2nJ6MWrNiLSu3Yyz2QRv/WDeCD0U6k
KzswtnlY7K3qrSTKhTnoAw5HHogzYpf5wbG9hwDGlFnlbO7C4rnxmr1uZL9nlXF16/zLp+w/FByq
5mVKyuA8MWbDLFNumpAD36w/DLuGHaHfnDzCsttEWG9iQS/fNAuGA/RbYyNIlKnz0efeH4N0Fm45
wJzJsAenWm0qRlno3dVaYMrcyCFCgu6h8UL1uO9DmFVszdCokBNS5oEJ4BIdcNqiiwYIkEflpxCs
msEfUw1nArRvvJh2vQyGMVu2beyMPgt/Yu3y+JY34CtlkrOx9figuiy8QHh/HCsuDMu1431ik6Wc
O/GIkYOrVAY7pzLGS1txhjZGeEKFznvb1filEFSsh9SZUW8xdcYit+VNDXZ923RHi6XTqnX94ZoF
7a4C/3tqyS89DU4K0HTiaPFH9+RjLNykHi5NR+JAGzNlH3Q9f4KhqnZ9qP/6I0p8syW3vGTjizUD
gx0EhAuDtG7jt3W0rc8SR90VJMW3yFOUsglUS6bQYmrBwfV4I9TQL4Pji6ppOCWKZ76vQq30nD3g
VxqAodWfUWq/8BTBvdTSFcbVPdnARG74e/uPaSLhhE0k1kmYfUjt8hX0gcTBFNBx8pKnRrWDO5rx
QuPfNNgyPMOH0a2fRY9kn3fSv3Fxv1hmH58GPcWrHjA9Rua5RUgAEQFzGDEjbLoaNu3kRoP1DTZ+
Y7E3m+a7pp72AsIRbD10PBFLzalgCk0iB34OYpP2flbA7kAUkbMbWtm/ohIjoRrs7FWowqsjoQeb
5fw5Wd3TlFbPEikYxwCCVMmScaWoFahiOIYIDEmlASAwZ+1NOtHWF8zmMB8wUBueImsxJqEkc0Xz
5dkVm1sZbciMxPICQKDUHvJqvAWH3ujfcm563w7t66BRv7MzLA1tbXXICNFc2tpYZMaifPRvmGMG
16m96/wwv/JkYM2n5Mqe6OQzpBIjJIeLW4UnWakHN4DiXLXV8+wNP42l3HXrEO9qeRarNil5d9FV
cBoDeJv/km8/HFyIu8THiLveYxoLqBbgW7Z3xti+N8Gjdks2JYEHhqcJd8hftcWMWNdOuM9SSo0Q
OBuGc6TdJcrNwbg3yX9gucW/hNLdED4EbZxFjHSphlkhrSCsFSt/TM4BrywASpABVuqxPOgGQl8x
h4RtSV5ni30j5paWj4ivoOhlboHqJFknCTTMyXHuoeHwnnXuetBcqubsgEfu5jvoRMSYj2++ETc8
vxH5tTW3ctNMSNjc5ElY8ZENx8tizBjr4TwHvnNRon6bHPJ8LJeHeuOQLq1WRYRgpAkY/fRquEJf
oNqdUjYpRFvKCBwHWxDWVdxDsxUeo9oAbFMqvRkm1qWB7G+TKP2ceDS5Bs6YTmP0dAh1QOncnFRe
Yf5tiEZ8EHBuMKTNj2hkCQJrRsqk+l2GwX14i28RhINmmB8hIPGyF3Yq0drQ3i04Btb92U9QdcGa
kO5PJl34EjqEULIn6qMcmWNabfKBAKvk7ULr3c3Wi+8Qd9qCtpoq+T4XxWfHIQKFxw23EtJPWqHP
DIBdH2B3bUVZ2scsD2ZYVOzX2578wyYwN66PaJC911vMcYHh5WvoonxN+nB/BnuP7mHDn7olrYID
UGqE8C1vYFKJpygNARVhXwe3nsZwuqaKWq7R8pLTTpnziGgDmgvTSevLMKlhexy+7cwOgfbkDGP9
LjDuKQS5QCf50ojsNeHKnzhQedJqAuOXUl8XNZNIFDSp8C8iyI7Yz5J9NUwP0mk8bE/loxydLY2x
tZ9jfE5TvE0JDlqFc/FhEdBt2aTZnVwLlzod6BzkL5Sy4KqwuGUmI3nkWIHVDnvHna9Wca1mRbIa
Q3E9iZ9cx6faq99B30d3Rtl+xqEB1xBlJJgqzq2qX8hjUzJeUlBAs2XE5EgFyBVQTIlqGHftnHwO
TTLDzrmGLBtAYh6RYnUo++ZdJ17M0XsoY00LZFPWGUtIHyUkeg/3xeyyZqtB+Xj49pzkMfVUcezF
aShrSZFm3PRML/dJhC6YWVp7cW22YVCpGyeSB7+PORgMD4wBcHHKNvRV+XBCeIB+qLmZagXEssvv
yrjXj31ufrokQo6xpzcBgNjDOPFwDKXJG1X/rYRNW49ZD+3vc08Rw8wR9gIkYAxSprsxzZZ10aBv
a+lSf2bpPoxrsadyg7LTWMsh8lazXsma2Nx7eX0J5DituwLTHz3nwR5RUk61/Mn8YvFVILC2vezZ
9Jy3obceq5aUTHQuYEWQwLRImvjxgyI9R8IgBZ3Mu00rbqsMBKd3ZFlKuwPbArpqtRFpePFwaZPc
TMXvua8OydVJqwi4jja2ydMeAgznJnJkM6ak1B01dzgQ01cb3LsLncCsLYgtRncaEhNRed4BRyt3
qF1wc1R5u8PZ/pxY+mnheuIA8dmIsgKJwuV0gGIFx95ny0btPrX6hwjZkOWHfy3z/q6vxFdqIcN2
VXVolMnI1X3kdUXOWSXbrIdQrprZhKcLutmW30Eh3lzT+5psg5aki+7IFa/WUHL5J8v94ODNq1of
PJL2AJuh5IbjdCccbsTBXaa4z+lgnoRN666s4oOxL+E04q4GMbwhXOsDg85mtK07M2whl/Ki9JQC
BbSAOAy/4Oa5SOaCZOM0nN6wXe6iNnqlBzuYZoSyN5xWrt99TFl8sns0Yn5o7jvtPLflsFaziu+w
aO2AhCzsZyIQQANAtQrbrS5MnDqBvDoGigtCROEZjBvLbc4G12OCsDUZxjsr4QyLbSLdkuY7Kgrq
KTt8xknz7hbids7e5ey/RdYEECsa/qSdFaE3Wc9+iyyDI7iOEXVCxv9wkp8aEEflT/imjA5RDakE
MToAqq0lKphw8NhfgSc9QKDAAjaQXGHHrwnAEIwN0clTVXPMjfzQ6+nHqr07gt0eHSd6MkwEKrg/
JtZOJl6cFjrF2vKpycCBbYUVcssEz7jCFP+LT5ozGLmVIbjb2sC9scp7TaobS1LvoKu5PPZ1hMQ/
Qietv0bkPFixVkbmAhJK56+mXUolaDEhvmzCBihgvHSH4v5aUcBw6TGWq+NmAySuPtVOFu7MBoGU
S/HhWVa4wd6ab5yQYGmwU1vr4FlksaJgJckge+0989EaC9p6tst0gzYbBVDRzcQ1HTdftuGcp2x6
yMHHO1WLvbd80LT9O7vpwZAnZLQt57WDasZQbPbAFe5M1rMbb4RR208RJMAqJofTs28zDlT4yvEM
TIgV8rAt71jleMfK6F9zbq1Ftia3kZlcjGUOY6Fx8VNID73Xo0umb2GmUKyXJIPB3jQZXnWCFHmZ
SmvLXEiC5ztFScvOOS/vgdnuYzFiTA6S7wgWRCibfjNL0kSXIOxKMwJT9gPD9M0YVOUODBHsLPJL
WVBtQaiPRAS2t0JT0ZhCsOPKqnGNdI0VWuquxH35mpLbjcsWJdRC1h7ZfCEUY/pxbxZwFLg1HKKY
tlBtyaHs3qggD0FmbDLf3duaNYyjISNa04c5Ew6PfgdNJR1VHMSvSLgUK4z51uEiW5GOKZer4CJl
/NqJoUDphKmtxZqeAgcp0cYjQEK8o1lQT/2GTKieDqs58G/3jDaYl01rXZrPfStpWmPxYxTGp9Hl
PhLxmHvV+BuG8VYRaZhDvamd+MZN230Vz8xoLCPj/85vy9B/L5CSG5b/OKfNV0Vq+cGyOm4ygKXR
+FQvOyZfJ8a6LovvtjYPle28mZVmRFuUhMm420pcUzvnVo+DFxysJICzL0f4MO7bjDszJGZr6+UM
VbOrg5LiiGXty6kU9vcQ/Ml46X3cqGrmeT1bDJfzCdmQN9S3+LaXiidtHlKKJaJAgfGNzOTm1N3G
NpBnARVHL0/lMuInCIIFoJoa+4Lw38YNn5IAJ1ZUUMlV/ItDKvqNbYxfEFyQFaf2H2PiWTIb5ZuV
GnIjaFDJNYWFlknnWI8kYloECq+brnoGkAMzcQfS83HwkPgZgFWDcnw0e5cGpIoVBTXuOkezFEtC
VFki1Gsu81MBNEgF9vNk0mw6wn1jcvzKgvRPRajiXPoZOHIm1jPXaToWB3L3ZhWC4s4jnGf4Eyh0
64cKMc8u85rbmHM+DAaGcs2DhFZ1U/vfMsGZP4TnHC4OC2d8BhkGxIlxHrYHS9PMgWrxayKMzAw1
ZGfQZPmB/eKHPa4LGT5G2GC96q4LghdhWg6+dAlvSF+GcpgOVDuIRIFZhsuHlsgQpL8plBRChlE9
lHSFuDRMclUTD8+LGfqAdfzk1FEXMaqE0NojowRrjtMDtp0eSQNQIn5p2dSfcrRDUcKD1ZGsqf06
fUg0J5/NiptlGF6UTP0tTWsb+um9LHro8GN9niLmUoHhvREvM66E0/4kdbnrUsiDVqsegQUT1DQQ
I4P1uz8YJtm5YiKNh/YCxg3ZTrR/6LaTnIqK524GAQ7lBv3b9MAMH/eDa/FwxQKy0iB7V9iv9lk9
nie9ZzR2cZGHV5X/yaz80XQoX1zap1b9uF3HDCHiR3QtGvgobu9Kbzj1MrBA8lnbVsw3MmXWicDd
w7BXYU7WOPda8Sb89lE76yiz2chqHs6jNHdOro8kpTyjo9mgLrwLpHcxQXvkUfGpqtnYR8te0lu0
h45D8agpSnRKt0f5SZdrvcRt/47thbjQ1t5D/bjETX5jqVxeGhVn1y5kntrXaMkY1W2tnowWXqgh
V/4WJ+GORldv7Qqnh2/AbTiB7ds5nGu7OC08PI3xt2zaed8FxM8zA6HJHCd028gqc8Z0M0iMjSvp
JSxyYTcxFwbTkve+wWUGHQDL+6atgmotauvDinl4OC4T02y863LEqIWNMwyiwB6vFKOyvnKZ0lYf
MekQxHNEL4386+Q5aaSgz9ZuxEjY7WJ9Nno0J3PzLfqJHGgaxpWs/5e989iOHNmy7K/06jmyIQww
YFAT15Lu1GKCxaCAMGjAoL6+t0dV16sa1rwHjyszIl8E6e4wu+KcfaJwCYBuG4XTnSYjRGR2sTT9
dZmh/h9ZXWdiPpKLNDIwBddhMd5OsZCObSnXiNn3CT5YBK3M0PBUD4xu6eHWtm4+VOY/1QpKSTZx
7hDya0N3g50AYZh8GCRz2neus0NSSGz3F7/mKL4FMs9L2aURKrTOWRZwMugMCICMY9Izq6jd4Cbt
Fv3EC2hVzYV0iBRSPrCvHTw4j50QlqqBMU4J/tyKPbEtsM6hRrKyRUO0+9bR1WFu04OthgcKM/tg
Asopm/iHQgvzJyedHwZw/zBMzLMFu87JLmPjmbsBeBhKqQiDQEfYKLINjHoWGHUSNwoAPn3JKAeY
M/mEfu0u6OYipKLvZG/o7djPB0Bv1VG3xQ8Ol2E90TxwJZdgatth2kMcs5gElL/s+g6+Z8p9RQeC
fdlNMIg/kfTq7jX0CUN0J9vN+3UiqZXygqRh4EcblFCaPLTmBr/m8Bmq9Dfge0Z30pzMEk+SC4eC
9FgKNEAh3nyfQMHwsLD30Y9tDs2qUIB1+qqvT4bn4lnSxUcLT3xL6KJA5uUBqbDgoIQ+QiWy3ddB
5EKik+6rxYdupbB9NgJUEnP4+lDK9lJM08sUTZ9k6aIyg2fmYNOOU/2nLR1C2xDJr4hNeWq79nuy
kdOiiTK3/DdQnNEh9S4a8GZyu2sqxFVYuDJ0H6tNRuic5NnfEwb3mvMpWdSuy39OGEsdVd2hUYxd
4pARUDXRFuuGP9k18reMOIlNCnzz4KPCPiQRq07TtTBio2bBqrFI2GIdcX8C6Yk56VheiG5uD2lQ
+AfbRVzv1MPpFkqk45S/IfMA7eBobMOM2DobMTOK3/IQnf7+6lg5QNWmdtd3dXpC7e6mKU60LACn
iU3TVjE1HsamVAevfVhqtnHNZx9Hm4S97cpR2VMSo/NCnr9sKhxWfYdxA2or6aCI9ZweTwMHZgOW
kh2sB//KN5k2AhhnlcoWdmVJsC5jLF90Vb+rnm0B62vr8PeLm21bUDLrrMmfyqQ81qHx2rFk30C7
3LpARaBldds4rBhjeOa4hsy1HOKo2VSZ/ZyG7U3KGfnxtnbh7uC52tI/XcqgwOqbbRhDk986iwSv
iWp2uCeJTmf+4PuMCQeDd2kWBNrGqbOtiiQG/32cZs3xn2+cuP7M0cDSK8RoJ81TG5qvnQQQHHfp
o3ZJdJtGLAbUYjRzRfzc51mBXKh+R8f6DilAA5WIgcn39jph8RuQBblyLNVsLatZ0QQ8sT5k1Gth
cWOciWUU51rkYO73MXlrDER5yf1Y4kIrh3nELZEmm3R4yDTK2bJhdqRZzWx1iTPHSe1fK9UbbGzV
RTaQFc08O6SeyveBpT6FgxpW06dUluYSMI0TLcgrgQ0Y1qLx2Xdug6zY/yrzEBNSnr2nw8RiJiKw
VQkENL2g14eAO5iI2mQa35ejB0E/w5ST7eCsvYC6Rc/eMBZ1qc2FVm+NUPTvCj5GHbfxiooaZrFN
gxaFT6xPWpjP3rpq7PdcNxhmCyAQo4fBbGLpy4qmalcEVS4DsveSIfgtKGk3cQhEDaBltjRaQuBS
AwBxZfQ4lkucqP0tNHcwoYc61Z9uMjGKSueJJrtaBXZ+8hr7O8zJBRQpmxHNBLac6AdvUTBaGPvQ
s86hZ/+x4YIuGn9Yx5iO+eDvBqcHuROnYNen+G6I53SR92o6ZMVjqI3HAkyl60/mpo+42ypsxiFW
8MF3/F2WVxZBSwVEl4TyQw89prV2Aw9OrqYBxhiLTqipgLrm8dyakDZHH76pLf2Hnk/VbLjfNbZ+
En1oIgt/Oyu6TQWTMkK8uk0rvCC+RsuPhy1vh3eSNJjZlt65ZUjQDeNw7DLnrh0YY2Eb7RZBCh5s
rIxjyXITgUN4c51SC+o4SRYm1OxnuJtwqF+08rI9C3eayLlx7xIfVEUREnxtVueoD3v2TfO5o6YV
CS+G5fV3sef8ScIM8WH56fQSIbgZv8rpUM1DAL8HFn1M4Te64za/KVOz24ig0X8URo3lzDIfMl6V
75KeEfDgWMvRjflwPWSmOd31WERkeXNO4P7oEIEA/bhBsDRD6iwG++2Azsmt5AmZpSJNCK2MJ/kE
lfZ8JCDssYkKVLN1f0SvsxtT6+YCLr5rU0RohsH6Dn38LBk0X/OeSqH8C/0W5EqXXfsKEdlaVS2r
cCvI5b5rmBRpCxQtl34wqqPfI48xwiig7qM8SXzaXHBgAHBV8scS7XeTaDIqLZoKKCpH30tCUvH6
c2V6O6k7GERDgV4ed9gYoxZytPoxZE3fbLyg7IQjxDmJfQ8K9oDCIK27rawVz3BPTA+CJvY7JT+E
z9oDwt02/MoVy9yxYbzYceEKHjkcxDUXUkJEUCOtZyvoN6RLEIbX46+u2EOtdIsXjyU8BGADBN3E
aLnFi5M0S5BfYplYNaOZaoN/EDgFe+9bWcSb81IbAbuL1BxWcKjHbU/ipZjxKuCFIKo+YI/iIQ2n
0tN3OMn6g6jpcxrbYfnARHDCaM4Bmp79epWz2bPZ9ucWwYpebV9vU3NranAs0TAxVeHPG1omIPiW
ecd4f4luBgtpfDe2vxXyBrgtUocFAJPWEL8vQ9sHQSQaUE2DAgscMHTn+JD1FV0tx4UMajjV5rfp
+d068CUiBPplo6YNoE3Hemagy7E2KEI/xjg+UIa+97b4Sm9jkppUnU0pFIlxFhAFAlW5RCpwVvJD
9l16NBMExIFmtOGYKUESDunVo5eCew2dw5hKhoSj5lKLA3JXw507q2uSS/OWFPRATjtQgmx8NqmI
QOMNPg0s7MXSOIdyyLmfqh+jaTiWAc/6vmIqjDNgMh8HhyfeY4K88IryK4myZpvG0VdvxhfyT5ZZ
zZBJYNlcGRP2JOaORQUfnIenyMACgzh2ohyMjG9uy9aN+V7zm7602QBWZDXXI5/qRBOti9swSCUM
CW9fiqqV57KNXwoa2ojKJmuMY5oUOWNgUo+8Ot2ZtezODS5VGtQz4SJEXRnFtGr0uJ8p2EAskEZI
eJG10OyPDdMZF5001Nqo6zXYuf7UZobe6ChdOV71G9fhfIhIQ0pSMzhwf0ssDqxt1KzvsbI7KyxY
D1kHsj+Z9dUI7H7Rte0xdJkmcU0tMfI+NBI8AZ2UvWrconxR5aU8YYmDl8vPBAi+u4iqs9cOQbak
v7Ho8RYmcQozyr1lpbvsEFXDl5n6i2TyfzwxQAjVk7dK02+G8JDpPdYTBbyWjDPrqiyxtYluw0jC
pPCvQ7e+hHmcrDvlsU6qGMypj9EYn+0OixO3uoJYa/y4YZde04zqcAZXhTjJWM2/E/YaodrhLsKE
n2oQPPq2D05MUkbxAmgCUBgxt7gV2QSG9RF49rBrNAljme2t7QYBLYqppYxt+hELeZ7X1pshIT83
BltttCZ2SN+1eHGC8lS2Y4k2l/I/wD5qOz4MJXQpYL6rHzeJnwByEdQashGQyXygLa9QW7F1z8WJ
Z4Pgg5LanACAS8MWba5uIkYCFGiQ9GsAhOW+xqzJz58TBAv+2ajG+ymU3HwIH5nFSSSAQ+LQO8wZ
L1XCRCHonadRhdit624nhfvZ+5lxbMveOP79JxdkDheCAGgrRbhHylVp6jR7elSg87ay+e3RWhxs
g33BKDuWs5r1P9JkvIzgkfZ+Ur25Lcx7YgsStPhpfZottzqpMah26TDfmVqyuu3oUxREmCHmLWFT
dFd6g1xIJfU+atnUQAz7IcFAfRrEHWeBYz0wGYC9N0Qu5bwnHmF7XzliksOsxu5ArUd4Gi9arG5+
SQryEagEku12vGB/YEJJXlgn2Sd0uJo6FFVOWOlXTILN2iitCKGlindm4UOAJxPMLX9DU37N+KOO
InWuCDZiElqB3rn4fN4oOqc115PeRZCX34Cobf2x7J9c1booxORXFrN8rXK1p/Gp9uHEOqT2kE6V
j7l2zUd1246RwLQyiHAgMYXgjRdjZIJQC2y9hM7IMuISnK2T7TCiMjaB50Fo1PBH7SyUR/9xFAxu
JezNURLVILva2AhzsjngIJGG6NRqFf8x7PI6mPm5Lb37gK3ROvJt/uLUv9BKR0ctx+iY5r29UAhw
19ac11u/0fDbkjC/xHCmLwlJH3hpGWUhdnrEJv8fv2TNRYgEh4yNYhQLo/eY/buCHNPKgXUVLltQ
heupV9+so5m2ASZZCVNTodSTd4hN6iHHN7FsN6IgVbQmoW5AIWJ3KGJgz9A+oWxyCpvZrn0/TJZ+
TjvauH5IAhJvcUdSiHu416ILhqjqQHuA3yJGejowGzh7rJEXwajztSsBbyDopTFDkuSWiXUG2tPt
6g5CvNfCyUC3cw1NrkNLYCsnsmTTupocu16WN+DOneS0nMSYbZFIpufU7z4L1ZdPREN8JF0lN3/d
/3H7mzcAwOP0PBCtskR3jT/BLkdA9i0iIKAaLT6PZWQCvM5d88Gw+XaIs31x6l2oOUdrQSZq5ybb
xmdYW9pTs07ZoUMCtaK9UE12HiMrO4NdXLRIuhes0Vaj4TDdkUNP+pV67NTR7ZjoYiQrlk7JEiNt
naXkqOuDtId86bzjWt4ZdrxHU71QA/IHcmnmQ1Gd28p/tYLkNU1pYUs+T2NBNjzFPciE5SzXo1Lj
QeK4IcOhcjZVD59kMNnGje/MgpdVLfgBJ55TArkBtWHcLDO6b0sBlfGG+lAENbIj/NFRZnwqAOwj
7YhRN+W6Mcd2NwXjZzHoPygeK9qD+NTY0ZsZ1AUg62A4GNmtN3f1OZK9Phuj32woDLMlNxLOZUSD
UTyizZIyWieRcNcMNqPCfhudWG2dCQQsG4bfBoHLhA52YfopipzBuSvkgHIGCW/Yq7PN0IZe10Qk
+mFgh1jXNUJcWfFzZvRrcTiTFShpjmMibaxo3o8ocxD7jHPOhx0SEPYvEkPa8hhCrDDHgspe836R
kbnASqpw67TrpMuRLcsV8KcBQplz9ELGf8NoX0NA7rxXAjd7MjxGMYezBkbEbA6U1jaNwrORlJCZ
J/taGuoSRcHKc+i8lQv4CgD8SvfypdPZvuk7Y40dMopa1tJnEev7oFKvPnrNVcOHK3iAGA6IyCDr
OtbNMWr6YyXs09++EuXc43gDvpnxQzo4Z1FoDDeC8ZmDYIVUFX8qzsgr8V2TjiNjUEV+3rDWBLhW
E1ZgleBJrTp+qEsWyyY6X4aeq4TgitL2PwEODkujp3Eu9MsYpW8Eq7XyOcihu0WouQ+tl/2RfbKm
tCfygmJNZx08opTJlUFKhFvwLJlsLXg8GEBXP10QMqxiMuC5o1o6WfbCUiLa1ignUt0bDLnmUxDA
B0zp9XTYHTHB1Gsfhh1HrbHpbZS67m0xXr6WEdv0tHORqzWGs4YmHqxZ7WPdZt5PgeKBqDQqsIwE
c83R8NbXvd6ULtOhwiVnJRX6CBSspRxEMD13W2yMuGKCC0pVDqXa4g5PY+KPR9dHRDuc0mLkws7H
7u7vF+mGONsd58XlQv33X8rBHGP/nX1UnqU8g5obj0FE9tft3zBRyvPff4qT4D/+SQRo7BAjM9OZ
GNi7VYmtLMV/t8pVsdS2L09Khs5dJiKU5D2fT8+e7/KY4LfJiVmF3/71X1+SursTCUmtgaoB7kd6
2vx1qgsfoJPGY74eNNiov1961O8yuwFvPUZfbuOCgrTm9OpypnvJjL+sDO653cAK2KEBPHMTc/Xc
YLwOkl4GbnkKF4K+UJyhBzMBTF/Lm7m8nSJa/TjfY+GqD0H8Fc5xcUU2vE6IOXGTyD/PwVi9Y60n
4XICfvnXI2LAbehlcZfYQ3vxbLH7/2aiv2Yiy8Rj83/+n2tn9dl9/q+foku66e4z//m3/73VSfHz
3+xEf/8P/+4nMuQ/nrBMDz1ZQK/nmc5/Rlvi8/3HlCa/IaQdeBbF4b8MRfY/nvRszEbCtHxsR//K
tpT/WIHjUgM5GIFwFjn/Ez+R8AKBX+iG6CqLW2anC8aFv8R1sSxjfGKD5/D7/yXZUjPTwJbhrVPT
wSxoB19KDLDryZZaAjt12IbPbFgan7GQcS0nVe36grMFbxytZ+/cG1W0LLpUnRgdMVoJ7YcIiMsG
psgnSZpgOOh5OQGR6Ga/DPDYiY3otOLyDVlXiA8nf5Aghxc+GMLaIVpxVM8YN54xYT6V/SfeeCLH
6nY/FtgRrEawtqQyBdNxICkwxomxSHT529vRQ4R+2coEORbaJOEPUTd43tuSXpmonfDz2ygh2DOO
x6KHcW4nIfdG9ZxPJsAnt71Uw8j60mu2rYfg18+RzLkIpxfsZB49v75gXDf2g9u9ZGlz77BzvU5d
go0yiaItcCnAjI/JFFzmRk0rA5WiXWTXuH4irOcXMdqhTqxoC0OJmeMcc8k49iNrd9riBBbs8MeT
NcI6WGPn2APqTA6ZD+fyQzTWh9sdRMQPPUexv8Kczo/sACcY4n1koZHUYbhhHX3bcEPQzNLuGOX2
y1SnqEXSMLtaAJsjEahdaHorgYfjYI/iU4BCADe5SmXznLchUCz3G8a7CIS3b6xwRl9nXAt/Fzl5
c26c8exIdYG1h+ioBuSsU/9AWdWjjJ88eQC7BOi1R38ZZd9svZgxYKJY5HHa73JDnEdJRxa7JpMZ
LPJF5U7HSkVPlh1/M8zh7Qppjqx+L2qfUtGs8S4QzYjQWacLRVPJVZJHtBKZdVYythC2+h8zqrG7
igYO9Q9jhw4bTDZCh067bWjE/WrMypd+cD8g5qIinphEmHB0S1PS0khjlboWEhLTOhGtvq8JHXs0
klsBmdEQVabaIkLpF0ZhvQWwa2AGcae1SDjhIjJWHSOzu5Y6e+ZGFHtzQlc4Cv3rBJCpw1bHZ2aR
kh+wcZiKQRlY4vpQ66T1ofNT91VjWK2KkmEIrNglgYnQLyZzT+8RbVtFdePHdvzUKdIv0nnNov/O
HKyeSQ2DpDCAnOffcAS+VexZamQrqwqI+4hHQpxj6syqQjbTSgtb8VjDHlMjs8iOJ/walVW08cZq
3tl1StGaXQNSAhalqoJDngzXZCLf2rO/aiDfyD++kiHP+e8ZXxva3RptiHkKWafuwm9BOtBt1kks
BAzdwIx49hvT3ttAyBaK9/EwmOV7bElYvy4K8AHtxtUyg1VnkXszenyLllZHkzXoxq3wARJDiEEO
Yj8zhlVLFOhC9tEdLKVqmWmjZOeR7y14DEpRfAY2nIQ8qNcEPK5cHovEGF/iuYFtLUOsNh6zLeU8
pVE1b0SLunwwyMGxn+wA0Sqb3COeorMMkGtMMHxBThrLlMqI+UA5g1vVfkrBRjbH3ooxOJo5wS9i
gBPg12weMqbB9tjCm8y/KpA7+MAZ+ZYx7o28NBGGp3wfegCEWJITxZv+3tka0QDqHqRC5rtsWVvh
5Ur2SUyGzXRM2Ksv/A7/HDO+x6GyjlLfVZXznJvpQ5MdQoIwl3nu8sLKYFVWwUki8Fl1gcMRZg7P
0rDPZm+s4jlnBE9y+p6hOp+7MfLWsvlqu4hJQZ1FB3acB2wQ7KELkhzYsSz7aG4W5NZ9e9FwzavA
2Efsr61xV93WmioCyeP1aKKiGAODkaPz0ujrV04L5pmdDJAfA1NOhA9L2Z+JTxwAVPt2yTl9tdts
QG9JerxOYI0UTN4wqK5JqqUhaHj/yfNx0YuwOB1Ggpy0v0yKngTBEYBzzqpHHWN3su7Gynrq+vYH
kNELB0644ruM7pmULY2Zej+ox+/Jr1kUyX79xy5wOSiHb1ZV6clCXjQL4zIOhCpQyu7RpjGobZej
5vM6OdibPPEUdPlGWwizEqB7LRpQgKxWLno2uOlZePNdGsT7GSpOYSco/ECuCAT75iT40PbBKmd3
XmteS2Yud7UbfTQeVwyd8WA5OOhu/AAIDhcDVUHgOKd8rq/Mfp5NU97pzt9oM7mkUOwWyg6umSZM
chjsi0GScpJzxjEIcQBYmuF9ffNgoHDbqoltBoU+xvv6Ok35Be3rR8fohdCc8AP89Dsgm3wp7ZeW
yJtF6+GRiupnlr8rqdtnY4CDENrVvrHT+4qESTgfhsl6MzsaJHdu4A/d6OLztVpVzjgu+fJtV8bP
WKEv4uDbJVTs7IjUDpJjuMAX/UOexX7oKihAkLE0XF6N0m2pw+BVlZGzbc3kAQfJFtLtQsFFgMuv
6gXgnG7rK9w5POtdApu9MPelVX6Ofbl1et69lMqdgvmlalkJV1O6TPqrFRdY4rISx4VId3SmT8Lx
TrluN7KX8XqY7HtsI8y82JOSkTUnaznITwS9z6zspp2n3Ks5+wsilLo7Q1slhxnHSF1fUxPdG0nV
iLMErrUg3HUOyACs/bmYLtasoYAGbN6ZXBBsUnprI+QxLpMQPmzSv5Tx1IJKrN9SH8hCXdnPpVN8
DKWtT7ZPcGaTF5vWJgqFVr+DqqDBFoXmQ3XLgsqBenOQM/AJT2nwaczuL9JQqK03S0DpZW9mRgNZ
yYyFj/eVTUidGNn9wDP9QvCzA4HJdkv3w64PLACg21AAdGEmG60HAaBisphSEnNFPoqF+gY00qjW
iDa6BVCRl6TpTnXN7zKieE0pRlfNzUdhjhQc0r4Q7G0i1SgfQ2NydtLxXxRc3kBlmLEs7W4spa3V
UDX7cpQcb11933nZswcgeReY/jPAos9bzEIfuP5ydofqHoLgVqAyg0gvja2vL2ghzy0OJHwPLM5n
S4WHMcAQEWm1QRoNSZSt0Nj42yo+uUX/0hXfvg/5CiX7r6kgVKiRIxU/daSjh3YAz++hfBvDlWpx
XiW+91WHHwi2jDURdZRVDAg3ctAcl404dX9qgwGTXZ/AdIRb+D9bkcql5RVvoVvgpTL8ghopp7Ah
qMGf82xbzhaqwgQkiWS4J4KrQD1HpO1MDFyL+0TN4gCqOceI2SU76R9SgKVLvBE12+ZIk6Io6k1X
MBQnxqWL/fRaENs9d2nCWzXxECb6Q1jnoKzEix8JRAl2cYxm+Mael2yJ08HZwl+EaWvk6O57a2f5
ib3wkKHXjhk+6L97WKvfpRnrXgyL5XZqy3en9rpVG9lqhR0HdVeJtNxOjPNssz0QzW/lBT/BlPP9
d1ffdfrN2DClakaL5Zu8DS89JJ9iNwDaQ0PjT7wd6bqzI5gpLnFtfvtj2LfA4f6+b1Sz6nQUHEQA
di6RK18kfJCliRLA4p1D9Xgf/Siu3jVDDmi7c+BSjFQHr47AiHrltAic4Ucz3lviejk1ApG/CbFx
jyzwI2ZHsuwqUrQMoch7gKanOyEvYYGDhDBdVu3qwdTNXiTpgWELDTpZHazTmcC5GeOt1ts0kvFc
Yctmi2FhIwSzWqBpztJzOxQPRv1L8tu3nUu9hA2yLlL37BKZt4wbSIueC7C5K1jyF4JZY3SabgMW
ZC2xv23TEF1j3TVLC3lrz35pQTARVwFbHM+tflRzy25uUQYGaZkvyB/m3eieYYac5gABuOXdy9Z4
jHL0ZF9Qji9avFfjvC/MnH3QTIfm31JDzPAnd2F0Fw0ymcAUj1z3v5LJYhO6GycEbalBdGdBx0sz
ArRR7khuvGFiM4zfXGQdi7bpyl1ktNQnLn8bE4FvlTMUhme1YL9t0mzY3NdoNdBqDveToXkZUB1n
Y3BEl+sekG5TpEtjjbLokub66vQGwmXAQCTgAKwXOFR0ZDy7IFTaWnHWet81a435dhVbPTNJWuJP
wUYladuvJoAtWsNkBOvP5B7/Ew/1QEjHIkQ7pXrYR1jGFGK49E4nu4o8YrxHuLq8cjkK6KfzsjbQ
SQXml47lac6Im3DDt/ImfGibYGe3fJSqnj+2mS5D18xcDYz7MMTDjOHuqDoD2qN7N/aE9BA71PKo
G0+tzyuVVmycs8EJFqH7jhiBUiofHhqruOtk9U6aayRI2zHigXbzrrQHZpZood1fu0ZcyXYNnGj0
SYf3mYZP7MZZRhITNlAMh4V95ON5sGrv4AIk30e299GRMTjORMvX0nLQVBRPg0hftVM+dEpeg2pw
VgFO+DJoeJ0atRQwiJZ5aLfrETDfIE3Iigi8J5ntk5xdU47QiKqhg5A+/1ol+3Qz2VHwIKMfQxIW
APY33stYdMcxjkpkZdNNW0r+R/8zui9T+WeEknvj498RP4kHd36eCAcYBPJqh9kYt4Zn0AKqtzHX
4AqIuIMNXaPyq3csK03kOhSrlJizapmJVn9oeW30rfOxDCFsh1Rekr3qYlqPtfPTKYjdSlqog9ih
eVhP+XDsIu9LRvm+vJ3sMaqFHhrQcAtfsZ5Gl340SqtnG7dnEAcTQ8RsV7m002bn0GBoZv9xsgmc
TFCooCuAPG4a5R4APW809G1p1OzS1VNS2K9GMS8ZTK9i8+YJ76NP4aMLiMP7xiofAflfwAI826UG
oiDyN432YSlF/2L2NjyLaN8H/Ts4x+yLUuezvqFEOPdXJR/xDdow2hmHqDmgZC9wPL27UUaPcLGS
Y4zmGS9XPy/CUf7aA+4IW+3DmSB1j/3Ykv+hRHSzYD/F4RdhhMkydTh5yLdDf2+vgsC4wNQgHk7a
dyoDsxGiKEfIlfF3eBjxRygfZcldkQRk1sMywMh1S3SvpFgAjeKKSusNA45qSW8aracIT8GN10qs
IqPLus+2ftWMJz9sDkk4kE2V2eba8aP5SPjtys3iAjku94ZGNbiNZUj36jJoLareORgShzLpnovW
STwUPuh7EXq4ituanfRHIqudh7BxYQbj2pYlYlKKaPILGBsl3X2EOOdooZ0mI2dnZZW7tqsBZLgx
/w4Q0/aFwJzp4PIlMsFeabeng0344Jj1VlDp74lnXQVUYSXzN27bgg9ozLOt7/2ie6iREXLrxnts
Qs9mYOFtwx2/BHxy7uv6ywsw8HnMntfCjcaFN3EFsbsntCTtX0lSX4BfPTd9cerlTcmEfqkmhxbb
HIkJVmshiICEQJS8wVReFDsvkQ+gazJmXD2PmFnRg1R7R3Fph15wiQwQ5VZe3BP6VN/iCr9Vk3O7
DzQ2asAHrnv/PkLP2rbWpbFJKyynR+6DjRdPLHOsGqO2HRI04iQ7x3bBmNcUSXmyKpt6WnvmOzaJ
h8YHC695jNj+TaRLTJxkOjxZrucdTIT8edSyqhaspHq0hdicrX1R3JumJe+a1GUQNqiQdktdiK5A
UlQ27nYEhza9++j9LwgQhccNT077hxSUqCYbOxySMZE38G3HwtJvmBTQzEbxnR9/2XqfSZZlWB/2
OTcwWTPm06jnm9xBU6vKMN9EmssSAZFIxwyFLNr1ORklNgYDhwdbONamaiFjSJB4AT+HJinfRvTR
5qpih3ZF80L335HFACCCUZimWa73Oo+Jwsu8lD8V7GMZJsamrvE4JvXwhyX0ShgDi9Z2Rm8Q/ur8
FuTK875sTOOhLvrdqFlxVTeOswEzTrBzFdmS05VMlZsJMJyKp4TPDYmLJclzrfmB52KXAuFFig5d
yf6ayXrJNYKUMlvD/y53hlO8Ws25bavrtJyh6TIXYzyqpue5Dn+xcYp116OBWTnREGJEBryLnWmb
xVa6kfy8S3qHE2AEYGhGinBI3MveecNrvjam3seAJ9/IbGF1y4pI+NA6rIaXv+6eew+3FcoUyBhI
gm3jAj2TjRyFxCJP/ZyJRf/YKOakGACWHmPPlTuaR7MZWDrVxTbzQUWhUMgWVlc+Ta0OtiIP8kUg
3X7VSesRSRhV1lT8hHb3p21Ixmyq+J2OZ+kRPthObbwubmTZDsGtzZxx2US0aiN2VYwmyAgduLhD
LDYiH+5Enex8tw9vKQzDUk48r9JPzU2qQghG3fiEofk37yFnKjwSYZH+2A59AbrcTjMRsqhmPKPC
710wT0oFEJ3AIVkPlnYhzpFT4DizbikxUXA0vRl1CAqIrZPPO1qLP9gar6nKN2WxGlEX7mLxInGH
L2O0jLKBxujpg6cEribQ1UtIxXolayCDWrjbqsf2OYsrA2n0cnbx4Jp6r3KS11InJCaEmaMW+JMa
rhx1i8IY7kb3ZqW3HyFe7MTUm4ja1LthYwtwW0y/ooiIonsM2E7v4HPXa4OQP4sPNCDp5azxz2ea
LbeAbmtyNsfJ1yzmYdMDjjJKsocoMCAdtmH+3k9YMojrojDujnXQ8aCjo0OKZF0b+OQk9H3bRfDQ
ux3tRppB9clS8FzU+k2DQMlV1TFHitPwDK0CMt2AabWQbtQ1MrW9vqEol33LQCtkiYiFcdXYPcAc
/OiOcm/xX9mamPfhOKOlzMDvMzTGCT5l1A0Ipkcmqe0hgFW46GPN/jIxa4yL6bfqvp0EXAYqQ0gk
bU+OwviQEqR7ItVpDzuBcatHQE48yN8sauvr4Bs87TcgY8z4nIpH1ovcVccIVG2mSZ0mBf0NSwm4
cGuolxY8Ig0MwBt7Tm+Vkq8eR/Lg5KoHil4G/orWp6Bwb4nuSAf/joPpxsPFt6BVK2hm+eK4EreE
O4ZLu1betOI6sTcd2ee3Mem1y4MjBXYAGihrVlFkkxpqICRUoYOkkNou8oZ8zfQHR19v7G2247za
3NoOCaV9lqGo1Ul4qlNGFHN3HWtvUycV3VKuzuH/Jem8luNGsiD6RYgoeOC1vWE3vX1BiKJY8Cj4
Qn39np59UezMaCmRDZS5mXmywA9YTg/+Ej/EwYs/A63yMLbmtJXsOzO8llN2kaMNbzOINokmvmsc
dw8j36aZGpzvNo0hNUaWIZlMtDAq3YsfRU9OakV7TVR1PQX9y2gvZypKyXd6nNVGaLlQ2a09wE0A
2QCiQibcwokeLfPDnniiRqdca78+daNj8WPm0GBl90BzIdPGEidMneOIbp/wfxxsqb4qXhZmYfdz
i+OM3lOG732NHP3qzVxXOm8B/oBmUbtYnZVaT7zZcWO+K1sPqxu8pbaCjeRYtPUdHxydc5Ra/fYW
zr4xdIk2sxY1MaZaDrKAg3EwbLgdcNjDaneXVzut8ODMlJZM5EDu5mH5TJJn30nAVDdTvoFt8FvE
zZ+4Zlbdujcwks0ekEMJ5ZRMN9l7KwFh6plsQYaVnOFiy2CSoEt8iRM2Et0oypMLWrWwBawKeGe7
YsESEditdx9BIqEwA5UFgs5mDuoLZGa5brEgrLghUzZTPnmiewxuxfA3GNc4WGQP2ZbkIFkjWoMe
pZnoqYTWJ+su9h+nwVF46CEyMB53J3WJRRZgeIIF67Yvyeh0p4ggWJDTa6Y8kZKkpS5GczKbNE07
A9mdc1dE5q6d6IErY+CrUfGeOMvVtgFcMZ4vRBa+luPtTDQdU40Tr+l7su1FfXHLgYDawioavhOo
HcQTqRO5CZwaIATliY0EfTlitcSexG6JtyIhKa2t4r1qc3rq2cXdgsiY01KPWxm46oF9NfZ+DP0b
UOA5dpl4gBWB9jRc3SwDp6aThzTqn4oOk9VEK1gVKqQzNY/bvjI70tfM/cIXJl404Az3dtRs3WJA
VWIyKAVU7wagB4fu4Y8agkO5TQdNlmykV4mINi7PPjyOkkHZNKL/Kc55XncYMnK9wxh/OD7u1SW/
tqh69uLCaoCmI1Ac2LzA5pwW6qRWZTM8WjVHrbwzb/TOsuzeR17wDJPst0z6v83oZpfB9r+almsf
nQwHLwFn3FjzAeF1a01OyWpOiQuyw3VAkQUFkb0F9ls9DH+zvDXHSASfOmRN6bl8bGlEOCQsAj03
4q00IYwt11q7PuVOUSDpdon+iR540QKaiNTceA9A9iku82iN3fNJeG+1yVmGoCFRDclUREHyo5ew
OjMSw+i5lC9d2Fx0bN5RSNE6dPosgxyhZgYKoSE7+WQME7I6PNkVV8vyy7HQp+r4Kijd9iQzvlgP
T1EKjs71/2kyn0vLa8qI9Va7vXZqJBAVjdUJe9wECrLgKXEE+imwtDWZAPIW2a3ZMuRzwap9cl2K
O63eoYIgycB2r7x2/jHhvI0JtlJ9xI/eaQbG16gKLq/9Zmqp6aJ3YWAKTgdvkVyoRoGu1kHXpPGU
ZuAAVFn6mSiMMFGSin3uFf9899ZMFGXP9NUtx6mrocfBpKJal1Zsy3pulN4B1CeBQ+amBQ9UWxUn
1Xq61OHFUcs3BelqfaPh8744vC/a/arw0VkFLGe3OnNUea5Vmh3YlILVmMY/jZ+c7CygaZTRGzIG
zvPE3erJ+YJvAUs2lQ82o+SUwiGSlaBJEB7t1pxJETHMmDDd53V1zTpxToeMkOW1pgBsUvAebHQH
gmkPpUBBY64qRHaKmMmQXX2dWMIG2hu5bWessHVA1Gw7+PqtCxkyUW6zmSuK14NiPs4KrF2yAVR2
CCgNvHal+FYzUWwvky+DBbSDj/8tkcO782K5ttgmt/Z4a7nzfczvQY1NaOJRNwUGnqB96lXzOlfo
br4zn8I8fGIG7q11W5Bm9WbQUolL2cu6nfU/etm+IROz15+n1nyHQGdyOyuAn4iNRRqDusUPbI4Z
/EMMnQkpJ8RnMmWkcaZ07VR+C5Nt2utu/DFNc8mh2PQhRRlTTnkPmKMWOiD0sYnLZBruQxlw9k+C
h7pfcqAL/j2KPYc6RlIh3PP0QVuBg9JGkkIV0zfxGsCszLtIguuViq9S+AQdAYTuSEx+maB7vk3h
h3lW13bKr7WOzhZlS00IlZVDvWIUmu7yhjNjULI5DAn7f0fx2+g4XGx/s9nhD7b5YHzNfDGIjxQU
hivuSwTTAwQxSIur0lJPeQ9vlEvQcxfQZbuEyNljigoUBAAvquUciYZUGI/vmLB74ZWc5vZASY7e
9UQTN1lODCWOJafNJkWorffRxNeqohGWYvxQ5B7sJjqthvZnxCuIFftlyMoHDjtirYvgyw7oU4u6
7pR4Ee0/Pk/1JD+9yj6JpnmHmFpyxSp8Rmg2VvWkeHXNeDPoM53q0LqDaHozTszVufsVsPfWdaSe
bLDqpe2D3Brjby4EB6xSn/QiwAUS3DHC+q9zyx15cOCgf1m466f20LV0b2BMeYtjhEDjiB/y9jAs
ZvuE5HY1NQdWMVpA02rSASrKuEhzfCNS5twBsv0M2uY8jCDue7p59/nt+pBHll5pGgZU4H93Jd5F
N0zvGEkJPhPeU4sbjna3LaclAv6A/IPaX4umLU/GrXdcd+Rkn9oA+2qlbg43du5laYoDS8rrNKfc
3IbiRxm6gJKy685wev4wCMcAwLjTA29EauiJWpG/SQ4CUhU8F1mKmWdSI5aIuqAP6x/Bx2ddBs1u
HuM7rbgAlc50XNBjfH5om9BOH3nFcScSSxpyXsMA2GOtXS7q0ENHpKWVA3QShBDDE3w+mvNFav3L
neoWQPxsYLRz0eL0ASvslExNxnli2IUyHtfUVRPZ4OxdxJopqlinBWOTSYzvXlbe+XN5QUD+LgKy
4hKQ4UQ5KtO3od2I0L/2U2YOBltH73AzJ4NOjQ+9Qp6hy7E5s3TxZZ3um9E1xWl59RqI7ifxpley
hTP5HifDv7z8Kp9kPZHyQdOFuphf0bvDzjREY1uqxXXw3ooJ6biJjnM531y4l8j43dbBMscyLrMt
ZsLTTHMoOPm8qrB2uGwwDsWF/lQLmktvmBb6RA6xDte90/hr3ds759bylThxv9ENF5wwmPu3bOjR
2oPiy8r1h/Qs89eHejeL+DEcc+rhuvSIiL6vQm3vwpCnbLY1lQU0FuMjZj8BijT33Xnw3WKz5MSK
4v+QCkVvDhXC4j4Bpr8eJKN4qWxJ2SWXer9lHpmRn6QLZ298h29dDv0xl3oXy/I7zjuEfi7kGAIQ
mLt2gAM8gm2b2DOwRovRU3dUsnhgLiHiVtU/mGX8PN3KXqPjAJ+oMerSKvbC+BiqIwHHxW3eYG3R
IxU3P3Uxv0YtI58u4P7JXheG194puVo2HK+WgfsHlLXo0AHkyipYNvHwWtQ3paNddTG3+rYJ4bQ9
xDNarMr8V7vQf5rs5kwLVgqePyrU9Gz76RaReS8xIc1eQi2Ean+0kBe7GWwc9/4mHeI7spO3byiY
ORFrno/IWsNuPEtKbaLMrWkFy+jbWbJD7Utgqlm5LiOLgXfon9iEP4YkDq/08kycWWO1r0GvaStm
HJMaC1qA0Kf/M1Ypg9gzSbg3Cm4P7gmBoEgmjzK/ACMEgy0GhOci+fKLX+g0wblwnY7pMgdEKiz2
k1jkPonGx2VuvuYSX1mSBhLso7uF4FtdFtLQ65xi6WWse3gGjO8UFLi7bh5+GI3WB76Txyoyj2lA
dSXmDDScrutW9jI4WEjUz8g0EFPviENVetlRzIysZhc+wMUXPnLmApq46PMPjFNHQvY4y8yD9IPn
cOjxdY0YjoIK4zcAHpq8E/b7xCeeBu7E7/BZO0xAFAvbSuHL3YdOd58QVFg1r1aZm50eU/zIKWYu
k9jn3AtZvSWzTB5ser5nVq7K3lIBfvCc9tMXbvdSw1G2+/SjyccE8AYWo3Bw/du69OC2ONkNp1U0
74oSghVCNFGpuXhdIvOqoBfsbCf70ToPDuQMXlLMX9vEqogw35jcavEUq10Yraiwhi+L7lS58pus
hnURofzUKuL9d9uHwY0vJcam9UKpxT6V+bXnHkWjF2897AUkizvNnO0QMpTGQ9I+0KNEVKgMHjss
usBsiQp2/v2S9Ht77LpjmAx3/gSBUsK/OszS/TEludxkgWjt9fGbBbAhZFPmClbKQ2GG/pUl9UDn
3hiZdV7we63AnHopASCR03XoZdtJ0d91ky24u9FQSszMmYZqW+OIV6qRR0PaesdwulOAJYasxgbA
p7XzHfniERM42bZottQtvDh86nNs0l3fx/1qqCip5PK8dvy0BaTTQ5dvOfYwGuqb+idhzEQI65Wb
Hb24Vv4240nDoZVhwGnZZ8ddDrlrAz5C7ATTHM5hE2/E9FHnrCHVTIVsXVMkVlauOhBI2AuTvAqa
y3Xo0nIVdlS1tOpPU3kfQckIWDePpS38/ZL6eywh9ZY7NGbVcXnLAo33gCjBTvXDnecgr1iR+Gjc
0dwnJng2S7Ntp5uO4LHHZnYiThG5jSRYrtq2IN9x7SHyzROYp0wKhBus8/JDE7lYo7O/qDkHx87Z
gOsPR/puLYxNeXFGbbZfvIgw+puK7tUSDf9u7Lalk70uePH2ZdVxWHEY0vSWPMHvwrtOjnNpnxJ4
S2YOz3ML3EhBM3RbjF1xR9uMbzid9TcNIb2PXEN0D+E/ULzyMZ8eWW4wNVmFJFof3DBDDAKUyeQO
PyvbjPCmk1rUy+j/wKad4SkQJabMyiHhAOe0tzwwhjn8QBKWq35O8T25O2thRi+T/mnBgLYu0/ah
Btkkc31PQIAvKuHFDQOH7zRO7uBLQvoU6V61obMbFavQUo8HH3oJNiJ9aKX/OrbUN4Jh9qYJrTSr
MIclNHyONvpxNwuJGpVsmaJugqW9OrcNmiEUU4g027s3gCJ90StPqe4c4W5aG3Z7jPLDeM4CZzxz
av7wekFimIMLsjg8KBxt5/9+qXuvh0o6lQ0haoITlFbqkDVr9d///O8Xcj7BofWm9CKCe7eo8hN0
nzfL6G4vJNJiWNgcZnsNudbtLrM1/XQuODtALEh6N4KqR2R0kPPOkfKT3R7KTnZjDHjp3zjuvG3S
t99zZVtPEKeCIfAOVcPKRhNByKhTFtvc63b+zDm1orjkfmYj3Va9Qymew/k57Zi325qrhf2RBaS0
U5MmACP0xsGRuE2L4j3F4CLyGDOrSD5M9JyTfz1NiXw0hbmFDilaofwZnNxPMraf40LDrIh6EC14
lDBvvWt/pPccZLWuAqwbXfm3Ey7kA4zZabTkB4iPz5rF+yCxhI1JzhirwyVV4wXaUIA9rr0qe0Vq
24DNszcJ5Tk4rb1P2Yvf6aZJWU7EUoPpiPJLhT/uCf/iB1jhrfSGP8nsnomKlQziIrLGozDUWaLH
z3gmQGGuQK10uG3fkb24a8/ie8qxWjrjJQ8dD094+sPPcpEWxQvecsQRpjyqzv2+4/Hv9Nuk9b3K
cbneNBokEvlvpgVtMvaEQ23BfouysGLPDzeptGl1a8I72nfBLWLVqA210jZtgsyAmvM44nzGsb6G
ffgxonNvtJYfo2G+cMPjujHiAR9ERIPLOo9SllrLZ54Ys5PwBxF+K65AGwJG4QpbgwxWM9VdQoE/
5QuLmfctbywm/5M73JmBCDfc2Voxja5SCHCgtn/pnl87pn+uaLhcByMGxrAh1px6M0bw0t30jY21
z7aA/0zRsfe/Jsufrs30k7VjdTVhnJwzN7yzmxHbRAwVqt25UeVfyUsfoqCBIlvwWpVLRlfjhF4m
uA9uUYPN1iQYWhLTv1Pleeu16eqLJdWuNLE5yjAaVsmY0VQJGQq2MmDzCAa+O3Am1S4h6xKiNvwq
Wqmm0DpFOPjbnORt3uf2euEi1ykvvpYog7RrRF9Nx65XguzD3dZ8V453ujHMPUw7GG8Chl+LReVe
dsry4I6s+rs709Pq5+9wAC/JDeeQzeNxnOUVYSwi3sjMoMMH2dX+SZfRJyzNnZ+Ed/B9440Vjves
yIe0S166qnH5i2FgbsxfOmm3DbYzAPzJ11JOXyThTr0OtoZZROemEEvS2MeeM55A5dSrzuZlYWZx
j4z9U7vhs2x/Wpa0TWLvicArk786pnpP9Q3X6aunqusebThm69Sq7slyJwj04y8kGqyJY3dfNvav
zfUMTCLro/ad+y5UzTFxDO5YzH3oKz/44YuDu9TPdWeNm3n0tqgt3ZOhziktTbel0W7bLQL8TnZY
UFV8SyQA2sJdH0xAUrKG1afoz9rYy0Orz16cPZajCz89YGhVJPJfl+qvJoCiJ5A4fV3Zexe+NZQS
0+6dlP4+5M6T6KL0xPHgyXT1cjd6m2EOOUV0IXs4sYIYGJFdpHQTgNFZozhBA0NILLglz11woL7w
HzngJ8x71Z7oltyrOdbM16Jy50lc5SkZjDJpbRgv6cWuxpfQS9VbLeBtmT7Cl+AK7MAmECdbMc3l
Pc2fqlQdhDTzARkEOH4qkocyCC50Zexac3VaJ1uLwT8IOsx2vRnnE7DiZjVMkKsslhCYnUS9zXCI
l+zq4IXbi5E3xxkuSDXhqUI/Mh5EriygkL0zEe3n3D2SQVKmcBtPamKA24K6uN0iyefjYjj5DPq/
Iww5xTT6nxRd5TvebP9YLWHzPHThq7IoTknnFwRI57Fqxg3NT8Va5oiMcMbcJydvuo1t5/buv3/M
sg0wPetO4zMh6h6Wb5kDujmdebryRvonz+thEvEEHTIx8TNQuHt8bcYtdbp6P2eJ/8YUK4V50ybb
tArviMVuXJ9ZrEn42Nq6snEIYdmU0ZtLkuwSl7S3ZxObQ7xsLYOtp8zVbnJ43YZaPTi4N49CLcUJ
gziz5jTE/5aN91z4KeduEbEAhMOI8+vhEQG43FaRVT8vFLYxAmsle1LOvHVx/wBuXeOD/K2BsDwM
Rj5QTovlkQvm07yeTZncjaMiQTxQGJO5CktW6Tz7mQI2mPv+i0xI2QqveO3cMnnRTFr6BPlGckbb
GR3ne+CiKWa+2X+cowHfcTwAGfT20NbPLt2853ACBNWVkGCtUfxr5dI844BgL6eVG6SfX2zCpn8o
8DleW/DjU9qkL7OdMIDvKJkuwwaXJQT8HQSk6hbHGZ78CEKX6+/rKpteJ87mnYiJKiaXKiini6yH
hlATcQShpwdRQxoWONntou7W/OX4dCcnIPHfPsbjvOCiBNifzRbFdVNPJESBDM77+SdF7z1LOA7K
uRhThg9qLlGFcw/IQV1fQ96Bw6jHakM/OOe6zNXbWGXBweL/g5qRC389xmQWsPl6R9uL3aMYeg4+
vtnZXMi3lYnDTUaWM1vK17jJFJD7ACF38eV59JwfkEqSrID3j7xnsncM868WZw9FDU7/2A3wLEVw
moL6CFYsP/KIiE3tAXlEWMSh7kKVky1ut3DkW7AHkpBdQhVpCnH93BBswi4+DDtCJDE9Cml3ucUd
k655ZsoZ0o1yLwaarkYXjbBqJD0w8030SWFZe7XAR1RS2EPGPjrm2U/e1S8h5voCnThP1XN208lE
QPIin24EEsHgBH/yhxyJ/aekqSR0VI5pNMWh2jQXiuJoZsw440He4bYf1q+qIQFRWu0GXbeDqNwz
P28hWCVEXdc61t517mUI/Zj9Rer+D5uc2Ml2Yg6E6W2TudZPxBfCnubepvIT/beYWoOQdkYVOwff
xjhXj759HLS7gcFTP4Neol4xRuuvu8iCSSzwMGV9ABOAeIpI5+XZoT5uILjx1dazf5Pdd0qMaufc
Dh74CCq4o4VhxlcTzGn7N2Bo+r7iOHFPk+3HwtymUYF+F10bnhia8hg5DrHp2bWYjBqMXwXDSrZt
HEbOeM1D+6VoaEymvyJGzOy9q51pvbXG4jI2MgHSVL0sSFd7Kdl6+fPr7cKzTlN8ZZ1k57r0PozM
R+eMiYCXxjvbjsrVHOTFM2Mjc8iYmazzJPrxnXB4qXLrL6Kl93dmY8QhFr+NFdM5RCbsw3PyXuXO
A7iR+Eec8ek95BS1PEHdRHQlLy1cOnlJ2TxKP91zq4QjX0b23svatzR0OF7O1mMme5qib1fGSLrZ
aYiKiZ2IIy8O06dUIbZwHSmOOV1qEHvhOnhpCPRHt6C8OEFXqW0ult/eA64a2yHYy4zrqe7bFxBv
WDq0m90XTvjTjlN7DCNNhDov+4e+xyfsWhR0Alg5mVDDGme4hNuNF7NOzoTQo0OgACfxRDNvnkPA
r4GiaablLJebmzdLKDDDk8RVUvcUdlAvylmsMQcueVy/8AB0mQ32dokAW7BhdeaG7OiZaPlCPwyA
yQZaT6HBwuNPF6/cDw7XzSHSywdF1R9LgALGjTR/qDJwfUX6lqbptY3olvivjLaYyWIypa2NH29z
5JLdDPL3ZY4fAII7Z5YYfMExjPh2HqgrIKe0U+McXsJ5ftSyxnBKxHC7GMk3XPrBXVG0ny5urU2f
UfHgaiZA4zg8yBl0ybikErFMumenAkLEvdXGi3wXggy+BOQyjM00VFv0Uo6em8BYKBxQKEQyZc/a
3+X7yQII7Shqnq16b9Xizq2aV6kmJIkRcnam/WwziDw70yTrJmV/3/sMeNG3zLoJBnnJu19XA2SA
ffCPUd/FlxxTnM5mnq/oAwLhhCsGC5toJJxDthSn2louNQvdzN7OCAbEtczo4O2ay2h/5iQL/XhZ
YAA4V6sPn0leehshyoDuTG/dE0giyui/Uknxt7ERL2MPexkQnnUw82oKohb0x74mpgH9XhfYWS3v
y2s0DwUw9E00SKJNCy5UI8NHT+pVbCZ3S4LOPlauDTcZl7xqMF+ZSXCSpcQH3upadHifaU//jgZT
rJwswB/lRZd8ARLIgBs5qfC8TZN0OTo0q7Ux0ZFOXzAZvrea4QWuB68cNpWed6Of/LFo7Nxzrago
RyAv2Hm9dWABgeIjmkfHm85oeXcpVc7ca82IgxQ+8LR01zBKkrPx1KGmf6xLwsc6kHQHF+FG2TE8
zAUKZLUnknLxYiZ+3C2XdVMALBw5NSwm5twTPsmZ5pyy+YR3/xUSJ6XCu0Nqdi/2giCd6PjogSrf
+IlAf0udO1pOIvgc5aWGf4bYoRgcTz4HKw9a2Jpg62OrAHgYwlyD165FXDuY5t2Pcs5+LdF+57n9
M1XNsPJv7rY6zl/isfu0Mhjw6S0kDfoWC5iwOXEjTvSxeJZmKDYO8Qo3IZjGpCWiWIWYZMsrryLN
G3Mrt+M8WbTQbtw3PS0fnhd/5K1+HgN+t1bt0WAkJJDEyZBmk0OdJJJsAIwJEg03W2VEU1vifMCS
el2sbLhPew4JeerTRFoEH3SrUYU0+rBzIIRxCr5GrbjBqvFWt3cBRhTseD7D1eV7UJDzFcGDoX9p
gui+dtHnlLqr/eiSJekldrnPuw7XSizB4c61QDgDg6OJISEcSXU03iIHW3x0bSrsK8lAXcQ4AKSJ
/sbZ4m6GjCIit/1miEzsI4ruF109l63z0Gn3cRrpqk7dh4y+B7h0DIKb/t7tMbOOfB3PxTUfKe9d
gjVJwRgOFWEfMW3ntuLMx9auC66TCWxm/MY+7e3WIfa7ZTcs065RIc/9LM+97r8oGuLQDsCOL2/Z
zR0J+clhiiWZDeUL1cae7R5sxN3VSLTAicuN7+cxDrfmvs9ZGglrb60c1PNyjKVgtYBHvJns/Bp6
FimnBTyjU2FsLklMGKhhrmP/4GIY1kFgLhBmHlpVPKE+Psxzx1ewPkv6SlJsUKaTTzGQUSvTRDNs
Hpbhpx4TvStGfDWls+sGemcwk67wHRP0tSb3DFgtQTNZEEsuaGK9B3wjx2C8cQMAOY2prv/9Ymyh
SaWRvrGbzexbL6pzo+t/v/QphrqcQC73LkJFI+zKmaEvi/sqs6sXr07NprPH+QxdB39WbPPzrZuG
si9wm3UOiSWxZvhtXOEx9OFu7g3ELWyRxKb3Uxw8zBBONshRv1nDbW5MlwNwL0y5QepTEINijRfO
fugDfQ96ygc5xT+xdelDwlGGFjLnT4e+wWaotjrMvHVS2Pt4Sdp9Y6FyJ1ZrLhLVhle4zihgmc4A
4PKjwXPA9ohkZHcMXv/7R2xL9aklgwHUJmeMgAbP89qeNLasqAB7AvYo3rg6mbne8UvcufxobvQX
5djuyVtgs1v2yBYTNNaumuVjFAwvYQPrrerd9/5GtR1vv6RzKale0jve4L9mAQgLJQqKYf/P5yB6
bD0SuK5iTI8WEpBLDGMocaqFdtm0y8nNYiIjN4XWAnQaiBba6V7W9jNmxmybJb3HCJ0fNzhFx+KT
8H0L3pqT0UAXLMEmxBd6DHJAXehia9cpGE43wPWGFsJlb1vHor8VpxZ/UbTaS2BC72mJysPzMg9X
4tLqhSaFG2RYFYixYXb7tj0mPIQC4gxje1ilGz7SiUuU+qnbkUg1QgPWXvU0dgJCoWVe6oV29bwH
CynKHtv6MnPqGtu99ghxSdwKWhSXggTepiVrvM6Vv6L0inmGcJAjwts0SQdnosIXz/xNEyAAcxvH
PI+tfacvlFam28Hq3mpK3lqYNxchC7N28BPXnuM8/9fw9saBID2ONYAwGqL3Llv51Wqw2KYtdDBk
Jn/wPvir35OV633FGLHcVVgJdvQGsuZn8pAlxAuj+eQsy3PD2p56bgTwMf/pY9K/ng05koQUBx9h
TmmX/0aISgdX/vNnRNxIzn9axSLmkWwn/9j8BGFxDG+gnI7NwpLFr6AjfjWMmMNu54fwgeLxTaWw
OOoSdypkpHUlcN9mg/ydx+xCthy3SbMLrNRmCxPVxjLLZUjliYs6VVwQ4bqZ4QjlOqwJFTQoHdrr
2xayj9xKrVFNEh1BXg3YhBt/In3gUZSGHZ620U0ZGWCBOejFtJ9+KQh9pBqtZ0vH8ansujlAAq80
sH5fyOjg1AHXhWTZBap/wWX8aNeevSUYOYbYpTHsIJfmn4nBe6KET4JhEB+UcMbbiQreCMHZyuE0
Nnq+1v1DWFcBJ+nhs6PCbZ0q4ICRR9JKM9vH01ee5674aLmBr62YZBFcXGzXSw4DrOWS3gaRd4H3
fqZdVW1JUj86bcz5dkmofszRRkUYEiePNxlIgzX6lh/M9pMLrYrgKhhciJI6A3bhOskfW96Hoxi3
SZA/EbR9LillG9TZSOYfYZA4e2iT9dbDMrwSbGC5rJ6iDLKCoiiibkK1agZ2DbtaXvpJctJMAI6h
wtUQC2K1rQYsTWmOcXWhi6xSc7a3G/vD7uSGgfiwLWkP8jNMTZMN3p3j2EcQNUfLItnCTc2smNOi
C2q2OMusKWTgql27Eqirow/BgoFL6FZvCwVYyDAjTni6PMqYOwqGUKPDyzyU+EkmiF+yf7cGL1nz
n9k2VYxVEPPaBt7byrVnzl4yUmuD2TqiBrlTkBkE1wFRucUd3UoHMyNEG9Bj3a1Ls8WOX3372G7y
DPdTApPFbTvCbMsCqiH87pYu3quKYDm5pNdwprPpVtcXcKJxRjpKu0yjpaJq+RnB/6XDcWpV0TbF
U4JFBUO1bf2rtwHDmF3m5U9sOxiXkVW+uHerFYzX+dRJ9TqkJVQ15yPLum+/H97odwQjcEMTaGjJ
e7SvYNX4fzxpSKl15gHYyiuy3L0g598M86szj3exPeydHipanX+rUJ2mKrC3rutx38qvOTQ3mvQM
SXlMLWQucNilvx6oOxomTr5742m0/m8ypQA2YfLG0wchumy6VVO1eK06RSybFPqqtaZ7H+bx3oKd
uJqzASW+s7Yufupuab2VvlH7GfPchaT6HkK2Sqt0wrucvt2k4XWcvZsk0VRPPEE3Kvp15iy2EkEX
r5ykpvhg9J7nMX0KEqIk08hlMuHiTNlso6DyNkh1ZnmHhNciVxc2nlfwQCeRW8z+Mz8i7+hhzM0u
hfQhuzf6IwuLaR3BKRRL8e0TMluIg4+EJlZZUWNUTOzsa6pIGhTpFyW3zIVNHe7kza8WyoVIQFpP
+8CfnhnznrvcDtdRUk0Y7XqcxCXwGCxxqU2CTahK7LU1v3P9ipnKz/R+lMm5DggZxX10mTNbbCYd
TJvJYi6EpQur9UjFhvQvRUUfwCwglHhxmOynSq4dh6CLpemSdpPlV2GcLWN+YH61kORP3nBDEPkv
U9Raa74vwyDkgNS9LyODO8Bg4WopWLkEzmwLm+TGnYO/88T0rukp8R4gctW2OrhpcIEW4a+EX9/z
GF2cHt+V0z+Q6n5AGlmFc0dtjz2cgwpfqoa+mo6USkoKWI/Y7Y79yOMcVghu8TAfNUPPfFm2bb1U
NC6yrJdR+bO02dUt0Vh9x9wDfk5v0zBO1hYKfDBA4miiWzmu/mlgf5Qcc5kwupwNfJgs7RweE2KY
wl4MxajlfRLqO88wZiD8xgRzZLwMku+r6fLH3PUixjr8N/gsXzIqH32olQzT8pWZK3N0wuat0SpZ
oUOjvDv6nwqe7GD+CbEToP9xFAhy6OVAVBADTvNUqE2DBeJEQ8N7aOeXFKEbizWW55ADG+13/SUh
l+s4/EY7iE8Tb8VOcz1bF3RUbMHju4DSPuhZ3QZ1jsnNJWy5UDoguYT+j70zWW4cybLor5TVHmmA
Y/RFbzjPokSRCmkDU0QoMM+DA/j6PlCWdXdt2qz3vUiaGMpQiCTg7u+9e8+lU/XHMrXs3EHSL/iZ
jimZwqHuBRH9QTAzjNGRMwfms2VTiJc+gLxEoMeVnslV4eeCRWv8ivtmPyFsw5lvpPTgZ7tGXhym
afrhoW4zmwCSwej/9rJbhiMYB8oM6dORKTRwar502kwV562jZ8Woq0sjY45dHopE5EykoqPVBvbS
Gh0w9jrFVyYMHcMkk8fWs180cnRWQCDugdU9xaNcTJX7M3Tm/GvLEiiNObt4RKgYnTntmwbZWSLs
ve12UJtwRri6KFdNo581mphL2cSQGgAhMZtB90GlRSRs5q0ywuIXwRifRzGQs+hVF9+lGk2z5CuP
g8fkoiYOqvopVA3NyWTjTx59HrfMlgkw6H5sWDqLBwr4Nz81YWGZxQ9a5TmCuFlO157acfjZZglz
9JygYw0TvEObcVNL7SpkX27RlZS7qK6frKkwd3Gop0ez6m6o3dheSvAWltxpLm4T3aCP1hdzr80h
c1Zhx8b+d/J7DXiFHqxcrXhGrkvTHSPNEJB2kmj7ui4eGEahBxBqoPzow5z6bTDJd0NjoctaGi2z
9bMdqCvC/tnHSG3rxi8j0k81UrqakX5TPJfZsI8HArw01wAyaoPeMh3dXazLIMH4WdDXCuhaFJWA
2Ip1CcvjU18iVkS9dyR3sIAmpTPjKSjNh02W0Gbn0A4Gx7rSfBbMvR1zbRPHgrWBgICXfgLdarCj
my1bo1usYyYaaxH7M9l/g0R2Z/s90Pv4DhjynaxjLDXY8TXuOj/Sy60bciAZymMbuq+2DH8bfPT+
3FnQDB371+CsOty2a4G00TWnt8j2uUg1NFfW9GgK79K3TxMjGjr/3XXMmRzalck5olA7XWMS2cfl
ef6v6fEjAlIDI1MpdusYSkyfJizmVkheTYOCwmia99ytbw5Am1CB5NHmY0VAt6Vg64VCbvyk4jwC
+clpCxbTkvd1O8H+XLaOuMgEx6wU4L+MTmPczV4jjGtnn6ckfgA09hCvlXMsLTHdFp9lkJX+zvOT
rba1LM7tjoHzYzoZqHgRvqhrqQOhpTlLsrKzq9XIx8Chh9yZ81imFWJsQiNVbn4NYfpMhQpAF3Jy
HvV8QmQhrwOz2MHx8A91fTUyAmISyFmrrpBHJ8quACxOTYY8xyUMkKY2G7mBQ64wK3kPI0InAH5t
wKACgCxwnHbGW9tyMdtly22RpG9w3n4ORbiNKSUJeq3UNUVJqhu1u0yk8bNywJ1JAjTWaAU4pMzW
m/EhaFisOjYLaErddC2iMSY8qwSX1V77MP2TQy2uGzda68XAMUIfd6NVETQqLG5ml61WeVwIQc3Z
3/MDgq+MeFfILt8w1WKBoDXiWOkd6vy5aUnwq2R7ADub7TDZbhOfY/FM8TMhJRNysOpSoNHa+Oa0
uBfDkGiwuHvENp2sIW5eMcRcJ0/8aky1DcgsyBQ3Slp7X3WMLrQbf+SVfR4nxDxtZ7/YNHWXTeO/
IO2DhzTNXQlkbFTum++TW0yuNXsE8R0aTU43jlfMvN8MyIJMsBSaHyThmZtr5wj4h02uzo6x78MD
PgQMQCbxp0ChtC9I7IWLrfn9EcEBXNCx2QD4aJhYdz/oz3SHwog4MgjQ8NQHi84WNL4m8FgeGZ+c
MrAKJu2vJHUsSOjl1vaGY+ld1aTG7TA3o2HyPVVDvhl9zt80ppk0IY5hAHjN7PoE6P7WTkvdqtTW
ane6IX6bkHIW/0/n/KZzCiH+NzrnDf/Pv8E5v///v+GclviLDGvdwodoCt00xH+xOU37L657aXik
VEnp6BJqZj4j0P/jn6b7l2lIw3RtyFYWUinvn/9oiu77W/w8WJ+ebsL01C0h3f8Lm1MIl1fyP9ic
rnAgZDrO/EsYQEIJR+D7/4PNyerSxDp0D1brJ6ZQ5r6avGOXFsmGobN+JD83POdKQW8vmzO3dHAz
c/e5ToyzE5jODYaoRkXQYsnurbXd1t4jNqxxk0VMmOhieI/R7sUSTj2BOa239c3YfQjGa30Se5dQ
U+6Dm4TbqFGvSWIQzzLEHAaLJ21qgmfSiMyzHmH4BlZoP6yp7PZoWOLV91Od4mJTNSAIItI/U9mY
j9KYCEbILG4cCrsHrKGv2C7Gy/c3NSITXfaVjR1h3Rxi1gqXf7vMLIMZZUQxNBQ/vKA2HpluEfPn
RjElBg9epRcwkya5FfEQrRX+gEfdsV3ilTO2LSPuh26XBdpNUExA4jHyCLTEWJvtSY6Xwe/GB3mB
GywTHLboZABKOxWuKS8gnT4jTMrPwizOVtmqRwlW58wIGD/Z30/RPbgadRzIR3eLMSRas5W3lAhF
u+74HJ5MP3w48+/FRqKRus7rlrWQi1bk5rGAM7k0NT07KuHd5o3i2g6jeNjy07Cd7F7L0nqJ7XJL
orp4pIYBwH6KTr4LxqoTSn+UI+LK0mIw+P060ZbHlKYIgpoEXEnZGG/A/pFKhGhiApqwD2ZF7sIK
hXX8ft2jJR4KK/VT3pmAVoQhVgEH4b5X/qlI1IdnGeG9k7dyFtvYgRm8eJWx+37WxjJeaY4M1knR
vbVjkD+KuPFOpQ23gnFD/qCwMQ+o11Cazk9d2/vQAw3MfsFsciCl4DHgfUNTljZrQ2XZozBiCb04
ERvclzjEsq2MkwmERDBtXc7a94pych3RaCgDd4PpAUCC741rU0LFAXC5TX17vJtmhwBHGMXf/4eX
SnZdx7lK3bbXpZ4Nd+IH4y3yzBz6lK3u1mgC2Qoyc/X9NEupwJ2KAKB8gJhX2jaQ/Srs9hEo56Uz
Zv29bM32kNZUaN9PHQkwW2dA3usI/Fs9a+8NcW6nsSNQs2txXAsyXy8iad+/n5HmudWsxjjppcu4
HE13ag600ggqjaqguZNwBdyRNOJtbf/y6jy/N+XD1Rt5o51DU68cb3keZndJ/J9EpIhCd34WN59G
5rdnlJh12yX3XOOsbvpZfvx+mg2Zu5Sx5+zG2E3uJZjytaKMJ1SSUZvhRvfWT7jUco9yYCZZOENg
7CWRCcvv72LwaU6tO9zcHh6wzoURlKn5RBjdhaRMLpNkGLDi/v77W5g5n+vR2nSpRPMYNS9mLbTX
uJZ3MzHby/czWC6wD1JdO2RxGj0XodziF4SSxjlv69rwkpxcg97lcTNFnfJfZcHHkFnw80Tbhc8B
3ZEicfyTacXBQkjpvTIELZ9R82/I+/BeK5F4r5bxXijuLIFHn4reeXXc6FZ6HCzD+Rk4IzD29TAc
vr/JsFQC1uSqapG1+hHSohImyzaD/8ccUK6GxEtfESjHl0D0t35+9v1H7YgfslbRswGT5NWZUmod
n2au0ETyOkZI1iNeX6yPuG6pil5Tfsko4bW7rJ3e5JgtScOHuMv0m5+G3atqgTySIaxOTlPfCKmt
yNajS0G4CtdFjYLNiEp71dbwgPAYPtd5/Bq1/o86x55LyhXu1ph5sP6B8rvayqEfVhhXLPT5L0St
TBhMlXXPA3RPk/faIZ19VuG4h6DIbJDL2RH2XSydoR52+OK9NfGO3qYpY+0QhjCK2zRvkMMyw5gM
826VhLkzmMj+RC9DDltn0JgAKkKjfaghiAT18vT9EAI9XcUK/PkwD16KedLy/ZXrYYEo7eRAjkBF
7LRbHb+/Mlin//6qKwOx10k1/f5zr3LUXkzRysU5e0pzBY0lpYXAxO6UFNG5cxXQtM6SZ9H7566M
9IPqVHiyrHed1EetcLNnkcfN0Rrce6egcQUpIqExf85SNMBKi6xVpgNi/X7oKluvyM1eEqoFS9MN
queuaRQGrSDeUrInJASOH4Gb5vvMJhiJPEEqdbd4S3SBBCbhbU6pgA995HsLMuVNMrMarT3a8wOI
yPZojTZ/+P28ml+aRvE3D4HWAWy/HYbg9q0kmm+Bf2y4AOVPnjrRfilQQbHChx/r8gLdhcRSQ3Vv
UYQSNBB4PmC3dG+If4YkI2horPptHwGjE3H8RI7gqa8jHY8Y3lfNLyjgisEa11kK9N5XY3RGax+d
66Rj+J4Vr99/FMcWNjI8W0z+e+vw3w9eX6PsKo2QIOyo3gm8+hg+HHBkDtVQiLwZ8Z/+GTkzqEGa
0VFj+X4BR/cV92L6NFvafJjnmGANyOFxxRKXWyDfZ3fNzqZDyQFk0mhO+vCUeFZ2xp0V+ZF1Aloh
o60aumktCwecbO6m50rBcBVlc+zKAjIiTAmIX5W4m22pWHAbcyMgaq56EhF3PsPElG4BWTuB/oNG
GDbbWP/0Rk0HINIP+KbJ1pVJeMTymKL7o5Bj0prwWS4Mz+nuCs360iLvk/Zv8BqSYkBPMFQfjd4+
6P0zIrO039PGQy6wKavWOmIrflO1L1nJHMypI3Z2lzfjvSiYadR5O568gh4VYmYShpqmfiqUNe1Q
qu+iwug37Ef61WnYSNt0rF4HqExLr7bVm9FiTZt+VU3tfdqGw+ugWSr77HNioVjmmT0+tUI5+ygx
q60xRjDNRhqkOrk9v7jpuiT47AMTO1YIqnOEX4L26GcKL3JUyU5OA/ZOmuWp6pgGdmtvCl6JYAvw
xcPV8mMCsGtUc8pGnajpKOFLhX+lduKWzCyEUJJ+X4GGbguPLoZ73ml2fEIVwshpKo6gSX6mSJo3
QsEJcfqIRBFJZdj49p4WfTaHD67yno6aljJfNqoDFFWOQ2n6g2Txl9QS6XMTI0Gnk8+or9g6VbYZ
S+2PU2HtsXuAGcL8SJvgDxXcHXwVzl3nzan1fNuA81tYbvY01qg9svSJmdoGBufJdp7zJMHuKobb
GLq/yDYmjY7BEx6TFF9o0x885IGoOfi0IEe8ETemPzlwGTD8b3Rb2dTPASc1qKOr0JvybYzWNqRC
BJybHF23mKXQIW1QO/Guok/XtT2SVMdRoGeAHQ7DCEUf3/fQpeVeATdAYPipcDHcOIDUgKxop0+B
F61x0g0wEETMGQMchD4/fH+F8NVcODGdSzo1vD1SSy5mUycXTzeSS4PmZqV7vbmc4ro5uBkbHtaN
A64UTiKjf3XrUR1ZQjb94JNlj6UP1tnKtAyGZiMS3Aqhy7Ol1Bs7AUknHeHcFuE6m7BokPe2Vnz6
+yEv38rEzDbxHBY7Nu2/Hr6fBnnCmBRsA0D2pDgMWUbXygK9QAzbbjQma23O0vzBNoHxThNgXxIy
8TrvMlQ6CxdE3KbAqtyPiKwH/dcExRXQY/5jIugLba5Xv9TtZSCwcIHcqCP4F7tcSS5Ml9HHcuyT
SkztbENNuFQZM08yd1EUtRkAq1IxZ9SM9FQ7z3W3cTtrPA/hNA/5CmsXlBVmzlGGm95lGBhNbLmN
qi3cnNGrqTpcf1m78kq8sW2EHx+xLkIwNIUSt8l6iLWzCCM6JyyRxSROflu2OzWa6cHyD5ZwKmYE
qBBVAcDLaQHnE/C2GwBWIPe0fmGNZGA9aNmB6GokPJ8lyZMHmahL4/nVi4u637bnxB2c1MzIF0Jz
rKckTths2hzRAINtv5e0zML6OWGv38MIpj0543Gd8VqkAUAGlAebthe8x41hnCxS3lcWWJOV8B0C
HmsKu0wRlkOkI1F0bcYVCsMQxXy7x8ymMSpecgCpj70P9NnHlHNNWYoJSLD2rOuk1+ut/7BJeG+F
k1y9Zjjwc9l+p/wFMX1yNnqIarigG7Z/doRQH/E1+uoi7Hymbbq4GUz8P4LO0HqEur0yRQCJYyrO
IAfzp6rRww1mrorIbXEAeILaeCJk2O27UxS4vzqzN45TNtnrPoL3EWaCQiur763UCd/0AYMAQEGn
huH9wN4UH2t/eNhNb2zMaZahp0j9c5wZyNs5TJucqm2UsER1I7oI3h07uUVabe+MCF86k1AsGi6a
k7IUWP5qIL9mNN/9UJEwBFfUi5N/JqLGPnbIHRlKt0cRSyypGm3ppOnEoZxtAG3Xrn0fFhv2DVij
4TiPhfF4wKQ6hUj7MW9jDMPd2+68qCcvB3yll+tqHZdYySb8TmSID0scCoCskMtnTwn67uP3AyMW
tXALvcfVQO0b0ixBSMCrbCefGkzhyhJaiNmCDGgibqetNuJsmJIfXtcnxDkW3MXd1G11ZhlPdFjf
I82P9i2e74sITcUczCBzI+kvEaGJu6QpwtP3g1apXUhu4VarrRWDKhLrCjyClaEDj0HEcMgtVDQM
zy5tN6PmCFFrDzIioI/qJ0mROzQeqHYZeJux7sJ9mJPPEwf53uH9RxhihQs2e8LUGL+vjIp8V2J/
XjKNgGA25rUcgmHvay7XNtIPGw82MhgR7ljmiS4Uw6sWYlGMy9K9srlezMo6DarDZmTSmYxq7yej
ngsKDkoXaG0L1WZLZPzJCwiETeQkRBDCeeGIOF3LKj5WkVacDNKeO9mGtFTGgyed5sy+GGyU7qar
ol8zvqoYq0PDl0l7ASIotlZljjOVpk2r8KLpOlPmPtlVIzIPFXCMHMCq0YrOKbS5I4gGA0UYNgxV
+rUnBntfcShaNrn1R81rplc+JyRGnGxZFAsnKjYc36szCY2chkVwo4yKbxO+VmWyLTF+BUGGhZdp
1R1A97oU7T2Dsr5Ask98RQhllGF95pH8aWTxvqI2XwxGQIM2xDOo93QkomEkhnZE2GAp29m4zzEO
mie7tNCqCzzvuvcxaIyFDPD/sBLC6jjpxdlIGgcUzShPDLT2FdCbjsI3aDUOgkNyGMv6VI5QrcK0
JpQAWehihB/QT8melI7ZQMde4d18IGdLJ+FkSF5KjnYln0UVmX4qPP82ofOHkUipxpsfo+rOV03i
x3SKy/BomDMnKC6vLu/KNebAf84QYjOYIwhhwtuhwlrBGUd95jOQHexeP4X2Rnf0iaAPAq1hdayU
ZycnAU8NPNyA1BNA7jmGcm4MxB6QoYW7fxp3jG7KXWCnyMJkDRfGhIdmgcaQ/LbHJnuSyJoOLiP0
bWFlz3WqWdemG85QXZBRGgj7/MCBVj+Ic2U672C1P9uUvp6fovF2A/XHKwy1hvr1BZ6EubtpHavY
xsc9ZsuApldJkBsFAJPDNNk0elof+rF/sz3H2LmG/YvIb/xfpKPrefSeDfo1z9CNt1g6F0BZjIub
B+csVvUFY/XJEO4zR/7XNtB+9iGDcLAVwXOnCmRfXLLE/MJ1zLT1YGmfNUKCZc0dVdG159IPvVvd
MgdMxnFAwKOh7aoTiWwUbU4Wo9TRmuhiV9rvgWTUC6OMfz28OG0y7Zwa/OroZd4LNEXjuUFaqLPk
0ImpIE3ESBz1kjukCeK96VlXYItgvSzMiBAvlk4T3jWR7kWWnIwasy6h5I33ybKDUbEmFSR2rzXq
zM+xXvlVmz5waKM0054IYdsCDhxXZeeg7vG/DHGkjEk3g4FKynabe9ZOoOw85W1aRsuWi/028Z2D
GXjwIb1pS6BhK7Qfbb7WBpgPHmrhBtZOZkb6zeiielF4zB+F3vyJC/FA18KoytjREYVFV8tgV+H4
zNAv7xLf3WJ+yBa6CwCqMhPceCUVRm3EJ64jpSHAcyT5MCxJMxL+VshBX+odODF6WbPpghMTGtl7
KUYGdzCJIKKrncb4CqbMjnk06mJHfEx4Lhcps3vShRX2uXnIT7Zj3CMMwnwHVorjZtWl6ybrm3VK
NAaj44KGRossT5mnEhL9UhvsTRCH9xZMBfIgtiamXyQBzhg2NiIEKYCzS9BJXZ1+uU5+a3z463E/
6vPviaIev7nqLRuz2baRsCPGTL0DsHWXdBbPhdwbwnp2pDpr8XikJdrt5bT0RHSfiC9aELCKjX4C
DKoselAABYilclG0gOA9VCO+eC4674AZYkm8AWcBjXd7BubgvHfeMkCwk/9giOxu9bT9EcgR4Y6F
KWfCwjMJcp4GQWN1LFa+2b+bIepOyi94MPrTpIMCS+wTLeDY942NlukOSiNSJUGtfAWes8GyfbQ1
G/uPq98qD19YIIeNZ5YfTWm/xCQSHTRD3qrc+lJzPnbW9mDAkR6LbmL8680USP42xNOv2KEzbqKr
D9057MeLNkY9HpzaY+bVIXM2wRlNhbZVet5tNK77JQntP3DRF+vIgf9np6ALzYBK0mWR8Gzc1hzY
MgUjI4lQGhPa0K7DMvhQI7CnmTlQ1wNQ6ZZZXNW+W92MnxYp1tCIm66IglXIgYD0ghqBRl0R11xy
Nh1EwcYPT2wy/Zvu5M+hYZSHBMAg8sZwmRu72ugxXOa4+xE7veWhJO4pmn4l/kBmLs3vpDKw46hu
02Y1qOXYjrFHoOsICXsBt7gKwxTiZuqeSifDXlMemlzIPYuRTjXtwTSrxUY4NbuMhNDEGMMwvQlG
+E6ioSp6EAXTmNL2wFTv9gS1+/V0avRxGSC2e9vGQ7saneQoU6UtsYWZIBDDvY6dZtHkrKi1rDrE
dO7bYNFC4lxHKnzb3fQM7pJTF86FLgI6JdHXa0cjGnJI/Wcid70wPHOVR4uwYQHOMsClvQFGY84+
phUfw7CwX/oqrReJAS/G46gJQxTjrNnij4MGtjLqjBSjwgRA1RtMdXsUnyJ9KoP6EzEYMgsqqa7K
iR8q4+dO877aynZhNrm/6gg5PnnRwzrwGNwyMkLuYK5Ge4QgbZdE53gw74EST6sxQr6E13LdYMNd
tXnu8S+9kC8UrkDDcluXxbQSU7rJgxYXGi3Khd5029JL2LtEia9dNp+WWz8Gwffb2XJZmMS9hEG/
sgs7Xunj2JBE4oVbmVkggN1Pxtnk6sjSPiqzfsN4dW8LJgcuzXOyw/tnQiK8Vd8Ue1IZQIPbGr2i
pyb3SOGdEMLlo3tBjA10Hsenm+u/yaCRnKTybRfahJ1TmEMcbchbRNYBaQ3B9ETOTWKxRsIZ79dD
RlIj7/xVI56YTpQg5w3Eg5RfxOOxRoiChXAcT1rVwHn6DbKDW2yWTiKq1ZBTKt7RCR6CmIgOtcak
ukUi3VWETSTBWLyPsB+XOSp+guut0xTSACSIr6B7YFdH+jG0mWfDJs7+rR5Ia6umrMT+iHMQ/hpN
zPlem6HAODOP3q7XvOGA7RKFo96EZGu+UrwXRLkMtZKb2DfLLdhvuahnA2s74lBVpMh1tY8lfnCK
E+noa7gBeAeV42+6W6nqG/1mnbkVmi3pOfsmdoZ15uvnLqHREKvh6omrYVJkV0ElNzhmw2XbZQ6i
IRLYuxrhgDPQxMEH6OzoLHwFWMrxr3KRTcV0cZxmMxYK85FrpFvQrzRdrHxYBfZu1MUaJAI5AEFQ
E1BHWnjfUmC1yVAcnSn5ZUU4ODwaQ2bgELeDqy6dYCFzXqz3kdV81LmOkFjT7ilkyIsS8r1qcXzF
mitAUpj2AaF6qenqlhfK2Y4aYQ0RlphG88xbmlrDM/1s6Mjj2zjU4RK/TQYARv9SRjCfalC2cYm4
nnDXBkoewOaLnE7CRUbFuhuNirY9g9aitBaxpxCmcCpsLHD5VgsQsIm5a3PvLfqMGUuicXedHS1c
updW/YPMgQknkjwVZhseUbswFJttGpVfMjBzSfANMNm3U39CIrRt9dDa+Yx7ACqtzC59D+Z5WRX5
z27Vjedcl5T/DaQb9AufGsKeOFImDrWmpjTsdy4GIwJyAGZZcmNFnrfoegEqEb6W6XswkglhM6Lx
wDlzWJsBF5WZjb/7FN9RHKpTy6HOM9WZKAkXZ1EdQ0GJXgJifZcI7V7sBtirmQyEacftW1gYxwrE
O2d/yU8uGFWHFa+ncctTa45c1w6FUDzC7E7ard2L9pwkGbBcbHlcxgySBT1ToenXgkCXUcOPbL0X
NSG8pqA/4eTHkrVpwRm05sYGEprW9ocx28wlMuIQwd84TDhRkKjZ/FMzqbR6yV2/2am5tdch6Keg
fU/iiMMr5sulAeMiUni1TAQ7bqNoOPV3I026RRrBbaEqhEgO7c2jeMiDnR5hbs5qojLzljtKqWo9
30e73AYhhy2aoQL26DDa1TBcOZyCZ9JL6DcWVnh8FSgbNdng3SiNe+/78XFWIWnFdEoj5P2R1GYd
IrjbmdUAiAMN6jhte1tjtQoRP9OAhfKxTJ332qSxHZBRUjaBPMUjvxBrGmfbAdGhR6RaIElh73KS
MP1wJzkSL8wQqboDj2TdOJgK207/k2ocZf0EKZYZ6CySQOKghmkeSD+bT36qG1KbSoDmLvcos2MG
EBOvCrnESgpJOq1dd0tPz6d1hjDewXe/CvsKjmpDL77JrwmrkmYzZMTf0QTWOcGScCBwAJ5LRcCL
7bp4BqvLJGmhdiV7ZkAO21rHGczGQ1YYzpIXhnVqZ6bxe82BEmwsRw2qCMRrGBSRnM90c61pCW8y
sKdZFgULAjWrd38OaNYtVTAPnUK8Y8MEVDMBYtAkbLgZYSmJASqjcp7BZ19UVbyoylKI3PiwPHw8
xKeRFNZCnFBIrIoUQwRSRJ0h4aVq8PSVstt7CfrldIxxNAEpScMA3FNAEN8k+lPK00U6c3RLIV4b
5GsWJixp2+WHhEwi82QlqQnpm0NilTSe+ogUeGa0pNBjohOU1AvbDS6qMOUu6bgyEq6GLRiWfQ9b
eedWGnY+Z3ol0KBb089+GogDhTyPHbFDAQp75d5NEDJwKMBMIaqEbtu+IPz0FIU5cCfNDgHHl2ei
cn6EJTtsRo5NHuGE66wGb4CYeSXBdM+ANm9w+N0NwgNXYWV/dhwEl34rX+3E4naf2iNcegfka31Q
k/WUp9AERQaRx4CqBUJuH9Tc+WbPCaaV1Ulqw1NAf3BmS7z044CvM0ieaFwsAg8rPQ3zC12s18nj
hO2r9A1Hgb4xqkCHRGucq5bX5IyAwkZo1oGbkCmj2cO6NOuNrOqP3qCp4WXSX5uqOcdpgdldZA8d
dCV9bAxA9ZQf9Ilit9LdhCys+DXRq2zuTbVPg8tNytnd08pzNWXX7i3P5TlqTRuGafkBEkOuw2B4
kcDJDqPy10EMx6aGVfNCaPS8xWXOwWJs7QgQNZ0LgiegJnDezHbkbhY94DczgivHbWRlYoMmH76d
XTjo3EC/VG5EKyn09qGY2IsByRAerxkrfYCuR4c08uIfsWW+Yo0xKH6GAaH5aFBXSVD7dngVBCJc
O/ZbuklmMfk/DRuNgDnlGsknGYmEIdVqqGzmqqW3TC1D32hpefTAOQCJHT9ijY5V8DNLRuesKv3J
nc3YueMNCzNz1EkGHccEPYalM4RokIRp7FqGd2vD094dCS1GssCRPWythAPkraP5ltaufWKmv8PU
D06fkxwSUmSlHbTMMSKdqAWiDBJa/+V6zSOwKem1sBiWnDu3ZPjQRGLWy5FoemfgEODZS/8kcWfS
cy5vgzuA4dTRfYxl89ZhsMRdOr1aWh3QymsgPyS30g0O7qhIj6Kp6Y4Scg0aP+G13CGO/YUo7A/q
dI+Y44Mx+GeDxvapjbv7pMfkaRGc5xmJeXLrzjzVZGMeHCvbBgS5S4IN77UxN5LwshrB60SI/Lot
LYYQVXLTpXoLLZ3xD55NwupjYzuS7xMxpd3G86CoJ4NyHqSxgkMK/KFRDXCk3NGe1v90o0W0HZ52
PeWLkAQj+piPoqkXssaGbpgvmQyoPtc5eaIkq+UWViHeOLu2VywURwUlF7LjyFBQZvilkkNpe59+
zueiEqjyZBECuyPHz6aVQjP+WXpny7B+a6b8QJ2e0mQkx4OkgJ4MEsxwf5q8ZfaVjJ8kMd6ypD3T
Vt0UWfXTwpaBhBvB8HCXfrExyVVfkytQLsu62oa1PmwL4jyITP0zsM1tJi+4tH61Kieky05BF5G+
67Km1+zFCUFkIyVpvyzLF8tv9n7hZO+BVBs2LQ75vbNFzG9u01y8l64OvIY4tmWgiY9MTN62q8go
5jRN7pv+XMe4SFwjwi0X0nzuYkxglZODP1RgeQXhddU0vdppcvRbbrIicKZNooXXMmTkWcwauSpM
btlQpPu2yqPXuJQ/It15ovHcv1SRXWwmy9NXXuOeHWYxzIa5pMh4ZVnB4N36NsSfwLva3tTjYUi2
0m/xiMLvOIXWzcrqOXmWGZgKgmM/Vv5RZeRBSk1xxA71XyqJB8aq1iFyYYJ1gAG0SbO3btysc4v2
LyRFm6BdHpIcw+T3V+0QOXs/KKhco11odfW24Coz+sQ82JrY23Vu3TiqbWDV7rWwas/yhogqezLs
2DpTUtBUV7dGBhm19FRf/l+r+q1VNQz5v2lVwbORLf/76x/nz/pPlP7zXzHzc07799/8W7Wqib9I
4fYkjXjPcC0LCes//6G+mvY//ql5fyFXRelEkDtNGcNBm/ov2aqh/+WaDu4W6Tq2DiOdv/Qv2ar1
F8N83eXnYXl3bayQ/xfZqmXbxr/JVm0X14N0XJMUSFeaDgL7f5etuqmyW/yNy7i2ER+SH32CFTZi
9bFWpDXGz0ThfHQ6JEYzrqq1G0YSVxFWTphIOyr9OU0DoYFfVA/HJBXbZUrGa8u3fdPuoc62L944
bnqHBpFFzNeaIOOCzkY+vATk4PldOz6VNBSjLIpOMuuvuQPISFo9C2RA0masqzfHqojEo4dzJFmD
VTxS+9FXMI1tQBJZD57J/E+izmNHciRbol/kALXYhpap9YZI6dSa7iS/fg7rPaA3ie6a7uqaCNLF
NbNj1EVlpqwgH0MCQTKM+BcJYWOzi0/YGM01xVANA7D3yA6R5gc3/fSyV6vJbzwoMl8cMDu8/+6t
gnHI5p62Lw1XZGRMPeqYekVAWaD6dU7fem85C6w45QISTcBHlAQYVrcYm/z4/39Ui5r+79doMqSj
IskgerNZD41kIqTwG6jC5aJujteRJvCrXxQH4dX7kIzYozF3fPKBuiZoS6fcR/6wevMQzWa9yiCw
Xx2DfPxKIyufe2fctPFQ7CKNuVZEBiTlpKWsW8RHUgMBM6pggMaBcb3UBU24xpwfR5k8x+HQ3PQ6
Di5ojBzfk+QubpR944Ce//d3NuP7uyxBFXIipz+mbn/GRJpcUn/YT1jhXoPFz8djei6D5tvURC/h
7a16fPvAvmJjCyfeuLcakIc2U0Snba1LMsQCHpPCkSYfhD3dpaMnWM9okvOL1N5i6mmeZ664/CMX
iyzgZYhK9VimjMempHizVC3XdV5Fd/9+xG7ubd80mKw1RkQU1OVH2EYOGSAEJtEWzKbNW5IN4tKY
3gVwhjo2blhoyGn+cDWC/C3Q1os/KNAnBG6u7WAA1VYFAjcd2vQR2ci3YsCVEAQ03TWVis5uQH5x
wnED+cOZLyKe1SESaXGRMoOXwsWA7RHK45AT+ODmOZ1aMyK9mGIVIOQuTgnDAnhz//19Sb5JFNhB
bIPe8+UHbkpxrgpmgabEnrX80gD/8GjE2PqESadNF4j4guAfX0Bjh7uiT3+HOUJdls63L2zQ4TLJ
4xsfneZmSYR5au/q+QNjG/0mc7uE72uxymAFY4AKa7VF8WOf9mpGSkur1n8/BgQgekmT2/9+SeZ2
cMbC+LH42vfGaIP6Wn4wneiuVkbNaJRxITODqWfcX34zjFtwAq2oLxbixbqrQ7X+B1VguqeYvYBq
7+v3kDghGyOgm7iDgd5AtLVx/PYa+JNdUVanhA+fwl+k4pztcjm8rYuGSfKU9/BmGpptO6VDFG/n
AjuLKQni4iapbZLW/IfCK+WexOLniG3c0Q+KuDsZDlecBey8y7+/CjoPv2zVCqjOs3EJy9C49AXq
scHcDZuEyz20WaSZ0n0E1kRT6vKjivP8xvLgMsvaoL65tvIrHkzoXHadwtKuowS/O8UxaB60Sg40
JhpG5mxhKFs2wox757axy9Ddt642x3mAcTcF4EuQPsl5coN9Fs+IVmZFm9PMo31QmRveTjArg2Gf
jQJNm54PM3WGcwH9rXaBFA2NGnYlGZ1ApvBHaqKWkwesGtfLij9aw/jHC5lO0o+S9Jx5SlmhnFWv
tmsQeIx4ndVIgKuj8LeJmm0xqXOR4juJwuYRQs0FOoCgeNrdtk7LjDzPX1x3zNZ0Mw5AcqJvQC2/
Ul5nY+mxwwJxiHJ6vFDgeDhGwRjNpnEVWkepUX4hiIqmL/H6RMx9qxczuNUyfSvIInmouKOVaWjM
wSelmldmSUFp5rBeDGvldukDTRT0bdOBEbU9ZNUCG0ugwrVm4awX0Ic/0cnEEKKq+pN23Xsnn2PG
QvbVt9KHPiyPdR49IsGTM3OsZWh3ToYW9sAyInPxN3VB+NDtkSftTVRnr2483GNbjDFY5e22U73Y
AkU7Wpn7EoXjJl8yT76NQTSm7x545S0n/juZVuPGdilwTvBluQ5zxAGlYziA43z0MLFBsKOAQo7O
nU92d+1m9tnLcZaL3tsAo7lUbbetXQeBYmiw2hTl1RwBHggz23hddY4MzevsZc8hw+B14qYY9FY+
2fKjtSDffYLdJLC3FQNZ8Id1tJ5SevlyODll9GEy3zQHRuqhygCi0XLZuuOGC8fNHKTeamQRXv3z
OXjRnzMlIUUBcQbH23pzeIykwzPgUxGM15gpXdc3e+T3rVMYOTydoN3F2Hiug+cOV1noC+EZfTLD
hpy0Jd9UHF8EMtgGCsIXoNVP1bjdwc9HzghjANK6Osa5+JxofW9bhBdfNye38v1VnVOgXCl/kxcW
7B9C3wTNEKAKJoskZt4RSxvO6qze9bIF0W03Zdl4WjyJa07FnHRCkvo4vtJVGaMSTPI1CNzXVlyM
sphPQRKgX2H/mWt5FCnCrWm8p1E4UGdpbuVQoiEW+BT5ItZgrJLNkLEiZo+Br3FjCTpB+mbeBBPJ
tYzcOd0brAjSzOHRh/KIbrqQCzoeH2o3V4Ob7JMB24UV1pzD0kMd2C/thMliCCyoFV17IpRM0t+C
BVronprycTyjECZUVCDmhpgdBtGcQ/8vmxiAJJX2d05rfFQZ5URZ0H+y0LC2OiPtsF79B/bixlDI
yoiAdPlO3s5yemMtDGpkM+1Xd37XASYiyBtHWX/wqoSC847Hc6I5d+tRPB2NQ0GP42wytNbztYqx
WbjTgPJVJ5yfKnmLnc17EexBjFGTcJf1Nq/xZA7PeW/dOyWSUWgx8ra9aWtagAiCxWeel4tzhRpE
X3jGNjGIqhvNROGyMXDPm8oY5yAdYbPKfnrILNvKplmntk/Sg6wiNaBuTNEr1XstIhatRmk/F7f5
8sPgYGUHQXL690uJUxW3jNgxa7QD6/VcNPt8iUSWAV6ZiFJpKGZpfK5iOtkCi/IsL0LJqbz70Sg4
bVZ3k51+RTPRo5F2ahRJCxMPy6Xp4WtVAQuunKk4eSl0GZyzxCL5WyTOPitiqj5evdq+2IoEcG+H
L63DKGJq6NVIyGQbCvXxfnRCEGgaJ9fgGo8udNO28c5iqg7tCGsoBUhwdCE5yyH6NnF9XLrYJKSQ
GXsHf/CbMwwDuZ+Rj5Zl7i2BfU8MvACRl7p3qlmWi4Z/0fnDcbmjx6rcCaeNMWkF8hB2XrudW3t4
bTja0Bluxqc4DVa0TI70CW4xoI63Zt2GO6F5d0ID/0mtnQv+o63y3P4EnDc5+U151/iF+2jWC0gB
78wK4Jb1wDBt1cMswRiLEDPS3FB2qToyq1pyvZZ9M8Zi43OQ27pjD9lk8PeZnm+CPG8O4Lubi7a6
5gKxI9n3NW1jmW7fKPALjkGfF9vQRfXIZ5MDmQ+QuDUEzg3eCUpA9zQC9hIVpoR7QTE1wKT6ywS2
0aKlKXHuDEec//2VjSG7tYZD6OcKRmNgP41hRTRmdMHhtq19CoB9rAaNrDPlcb9J2/neMOCilLi3
d43ouJIr976NNBF31l5KIZq9XVHyBZPj1gMdotkOV5DXuhJQoUOUYIMj91R7ZnadQ8b0bPNPpB1+
U5tVGECLODBFYrsezCWBXW07s6gvuObNtV9SHtxLA2dyaewLr2t2gGY2Xmx5a5jb5dpkERhzy9vC
sNwSWdIH2qjbs2Epd+UVJPTDyRoepr6eD5GNtl4OTK6rtD5reOI3XAgYXK9CYKYbkVIYRnJoZ0ZO
esd8688aZ9ACLeyIvDKeGTCqf1NYzhhDWNAXY94aqc9IdmzhbxWwK01nXySsLrhaV9qbmK5ROk5T
6Y8N5Y5QLmaLpBW/BsASHU3fPWaEE9sOlDdeCqPF5sH4yKIhw657cMWWuuUSAzwr7dloboLpliB6
RTpH2hu7I7yYODVRZEqiB0uAjR/OMrJwEM3DXdFLQMJp8OAbmc0TM9x7QuIUDyTQUeIZp5iOsqSJ
5pPDcqkolOpRVncgItVFtg1IJHDpfk4XjVpEUk09MMqUhLmq3CtmL3JEMIhm+P4rqw/DazefzMbv
r36THjobq1GWlLB5WnEOkHm2VfNQd/ELsVBK1AgY/9+PKm/RPIDBOQqBZ/bGij5lbL6yLrZ158bH
IOB9lwUYJJlSOpGfuUt6q94EZI6FFiGNZj21KZpKQJJSuObiW9WFX0kQNntvyr998vWswKMLmcZ6
JFzS4ZLeJDF0mqUAHhrX7xDaxZ40HNyWgsYPTX2dGcTrKmciqBfyoFQPKc3NzLyzu9mKDl4fM6kb
h32Po5S+itI55czZCpuWU4f2Fgj0TbIySaevAtyGZ9vzsRPW5yyV80KkfXPIsQAFIndvp7DUCMJ/
R0PwztwfCJXx4Zi7RJCfavijSxLAkMXQ5qPABzYS9EwNMQiEKJJC3RWqHjmXqvhEScN67AWmkM6H
FKTdByNirBrEPHVlau9cH+4X/9B+dOPfpuvVAaGS4p1MbxV2b0zE07qASrSy6BfkTgI7orHu8Mj6
nPyQ+AntLZAuuuyukzkdwKZXGzQXe+sIcS5UqXEp6Ru+QF4EZ8n/Vph3OA0Ymxm4cjYFI8WWnPUa
FSP8v5kFV/Igg8xZG3YFA63e0YD40uWuww6ZtNSUdXz5oMNm8RZk2U51TrBuNNjUUA3ZJktDYwOo
Y9f55nNLrfNacD9Ef7HqVWLUQKUwDp8oxF5bf1Yv+ZDKTB6Jr+4BpzsACzAnzCWSVNOz+sbYG7z5
bCo6LbrCjXhVXvCZLGiw8rcfQ3lSQH+rCBROAMhm7afo6+nCFWF90/wm2IqMqeJPUm71OF2IwSgA
fPT41iYBGa+gdN1QE3W7BhOVIfW/w755NcFFeVP87fqUZZpe84qpq9ySNbQ3aWHDBIV0MDsVuO3U
5O44Oyv6J/KdQDMICzr0wijKzx0gNRI39R5zp3GkQpl6FHiSeQRSQA9ls+tHkw4jXzSwFly4Zllt
LYiF5tkKIj799iFJkm1qzPGeWPdNGBUcWMu3aNonU6cfek3ItaitsxrcVz0nLuTxTqxzf8ANV2kN
XI9UY999T3Nw29vc0uJhOjqeogorDPa2COh2KbJ3W5tvTg3ZoqhKF/war8oo+ZN0Aw1LHFCBc2U/
vkWfcOPY3xRAagRY0N1VH15HivJKnrxtLFyGyCU8GoY6hx4b3Fjxkkm63UZ6b7ckmh4GMzxViRvu
rGh+yOlH5bWsDyrGlV19ltC8Oo8mN0CwD6WCUlzhsWOdGfe1H64tzpyrLiuarTXVzy0a1bZX1csc
p4+Vp88YxFBueWm8AHz51L5TVKz2zWw8VUb8GZfmR+ELAPEZpFnXRbyBFq4kKMNREDHryFPCkrkl
O9TQTwTGQqr+WOZmDE1/lOvoEc3c2mr7V8LYTDP3Vag/t6E5SnQHJ3fv0Kf6vY9Ln2vUWRUETJuG
HjTb1ruObBFlLikT+kUa9qK7Lmi/AY3htTRYE8bFSJmUQ0xgS92g/vt7fuOcWFi1itn0Dxkq42oO
vN+y6f2ja7bRxg06ApXYFwkHtiAMnWlTcttRFL/Q5ena6wo5Fcm8YK7SoMSC3MnXqWbCQkyQ8vYE
papz0VsD+5spJ2uhmdhURjsvqpvGvQkFAwWRuqCg04Q5mV1GefFLahtBWd46k39LPl3wocsf7EQ0
inkILSBptLvPTO+xdnCKVtiJM8lim/tAzkpmyUdcRuSKDHa5Y1TPLq7RYjsucNVCZBdie/E5FopP
zBzuXZNlNcM3s41yGiTrcaTpesbcQPfdXwRYER0H14KxtMaWLhhXxHcK45EYc4ebappi8tSMj3EU
AnJRzNywukuubY7cyt7fjTzSUZVuLZfYYKK8U+ljSRg+unk+dNLl03XlMa2o+lmc15q+EnIRmTpW
Y3AQrLHTYjgsnSTkRli9TDMmV2ITtCqQPDMcHiyk2ZNyeh/Xc9CtVI0xaqIbyq/qI9tciJp8gQ+b
clke0/iOfNoTNphVa3/ywW5c5U7brCkh05OzWhHBm88QYgbFyuhI4pCwpM30VQjnE2+FtzZ8rNsx
vmKJeWkTFoOPmbd6x/5bYP/t95j83lmC7xL2jjPjaIDd4AxATeIVYHuEP9ZTKtI/BkRxpjx5DfOe
/bX+0jnGjaynY/qliOTZcL5d6eCCnJ/atD+YhJjMtp9OtaX2wANJ2tgQFKXcNNxbB82e6KSf0Rz/
znSCxrF+axoY9daoX2kfYwQC1mSsoIo1OkS6Zn2XvpMRTYMzU6q/ysAbMk/dOyLiVWD1I3wYkaKb
wl3nKGMTMuU9tSq69J54yGik2sT4Gt4N+VsuTPkKu0QBvDd1oTlZR6dJ/hqn/ZoTGpGc7IT9FdZU
8ZHlfAOG95ESI1pRtQMcP3MJJeDBSTB7VRLOqN+F82Fw5R2jA2tJd25ZS8xlCQxKBb/Atl75kskT
9c2lCD9Dsx53udEFa5CtEKcapwTOZn7FqqeVeHlmakffzYSVAlVzSOXNrcoGu2AL5xCzBCRZ82co
fAIFFoYJtdilM50BKCekUKE1r4o4+vZqynBnGkIc+28ek4dEEEObivJPtJk+6dg405BOQVFVnyPX
xTQYlRsV833WZOOsVt16saxXNN/iv7qUeSEPU5I0e83jZOb9+1i/yIH4biuzx078JgOhXB/yBbWN
uNYibuXp0kslm3Mkqie/aH7t3Hw0u+IqMCO0fnJQZXTVA2tkOiYUYAVnc/a4jtgE8nR8UONIk2K0
NmnqhDGh/hTDcUYKF8PoHwsCqXPQbYsMRXfEYVj11JOYUOXrAdCbLV+ycdhM0XMac/Pltz3HAMEx
55B+5QLjBTR1L3/WVgV/2F2gIryIQO9Dh5FoiQ33wj79RFst9w/GpbaVp+uopOzACAlcZPEn9DVM
JrH6KGb7U5oKgZ+NKirsQ5Gb76EK9aao3HehxCcm15zPhOmay5ncHmnc3lAoRLY1H066fuiQSgZI
tiuELVLZ2UmDYnFTbMrxsi+11Qrfpli1JnW6ZfOY0t9KhH8+tH5Kg0eyFWawFWW7LdLx3XKxmJBE
LVMM3GnCLtObIYYhXn4sfXRWz19BKu8riytvyv+muR/XUY8pqUaSd46OojcI6axIinUpIQYsZWp5
ZrscPzColY0+myXo1iq78eeScRDtPhOll1nvXAu8xYMXAFuGDjz6/1B6mF/Yn5dJ9VvPOQ+6oARO
m3dspvlXQxR6XdUEfIwiP/nu8Dk69SnN6+e5A9g0T/3zVGmmOfLGKeQ9ddTHVkDli62J9T6sf3xi
WczarUNlZlujuRl0R8tem+EYJ2cx2NweMSDuyhY/qgBIviqFeshHTh6VUDUZUIqgHMxjk+VRSwHz
zlgqv205PnpkNd1ifnFEunQbLhxeYNI1s7wMi7mc3PuKaQdEB+7PYBzx9FJcctPlHWVS4zM9l495
LLhG1rsMUHgeWinF6va3LZt3z+/f+R5p+KJ7VFAUnrcmDLXauE4NLcjJAMcX3xKfKgty/l21BwmO
xL+253DMvrjccCOKinOSRV+IG+SQ3AaqBoUeBemGys7STZslSGTlxahAzIO9+/TD5g0Vnv2ey4Hh
SsL+MYeueb72tfGJw/dOheFdKzgLc23AIig+O7K7ufPKgDLfF3kF/5rID2OrW27vW2fKf0xpDyRJ
AbePtHv65Kbth55zmpgoPgpwkbeNhlw4JjdE6LeS/+q6sayT3Sac86V3rqRxceMzkvLLxEloVdDK
xs13Ob7U9wn1rwiGJSPyrPyJW0gEMF8unYcJ05+uec6lY1Yeo92h2ll2Gq46uoCD5o3ARQRGMdpZ
DfuEUuErMYhnnBeHqZ2/mI/72xSeSQAPYYWMoFaCGMIaECazWfArAzehDX6otyrn1lwKhDIRkHCQ
JViaLoQQV+K4xyG+jnw/OnRK4Egl35vlBEZI9sakpFfCsAYmjwxtUU5aY37AAMURLH5ri7KjZL76
NouQ+OzATGBYuGERN3yZE4gEGJHuujz9THATzwyYAzpEKKox7CPq/L4EWhhPMGCYRX00ybcONB8Q
XqvR/LIJqnuD/5wXS0NyempstQ0h114rR2iGLCVCZZodcjxKaZHD1nNiSuxICrCPOYc6VmBJ6mPb
N0+hNd6jvAHMW9F29GL1FR3n4QvRc3PFTfZSye6BWDGC/XqQCSI7KZzUuAmbYEFhHPi/tvdlTtTc
KxAKMlYZP8/AB4/c2d15y22XaCLtHYybZe5e/Ehvg2WfaZVJfEanD1Vvfxqw2aApLyQ4Dm1QaKpV
xXK5wgEPs6hHViKBggsJt4yQYsULCLCSvYwo9Z1CiCBqMhM2oxy54YEmmPOYSpb9QocXutVOcce+
X9A9Sa7DfESHXINOOFQErEvL/1we9dgpH5pumjeV5j7QVbsomW8aXex04b6HaUoDZmGvHAdVxZh/
GKqUG1/KR6mTds+s9RRaPU9/Fu3kZOhVU8ufMmJjpfyXyrgfB4GDk2nzQsqPPYjUgx8x7XFfccPH
VCrnwAZMunPt4m12AVeHuEGRQht60OjqpeV6Tyafk4L/byShPk1LMyKpCc2TFF7ZUxEfxqZg4J2x
hPcJC0OtsG9T8XPDFOlsB8ZdPYYwRTgIN2YZ7RxaLfGslQ9RN/OdIL76X7nhAdjvSI+O8ZOh8dlV
jDxRztK7SRoYqOEa5Q3c2l5D1RGp/RQQhgNYHt0kKRFAcs1PAywHsYRkZstabAiv5BCzNRxU0lpe
8142TMKEnj81XaOzNB9pqxpgWbnsC21FGkA8OwzKzfhom917MT8mNYma3BKrOe/EpvWRlMbgDouT
teNKgQc+n349687w+uOQyDVdttbB5A2PRPjkD5Jkd7kvU7BUSGRot3bccrDC5sGnBFB818ABwHjI
zHNCwuo877tq0I4qt9waauFQWnvgQf6CJU9Cl/M6VuSVw4KxMtqJRSO1zqOwoQY647G1HOdo1ksp
Sk4punBtlAIXjkI+HKyg/JQOL/hYonXGBonTsMe13HEsqeci288+UbTUoWBDmLzPU2VvZWZtmhEB
GW22PAXmMWemsGnmhP4moKbN+JIMaj+YOc24gBDtWX7OU7DNogB0hl+i6ODOs2Bg1mLU237wBgI1
h2Ym0s78NSYl9zjL9iVLPCYVBm5NaOVXzcDMdeWhoBdAcoFN8sYE54q1azIpIkQVJTTQ7WwdPLcz
fIVguvKP/8ipuwIl/cdS3XB/Oia10Z2Zk2YBxw7JfSOy0C9t3mjPRcrFPFgDcBzUTKQrjl9qldxZ
y67QcsTNprHDmBhTAtZ5L1M+P/SQjYVX/iWS+i5b3FL+xXk85VmzJDJFKYt+Syg8tThZpa5/Uf0M
GGVG0PI4wvsNhMoG+tmm7fHZd/1DHC+1GzHxZT2XX7QSPmDLe8rKMNlNDLhxR+39IHgfzRTHK6xe
O2fuN8fed8vBHCYocN7MO9Q+Ruac+HSYfxgZ4FM3KN8dbEZNF7IWY9YxOzyNU3xElmE9MZHt9HAT
QIduPfsWV99qJja8h97XE+tABlUpIpkH8kNq/JlV538O5vya1/pWLXP7NG8vRHK3g4tvZmTUNatj
mvbRJsCCU5oMUTh4rHS784f2Ys1RscmH6gOL9slFh2De6L6UJGzmoDiHsXmJp+QWa9ONHXFaMWho
XRtZwr445GeYT/s5rbdBKI4xg4aVDfsedo35oj1jYYvVPiyKKTuDuWEjDPGmFAzYsc2c7Zq92h5f
+sp9TdQxscrpdkIri3T11FfDJYvZg3JCGKhwJVUKCydn7j9n139v8EGKpWrATPt3Yik9B5DwO67j
uy4VyaamygXuGWsXYHsjcn5NZscr081d3JPqxnFirOiKMVzbQVfLBHU/VnCfDfsR7yofXwOhb18g
PPVVj0fWZJbuUUGH2SS/cd0eccwmgomH3Sdue+3q4tmknYcK3ZltOIyYogGEBwv6FDArWlnfgqQO
uAtJoZXs1gQPcKDVud4h+gE5SYjpjDbZQYpDDEZrkoBVgStvF7oJJJ5lh3NhWSOHXPXEx6ModOPg
s3T+0EOzXDZU+gdX94kjW3nyqukaGVV2UVHAU580JB7U4j8uw+O8DNvEoOotjRp0PUwFBv8Zv82E
kWBmNMNII93Fst2UGeNlJpYrGva+Wm1+hEznPQHN0KovBsfOZRJdrkwvfdcxcRAr5E9KrHqDG/tY
RPWRvvjvzOo+EtglDCLHE82np6lKFa657jU1cd3Ueb4tE32SY92vucOgXGFLV9gLsMXdeyW3v6xw
OY2l9VflPyQV3YpL7VpkOYc2b4+QA5h+l1gIIIS3MwJdSR0WjJBpVo8uuz8qX7DPpc/bzcNX5ebH
wO9TtsYfIdlT6gmyH/B90OC4BIXxscIZ7hYOzAd96ZDQW8OP1naJ3jtOER5zmovKkbngxIQmct+9
Ojtm3kPj+59IKs02xJawlS5mPOzhMZd1dxF/qGfl/sneF+wyjzvxFDTFicvyBy00K3M22scBQvw1
JjORl/Yuj7y/0K9HBiQYTah3yMk8KXW1pPxOxAgMQUoL2NmLKn02UvodtkkwpuAidjlzAowmfbqx
eTq2xlxixRYOtn3zAb8DlRKm3dyjYFJb9Rw2aia8Rz8lHafv3Ckzqn+yLwvLehJrQhhLVxhtG9um
JojrTk84t7A5N2A+zAwkYumJDYfVYxV40bb06aIT0adtU29cO9gGTUucFkq/Zy/BZS9859faAnrR
xK0TzwrAuUbmVNwFHISjQhClG3nvEknltQDOhPfgJ44hNlNkCms5ouPFNx7I4rkbIiAjX3fQXrn0
e1VH4axfPksPOEYUwe4akRp9aJmK2eqG1lVanhrzD1NXvp9m/c49jm82JgDA9HEPmTsNK87NOs62
GHi+fFuP6Ju4Ekkpg8w0xVtY2vbZKInYpLhDEet9fHKnzHKe2afZZjvKCWPvs2yMn6kpxK4xxLFs
mlcVMLIZfNqLFX0+IX8kQ94XY3Lwgqp7BFDJ9zA3V4REQkVuYBF+HfwN0/5kazUwilFpALP4uC05
ZhICBMJ8AcoZQYrj2FDZ/i7LKWMXDMxcVSzN4O5v3gf65t8Pfxg40Marrq1e4bQE9EsaTO0SiIEO
DSA0bNEFZ7k/XQqMeQSVtEpDqjg9hbTSzfInyMWrh2sc5KJwVt1O++KrieylOTt/NsX0zqXXptmq
fRqDinVaM3ImtP1dhKm/jer+laT2o0PqQrXxK/h3sSmS6Q0cUo+orkMsUYrSZ5hBAvWUqZ1wnAWO
I8ZtW/FSN4ySpta/xZjh3MQaacQuAanh2T07lbwS0Lkh2cXZQJyI2nbH1o8usW1dDHv+NagUKZzP
sIx+hSffcJW8Og7nfGf+nEP3ihixV5axzXBAuRCqEsBdRKFDopj1EfHwOMf9AWTJObQiUkIUezNh
2SsWQbeil4urB46YtzCtj97EJzlq5xH96q/oxzeYHvgHRxw3kd7n+OxWRozxBw8Ot/HYLRdzExbN
5lZwxZqIBJS5+DVtDhwzlYIyfe6bJdEuzfASMHP0wvZhrIISO6j/VJeopIzYgcEZxwq5DuJtcTDa
GKxuploG0J/uuMSVXbGPGfDclha0lJHkWDZXb7S3xis7cD6N2OD5V1i8ppSJS0t0fcW3zzZVxQwI
zU0d1Sx6UAnbqsV41PrfNlrQ0QpSZ43gjqYXOh3n1EOkR7W1bOePTqWZQBlg66rKE3AmULQL172Z
cCLbEwFVf9lJdEEOSpls4kiFOw52n11sZ98sVe9VLQ6zwj449C/FUn7o0LBTBGW66zP0Gj3cNmb1
KKN7O4AzBOj/M+80cx1q66mdXbO4vQY818ubkCs5b7zGfoN8zpGiZ8xqLx2I5DETP94B5jr7Rs+a
kA9fRZSTfQ9Jo2TBhoDUsxlxgBnqJwhYP/gHYPPE4qXUFMhQKFHVPx4toSLEvpzg0JB4vRGVnCts
i9+JxDWtFmFf7MqIPqACj1PtaXDKc/El2nZdcuQIWmK13IhZ5+pDranylEre6mIwOMdTKeQJKuZW
M85J7dk0QFgvTjw/Gwpi8Ojd6Ilr4lh99d1LpDsmpkSH5nHXU35AQKc/U1z+As+JqUv0FMuYW1NC
fRcW2djUf/XMBXYCiDch1q9GPz9qC4wZQLFb0yLZhaS01ZhQ1wS4MIO0vABwtmK/sTdu5t71dvUA
FvDVdPKnKR9t5BTSpi6QOSdzPoC41Uej8U6ILyeLhI+2hrsxWIB9tdwlwFVr/ZkZ4UdNZ9rapLGi
r/8GZueVPdwlMIYyKAucBlcBEBW/BuCf39Tp8JDYDCYj5LiJz0QFYOAyDr8rfL+8DBCW5CqM34Rz
U/WIoNnQ7Twm/RzeQobxmG0BaujbSjHjwMi+btsQL/m/SXnwxtpzAbV5yUh3JRj1cfmTjVy7FRei
VO5zsdxdk4OM05tcMTVMFYbcQrdf0iwqZtLv2vc19eyQjJuxWDeh3sdd922Tnww88xN/GhdKzWyq
xg0UDd5P22Q3DnsOsJpnz+EUHXgJ5RXM/S0MQbdJMdxBLb5V2I9LQbwRYKx7ysYQBR4MlBjK7WhN
916uopMakTe9ojG2I1sjBgaiwrr78QDPMOpmVtQJg96AHJxbapLKE7m5NZxkuvRj9pGFJDVJseLE
RDES7OTKRNjP3b/a8x5bL9brnNn2ao5+fSQF4nTghwqDkso+mY5D8y4lWUT9zW2e/OGjNr17ux6+
sKxcwLY922HJLS0HE1SbjCWGkvaNuPzVYUcwmnmhj8K6chs+LVm364yWA0bq3r7lqxzzFy3khcjY
ZhiFc5hKn9ZeMwS7Eo3rtLGvNeWmlgNzlp7RHyrEueSRFaRjhscRuYH7YrrzR4NGjqmjjUTCAWBI
ezOAFuNimf/OwKR2dpKe5qE99k724PcVQ/xyvvS949+28bSPnCwkhvg/9s5kt3FlS9dPxItgT05F
qpdTsmXJtiaEu2Tf93z6+iKrgCrU4AJ3fgcHOOfkzkxviYxY629tGjqWCU5Umx8ODvp90VJYCkv0
BAdM6Ik+/jK/k+tCnjtUUnWAEJPmZ/mk4FVfKz/BsDzT2Y1EzEb7bfPx89Lbvu6Gf2DG3QMRRaSs
UQCizbaHv/AXobSPppQmgShZW6QCb4dZKfhf+o51Er3JrB/0WfB7GPtcE64s6y4BweZ+bbm/ptH8
FSD3eqw8RaWC8VKLQD0V7OMYzDrfcrMPFDAloawL2bJSJYKVFpK3DF7mAFS5UFBDCgJQhNbBg8+E
1hQz35VloVZTZlxjuF6IcdG2Zoy+08BuMDcPl0+BOiQjOid6vJmiKbmoS/6oEBmkpOtukEl2TzNv
kw8prXqWc2gmXisqYPJ1shgH8iqEb9sLmqcKBiUw3EuSY8EJh2QL4YzOnGfGCrEixHa+rhWnwKZc
ILmwincC5D0i1bYqMYzbVqtPFXBF+xU2xskae4U8RA1B2cRuUqH+WFvtJ4mA361TEvjEzFFZxZ+G
k13BzWGhg8aBPX0sKSXemfjbJjEzlfZjFMOd9Lhmapxthz+nB0JQunQzytb0WU0xRRA4vWlIp2G4
np/s/pyHtoI6YqKYxW22szlWz71LTgG7+rZZ3E9HODeTbPRdS89O3NXPxWRDGFf4I9KeRUztzQ2g
cewlBr0mukNgPAkac1teowlKd7a1cyUoZ6kxgMbgV2isszeLExMmv6H8Jr0zlrEaco6vcbyWM6Z0
nV/FjUtWkuGcQXRCLEol7Z3b3qVdRfTDuMtBtGHc813jtN9pZ/+mMyiYSQCkWyRfaoZIHYP2O8kh
Mxc52Aiw/d+h/3QG5+QolHlVBik3abjpA/FSCxotDN3qPOKmCGAC3d7ozrCfcG6TyVQ8RF1ptxT+
RUvr9yqa20MUD/cqDvjqKRpYYTsmuAFXKR80nVhLj37LmM+YfOFL1VUQ7AyKMb0J4f5Kb0Zcv8o5
GHV51Kql16F1+CM9+HWmX4wgmmkPETfFNT6XdEHbl5PRB36RIB7Wnos8itcFd4cRmid1mF9Lhfjb
EsyTN6ggBupSz2DBuoOXRl3uVWEkXpJlJ5U0k0ItP0lV2pupwBcBcJ12JF1V3TYSiHSgxlAQUNeV
pzIoI0a0EupbQirfBo34Hs2sL+UMezB11ZNosn2hLL/EOQerdkh29UCxSEd9ikuH3Eobnd9an374
z+QBgIrlEozYy8OuYaQJs6NlKFhWajL5Wi15VjTqOrFlr52+vUUky3dhfes4a8GQQgCau4xI5Za3
P4wkePQqHJb8L2SYn4VyJjg7Q1iLU2OETdrGCVd28MzaRECFUC4QEY/Q8KdRO+c9bF2muZdhAlcH
PToTlrVJmfyKpL4VS30xe/MU5tVBEfO5yUwWaVXX0Dln29aajnUVfAxj/KfpExSoHdc56sKF+jKA
YcU90EGXKA7fzqBv9CHcG8r0B+3mk8hJYTQZoHuXCocFgQQ5BQGTV2MZr4uOFC9zaxqnGs+yIs+A
BBvlVaxb7jkKcN4s0SnR2UDVota9W5rh4pkcfoPof4IF2wMNHF7pKuEzQRnwsV15r/TqV40BWGpC
6JpDlmMonPqJRECkBkj1HIwg04cgaI8MPALrEtZgmhOVFQFf61RHEZf0ccSylB7UNhu92pguosVI
E5uULVqa8WmEMxY/SpWyzEm3Wmv/draDdDuHX1BCflg2PP4Ucg7WpUFZa6JOO6V+ZIDeezMcL1TP
/fQhAgkKnSMvpXdNmFjUA4spgrKOA3nq0E/Wt45dfl2WDKZYyea9yqKGgC1cs309uWK8ta7OysNs
QMI26R02WV8L10DfZZQXkvqsZS9lpd+s/s9AZLlq2Ve7m+GnS+Yy4pGPtU6hehvvi5FYbSLiPsyo
bulJq/ksHPNjtroBUiB7t9k6V7ngAB7jCGaADdkr+dbxW+Tf6tR6C23xcPE11Zw66oxO5DmMqrYV
hHLuOyfRvIJ/hKXQHxpQ0gykhrZ2uf0UV70anzq1OWoqiixtEK8TrrQWYVsaVssmd8VrLWFtfo+P
nWxcWWK4W2BXyEl8NU4aHJ71FToXjSEBNFw/+6q2St8ypspzKCZuJRVhdoOPE18l9TVYuSXN5f9y
mE07Pmac4iAPy7KP8HmEQz1eEkc0azrAZeBwzpMSOQcANJaisNX2UcvzWrBSMCOlu5L0z12g2j80
VyJkQMLeZMY2zmvuqJFSxyn5rlpZsKZa2jczSxaPF7rY3YPTo7tzs4tWsl1iJ4GwcONwU/xhS7XW
Tdf/EO5Tb9t5HHwZDexzqDGb2Mi7KoBlFD1m5uOXLPYiD0Hcm+xU25rtOxEC3Ebof7jT16ap3dFi
Rq8kPZIi4prKJmxqsXeQeEQ82nYgxFZtzcrP8DVS3kToDGEJa52AO50AK89Jw9d48hR6TChSJ05s
Nvq/6lwBIUSWsa/67AaH1F2UcEQgiwduVUUSiiKGcGWr+rs2MbSpbUJ8YYYXvVl4+tRRu5ai3jfB
chqsKSA1k+DoSti7UvTMDDPya7zK23E0H3NW3ukwZePIttWopH4zUkQlPbguzR+eno7gDb31AC8V
fNu2eAoyBS8Z8j6Ujd3w5MjA6ZpPxO7fodzJt4/LCxUKf/rAUYh1tzg8vxXDXav8w32bwxjWw6dO
PefMGImZBCuZnlpbAuZkrxMaPacozkU93RCFRugEE1DXMdy4Rm+iJItqX5uMu+BC2xptPXounYZ+
lBNfVeXB02xxRFcMmoPeBHvob4QZAZwFycnkWm7pCySxJe8fopdNnd3raATEe9EiD87DVOfCr6Dw
ucTq12DE5a40e4ome5wvBIjCyvZXJ9QuDipJQDH12mlL61O4wQ9heAtFpjBRIe1iqbFJzOlVnkyt
ix3uGx2a3rUvJFS69gPoJPMRAJJHYkUUEgxwpFFC407P6QdRdyiz4mZ1NckAlYpuSQuewCNT2J/x
sYDMYd0RTxpntGfEfABhwkehdCUFVxGijDahKIRoRTptPxY9I2wmenG1/n2cwH0zeWKwRZKXPdKE
GCGYQaUVGn8B6tZ8i8Q+aaHYLcmyK0LxBPvxyzClrirH/e6Kr9nq0dUt4moRg+THaP5GtWS6MqCr
4+kvX+FMFV9zpV3iFsb2t5JfVANYADvCgcQs5meHv1OZwj2H3l9oCR+p69YhJ4QboTefEuBYMpl5
0V2N+1lzl1NICyKLGTdMOTu6PxZx4WuWRkoJjpW2qqiesA9aIchB09/xHoy+o2HXppFRB/yps/Td
zPKXvCQvkdCudiW0+T3P3SeW4YugXy1UueU/7NnG/TtdIF7vbsUz0kG8K2bjrMi1p1pPAAfr8EzE
eADViFtjjpdQqiGJC/oiC+VmNK/uhCSLb/XWGv17YaX0oxe3dEGOrjsTre+6yDftZN5Rh5P9qLOH
28lXQVs9jufmUprrvC/fK3ZL3553qHm36shfvaj52W6qnMoS07PN6tCRM6aNzVO2fLtWu5d/keLq
aAaXN7VU320bVJbUnbua7BGivaG6IsUpoQow6FhJXGRqhQYWoLaE1EjVi2nd6ugWLdFLy+o7yNzT
SIrLUU95orN90Zd7GqWe45lPtj9GwfLbLOWabPLdTKX1RN+2xc4/VURQNTmTKxZ3JTqT+nQsJWnW
pNcZyy0p6TiB5WiKomca3A9NQ5ir6/XOKjoX6GNFVqJJ00EuARfuJq00D5gl97hqIfO7S2QnsZdy
Z9sWCmMAnE1gRsCIwGxtwjBhBuampPVgHS2MiA4vv1R6DCrZiAm3UYgpziKbYFHI8BIYOxL3yVDU
rVGHuWdgV1kym8s1cJ6YNW0/10ovauw3Gx008OEx7CB7xyHuCX9uH3TQfmmDicSLKzBtNf3Uwkg5
dotWnzYeFPT8ZF0WHQf9xAQ8SbsEt3pmH/QRnJv8vqu+0OLk5GCIXDpTPxIOnmTSmoCbPgUsE/Eh
b8jUbJvcb+eUaz2hDjbOuv0Abe6Uvq6Fzc3cL5pOppxabDEwfZiKvg3TljigMtzUgfiwRHQjdFYy
ALh2eiMyPDwSTWGBF2nHZLHyo85zj5NY+x0DSFOqsWY2PIMvOaFnw1WF+cceHHh+TsbUdbdq0v6M
WfaGtcSmj5OjFQ6PgGwy6pX5MDjFDW8qsjGHWl2dd7ir8h0+xF2MIiow9JqosOIKdrsaDX2VdMa8
qkZ4TXDtd2ZF9tQmf+n5QpmP4JAx8gOYw4RHlfuU0MdbzPp7QGmBr/RiV3GJrwYrO3exuM+I0Xpg
RrVuj0nvvJWIwnFwFeillO9J8AtLwA2GpyKwRp4DkrAwnop7ANOgRKPxUrvz2apZh4V+MeviLS50
oq1wGnGfwiDnOxUYVXqoJw02wrXgYMiRS8HNickpvyq1tdAspy+dRS3ZmGPOYXnFtxOPnsjco855
weVev1sRb6M9AKrw8TDV8kZiN85Jat24FiXB8H/gpXWChQYZy6Chly4RCLQdd5lTYK7r8hJ9prUe
hN56RB3hJGmrdDtGeATqsTkXg/PMFaXiwmtxUPKVCOjyVWYUt6VHepgrTIs2UmUTTJgllU2+tEht
5wVuqSXr7XZNbjfaYvJ6Iyv8YnRHm8QAtEosEAF+qKAXP51dKZ6Y5jve3nuTJPi9BZsqFIE+VjuY
16JthGfX3VV+QzMSw5023206LSkYX3yCchR4XD5ExHNdKfg74+WF00F4aWwouyb8Swg+PEcWzivH
IVe/nC+TEZ9rk0wmcsQBspvDvzOYNuaR5RWRUYlMYkYOLdUt18KigzKWxkZa4ogQXEXL8tuW82+8
aPWxTgtCesL8PJB7pyomUX6DVxDvaZSstKE3bJuyep0QYvmqKQQbfUhj3XTVSE9QsTOOjXl1mX69
2aLhotSyp6kd78NgPDnNstW1+TOm+Ek3QmfHEfMnqjPoydC9KiPLqI00sSbzA6mAP8uDcqAZd6A3
N55oAxZk1Xt1XFAjsNG1Fm5QAODoQZ2umYofSqleyGpjY9UX7Pij84qvlgB2tfgNRPGgP0rzk6n4
SQg+MAuy73Q7ugp7+GzMcPDCEMqm4g0dowEPPNGnox662wLfPWXF9j6iZ2VFagkEJu+TyclWls9o
y4hA08ZH0zHqZ5F+YVYma47lNVFMRB3cSaEiRdGYWkgOrOk/wEllPNFRdREGMHA+2zvCkIEnBRv9
PJ1ig/BiYmCoJZfK9cxg2i/BMLiS5TMH/Gqz5J0DdLR19mxor2qN5t4Ie48QY1LRuUWUYvgTlpDV
3VS2m77VyXoPwA97tyQoRHyKquHjVXjQLWzRk2lvyh4TYw2UbAZ/ydglFn/mhe/TZPfvA80YIZpS
vzCMPyhdOofocFtz+W4z1dxV0/wZBBye9EKtqJe6dtipdRwOJmeMJBzC0WWZ4CZpgvlKAsB0gBDe
lYPxyliN+z2nabhWLKL//rQL/a8AL8+66X44VFdwSICnd6fMMHeEkv+qAd5jgtgupUXWX841OjXa
KW8h9dLsWitATDrLm6cN7bWmfD7tZ4opMSWW1nsPy7Dq3O6l7CeUMVH60Wh5foLRlj2rHBDySDTF
Zh6gNwmsmQmLXVWVYWyVhehV0z6HM8+bFRDbiwP+QT5KQ22K84ZMVazNTDl26Z1QBOzaBoofrJIa
2D5ap2XNkk4oGLvBugU2dRk0HYONfQ6qj1FMiA+iBpy23uKqLv1iIY6xRibPQ/LdU3S15fRE/mGf
cC4xs6g6KJfB5Wyl56JjxGoHZ23mw1VrmfJIIey8IAjXRYISNYzDc4jjcM6COx75IzwmlpWcZaKO
b+oSvgwWzY8ZogJbdb4x9V0GK7/KXzR1pgXaeW7y3ug3WusYPgipDewECxsuRzCiHqm0BuWQDVcj
TngCqyDxS5oDnLY8OEpzU/NoX80jAK55zTpdrCtbuyN7Q56QXWqVWFEH19whV/p7E9bU7rZTTFw5
eswOnB7og0DBIkUI15LUkKGNsUklThv4j45e7Nx34ItXfdJOOImSHxFiXyXPlHTN9aytK8N6jZoB
AZQe3RAerhfkw6AKkHgxwsNBQa0M0M53TP5OXwEz5m63bmrkLXK+QjAz1g4ZFkvyALpxvRjvApsJ
svvY6F3P6JU3bKa3sS1PVaz9zdCRI9JKf1xS2lzUIywgBRniffarNua9HONzkAefYPcC9kw9Io72
Y8WhGA7ZBwRz/1oNUEy6O7krUl4e03Bb4qHyiafaF1X+B59xtjGXBCF66V64GM7yZSG6GTGMxtZM
HC2KZtrRydhYK3qKWNM+1vzZfQ3tWi7sEuAVcnQIn4dF36kRRIArQyIkM0gY6s5QjT0NEWZR/mZh
3G+gGtQ4nP1gGik/iDE16bRkzsQeZuQ7W82za8vW1tSlRRMGR06ChkFOZgpDwJxMhmu6DNLy76mW
OI0dF36kEyeaj9uchkyPKjQGSzJRi6HExs3Y75n20WnjQ1Go7yi1PqkkjwjXq14xvjUqitNJsI3p
ja+n2rFymZqQfqIzQrpdN7jzEjIuuYwxqtvKcG3L6UgdU7CTf5QyThnTa7FRm15blxxt6PCOlcpn
KEXcgq6mh4Kisc4D7KouguOuXK56F595KYq5Bk7vSckWtJh30C+hQ3RD/1DyfI8nYwewchQTLKuO
4RWPOhaQch69ySEskcj7sc4sr4kz6K0++SES9wQMYa5RhpOrMN7LUvDvhwWF8pLdlOFWanm4IgJE
MJQxryhtycVKcZ+2DL7EYfRYfHaKhLid8kHsH8kMmKaHUVzpvDVlRwZACGWHaqHeRj27jQEEbC0J
vX2SzzBI6rdLvd5esyJcRUnm21oNNc2PUuQzQJIS783IpoRvtk5FMPwZNAbPbkEmEll/cKxBPTuI
itlAzsQ+e4S/fpWq88tl9szsudM6ahSsCAOGajzmEO5gsAmFIbtyDjbqUCEbqoxixaXJ5JdO9QE5
sdck1REhxZrQiLeZvOSwCO7I0pBX6ojeoG9RIT+cBTuZwHNLaG98oWpogAkIYhILT3jwH7PGjOjb
xKDXawoytkFVi23ZjMCLQ0aG4QKnPk+HxDau2GQw2rvqJ+7z36ysTkqCLlNLmmHTwQ6y0zS01lvJ
SwyIti4aa94WOg9WF6OMHB49XLWHpgcAVaM9i2AZTLmm5XqDcL4TmgG8/x9A+J8BhMb/tSz7FH/9
/q+6bFX+jv8KHrT/j26ZqiBhUJhCtQVhhv+VO6iqZBKaJv+vaVo6ONN/Bw8SSWiqtis0naIcC1Po
f/dly+BByzCEIBzUVTXTdf5fggdhlfkB/kdfNmihsOkRdNgHkbAJ0yLj8H/2ZdPjqGoxHRx91Wov
FN5DMY85+pypZHdCm+Vb/KRIfdrAG3lyiGXhEZIPE0azft3IB2yQj1rJI8eTx78QKe9LtMho2XKd
u9nLJB/UXj6yunx4EXkzVfI8mzzXOs+3qpWDN4Q29uKFclQdAohw/y3hFB/IF8S24j0JkSU6l9Ui
Xx/y5R+JfgpjkDdS8qR9Lb4IHSzWlS9fz1sYUn0lX0pdvp4hqUIx4EZi528o5pnM66OtqXAWJiif
fMUH+bJr8rXHViPkMQA7/bTIc4HzoZcHBSHyN8A4AgDd57JXfie3/rIFLjJRE07DUZPKQye2/gBP
Sl8XfR8AibROOSc1kSIpTqxSHl0xuxRb64ztmGNN53yTPaL7Tv3WDUK/83rYw4ZtJ5RcnIsa5yPl
ss3W4cQ05dG5qEDEnKWZPFT7rnmYApSgUbXPAeaZghV/4hwOOw5kXR7NrosfPLUjJiyO7arNdxgB
QVAnmpHU+U4Ri1fJo77nzEfw8KO3hDOPMX0zQ1czMBbbXF4UmbwyqtQWfqvPm0WnbLbOd2gC9tBN
D8VeW/8uHUIt1IygBrtvz234bHA79dxSmbyuGnlxhTaWxUeIHQzaT62Z1Bx5y3HbafLaQ925CScu
wpEbsQgdDEjOfNTT+arbPFgYHnHRyItUlVdqOC0nFS2Ml5j6cRqdBvcAF3DR6Jd+23Irk3gWefKP
SgDcUzc5QHhOJukvDGxwommVea7BXl3w8BTDhIuteDWcnL2feYCmCilsHFYRk0IiRwYUq1KiiBjO
BfAleu0xdTRf1vpzDaCJ38dS9jjLKxs2FBJphVJkpshlXS1lv7GYWsAwTGaYvOpQZIE3T7rqa3LM
GZl3NOYeRQ5A1HBBdrsDsdsgKcSOJUvJDoqtZD0UxW/kko8vBypXjlaC+QCO9GyXyoUeCp5BOYbR
1/VHVVgcKOP1O+dm1cqDTAV3lTlRiutofH0KJMsaMd+5zHkD8x6CCUGzqP1ZivCMZvVeMhkqmPK9
SM0BYJgaUV3+THgb12RS/y1j3NtZeB95uCyUTYAxzKqJHEJHOY6SxPgY5ICKIaHO8r0yGQgqg36t
oUve1My0hhxuRznmJsy7vRx8ldDS8BBNa5OZmFQxe1MzJS9EHtcJMW/VuiUDexzDH1oPkfDKBIM4
Yzwo2iNKlLPN/C2b36GPW7wzjOa2HNIR1Qg5tOdyfAfMbLFJ9ndXjvbNvyGfOhJZ0OZm5p2QLFKv
2Ad47A+C/YCx+Sbc6oAOdFdXCV+hXCVmdopELheYTXtQsyN8EH9AbWATcCLi6reYTo9mUdy6PkIR
NqU3kuCu9PZdHDaZXq40I7uNxo4jf3GQS4/rUCc1DMd5DJmu2veI7aiUa5LCvkSyAi3emsIKxS5l
yqWqUZtbqOfnXK5bLXuXhfBnhQDrNKSZP8jVTLCjzTASTC8m3Wqsbzl7XM4+B7TmbDGmfCCDxPzF
ztex+9VyCezlOpixF+pyQQzkqtgbviNXxz69W2ySjVwpZ3bLRS6ZDtumLdfOSC6gte6ebdfeukIx
tqgOAM3YVil62lDpJDaNXGTteYLKJF1izE/JmH8YlUouQTi+9D24iaI570rQPDEgbxDTk9PVXqko
W8g2YIF2lfgaCOc0s1lLoLqSq7YWINVTSFaI2cKnxtjhrzw14YBms9tyj7KtJ89pILB9E4GqWn4u
1/pJLvgVm77Gxh9GrP4tGEAnwYAIVIDQjqPjDoD5gCBjD2RgXFsJIyjgCTW4gig7c0eMwHcE4hAs
47lxmn84jyQ1bIn1DBxtpgQrCN2nrSj424BiVBLOYGHf2OAbNORhtZGQB4K3z8Csz1Rj2yRbAIv0
EiCh4yNeheRiGBI8iR0a52tU/YRnXMr6tcmeFbAWazjXEnpxWeFmsBjoRa6xEeDclDiNBGziMvig
U/tUSSgnBtMh+HMneouBFbSnAPVBxjGvm+EAxPsd/YOFwIcGG1ttkoAYjUOyMSNW8BChNJDdw5Xw
EjU4z1qscb8O12HRnmIJRHUgUqWEpiYJUimgVZOErRYJYHFMEGkCpKWCbbkS5LJAu1JQrxT0y5Yw
mAIeloOLqRIgI63jtZSQ2b8PVOI8jZk8bA3lrCIBNnsa8FdTgeOUf1qec89SMQkYA7AcLqvHAk4n
sAxL2C6SAF6i1PsiV6inqWyaxWJ8NIB9CaifAfrnggJib3xizLiPAYF9EiYMHADDCeRQA0EkQ+Os
msN1oSd9ytmWu0Isvrxvxq3hja2ToGyhuhlcUgOfHMEpS/BKK+poa9OICHRCFSwTTLOlI2vwWaIJ
zrBcZaXV4rpIGBR2DqMM8UiNhEj/kRA2qCkxsLhQNDgAkZ5dcFUXfDUHZ63/Ia50NWf/IFgJxtqg
sr2EZ3PjzZJwbSgAbnUQXEdCufp8XyS0O4LxFnlzbUzOeLU4GGDAlgSDa1DhFnRYASVui/FeKSkE
CPhxU/pkXILWSWDZkhCzfOaQwoHQcTcGJudBJ+62hKVT8GlNAtVuku8XytE4eJHD/QOzQbVTGcQ0
gnMj/DQQHzCv0N77zAlxniQoHrWENg8VHG1TLhiO6J41OTDalt/mTLhdhwY1+JK06I4R1RcSfK8k
DB+Axwf0PG9sSfNLqN5GoVmhFootBbC9Kd8NCeujsDnS2TN4ll3TBTtbXwhdIdlgAwijplW9/CL1
zh8lXRBI4mCWFALalJXpiH9cYSRJBgHbEIfqa6ekbzkshM373sBKhDH0BAlDkA7TXUjigjYv/kWZ
AzCrCW+G3eBJ/LYS+hrGNl7rVvAm7w1yi48LvAgt1fjPsnMtCZNwEDtFUihNqr4XZY7l0H0iSQHA
EbalkbRLP3KMuzAxVFCABMLNwOMD8Um6ZoK3IZeMaSe7UnzH1ASzk8HwTAH+atQ9kMUE/EkSSH4l
gJAHGa+nMg/SGgIWK18XAm3eNJikDEZJNkmgm6MgQpJNQ8QDoEg6qkhOAU1jZfelVfQ/DExCqSSs
NO3YSgIr1TeDJLQcSW2hB4Xkgu2yOv1j6PsQAVt/7ipzG4vkgxTWLWsS9YN7KkWbm1v66Aqkfbjb
j5JYQyjodzBthaTcsLUekmk4ZnBxkSTlsoCML4u60balrIA0ST+hdsyWdih3Nv+ThCBlAcsj6/ms
HCpJ/+mSCKRqQ/gd3GAmSULWDk+XtOEAf9jAI06SUIwkoBQnR0dSjTGcIxuPR46z7YeMVULSkiYX
iSmJShPGUixkRVXBU6GpJ2LFQU2ol4Hh7CXVmUrSM00OasW0ECYhz9uSWZsOhjTEYU6VjEmjQrdR
Co7+VHW/yWWPyXK6VJJmlfNVO03mYVH5XiUVm7equQ7x+UiSNknaXW7w9o3wt5UkcrsUQnmB251K
aYstTTR+BgclmeVnIKeT0h+6hi+9kxSxXuQ/tXYoTG03iIqoUO3XhlG2Wh+B6mWBZ04p+6iLNvVi
JmTyTmTDHiHPKuhEf7Nj91ZDbHit1VE7C4lNhw86tZRwNIaDTBLd1RS/mc1+du07b5cNVae/D7P6
thTmVlJ4Dox5unyr8Octd5JeN1ROm4SiEfeoTOVZSMo9UIatbu3UvMVCbNfvI3LZvLuUkqqPhvxL
SPK+h8VPHfuuE+q+IYMW8Y+k+tnCbvIvatAAKDlyw5ScytJ4jdAIdGgF/p3BgzFftFm79UQAm/TI
s2zme0sKDRoNmbpJRG8gRQhNE9yTaLlYqBOWj3LKzwtXcoJyIUPB0PL6kv3JECrFDVlZvtQzLngb
8ntWlr0In3oUz74kNXIi3lz70Em5hOZwTcDNINWnwGqMcLaEGfKKSAot8mI+mQnv8MTx1TPhpdhA
EWZQtAEIjlbDXVyfOKS/DaH0tcmp2UhZx9I1DCMxd/t8CQ1kxXV1c9CBOFIQkkx/LSkQmaRUJEEz
YkvxyGBo10XKSfriq5vDn9pFJ6JqgGvoTmb0J/lYit00gbPGJO2HCJ8cdHxQzpAKJFvRXgNWVyFo
mRC2BAhcVI34aAQvBcIXBwFMhxCGPHlmnr7kDpAqGVPqZXJ+Mm9BQiOYa0i+WB50gqWUlIXKU4Xg
xu6k8gbCYSA1tmvoWE6yIvGKPEfpEPG4S+WOPVmZryDm0Y8Gwp7M9ZtPAoi/TCQ/KdKfBAlQKrVA
MKQjlwkWBoKweqkXolr7mpraCD+C/x5JUSelRVJjVEm10Sh1R4n6pSBDQq5ReKNUJrHRUfMdh7vQ
ehURXxCaxIch1UzQ21t72DhS5ZRLvRPVjME+kRooTsutLVVRMfIoMD7qzKRiCiUetlpEVKNUU1Xj
gqGOzvZJKq1mqbkqEV9lUoWVIcdCiVUfDARamVRqLVKzZReV1znTJ8vGuNaQdYUm6ePad4PYC5ut
8t4j/xqRgWlSD9YiDKvRFnluJx1xWOUTimkntFmERdWGZ8L0P2nDPg3i6j0iapoTPvqp0cWVlTkf
44g8gNgEEO9H87k3gCWjZNiV+YStaK5cUpWyH3fo1oveErE0W/aBEGeGbaNPnAOdLV4SUmNPA+JZ
D+SP6tRPDaW6ETrdVl+2xjhae9XxlOonl2Zv2tVvIq0QWJi+OhmfIXqGg6aafphrdHyGxQHTQHaJ
EU+ulEy7p0l3XMYG6mFqqBvW3U04LOXKpvV6H+kb/nIIfjqhCCjrG/SsxJDiolDC9uHQkK7as6+U
Rf5kBVSZKWr31SzhfrLEChvVNV0i7Pbu1Pp12ofbMi+JRy7/UkLbV8kFx9VdDymWroV9tofghbnH
TlEgxmYgsKws+mWKq2cQ3nvkhMq+Dqtzm4Tsy8RF2XlPGBFG0pWweNxHph0+mbOmMRMFNaNUHJCT
o7QUUQzHQNXLbTY7xSYoI0bHkeRdItXIdJl7vq7MOEYOzIcWvsxF87fnwqpEdDKshjgLiovsZULs
x56EKgSHrD74RvjZGgRNqNVNknANVIeLIs3J5X1W5i/GiFFcROV71oorshtGQNaxzsahXkYIOHiX
3LH+DCs12EyB9iJSRNuNYianZoH17tRnNPUCFgsZegh5sHOWy5yRG1DMnekTRoBYAM2E5ygMjFSM
fJNDF/nGwqHutObPiPGD7Ict0wW6x2sO7F525QUXqxda5KUsAR9XMxUbqriJ7ie6dFrGeVsTsOFM
xyWrtq2y0Gc31N9o4jiDHaqsqqU+DKbWvkYxUbmmthwqNQahafv+0LtcFx02Abw6m6VdbDRg01GX
GjfjkyAcc08+zKdDBA5K+m7p7yi8ul1NiGCuukSD1apCBKPknZp5pRrKHceinyghcEjgaqSIavdl
5MZvaIibZKh9Q2yMLxLHF6XzYtmUInDMvywLaVKkHD7p4fg+sChXs/lbjOh7IoIyOoInhKN9a7N+
ydzqVYFEQS3Z3Kk8P1iOHu+W7E1Tu3BXwA41wDTyqxSSH68TUsRM+kcbtzt03UI0b1CB8iJu5UbT
Kfrzyr4sNkXfJ7teMUN/zIZN6RBqBahGCTnNxKtZB6JJy2nnZC198aDM68Uqzzb5FhPGhMpG2b5Y
CFEia+HoiTgkF4nfLOIeCtJeGv00RWmJ9wVvWzsZX4JcPdw/DvOPOl70KND37hBvjaLH41+8ZT0d
CCYGHDBeW33DBoZqOWEjyoikwwBRqrp7Q74FgVpqoHD83etU8j0E/dhxTryOe4RPHH0tp+h80C6T
WQWHSC93k7UsdC0AFeH8P0SW0m/dqHim3ep3olmPBiz6SrsInYCa7VvwOfhPi6ZK66iCi/kxEwCC
KCnKWk49ey5WaK9Bppxvo7wih4REet5xEibJF6btFQuRSJM7ecaJpl7QCb+7/8HemSw3jm1Z9l9y
jlf3orkAyjJrIPY9RVGdT2Bydzn6vsfX5wIjqt7LtJrUvMwiYARFySUSzT3n7L22bLW1R5ykF3fj
ulUw5D3fYNQuNiWdVvBONee6zA9MKH8WGcZzyxfJE50YKPxcpfDa/LC1hlF8/dkDDcDSFRCvncRw
VVQ8BxSjY0nDhtMJnCWQlvI0/y81qhynzPutKg0Ua4IE1LG9ChfDW99cmtw5G+b0VsKpXJWA+plV
gaXq12nHgUBezpKZag+ihj+IWmWn3OB3G9h3OR7AuHH7S+1iIzykdhVSS8Gw1Q69T862V+V1a1RW
0FfXRuTZSwKsK7qPxWzFdTd5IGllTxt7nG5RreSGj6FTxqoX8zXLvMqybpdeTvc094Y1Upmtn4tn
00bF5pjDIUraYuk6Z0QbVJClzlphIoWyq5HUUgIuTgBu7Cc0Rlglc3taEplBpmE67KL2uSZhvvaY
TljymHuR/gsd7hgOz0FqH/rEQ+TDZ6lrOaaByf00SZcZPLRCUdlAxCl3uNnfOHsYVft7Mmb0hV3V
hK9Vz8S3cJms8/dGxUer5jLvdaziAw7mOrER8ZayQ3u/cwuMTlFqoSUu25c4EMnBQpy6japZfWAU
W8PtuJq52hXaplr7DQ3rbA4zSGkHtePwU0THrqLX5tT03Kcy/WjhIjHtzN5Vn75F0FI3sfVTEwl+
tlJ3V5q7SuycxNmyughuQmiNwrfAS79TxvLY7epzOAANMovk5I30X1y3QsfQhDHmA5TmmSCpqeaz
90s0/00tTo7QC6YJBf0auz05GPkpYdQCkTxrYJZDjYkMIxEIJeRI8ZDp5k/4IwAo2kuB58z3JA5L
x7oRHcnhrkvuGsy5ECRyNzVjEClyiA/9xL1PVMUeUiQJlGaUL9Bu4+125Cb8zuvypUuIo1B1NhNu
akAPDMHs37aLvFxM9Rq5+kenp/sWslVGnmDQMsOlldbVOzOUv353efRqFf0VNMOVSwcCo0TcsKYv
OtDG9JGsdiE1YDkl8tTWKjCfDVu9ZiluaOnJddWfviOKGOcOGCVU1hGziRj+XxZ9TAPMAZwKCcBl
JurkPBvrInf2OsIogi6aD30sCfuhhVwiYN/KAtF/BtBe6OF7zpp431e8UMTJHGX9BL08B0JLQav5
KAKi9nfT3iav/TZaLkf+hPfDG9K3LPPGnSqnCEYKs3Qneabx9YNcCwp1JLarnm5j21Y/opLiB2oq
VoSGr2n2cPSt5CLlONGT44rd2zvgc0SvdCwMUtHjfsDL07fD76g36carhpmSBiCCmxuJ1CAppTVc
bAuTzVSGZytBWo8zc+5/peCRxlXTgMPR2h1IWjj0JiXL3AGhiTOSHzhFi8ad3WMp05qwPmh2VG5D
IPjBZF2Nmv/ACxdNf5JWdhmH3AK2qU65LLYRavxVP7TnAQzgEwrlX1HPQoWwZPDrnFwles+nMcV/
Y43FOy3bXUi3cENj/k/MvYcOs9Zju81oLHnQ/aOm13eJbD6diJbjZDnBQaX9pUHxR3X44jkFXCom
8gMOp7Gq5I6JDWt7wBQObajtOP4uZfgjsJJsFRT2Vqlch5t9pJAmUIXrP23//LMtxhfeNq74Pomr
FrZL6bZfbmoVKzei2dHq0Tukr6ztEQj03MTzHq55q7q3FP3CpgOIuwm9+iL8rSk8QS8i/xOA7CGX
5oiKXeMQK1YJXcK1B8qXxjUHpcPdsLYDYh+iSr05PcC2xjI/UhVjwyZNyiV5dVXW2kUUNXfUYPqd
Dd5aWUa8cZGILYHN2TulSpLD0hn0RpWyD3DWITDVcKIX5ghljInExiwQ5yNWZKUDUpP86+ajYFQy
G5TxiuyZmMPuwkG6Q/pNOzMHI0G0KSOnKJnp5Shfi+Znqiz4YQO9gTpH28oYRwYrJdpwLTrdg8EI
Fri28L+15SsqukUHrZ8DYBP0WPOkSZ3dNOObqGCV2dq4mRqo3O34grf5OyS+dAPJ1zdZ6DKnyJ4S
gmdwsILlTLsQMBmnfAV7XFqISllhZCPnteaYT+Mo7aUsHNKb/K+xqRSOYJtMtRy3UkS40rJ0aE0W
pth1WXsfaveXVmkRMJcQe/qTsp1oVbX5ltTzfTr3TXMdXUnqG9ROYfJHKIg3hd19VBGz26JMZpjv
PTWpXAqasBHtqCOrU6ub78P+CHtxxIjWcFkyOJc4uT865dOxEUsh5U/QnmQcGK6zMgq5SUyNOZJt
YBE36tVY7TJMGCttRAOVAym0Aq5kxX6cMKB4mi/WLBtrZ8flPVmUWk83sNIIDmlvRholK5QFq1zh
JokwCxCvFWzg9GDNrJrX1Gg+6Hxvq54fmrK0dKmw6CSFHgbAE9APzvyi2Pr++AKX5ItwMVJ3CmIO
ajLf5uMGKPkBB1i8MGePgh7Zvyso3zCovjlDJoSbeIfSVKKPMV+GFKCiqmFcxD5SQxsLde9bT8Et
y8uWigBRArD+TVzxOUdcU3wgZR1k28mOL03PAn407i34o874kSnxouXaL4LjX0fWQYvY5BJWaKi+
J4kxh58wuPWvOuY0H8DO8hmrRU1QX0enYbUKEvVNPF+JJJxOn/TrQ2lT4hjwl4bgUhmKpVc9nFMC
2GeZxofUMvxt1nhk4b0ak6o+c5yNdvMR2zHypNZxOCZL2qGFeJtERpQIh6CGt7Pr/0x59+JOdb+G
PrbX4kMOnRNO3LbtSI0xBqIYOo/SJPQ2LWjVJ8o9syScnrQ94bDQCgcfeEjFQMmPGSKOJ83gqlak
JqsUJ1+HVXfjqDlkFl5vL+Bpv2a6GwA4ZT7HL4LszgXk0qbVtass2PBe2ixUHyPW17KDC+cEzycE
KKMjUm9q7zC0stJlpD86077y1THtbNZbExS0kjMZ+lO2nGw63MJIq2/Ggi4weS3u2r2mV+ISC/Vs
yh6Zra4VK39ETDj2Kl+3MSEapR4S9oibRBRioMDA4dzi4nkFw8P8WwUvlR9krwTQ0IUVvOMktXGT
6uM7xWZ8H73ua+KMJRYyju/RnMFbEvA2A+nie6hK0rLA0/lx99vu8urlscmL6bN2mgn6JE81Wl1t
8duhXjeZojnCfOUC24EN7uOTNCr1LGcybMu/X2Bn25ZlRZvAMrorDnHnkBBtuNQxQexzZLyLuiF+
ISbrg4ZwGRw9F/mLiyzzqSHbnszDUh7brDumoN8Is28+QdE1ezKA1SJiXL1Fdw91Q4etz5shFygE
yhe/RkYoggxsbrby3aTfVK5VznTZcum7FrOcIBs3bYOqvGWedworb1uJmr35qWZ+JJW1y31dHaHA
/v18UTSQpTBJT3aQz7HrwU2EeXAzPGc7VXF6fuyx5hkXeFhrpqpRuzYt8ZsBlTyJfqZ443cC7ZDu
nMxzN346W31VX79xAXJW5MrhXMwgmiXyPSp7xhOWO1xa6X8hoIHQUIr2rVNkzHE8z2e5LsuDaIJ9
p9vpPbEFE3c1/ZB+UdM5SuuDPhnA3E3f2BhO8OI2sfcDtZ65aFovXBuNPi6IAWFUzrR9bU+lx3zw
nIy8pwBX1K7Nw+qQBFROCe1/xleieKpTp0Lx4yc7wyd62/KMr9TXGFOPTsGBCNJAmgE3fzEdEJMS
m2SKal03c4CErHd5yUS1cy0dlJOOzbDo9F0R9s3aJsExAJ71Z0zVoa5zeq40qC6spWxsOF5Pg7U4
Zq0zIFbUxGVUxS6NDPoshSHeyon3U09kurQVHFvB6u3FSXArWtWPOtWO8Jd/D25kXsfara62491T
/NRDVBjvgdO/joLFWlIn4boQqlzVl64aPVrWcAos4z3SHe2eeN1zS17VBdu0h5TpKcVfcMowWO1R
VS1QctkUAPjbq7ks9UaNT6XDQ902fNvBSTAGkyoTQFJcNW5I374h0YNOib3R1YDT32Bi4xf2eFRO
PUE6MOg+gFXc2hbm5ryN0eRMEEU88l2WltLsLe97ss5niJajoXWHY7WgU06tZ8dArzyQloqY6Kdy
nvtyeTdfGO7zi2G480HbLCMn1LcSiwQr6ug3pVmDEIw1tl+8+Fy+ce24G5rDeI2Y4Y+lYDxGMgGw
A4H8prfApijg0BQix6zBtWM3AbMQjXauruln36vca22k6QoMAWp94btXjTAkbGMBQqQhJmHGBpDV
2XV376gFt2Y6DyHUxtK7RT6EDYavHHWN3miI7NFgkfq0VMbXgBr9TxtCzco0TBIYaVht+cGZ9ERn
QRJDum4dHcUMeOJDELg70/iCv6Wo1qbgWbVcXkPLRAnk+a/DWHl7NHfD1Wplu0srk7gS1b/wIaH/
9pV/QrKBL7o5jyht7q4WaS9K7QP+xiK3/S9oVsBmmHT5ha9fMi+THJgOecFjE29izFL7riH1w+A2
1QWcO6YTGsua/vOlzeNgEwnCjTzVPDuJGR5h+H8gW8Cr1grUv7avr0294r6UjOYegA2NTFm+//WL
mHTWgi4vNozOSf7xxZHmi49WTrlL8g6zdRuEP6qa4SHBJFgxkoh8HyIp5LlpSzou40/mGKTEslxA
b8MUfn4PgszoVy5aLqgtxEFmbfEc0cQKkXleBtvZ+cjDnrzarnadTsinb7sJgnYqYwuXbpdpt8LM
KYzbmY0ST2tvFc+YkJpl3350PvFcaHflLVILNYLpiozmrU4jJe1+FqCwYOHOM7f4M46o02Nv8g7O
VN5ZVg/XuI7wOs+/YiOhkPx/2e/fsl9Et//jf/37r+F/+t/58ouU8e+sCZvx/JV+/8e/IfsNv/5L
2vis3/1L9Ktb/wB1Z5lCdx1TSVea//a36Nf9B15jqH1SSuGwejb5yt9h44bxD6lcIYVUumEZllT/
J2xcuv9AoSsM16S4cWxDWP8vml/y1vhX/kXza/O74VUwiDXnX0Pyy8/7L5pfx4zjiBOHZgVLQRp0
vpzGAOVJgbpFhyuk4u84b5q95kqiBA33pBe2Sxbsri6tbut4QIG4/6cvAKLTF2Jed81AeSgH2nKq
deP3CKDFaErrPAz5y6j84Zn53ZnEKHcpqgE2KFR08M4D7UbrMsYjjYNQwccvrP7YW85PYfTGCzTL
I86has0d81vnRXdFhiCy+vgNpHi2rQzKwQ+vi1me6skZVI3PGMJcjgOG4YnUj7vVVfLEJOEzrzxx
j/RI4dL1/E1neCuiHrBBZ4zRsAA56PElU48sI56aSlrZcl8DsMmLgPYw7kNSrEy5xd1Eu3x0x3Vh
EJZRuGaztPrQWZHE2z1PLkAPes7YdSqIzzql+1pzueeJpuyfhUX7KZwGkpqnwd7GJoBCDWkbw049
/8BIBbEV1y1EmuRiZzpumk6CjOqgW0gVc8Py/HrXVqrZxWmnloafrv1S89/IO6QwdlM5dyoYTtQ9
Geyjk6y7SqkrdSKAlMrZJlVnnTUnrRdmVImfTSpWUuY/xigtP8wuJDvHg2xQ2FCwajfeDU32Fffe
7z4W2TXWUaI2tQ4oQHq/8kHNyECJx2PU5N7Io/KSEETgW2b5HFcENVPsrjOiAzJzsIi3ienvuZG2
Ag9oLT0j2sAWLW66yzyuceZ6LPH7JVNUktekDS425oaTMLBzTO3b8vLu3uOKA+Lp3hozv0Q5iZta
i6Lc7bzyuWcltU7yQUPiUH3nYTHuA7hvazOlCAKiBzcfqPnKHGuTdSthKLLP0Buq7kv5uzL3fzi9
hT9npMxMGz3dRk7b7EhWfxdJVaxEIEcgM8q41UJEYLacc3ZpLH18B2vWAiW9DJb10krOgrROidq2
m5PbAvUZqD+Xjenby6LScEvHBog+m/LFzMcQpZl3BTIHNqw32pU9o4HbvmYp4hVqBR5iEyStvjRb
x4VBWzjbevTvQxP0u6AQ296AdSxBNm4lOIy1qelz8TZm7xrG4spJ7R/+jQlngM86z65AZ6+5zMQa
fpZaBn1fftY61Hx7SNprFNjy6qXFt0bJu5wyu3sie0+se9yu+fBF56PZKdPIT7V27sRgbjzh69A0
ySHWnVsTQs/MoUTQ4IFRkopbW8bBzamDH52DXKFvUSzaauzOMmgjDhR5bn3ztzLq8MY6nPQ4x7PP
QMMQdhRduaWnXF5JmSD/uP/quBLfdFOKax5/E7irHZjJ3E0D6Qc0lnof++K5s6sI457f3bOMsQHt
iAHdrnmQXmpvaSfXh8cG4Xh9wIaY0fqeupUfDs2ldd4Cixu3N98VtfkWXsWsX1HR5Rj0FDjLDHLA
vPFaNiLNNeZOLbrxjixw7FMpyheLsUug15d48utLiJFvT4+WpTSZOXG4VknjHmFjmwR15H5zIM4I
BRXPWV5yzTHRHZXRBi8UMPiGR9faP3YrK6ZdlyL2ryJbbuEHZlfNolGRh7wVIjDveakDCg3ckBVu
qm2dsjDPtU+MyCiy1zZgFdMPOfEvdDrjg1GndySk7HrIIcHU0DnGur0OW+d3OxisD0lqD9YwruW0
7cL+YMyh6U5TJ6fHIznvPh7VWkOhyDR1CoFaBvZIampUe2FzyHP84V2SHV3RlRAi4iRaR14afuWj
AagnpchvVbTRlOEdApsNkRMvUWHWF+nLfhF2WFwNWajlgITvaWD1fyybKdl1JqCjxuuMV7/MMVtG
b1gk3XscxnTaBqF+1maHdRZ5kW9U27B04yNjWXdn2OXZFLAC44nBKMaRfKGKxjgKMspIfS2ThVJW
B6urw4SM12U3Tf7bY8+083br2DaK9fng0Bpn3JpWCViKa+LSDom3d+bCHb2Qj9+Fb31gr90+mA4V
MlaiF5neS35ujf/j2s4bY3Tf+8ZM9smQOSedLGwmS9ZzJ3JioxX0Q0TY5vNj03eMwpNmGHchxF+W
5sKjxWJr17TK+FRbt9y25PA9P56zQqNdDkMzrqTBsHjqxnTfC3t8getBs6n3b489YYVIyya92Jh6
Os0NdG5SE+EdqeMa1BycoWjIn8GT4LNO+ZE6A5N149FCc7wZjd+TZFw6zgraV3EjJ8pdEvpJXLUT
qe1YmH+Q3Px9BsQEju6gT9+dxEZCQKZZv3aiLMdjSNcPunYGdTdhWUtuC8yQdrTPWh14u7HNb2Ma
ke/w+AdJILQWpM6AUsi6LqD1RMI9KWgAnWS2xhRtX6l+QOPqVXx3Qz5dM4kMmA/MLePBHL8M5uj0
Vl3bca+PDQw87xrkV0GT8/J4Ri9OeKizo+FXzrEcOjqIRfHVwyNlEdJ73REldVBfe7ysLBYM+xzK
Rgdfaf5q08Y+u7rRoujviaTpoIpmHJLLsZEkctINX0kz7DePXcQ09lNYu+HxsZvo4wHVISZVxz3a
KRfZEQDf0kk7BpjzLjWRscc5Q8MszSW5syjVlandMHX5CytRw97LrXvYNsMl6bT4zdXRrCMSfH7s
VTT5rFJl90im3SvpI49nkzTSDlo43gSxM43vWz/JZ6Tuwy7yXCcpBPcaS5Rl2PFn0pGzEDFdNxPk
EjrUCpC6zKm5vLeQ9/jW8iiUP/7sOuTOUUd4H6OfqCr8I9G32rpphuQKbYHaKtaGu4AQ+JTbov9M
dOtjYq31jcZiOYAPnYlqKTT9aNjaXd3v+qRHOOLWd3jUkNirVqzIEOi+JLMrMXU/8r7o1wTNKjIy
pv4YclF4muUzpl+NH9Ipmp0kqmVZFS7kaskV2HF880TLq3kt3HFZTPHKxCy7D8shPeb0zumszg8f
mzSPs2MFCHwf+NNiQO0SrlReIW+Ss/btsY+qkrUqg/kNDgJYvHEKfKlPCNkzK6bnOXBcNeeSItV4
bqx2fIbsN9ymTDHBtbT3qhuSXerG5jJAtPwRIeYiynPQD5Mjkjc7+OOgLNYEs1qPY5DZfG4vXVdD
MVg3w4sxsPaYxvhq8GGjYxmSb7stuNoR90WKmdtt8qLnGIVNW3pue31sqrCA+NgxzfaRh4Hx5gtG
apkbzGjTQiPE0PCT6YKipH3lrAatFRvvionC0XdSAqDmXYJWxlVm1O4m0QfjfSqmX0J1/9dvskGN
cH/4sJGvfSqU0HYmtF9m4R3K1mU4AT4QvSJymxHpdBe0BM+yACgTJlSjQqTiAsFBRIiXKgsg9g7G
UcONAdqss0+Vw93fi5s3Uo3Bl9ooaTWE5tiTADWYbfozLjBz4dhRZ9j0/Uk1eJkfX3C7eMUVv3ov
/JPV2MYelit/ag9FMnIJtItQ7P21m9dxdSav4+PxRRcl3hVP2vGxF/Zxf4ubkiwZHAeIUpplEMoJ
h8hjq7yAxwVoT46c+NDqXn20oTT9tfnrNf+yL7Nhr5CxPF6nETEZjcRcCpm95s1YJKtYFFAMx7CZ
ZWvWxfQqdXk8StL4d1pG9a4KA3Up5o0c6R3Ek4unJY0zrtHd+MPVE+Ynpf8mxpYUFLSiK2n7CNeC
bNsPrvbaQaPeW+TwklPljj/iOt7CEuZvKoFzWbYR7qYqydaFXZZfw1a1VfKFwKlaN5bhbh1p529x
POweX6YSRNejTzAqCimfMyJL8PTzfdWYjjRus+Bqm810kq51LTUksS3kfCuhz9agukYm0Y8f8ate
hd1LYfhHxxhQ2BRJuI2L0HkZiJIC/YAzUiLwNAFWv9ca/anZC4Vuz19zHlMdKDluRqxRS0B8nIYy
ylZm72CNccx+HfRBtXjsorAPr49HostvJBM7WB142WNTVUQdEPr9459PBSLYqKrHay6hsdsd4zyl
c8uvyNAh2jO33kIpQVD2UYSKk68KbtALWu/2nmL5qhPDfnL1othZCW2xxKgYZ9GiBFCFImo1zR3v
LBjqS5lmjAAJFxHkwGybjNvWUysApppaB0DIbvNqJeCZK+4GtYboCN4Qfa+KUdwTmcXB9q99TTJ7
gFuE/2QiVEESMrBDZEkVRKD9GKb1hT8ouz42UDSyVayNhDFllXdIMo+UHqdF0VsM0amL7eiUQTmu
5pH646l/Pv94pFFo9n5VnF3U27rQCrQ/eWnjq0mN3ajMH6EZ2Bc1H7kd/PA0L3PERvxKa0aC08GF
bH94PGrccTpEXokjYqC199++8HjJY8PAAUlHZA+rcXBi1BdxVWOgnN6qzOlPZpYOp8cjNT967CZ0
Obd6Jf96xeP1FaEcsPMNtMW1Uc2GXLnN5l1EengT0hYHBvkcjLbw/REeG19qEqdemEZc/ZhMDwyE
wO6hL72LnABRWOzqZHVR+t6B2lYhS1NNBuMzpJvz41VGXSfkQc0LG2thZrXzHpfIlgMv1O/6NB+v
lR0/22MVr8Os95j41CFgKVb3dpIFqxHo+MfgoiuuNOgxlSWbdxJDGZVlHxjO1GEwkCc8dhVxWcsh
9NTORtr0QXDymgtkjA+VLvAEeP1eNz9q0O9voZjiW42I+LEn40C/qMK/P/Y6RzXAsAk2HYhteCIq
SV9TAVFjJR3M4AFrNDEO1Al11690xLXvzWgXyz70nDMCWYRJcY4en8UWaiUvulRc4yMrG68W9Q/5
ZTfMHcay0EnFJLx5KhL1MxyxLljUo/OYYTiPihw/P2Npj8YJcEaEX6yJaHZ4pW2sstxZRXrPgTxv
TC+pL4ZRj9vYIz7ssRsUE5r6jiCxhjg/c8voztuLxF/AgoquyK2tm6YiBvHaVO+KuFK3zO+782Tq
+8deETJg6/w5kUqL41NPQu6pMLovu7OmDWdiDHfufz8f4NBZ1dmE1TrGEgx6Ba04wbSQCb8ZaaHP
cIovHN2Ef2vldMdmsPCQX66qQNib1hj9D+yH79WYi2vWcxCWUmwh/mnvMfF8u7LDIkeskP9R9+DD
ZR55+7ZljBEE4bTGWWSf8pq4E6yIdOvM3D5xKnGnnDePR4/niLwgfLVI99JW32UwFHs+I3nrTEKn
mqAZwXohAkvV9Pz4ux5/oUVNsbWJdXn89f98/vGIMGw++TRIjr2A2zuEcYj0xIcuwv0KjYgRvOiZ
1+7jdICjNoy3sSnCM0ipg9lZw+2xofOfrHqvmiNTSn1jApGn4e/ja8sKW62K0gaYUwsGEvOGHjcM
fmQZ65TD/fTYEJ6LnjAY2gWyGHCK4HoWfmkOK4lIBG6StxqZoV9K03UuiHhdpgWttqkTiL3T4xW2
i55KHzNzZVKznKwTKqviBHm2OTV51p7onJNM8HhIi3+HiNLfP15ZSJ1redlsfJvugh0XzoGsCyA2
8+axK9KoxxTnZV/9hIb8v73k8Tqw+cx4e+4ETKaDS2gO4Z40kttjb0hthuaPh2CZIXaaI3c+XkYL
od9Eul5gwQNF3thBs7ecbnoPVHGwW72/6XovbwpHM/ab6d3zuIpNPZE7j109Mu1lS3wOmBX3ozHa
9G4PCHTCTjOXj9080LqTE/ofYcwYNJ43Te9hb2ijm14bjJds7aKJyV+kpSN2IPb9O6SxaDv4jo0N
rJg7r8xPOtYY41Nb0W7oxp9c/0gl6H+R+5Xeh6BWu6IaSATyPFStiV5uK9IKOMGr+G1kyrgWLQjy
vtb8XRZW2loHFWE1iA7bySjWQCpHJJfnzIlZJw4uyMwPZwjSpwKGEdQy9cn7VeKpnY2HMyrOV9aw
gCZKFooTd0RoBhTwDbL7qlYQt+ntaiWwGdiTc/PZz68p81twZpG+i+re28V6T2mt8FZwVWxGjbQV
EY1PlltUz848OYuTvt97/JLamKtTtG1i+Gsl+RVTL9TGQLydmhZ8ARstFy42dDGZka3I7IYXp7nH
adT4h6c5yNccP4Tp/VGV8BZWkfwgD4FWNGBt35HbssPebgSphebN2BSKPgG0inaVsah7gvhbLfpA
Y3mRGNFhiPNuxce3aTwqeYbgr2FUJDub4kNWEelfjfFZ6Fb6Ia18wmvgTqfehWaK3d4qvsuwTj+G
sCbQOg7BOJDHuQBHWe8b0+nXojEluN8U7XWaDoeUvl8UvzcG699KB+6GfmVJ8KXCVHCOs9Y+sxD9
U5sTd6G27FYM5vFXk/Qbxe27ksgdrDHcJfRALQDs5yD/HTJ6PMM3aHA/iw4nIBQuPuD0inxVIFKN
4RNx87DBiBV1VV7AekS3yDXhsSv9rZfIVJs5S6fQujPY12Tf0Ip8SvQ9UeojXdmxWtXtgjOuORNI
NmDkYe1CDqQsS3IXcvPFKvRpk4bUl2Fix1hkkBGVWfGi1Q1YMBOij2Voa7e0uTyZzKy9NNrSyY1B
3+Lriye6sIM6TkVNF7CVzkaUw5f0I+vZMqGV2EVC7i8zz9R9J52x5/bdHQkoN69M7X72Yf8m4lzQ
HPPGPY46ig0xePQM4j9FOSTHBKGWqPEYtpFdLgjidnCFu2eBqhUHfvxwWV57t2Bm430bvR4SxSBI
bTM0BJqwoZyJyi6vuYPawl9DdDm4rtjJzsBLKWBGGEyoTQFIdOrIGC9zPN7lp2mr3ykiXdjG0dYL
42GDWhLtJ52g1EPhTZoqs2Rs6D2HU6hEeu4T4zmtw3QzCYBZSdXgtMmelB6Va10RaqhqYhxIWKTR
3mDvalzjouXf5VA7W+wMb3QR4Uegu+65UVGPQ+TvIPynTSMwnocWCVMeOqW8TM7UKgbGzCKQ8Loi
ZiyL1p3kpTaT+NKJfahShtty6pfVGB4i1h9IvIJkzZALR39npKxgiE1WTbCijKyXeqK8g+/goHXG
dV1zKejiCO2m39GkQQjpFmH+2pv9T68Pxic3mg6MGXwmQl4FA5YkDHdqjtPMpB5D9emPVKUywLIm
s34j21quhkARXZva+aIm9LgyenJRHNY9NH1PdF+2MW41kzT5p1aFwVVGct1k1iFkWtxDTd6FiHMB
u7aEbSXljqYCMx+/33YB75hbxs/M+rR1xiqsdC1/XdCWWDhmyfC7g4AblT9r9IjLKqunO9KXV7rh
8Tk2zemuhRXaafJqdBHG2xh68VkQT2imcH+KNj8mwzPNUxDc7QrBUPgspzzAE8oAzYyzHavDPSz7
8uRYpbhaqWVdBuKhyGVtrYYji7Em/YZG28G2PUVD/alNVsipkLprYBxu6NjX1MK7LQuNHA8aZkpp
exaat2bYiSIiZKXJ11U1sZoyp7Uc1J9EiO4iBEsqG2EMudEoiKscF7TiZAuRN8YlMWc+RgKyeyCQ
k98USCjcvlbvUxbFnO4Yziz01MzHjBUBJQdA6d3NiuAiNqkNeRNsyiavE4e0IpSCdTxcJtccF0FM
gFjupstSQerwWlC8lQHmhlDqwFcrmoZ3Eu0NxEnuWss9uU6K0f8kK2mhdHoSrBe/goG0xswox5dU
L/FCSXAs+WBv0Cl1aLueDQ+xZ8TyooiSd2QuPTGwYO3g5O1UaHeniCEoSOnKu7Tlpwh7mB9TabwM
5r00c/iYs4On6Xz5nhP/McVbNCTw5mPkpU6CO8oo/Vc84tpGn5Rc9vAVFiorxD6u3XHVOhMyB937
ZFlEOEn5e4xQXasxfNarSjv0jc3gdKy2QrXP+UQiqwcb8z/ZO48eyZUsS/+VQa2HBRqVkYvahGsZ
4eEiM2NDpKTWyshf3x89p6ffe9VdhdkPEgikh3RBN7t27znf2WljsJwqtBB2r2c7+KIHntVX3dLV
xu1Cj/Qesh/ZUvyT33rrOK8/0mneMbrG21v4Njdlg2d1QJSXO6+DnF4Nux7fy5TSNEL5WQGo2nRg
34H7OMnMdL04ipiRznOKVXLT8+ybYN/FucLKHKMdz1r7C3l/y6yeKcZBSaoOew4i+BVRCNl2CDJA
EzkBuXJCosmVQSg7S6yFXu83TnnouXee6ywCjN2AwoMvnt/US9X127xW0S6KxTffZ5joFsO9H60A
8uKv3mlL2IjAYoPU3Oq95RwNAdvBDrKD7aY70uq8FSh1C4hIVJ2YHg7rXqnxbbRQ6qlcQB5islE3
2oOhihsA9EPkMy4KOzhGmkh+xYrNTVrdIak8Z9mkoVo7RINmKT4Qw8g/18oKPrWd+a1O/Xcv/Imb
w10kpbo2pbOHxe2+5RrqPQMK+iZOpPEYNYI1DPVzSCSgcBw7t7E3ZsI8jl3hDIBh4yB6mBpHVW1C
vxbNN/0uwc9VOauKbZ0LAaupj2NqlIQ9jk1iYEiUCJIA5ERjBThcHBADmS/5VIilqdVkIITJoy5R
eEXjw2N4fmhCPX7Y9M4Yv8WEFGS1vUHiRvGRdOXZIWAGKfo6oE3GiLYT5zIJoNeOePVWMjQJSJw/
iRVhflt70baYbwo/FghwzR3MhQiYQrXTLPsC17hbhy0z4qQQRxqs7plTUXXMkNGSAaijhNXsUxSo
ke2cNl3g9mr//J8v+V/EIH4FRIEY30bl20KG+8wskPtn3cJLoys4g25fycxdEEdL5EYXX9y2zEge
ZMArifHRk8Zmp7Ef8ZS9YDfTWaZ3qdVAc4wPaYFpNDC20DrdTdmbD0bv0aFyy3RtEKQLU1DI18Jt
f9VuQpgpFgZhG+XBqapoyaSVogCU6rEqemRzQQcxXkzfR4P0KPez1VVvBuEMG1P3Yb2M2mygYGkM
iDE6PD/gQOgOsYlFpAAHv/VCbeHHmvM6Hg2T6NQhSHnRvdTf54Hn7YuGl9dsVLYk6Gg8ubUFcCNJ
XqkS6P2b2vD67JI//wdrl64YcGTo+6hDnMZ8xSEUXsuKrPmO3bsuJzJGpN++FuY3Lcm812SMpuWU
zKN3w73TkQO1mJIdTSuhoHXF4IVAw1rtjLwzLnwGjZWw481WEn53dJ3iSkf2k2X1/Xr0nH3d4RDw
en2kK1NamzxzcQCFzrD3SAJ7KWoPcrmihKFc69ajHQfrxJQ/AyxgSTDE50pulDH9LOh5MmttJEQX
YRHTYkRrH4dU24uPprE3SQQhgneV2qbd0c4CmD+6tURE6TOhJr/HMNo56q66ZmlykGNxYSZPdOFn
UGFLqCU9FY+J6SBkMBZpuCXomC1VeelqLzvEIjgDOHubtATxnRHu3IDAF01F4UL3vyF57zauBpS8
igkFyiW5lLJzWnbD73GUZSeU7Bo51oAwWq39bg46yctBdUoCeS3mvo1fUpgKRdcxmFwsWmZ2aNN+
OWDiehsj2AOW5u0CAyuyj3UgA3a6xM2ir5XS+BQWEL0LtpHULhB6EDKE8adGtCczAqAfloQBuQPE
iKQ4VVl3NTNdnqdEe4xRoyEfFnCBHVSwtUkAt0ze+5qVhaz3nG0Gu7uSYq0YRrOkRtkZU/M2slW8
LAONxI+wrN8ShW+9zL8Uo56u4t682Xadnc2UgF+AgzumouRUjDk7itwGOQpwU6r7qA02cDeJRNMv
vM3AwRHsXnsYbJApsWHF62yQP5Ux+K9CZegB+mVvox8EUDq9DgQzWgbMDp9FiABXoE1GdB8TPXtj
sPmGhsfZ4TkB/zOQ8j7HJqLZzhgzzFF4xLmYW0d3G5JV2KAKX6q17uyGbPjkad1VJ3p0GYQM+1Rg
6Msi6dCowmkfyE1+ZxH5wQHuyPVrHuDg4wkU5Fv1dvzNS42DXVji3eveuQNQC7yS9MTe4lxVlCeO
viZ9ajNjGR8PMLrNE/qzNTSb4j2VYHWkq9mrdkyR+G8KfAX3yfDVKjVhtxguKLWEY4PN4Lmga76I
Mke8mbH1XYykwg4s10sRp+YZE8B2oPONOyOhbV9HDG/ctcwG/hMNhCcTL32VhvFQPUesKbO+N76l
7by2geuPkAHj/j6wdf19HpFt4FUeRVd5tJGaTwnu01XusIK6JABtWifYG0UP4DjXPhVceBEsnnWD
n12hqV5GaTJs43HuBJmdXOuk9u3rEM1U4lAben4HmBq19EthUt+qdjoT6JKeWZtJdvJRWsShl77E
eVUv+6QYdhXWNQobd+16jbrZEkBUV3ffu6o9qZCEXqW9OoV7j/qzZjFnrKwcQrwRFivTEvFRuvYG
X1i9TFEJ3sm5/NJEUUulrgAgpskRDkH9eZQMY2hj1kch9PokY6IKTJeQ0tauDlkYHg3OcC9ODfYv
1D2MYXm/0/QhWyYiiM50SD2ULg5QPpyunymiDlkaY/2RxkcFmYoGw5zqUMqzoQ3j3h9rfa05hXmD
3oaSC9/6w6tm3BUAmLS76K4/vhs0NFd2oO62SuRicMXPqSmHS9qQZUWZoX83zAmTvDBv2IGXRg+X
DiPeusxHlkKScq+8TnRMQJ7/6HG+6lEpjo2k3AgjLVn3SVLvkkBVixD70k5I69VwhX50fMQvUm9/
qji6krLhLgfwdJuop40dsXjvxsyn9az8Oc29/BxZUEhhCxI/5H6pOkiPvAheDa9QN8OjHql9qaS3
6qPg0ctx5ZipeWiiHksSXIxpwOLcGvWcloTTnFyJgaVHTwZ7w3muwGuCqYp6QBR7IiWLfRveqjTH
w1ee61zPsFZEzOtPMtyajmx3/pgLmAQZQeVOX+5Ri2WEqnTWf/6X3mZEEQvdT4cVWomgfR8Y9ujl
oaRbU8MRMgb9R9yP8WkyAYxYobeu7A16brU25TDetLGvN7qNyEwL5TItxbgNBRWlP/qvbLGwm8xu
2BRWT+ZIpaGx+c8PLbE+y8KQ+qKxYm/RORsW7mJla0GwE1HlUu/l/WVu4H3B+6PeSpHCzqyBQE0Z
KZFPjP+Ytldsu+R81wV1Ga7ZxTRK9WgLuVJlV30IG45I4+RQ86PqUXZx8QbW8QxS/AX3CYl3HI5q
QVHk5hEDWPTRHOvJHpwkuOjSoStJZ/PI8YJ2pjHtIIkzt8KjcSdXJemJkgVWs0LSZ1xcHF5pQc2k
BStncFqWOK/YWYB0XqTTq4urmeOC9wYoRslIFmPBZrA98pcH84c36ltZ2/LixaN1DHnJU5peO59g
gDciijL2mnLOGc2HLUdNnoBKJe8u47R3VhpnkTAB2nS+VS165XprsDvk8NV5SLvWchddFgyoCzPn
7fmhyPobYlCUDrb3RsDKexOC5Ogj9e4gadh5mXNsbMZwUXLKZLTtdYCqEYNcYkrUoglRo+qQF3Va
hjnutoWXIyWp2nrto3k4NLQJrJkEpwiIS0WAw7q623grLnlPxBq5zdUmsnjkoKtf3Sq5IsTk4cbo
NrZ0+ZEpMEqIaIAuRa7p+9hNPvxcr89WiQpsfj1DEy17TAAabdd003tYkzLBVKwpw69aDPatztvX
cMyNQyR0Aymg/VEUs+TLMlN6HiVNrfYQeNqADOcb6EAi1YQ3bcayXnYDQ5k8oF3vFvKXmXjn3q/B
4joh+P4ShKvLUSuMymkVwp/tRzT4eSDYuufkeLrjMVNZ0pcktg+h+dpVn8TXyS/cYyFG7TrRJFih
XjVXEchuirEAAELua8dAqo/eN0BU9j9D7MJZqT5DsTMPKTXnYlDNR4Q0YUkwPOpnjrmWxdNf0870
cMTw7h2RiTkPw63Mba4wvxclSQfxMMaboGmBB2TBhzFF3QLOgr3ALnyRTZt/wr3zvekJl9ar4RSM
+bHEmf9en2IAFpvCyDkRQoOgRQ9DM/0Qqc7fTFufXq+eLpRJKULcOVBBDYeTLhxz21vWz8juw0MQ
i2NpGMldg96qRe5SNYUGNQsvUBp03ioykFW0GFZfdA7q6GbYH3RYGgCxSoJwug76o5V0J71jNbWq
6htzbSaejfa9nBx15pj2ItTFDzi/0ND/wgy82xrZQJR8EjK8ddfOVILPMYv6rJUsKnkD3C6nw8Eb
v6JnwxJZN/1Gy52bPQ+C43pY0dGHTpQZa8csq3Me6RWM2rRaF4ee1tWLXgetQ3fR+RyaHQOAKRDn
xGT+I238jYwUsXMbOfmbfsnA2rZ3Hm4eW8n2rKB8kbmi2rOWwQfjMLgPIqOeHRSY60Rscarc0rGk
yg8LHTg9a0HVjSeZjUuvA+hHuhlom3SmWivtS2RKyCFuaZ4jR/OAhCYwVEw7cNZd91Bsn42aOlI7
BXGxwwLt7beoZGqmSguKkWkcU9awsyOyet2h63+ZJfacNHz9a0S82bY3ah0J2fTRs8L9vkUw/IgL
8VrppbUonrZ4psCDER4I8l0ln0YjGs/kqlln7GXWWc6aT4U/E3d/CKOGNz7EPpTVmR1fOU7R4R5q
3qNk9u41X15ajVCXNBug/6aYORMHDmXfSkSro9eBWrA+iSJLzrJR2MNYbIwU3L/ZIzpk3LnOGNKi
9yPc0q+6L0HY/NKzst+EJvlGCVjCHfI71uUaGjiKHGCV5g5nkbqWVlKvOAIEbFsliVUsJklzT9FT
blF/tg8XDBP1QvXZ9lG/1iP3rGoY+dIbI5+zxI3fNVV+0YzU3DcFmIssSpCsADKMqUoOXZVixqoZ
t1KUWk0mNm6QTItQi1KoMBGhA0l1NVkRZVhvstzu972U6kRtBbK3Ld176fqgI+24/DUwTdFKfgmj
eM9g8gpC/5esq/rRtRqgndQDoAjDD4h0uMLW5a6KzLi0utniCAQF4ubq3Ajt62h32UcqDHrAyMWs
FkkMS9/X0KSEDPJkPFeVKpfSi7tTEROkUevWJvQ5ANhNPJ0L1APL1tCsT5qvti1lqm65MUOrTh4c
d2R4OefGa4SNFxE2wtLaa274QxvphJl1vRu8AEtl3ZeHkH1iFoAMzQLkhx/fMHiTHWmxAKMkJsPE
zXIICSq+KYyR69DVeFSlQbPXo6U3IcFeZp0o91PvvidV+jaxOFmclF7jqA52sd8iLlbmEgWqdSll
J24WsWIwBsZ8ZVvth88hI/I9dXbUuA3KzlplY0x10JnttcvJRyvEzreZKNnmh6gueleOV7uNxSXU
gWGD6LkhhCF2oqGHWibuS+47JIFG2ALb+NxakbwKKmogXzLecBKM9hHPBcN3xzx0GeWg4nHKTPPf
SrJ5LkGAlMlwCcYI5bmgMbyExrip9IFshtZiygiA0iZPbMhXMbGeB60xtCvFCVct8reFHaDJmQCZ
ZJCuQbKNwUr1oEJcCvJRryPYo3QP0zh9D4qivaFkcEIc1qhUkm1XDh9jDmEldZiIWVFylE6zFn13
Tly/eGPkcCz19IuK5GWYnzwzsuStdSEmdLlLBEZfy5sHjWwPhGala+nnUTT7uQR/tTUdXTfavKGx
b6OnWTeAfkeV6h6Cm3QtARStfW+o8QECBambsNqkSbEukZZeTXf0NrwHBt+gfhtYWLnmrnACskOD
qoo0lPFLFRvmMiQE6YUG8HhHlqe7gPtogOpAL/l22rYEvc4XW+Zy1EzZTvaeHWnryUjE0rI/Mx9E
vKFDiKRIXTq1Y57xH97lcChxJL5AMgR2pPkF9LQRfTRnVlgkwWGkIr+1DWO8zA9ps2hlfXPKrDxY
NQVeMdFfZu3l6MREfsiKdldbsA+LeCfRX7eYlTXOWDCtIpFv7cw1d0TcnezUPk7GyBmlkLfE4AxX
oBUdrbVEw7rWrLFfgCKYbmMX5+epjNEGcgspJLNt4lWW/srzI/32/DDRwuGYMpxHhNyNJxgYulAT
eqTahmazxcoKGXKHS1VPrGSXFM20BD59zb1xOBn5YBxG/KYsQqfEJoS26qjvJYXQtdV+IHNv3kVR
MyyQZrwb+4p3+GOqR+8859Pf6DikS3aeXykkNoZKXxt69jfDc4KVVSlJSD13O0osZ6s4TS2apMBJ
WNhbY75Pfv+Ad0vAgW4R/bgZcglyKKe4G0jJXnqtaq9T9N2AVtEvZNWuB7tsLo1r6OdIa05W+Gqg
sGCK1FbrEO61WUXZjbMcse0RT2Lli/Tmzn7FKbHChagg/oQezVZ2jSjACCrgFvBODu1dpsN5w4I7
w2Bsc9t6uXEa0/5H4FTRxdajnY2v603Tsm0rimAJPHZAfDydETdmt15qW/IFjhMeyzP72xf2Dnki
c31vmqb35gzTeK/b17LmQaLHfR1aSBpJRRWA3pnzjgtSIFciZhHGsDXbQKPZP2LPRHtezaWwOHNh
jl46sZjec+ybWWFq8Ltp/+DA6t/8/Mm3bM5jJK5YGtRNoLRYhEX5K8yLaGGidWmqrH6lt7u3upDp
O4DaRMN9YkiyF8oURESUZm8oE7pXRzKe19lDXorEtXCL8MUarl3X2vRv3NHfKXu0b8I0W3Q32B1c
8r9ujuWO2zFEdUFIpL5kmWM3FpU6IngkMm/+CT+Y3tMh/1ZoNaPSCQEjW4x2s1XjEMuAnDEYAZXg
ydaCRAMyfG6Q2NyeHxD2r7S8FJfAhp0Vo6nZSIuaKCpcIgPK4J6yeTKg4mUJCgVxOGunu8FcEERL
0VLiT9Ad+NSEHXvhKMZWop0+W3B+jo0TOaxZ6c5qGYKjCM/ulkOAsT6wmto5dsDn55LcprdSRD9n
BkMbhjRHc4O9wJXs7H0XsZu7Z4T/+hs8vp3RBIQKuV8wwgT35x10QFwTFIEwYH6ElpNe0rwDW5Ww
WmeJzgPvO0gqItrULaCRhLCOPaUkfuYSU547KdKY0wBGUTBFL7oI/KUbudSPilrL7jgK1c0QwE13
zZciHw45BMWbRU1GL54jYD2CT5jCgMjmrK8Oo16eglkWCHV/3ZaK7kdUeJfYrJiIG7jYSss4omd3
Xsn+ejXUkRTE8Vbk9F4KE2ogadHXikpzmXPtQu0xV7Kvo/e4n5p7E3ZHU1M1V2XQ3vHD3dNEmGcZ
tO09LBFbh56enZ7f2mXwafpKWQd0K+3dQTi2iC3Z7p9fTWwwp1VaIBOZfzaYH6nv4i5//mIAr9WK
9pwHYICv0lAv1ubIgf/5s/2Aj7qrsnD1/M1xLhviZcscgwB3MR2raZel5MM8f1UkWnePg9t9ed50
8SAeNSesOZryzRXbxEnCKfx9p4QsXx1R/X6sXtn5b6lv7H7fpYxTpwLH9byF83K4MaDR0lhXxDQh
6Sib2/NLLW9hn77q+/NWSGMnDHPn7fkHiCO5QtNOX5+3zMr84Xeh/vv5whrRvGikxR+fP2jVeMqN
LLb3z6cA8y4CiTIfds8f9UVGT5w+4/b5FAC9jFeZCcL1+VW0Q8EaQ0G2fn51iCUAv84qVs/fXPlT
tNXLqFs+f7PRlnQzrMJYoCF5IC9pXwfPDLY1qV9LVsYBt0ApZrlCslFD0z8U47JF7o72Dv0nhOVQ
q/doBVKG4HWFXGrq7m7POYkMtR3dbxBJyL8ftaLMJ7Zz2j9vKk7YL+hp3IPvo/cMdXLrfV4RXJ9B
dtS1pr8LdtGXDr7f4XnTrDzqUzvO96UaVyOaw/di0L4STHUIZ2j876VMeCgXZBFs1fxebylrMJjc
8rhhgFX2t6LM0tdSQ8fomzDYChR59yGF9pFPXF11gCceX+hyMul7ZIUFGRwu70WlDjkZdbgSbX0Y
Ck7GIc2DZTgliA1axIVh1gANr1HTDqmhA40gNSRvtXiTVI64I/RtGCyFG6DQQGQM79MTNBOGvGhI
PsoXSh2DrtWYPmyHVlsQ1NrmeZPvtxZsuXN/Kr7ktMJe45T3s0vn1JuQhv++GAbePAKx2Cacr+mi
jthb9PTYajQxKqGslejHn5rD04lYl2NNrZioWaY8WLL/qSs2TDTPCx2c+t4IdeMuaB4sUsqG/ZQO
NKpbfNvwa37mOhRDiDLNiy0ymiRlnpFkSVwC+m0imFqrOng5TTpaMl81F06j6yXNZpDEKESNvsty
UHjDHK/QVx9uVqMilGDf6J94B5BcdG8tfHY0pOdMkWJN98W+Vy3ZLIATd9GgMerhAgaEN/rn7gDC
eck1WVLZubfcNq1V0lsstUR9rOnEu+zezHNbsTNI0gAcgiizop3IpvbwMuDx42R/d11lbAgDtkEM
j/vJ8qNT1PD3M4Psira0quOYe+3OS7niW5Ic75HDOXVMOdbU9gmB0ykZzeBLFBL4KIFK0tfT53A/
QuaLsdyVk2EsRigZSUexBICcRJX5DUXlqFZ9ActFSxmzNsO2URLVp1DDS2CjNssdaB7lGP9y8w7y
cct5tIPORRova36imdFDWA4TUJ8tLuzjX17PZT/1DpoGDd5eC2KFQ7SxHx2cdYU9fIYXjyyj9o+j
Pt1K/taIVuNSUtLyp+68obxzY4yvjaIvCiDC0uL8XSKR3YGh4lLIkO1FYXuICe58yTvLWlDpgpdM
+q3JYO7uoFu5CC/alDkgV+X01zSqo1PqVHCkhgFkyRi9aYUal5MzRwkhqQo9+xdOk+QBmqDYYQKB
jw/Z4uE6pO6EiTgkJhiRSkvTh1PCohkTHCLm/B6pxyFedYSdbhLK0hOGUQAuCkWIS4dyF4Zt9mAS
3b0Y9aeJKxqmvL+VrRZeMjC4ZZejHeuy4pTZ+rCpp8h8Ua76geVWRjpkZ+F+BcLBEHH+y5xyTxWY
6LfnHwYksMxirCQhetRNEwTZo2hf/HhCb+WjnsylTfh0TrzB4Pi8FMy73TPEvfJRZGCrwyo6khDA
/tdXj6qxAKKF5jfHEiuy3D6F2FtPbUabwQa6RgHzostpeAzKWuTJoM/imXhpzJ9qLWNat/BmaQrx
+CZTbxddCg6obhX1Wo62I5oXcIRvzspzXUicDPYfWuS1SJ6SaZvDBnqYXv0FvNYhbmjfugOx91M2
3E2lvk+NcE4wf+G1x6N2ThhG+k0I+97tXz3Yg7eRK4SJgYMU9+GYkhl567/289aQock4xRVAgqjV
uoePT5FdheMFgk6T1o3d36YBoA8aKsJjIaD+fzLI/yGDkKH3P5NBTl9/fAWC/f1r/Wc8CD/0Gw9i
63+3XA9ppYH+X8LeGH427T/+Zpl/NxhzeK4wqPx0qZv/lw2iCfF3z/bI53Js/D/AR/llTQFG6x9/
06CN2J7QdQaIOnF0VP//L3QQ8ec8QNcwTeIdPIM7ZzMVdx39z2yQoYdo1Aa4pIMJxnIToGo41pgm
Ugj/E2LNRdXlVP2+93OW8e00ijeUhDmlgkdAiwInoaq3ukMDjUH3m6O+/eG5fCvSMSjy/5V32VsR
Mdj4x99mDMof2CXz/bMcYTuuy/PkMc3+C7vEnJGUiEOSxSDZWHKQiy+UGWujZO4zO86dCP4kfZWz
Yxk/ppZmQTR+YnN4FKrbF9jC3ZKyPopd/ff1/pv/8t/cM/ufnznLsS0h+Ufco+2KPz9zNrL4gHY0
KAxyGDYc2zkNM5QOzSx/UZG+dVXVLpG+MT8SnDkDBFxGRZwt+l+SsOMm3AJ5IjbdI0uIuE6kuKlE
ZqnfssR4RNi9erf6WREImFYoWYWwLkFrXLQ8TCiRAApadn5A2RegZaKto1vp91ycEN6XS9eOJJY7
0mhNmuiFjk1PVYAbI+ebEAGq2IrRhzlAwUez+OIB5l3Zwrz7wnGgDMTY/sqA06ZiOu6xd3ZD2y51
TR5jzP5k9BA1yNjtBMCpXQ5qepiR+zaxg/1OGP0fn2CPN8BfXnpbt2DkcGWCwjH+iq0h9msg9IRL
syRZYI1ZRqd9MG3Hpu+IyOM5rEbtdewg+jeWu0oM95soox5lMj2YbnS2ggPoQY0COV8rXsxuTGmU
B/52oDXjIU4ppb41e5eHa9MvzQLjVOYXVVOMmy5M3kpptMV1It69yZr2wqOrnzAFWLsV5apjM8LQ
cCVzkKKhyOlp3RlWTR4kYctFy3aZkk+su8mhdsdTZ/bAJHwEwALcPxy7/EDSYLwasYAv9NRO8FuM
n0LLoD0kJ5yRyCxGzR7POQLAoe9vUZ9X28GHuVgV43nsd6i4ke0ZZg6vpvAXABrUYjLTs02y+bFO
kFkSC0P+kM6OXjuMlyTYzZU7OuYyIxgHPRcSMCdojioT70EcFpfccN60gXz3BCc1s6T0Wz5wLNYC
N9kEbbgo9VjbuJbzmRMwGiw57k2UAEvRD8HRsvJXWNrq7V+/+43/7hKQJqMu8IWOKeT89e9f36M8
mNeK/51ysoFGoNJF0gcp7WbItNghzmZ1q7EsLmtNNitOO0WmiV0xijvtDXKUKhBhDaTvuk5AnGUr
JlotMnLbWGiVSXL3YH8Y0rDOKUk2DcDjVajl/+biNaBB/fXiFagwbNtg5ZKOM68ef7jnedO6WmzS
UuYMfCRI0tnlXuFsGG/ka5tgLp0YnAWU8WIndIsYxTnBgUCUw4SBsFCQ/fpMUatzOsKzgy/E80Ls
cCxzeEOWVTVYAPbhFtvTDcwtdbkFSa+VyINl4p0SkBWLmlp4+69fDzGvtr8X6d2Pf/xtXo3hREhX
103dMGDBzKv1Hx6VpQmVk4jFG6lAjQ87r54StGMx2XNWR4fI6Y+M+b7kBQ3TPbR880VMFQYpwgRQ
6MEQMox/s0GY8wb157vEbsi+Kl3TZRH+6zLMHcZXhutt4YxDTZFqKWQkEy6f6IXNdzr2frxmmfyh
tbozz7Uga8Q4BEoL8qKGNb7MIYfrHeK6eNhXE1mpmlG0CFD9w2RYw0LGlkt33YTiaOebeA7vMyvH
Rww8ntuwvPF8EFIV9C89jvx/93z/01VkodRg+3N0VMGePccJ//H5djqlajw77M5CYmaKqhstWA5X
4TaOYg/hC0M+J0ZrGCccXqDCMBT1X9BTfw8tSy4SFnNUzVfGJg6DuppfU6rVv74mvH96AbgeaLei
euAesg/+pYJIsDogoMOdEMS4QMmduCdu0y8IYLno9uRBy8Y2ouXDgHBiHNe63ox7DR3uumsSDB36
jGoe7EtaWs2pKvMAmeKcDNV18CzNVFxk9uEKzbgIO8H4pOGPjjSEJ6EgdkUfJO226n1yvbEiB7D7
VDuRfWyEyB4Zkp6Fjt51P6IDX9s2F0IknW+q83LUIECfq8pBedoN2apRI09QXsOf8L4g8d7nfQk7
ayytddAROAsUhHkotj2e8rRZR7S+OQUwnvDMva+Xzivk5v1E8tdR0IDNC0xroQm7Z2bfOtElbqJ4
ndTI2jJUPpqL33KPNjA4NcjZWKcPdHGx9IzOks6DtSUa3mJOk1+tTAQoBJhexY7VvDhOdzZaIyTU
Io3P7hgPC7wt8abKrWbjMqhvyRdeQUG6CrsGvz3lG4NwhSX2ofW/ftHR/Rl/ed+5UtqUPy7XpzBt
V/5lKQj0wUPqE1In1JKoiTZIT1BrISS2kH+pBeVe5q3cR4kh925aftV6XVs9P58GEeZruK0MpNjJ
Jo12L42E+kpSSHjoZNGCZSvf3MTAg1BbjDYKALZZRPJt2cjyzKzfem9K7/L8vB8gNuoCR23NPOi+
uPnPFtXEpzCJ2aDigRJMNLjkx0HbBWNG0KwyxDqqgubu6g1nuQjpCc2B5s7gyd7AJEedD64dToME
jWAXSE/nrwIN7vc+LWpyV4vyUhfN3IS33xylvYyh57xnaeq8Y8BvVlUNLfv5uTpWzruTk8XHXPDy
/A5Sg5BD6sCknl98fvCi/I383/7kmwlvdU7Aa8s14jOG7eTMIGMDfjpFG8Ct56eeX3zeTFUHgiHQ
6R/q04cEEQxVXU2r4gmismf+VOUb3jEo+nTlZWyf8eCbp6KbMG0+/8vM7q0mWoFysglWdq6bd9HL
fgNbIqB1hSbrv25OCgxZUc/hly3pPKkPAcguS6AO3rDMANvc61gfD02GjnP07ZdmmuQXCiwOFels
XpvNh9JnHsb79nMyYuwjwQ8mtxDHLorE0Z1GFFdzMg7EZ+dtInGaeMJmHaRAqwC+E8pgqzo+tIBp
DwCfvzNNZ9AyOenWDVOkUXlrrkG6Tq9Uyd0qownIu2EIV9k0L9t9SeeuDwoECYRFtuLhZzDsemAh
AhX1A2iLdsx8Bo/mfDPK85Lpt0yWqCvhOZN+nDMtvGC1zhccq5mxstUB6tFwUvUROXkxjZZLimtn
p7dzPd8phoYa3iQfAepVFYZ9TFv3s5iM/jpikLwmsfjsgHBjCMAtNxL6HDSgLcz5O/TMalYpB7YV
oXFarNvX54dw1HDjKWHunjcNW9e2SlKk6jK3rypOiivfr2Ib4YAl3ilf67ugkpBmUjP5EfWdoF2m
uoS4Pr8mrfjdT6zy9XlLteZPTeb96XlLx8Bukze5ZJRY088LtdPzQ4Bn6ORWtXZqaZYcO3D5xECT
uOl6NEmoQPhG28Oom8N52jy/+79+2PsPys5rR3Jl266/sqF3SnRBA9x7AKX3pirL9QvRpppB7+3X
a5Dd5/TdRxIgvRAkM6u6K5NkRKw155jTqwbwmrCrvlrS1S5VxscTVOGp1TU+Hi2vpkbEuFEC3XhJ
RjoX9sgqJ5dAz2wh6R3VqXnp3N681OqbRJx/ns+QGfqFtoVCs8y2L22ZFysbjdUK89Q0ERlicH5B
9gRNCvz2iBANlYik0aZbB+ZYF1XSVf9zCP+NTPNpowzHEm/iKULF/GvT4mZbyo6vCkUejbxBIBOf
X/aC0czpiPNwsoibmFC7LaUcBaKWhiN0HsjsEsV0aEjAMGFgBcuSDAm1Mozzr0NBCorXV/f5veS1
5xe7S7fWNATaoarffVv4R9PFLJKkmwIjwUsDGviiZdVbW/GJVdORwdH8mlBja36tmt45v9aoza/X
/g8/N73mjZm51KXUt9Swh7tE84zlIi6YaXM4b4qIL6MmWH4TQin6dQ4RsY9RGInsn3NY7zN6Xsj2
arKEUUHxiIwGeQFYe5qP5g0Bo/4qpYawLUCZ7c22GhalZnd3o3cvZA+N8Jo4qqdNkZdbobYMf4VP
IGaC+7KgkIzgLAdJBL1q+uggzXT3PAuUa8ECaT6yFN0/p1128lurv+rwxmot77AU+kZ079pvLDTs
ax/i/V9mQKmaRo3PiVZG94J/oRTqeI7UptnYgTIV28PkGoca0RRGrKR7WZhfhqBJrkyS9FODaCeJ
IfKC5VSORiPGPaLrredl6kYidlpmo1PfjLavb8m05x/TtspJrfzn2ZGF4jKFkrOZ3zS/oNDRwJJL
xNm/3jafF4b6gn/ZPMznf53SWnVDh65eIlBEFlYG5cGRhfOcBQF91si7zEcD7C3S6sZhQxKJ/Rxj
NDipXvFzCg/B3zoaa4uB+ZaXuvNcxX2wkqj5t6wNv9LWd870DIxNJfEmjaEzvICsSBB/FskahOfw
4gYEmSSkjJLGxGFEj3xXDD4Iu+nNphh26OKVvZEY6QmBvLGMA8woft7aI0US+0Q/lpY+a0zQjc7R
xPN+1FEcXXs9K6yFYO5OX+Iyn4KkK9YGFmag2fhp3bATe2PiiALxbzZ1ZBRrQic6VEtecWx62eCg
59XMd8SdyAKkAbyIAKp96Fl+FMUorvOp+bf12XhLktJdjmU++cbJEjqZ2IFP47TXaNWRh8t4jjO5
C2r4WmXils96rGMjSYS/Loq8eq5LYd4HLGDz0fwORyd82aMmsGv5Hc9iGho0JXuf3zGf6mX/wwKy
dZpP+cgMd1YEWnV+Ma+rTy/hf1v14m41g4GlzQe4gu/iEjUOzTOO5k3U0Z+PSyaKtlL+PqcgXV7a
Mml3f84ZeroMAcffiixmvUwLGPUm6x6qVA4WlbR4NNY0TrXhj/mIdI3iQZ5ZGDAuzWd6AngXgH7R
UTnUOtqCPzpqa+2ZsHnolpGGkXaasucIFvcB0NgFH5r2HE6bNPyqsnI1XOgKARAmTC+S7wmtarcR
bU2cb90HF30oSaLzL3GSBpf5jJNZ/jHHzi4K3b6XfXloQ8FgMB2JetRvQfU6HzSessU1rpwdjzS7
xlQOoohjnh60qmHDD/3Wd2W+jITAMEOIZi/Mj1gDPFSU/WHUugAAqbdoVSHOpFyLs1YZEXWfvlnj
FhJnfdrMeyVP6FPNT3qZYeKC5I6rfA1zLqxiBC/vtlt8tiHkUvQ80j9FfVLd6fchqYJ4QF4OAKrl
n2MR4kLTfb52J0jtQ6hJmg1wj9/gDGORdP1mE7q9/1bmfbt0UNbQb2H2MeiYv6JcYDJA4nhIugoF
l1F422CakVj26D2rqJFuuVJtCpIHrkiKyJI0uxaLYFY/LAbZJ0KNltTkONIINis8xeH2DlEHj722
7nKlP5dFPpz7wXwh4cNYIbXDOlQr/VMNpKIP6B7bRofDhWj7snHA1KbaE2CBYZ/6RriGdgBLKunu
If+LC1rdcp2oga4vyGA+la2bHXWrQBqplWs9OqBjTW9DEgw3/IVyb7r1RsNHuo7576OwY5JK/vUq
K0ISuLWhWgxZ49CulgCg3RyRdZ92JAQMhNCQuOUydcm/ljqRLh4MsH0FHYSALWgjfiKQYORheDZJ
jkH4VCe7zHIV/K3TV1bVXXPK6IkTgRfIK+SWqwcxuFpQmsY8bKJPcKr8jjKJdHmvqs/ebDtKQaj4
RvtmqUq4Sj0HbJMfy00hUSEpnWVcRfdjRrNRxECE0GbBjcdyd4C9sg1RXW9UYTp7VNDiTluMwCti
QF295uM2NNGjBQOewbBfJnn+woGVwCZqRzc7zB8YFTHEVAMh5rgmHzG4uCezoF03HaHD0R7Gzu76
FUAO647tSHt4lRmR2pIUp8AgW7BuKJ7t01ZZUp0Ir03SnlM3Tx+YcodlCZBzi+jevLl9BHZZIajY
ZcZ+rhL/bQxy8phTF1Wk9e43tvw2pqgEA9PTj9QMWE+TDzswV+L6QolhEuwyYnpXC+ackXHwzbE8
KSZt48QNzjbw2KvfWfc8CI0XOTz6jPqlNzAtA0Mnt33M0IuuV88viZ4WaxWH4rHwsvBi86CLatpq
5G4g9SUcZ2H3TvKQdJ7XDdzhrZq0T/OvZQaxUjDKPMMZDvmKiexyLl7TjTivjeBJR7hEIS7wL7WV
vQG/kxc3RoXdkZJpa51BRhT/ZZfwVwyjdYLHZgxWeJ+CAx5kc8eTGVTryB+Te3lwZplDGFTVbNoK
kWOeEVcYtnuV8K2HWvlvItOIFyB0a0csdrgZgNlsqybP3/ysohZlFuMJQ0a47BP+PmLAeKhm9BWE
pZkAjYhEnKZAg8IIYtXDE1IlJkvROKqHNOx/AJWoTlBy76ovtSctDVL6lxh/50NMcc3Gr4p+FdKa
GPQuvM2ztASQ9y5qLSqLrJtSQrTEC6r3dAsX7600dPeqi9K94q+gQBJU1XI+nF/w0OARiFB9z9Nc
1FslcxiQMPqsJIKTbRJrMFKURuHKAknbaZn20ZXWLs8MWCRJ9QE0uT+iI0ZDxbLixBDtLFp+5Rsz
lXBrZKOyxlQTvWmE4sCwgRMJA/ZFL8TIs75XYSz63boX0Nc9kVZXLGcXtZL5c6dme3+UmLZKiMNK
gFhFa2P7ya3eVBjGD2Fm7nNxqAn6OZY0dUO/CPcoeKYri01mSlwrA1wKYjKYKLb8ElNtASCbpKw4
hWLeDbcQdy1Xc0gFfkrrh3M5Qic0O6Vs9r7wPcTuQl5RNwdXrQpwWukMvoYClZ164HeIP/a+049t
irPPqqT/iSutbq3qDWj4Li4N9ZSX5VtGr+TY2YLKD31oqmQoAfATrGoP7TKhHKTHEjXVEc6oFU55
8uy4Os17EQPt0qdIRp+6+sgwlN1sIPIL9Bbq2rWoPMMmQ5NLFiq3SEcuZm+sa1Qgp46294k78tPH
/LchURQtjZFqLqkrJFkhAKUnpcbqju4ivJpUAzg8jLsAFBqeM61BB1a5S1cjZ1Q1zAJXgS3WXuny
aJo+pLqOsU+xQGOtm1abqB29Q45jYVr6xiscDXJTJx0PeqRASdIVrzhAvwVw4AhU84Y15FDjmDDd
yCD8ocWxpxTHZE/MUX1CvcUVPM3TIr0+xyPlwpwMFWZJSy5LsgyUA+4VwbKR1ozqdpRWKhJZ4rpa
4TSOFxWB5lc4E+E1SlCbl2VzK2j2LEw0B1RYo2wrDG1Pzql6qjo3eTilx1Q8ROcZ1VEJ5lhH31XK
ZyLc+5OwiFIcpo/yz6E7Zic9DnJ+V6Rsx0A5Z9nY/ej/uePn7q8z00u+CBgMYy1Yo6Dob1VTj4yk
bUrWm/8oddO4DWqlMY1Kuq1HJ2VlQfghVi1mqLP5DvC/ZrBeiJYj7Cl7tFKz156o1UPimSmRBRme
FSQHCnWTSfH7E7vvEytp9UQSUrDJC73cktiFiqmByOLqWvxcKYW8m6yaUnwrVD3JVbJhSzHLqZBJ
q9zgUdwfiEGfynm1f0SMqO0DReceLs1NEX2vyjhY+dTXj8xuEJ6HevFqFVLuMGx353mTWXl/VlzY
CwH15FWsJNtadCgrRZzdesjfN0gMXw1dHjonZLaoZUjQhDEuTbtAAJgCGMAzba/03qcnkynKmrVL
TQCO5WGgd+AfqxBNfbz/KytIzfPgDMZ5VByDTh5dUwoIbRzAD8CxJXDnoxJSswNdm3NG2uEhUhHr
DjWcGj8pmoOO7pzrtnzJtGbyHthN+4nBJD9pmPN3IRczXhQr2pZl5RwcAaEA8zPmGs05Gq4VbFLD
9ddhY/4sy7Bahxm1fqfAb9Jak7/sJ6spBGkFBUYhtJfQdYKdlGBLhi6zucFUZZkW6P2g5IzcoO67
zOMPDAnFEcrvxe088tWa7hPfc/pOH+1MbfmatzpkDZeBxigJ0K0iN7oEWf802OUG5chb2tftoTfN
4kZbAqOp6T4hIlxDVSw+zLzRtvwsNPBE085JzEOnk6j24sJ9x6ZdbpSx7/dRPTSXopYrc2AJsCiz
FOsRy/0iMXHtaONZ65zqKfkxAqR9UvvkJhG0nLVahYfOghaa2Q/0dP3WNnBpYkTK9rYeTylMiOG4
QRT0UVCoQDzL/VAWww1mTx4k16aDuzCykjqSG+sfwAxXt3nTVsXZj1z7iyf1dwou37zCKo8I74aF
joxgq3TwsUooCccmSJNDZXX4ACZMciRpyA19MuyZzO99tP77bhABml5cPYPdvytdPuxaxKVr8OO4
Mlpz3Nn0A/na0jeF63SruxKFt4OLw0ynVZTnGBdzqnEVY3noxcfgeojBYF4zdcEAvNASAq+ISZRn
33UAjvT+zehL/0j3pGfx12QkB1lEqIsoeaOpzxfj4nCjcy0wmtz1EWo1VUwL/7++l3WMTRXsXlkn
P0ts4gWRD6MQR1qiwcTvrR2ki1JLmdSZBMoNUcLaKvdXSdcySeP/9O42VzOA4iLiFkORAvdiOTc3
ykRhKGoaUmHdyllpGRm9Bnz+SzFkJ1sXzTELACIomNf1aVPp8g3dFMVHP9K4IaOGWGYb4JpRQbby
aqT4AanLwBB6JAxN9b0LSdsC506Ml6LtdE1w47j+I582fMJf+r5VTkHbpbtf00PXLKsNEnQW220D
rA2yDjmSjdg6lkGCmvmK6Ueei45pFUuf5KN3lGihpO6tK12MnzrVL73sij2xsN8aNIbHeVMMrbnD
l7DzzDG4zpsCIFlFOO0um0gtwCxcyFDFgLWs7IBJ2lezT9ytXrkqo38r1nZDLqQ6elCBLcP/pKZP
sS44Aj5JV7qmuWfFrJ9YyzG+qMK7JVpD2iVlupX0hvaQpUV7cFS7PcSqRsufBeQyDTWHOrZaPodF
vqVKFS2Tash2bdlZa1DuJu38ukEEIj+iSo82cRlXW3MAaUwVHK9PJRJCuwjWykRwKGv1amJZOGQO
Hmv0MO2mqPSNBIF0kRa0cjXDuWpahH33EpGOS/svLKDLpBCuD5GVbuIhomFs4w+PRGWd1SqJuEbq
7DTST3snjSUzp2Ss8aybItj1bQgLE2rdDrvNMc3L6DQYrEi1BiOlMLahsG0ECm22zRUDJYtEGcRI
lML3DYM9bHqanj5x9aZZo8x2o+dkgLRvJtiTzNFqsRKJRYwZ/dCM6EOzSV0ykKq+kEjoFmHvrXAW
Fl/tYWE1DZT4hDXiwF1EGzREAeKax7LzMVR7kbIImDVYXnE2Ok0hoqjB9aDGJNfXvnPwiPaO1NLd
iYpmdCYKDd+B1A5E5e3GniUgS3H7kAU0QpxMe7KZKB2GsoNiVPdLCzrt2XW4OVnpHNqGwPM0uNu4
v09tOziQ+eEjBTI+uyJ/ptdqHYSsIKWnxNt1gi+6J35OAysQx1m01wTecyOHqUUI46stmHXl+D1j
q9SZMfJ3+MDQFpFVlZvQ75WnKsy6e+JZOUDK9CMtkDWCAnrrRjoybRA94fGhu06WZlE04VW1WOhS
/vSptlLu9UihNOFYsrrxENQXAudoN+26E7AOrSIfBqCZ0TeVY1jXyrXvSkB6WbgF92MyGpXmyTW0
nuu393cYMlQcnKhpzLHKn5pJIuvgNcaCGGATdzHux4PK/HXiXQdDzGeg9PUiVcf3wbSjb9NOV4Cn
MBDQLtOMssjo5+qT46JFls3DdqLOWqRWd0tUVtETVJxO0Bagd3Ns46Zb6mDeuduqYtMXSvAoEY8e
Ee+/pXX/wdM1Q5TEtVYg+SJXe4yP8ZwiJXwqJoOTvceeTVMhNB5q3U2ZTCQIE+shLyQx85AdqoIm
gQaQDzXCgvQcnFxtP5rPXRFqO7+GHQ7/Vj2LiPRF1C5I21mZLAkxplhuYepKjHrRE94FdbTHchUM
lH4GuGsqUXpHkydu2AKnIZir3Ldmq79oWggFJCE8OdTzfqeEhAH4ydhsmjQ1N543wuWG+gIe5Xtl
4hqgLKnezAohUNZ4EK48unn+IKOrZ+MHlqU9JegNt1a3LtVIoKzqyOis9sduGOpXI/S+I49iWC7j
yR1HrS8mD+cwBIq6ILR8C6Mi4RsuljaX45k8HpK/fBzbXp0uaxpwixYPXDOEGpa1Nl+Rr4M8o1Is
GIpYOasWl66VEA7VBHG+GMll2OR1SLZRXS9E1DF1BFK90/O9WTo5gDhPrpuoONq1RgaNyZjXa7cm
ZlBTg/TVjUpAiE73zZVndDntN67jb32RmY+Sz3cL/deHdme3+7gL/FWWJN87j1VaZIUkokyb2qb/
L9DvBskmURL7w08JUcqI+WCCkg9fiJe3/VR/Lcm3VhiwT6ZGj6wlCuQhAor/TRUwr6jcR+Jm5iZF
BbrEaHnXGyX5imsAxrIZVud0tOkZtNxxsa9aDyKE42U2ZN3VpzW6Ccuxu8rgwyJy7Q7FAsNGnQIB
m9f5vZ5uIKjn6J38/jny3IWKh/mYwUlYxuF4IzTK/kqqa7xguai8BWqSLMusLB8Y2vBC2Za8NypX
qWrVx3kJWQKWXA4ii5AmRemNRK2I1GGTWUBtmNFGKuJ7WRf2LdHH8FyBJA2lJuHNJlvNM5tvDN3o
2wva/CDCMPcW5YFRxt9xp46U1qA5xW3kkwMBudcCnvQ9wlPBi/IwsDD4kE6vrYQKT7kavadurJWT
GtYfkpkbxTP6hETmgrufNkZq6CuSJKmVESZ2ikvLP1VwT7Tuh6H47rOM3Qa+NQQM0dcvSFGSbVvV
4WsjPudoDADQw8niecKE2BsXuq9458408dkURXLR3aA6m6OEzDblqWj1k2tZ1de2Q43BoLOxDS4i
+Bwp/9f3thXJie8bJVsbIw/zHRx0fpnDBsJ2bHjDrsyC713eZherqbH7t0a3QwO+LPoRNUhFHEbC
zHGTBhqliRLneYOL56y+OUSV3LMem/wgkvJjKuPBICQC2Gt/aIHiLG2RYxaBRDL0ISNBvMQXCY/o
1CtI7vO2ND8Iz8R/YDBHd5t+ALlow+7VVmP/0mihIDPWckEMU9YDhtJcwCzCxBglq9XBC7eqk6k7
V3QY41B0ogcrl7ne+HeYPsUTAGZunQqSlL5D1DQua0uOH4Grkugaqfta98y1ZQMfaoXrHzunH97J
9uUvwpRkDD3VMg0GekllwWT2qluRtwUZpp2iKrCZDPLFVaD6F2pQWB9aG9F6rkv9Qw6sAUipPWdK
LN5dCWNjVL73IR18XBvtjSK9uvdbrkevTLNHZSFHgBBN+pQeyjv8kPMYC+fVkdyPbWU1+zoOqyfP
GnLghbiz617Ga6uVzBrwmp5ZVhSvNUXcHsP0e18F1kEKgaq6NnKSCyeVRjR+y73S2NItkqcMVSP4
uVZ76MQbL2Laxs9apBMY7F2dsuhBzYz61s2H5rujMCkcNbDFUqrj0imDn8TT1Z+esDDM1Na3xIae
KxWs8VI6zH9qWR1CmW8I5ZgCvl37ThhAzbyjtddYfbItmT39ve8ibHhYLJuwfC0sViDx9FY7wi2S
eSFTiDLCM43L+AI3oNqnRYH6WCvrXzP/OPyhKrZ5TAR5Lpgw/R+m0774SZm8A0dmIq6v1LEkF63S
0gvJQxSRmki+ThkkSsjTH6j+eQ6kslqVnp4SnJlYVPdGiCe+5jyCGfPUECp813XzU3ez+MBChM5Z
P+BCx2Y54c11vIbuJKWFEYMW6Z3Gbf0Uklp8iF2IZW2rfGm6TLw4aXYiBYTadmEkD5YU4UnDl74A
Cfk2dPrVmMIkKDOUy4KKyc5ysADCsnYO4ySsqLz0KXC0cz1qFrXKATeka8TUxc1xYYrQvGF6eaFx
TayIHgFLmCoVoYqHnhSDMcL/FEz4IKEk3I/zh5WAWL3GdSyei3LP+swBGUD1WKMMt1RSAwYny+fT
YOvd2gKOsYdyhuhSfkqRJE92Cl24SCtMp6BfYYwtQqW/igA1t2BmSUPafwirzu6ZLN+SDBHgkDp8
F4127ltTOwk3Cm6ufOeO8xAH2MM2b3rwGnXrXQrMhpg5Q+fusZL7yJilYVdOs6svCbzOBoXmsuvm
lM5N9YQCflw16kQcDJ0ExQ4qtcG0jr3lw4cn8ORsZ9SLnZghITdoYlaZfSMixr8OPawjQpo0qOhW
vok8M1kltpJeZFPv0JWhAJiaSUPd6/c4huOBbzucPCzkcT4HmCWDllEopiR1VnpMAXVbKGQzgFqm
okZvrjsxfWDA4UEqWYH1AOMHiDnzH9bmfXoITUlFPYOul7eOPFqxgeZWxjvWgPVb0hQrBCTJLoYA
v4eR+MqUZPw27WShMsw7Yjpj1NHrvDO95LhAKWwXXa7Vo1kWaS1vjRGZh9oKlDVtHPPNHhzYKLH2
3auiCKTfsLEBk66dSu0PYk01qv+BsYj6KbyyBxV3d02mWrmQRJqetKgDWKHoP52471c5iyiCcGLt
WedxBJ63eTGSNHtxL7LFbaoxAC4zi7rKLiLi+ECGPTgdeu4yapPjvCEJmSqBGloXt+jUJd5zRka9
L49l8VNP6Lh5qA4ObTHVVCFNTLNHPm9tDWEYNcAUwMcCJiJgyzxhdpcXLSdelcxxg6Wy3T462Fiw
KNxdpfq7SEXAu4j82rjker90ZYrf23831Vp7a2MX4odrD0scC47vNRcvDsxLiAIKtAuETiewyazT
OpjBrcLjNHLd3Zhj9ZW5ba+gf1l3anPE/SlNZOzhOcWU9pVrwzLnA2G+tdYc5IG5SLsPxXhMij/k
bbG+bpCynUYDz8iASeyNeTeJkiYTEGJ93DcAJu+R0dW3qA2ChyZ4NkaavcOdHW8AUVIjDNX0AkNN
HFwaDxvNNcqHJVWmdEHcfrFsssfLyKQQGPfQNabqTT2Ep7BwaPmp1tmi5fY9V5rPRPHzh6mn+tax
62RhBEPDWD3WHyJZVZ7hfTDZj3Z9DQh6pAACUDvYsFZEOUeG+gWRW7GzitrfRjS1PxydxAp6ST4M
5qj+4rS2clDhSUFkn3ZlEzG89la9FFIEK6dz/DOqDXkOKcyf50NVWjbg4+A6wC3uWtf8Gvf+lhgQ
uFYhxr85Hz0W8mjW9pM513ykn2u72pf1rmvkN9mxDEaZPOAqtfBubEa89BgWohuT2PoM5Oz3hpxt
/rfzSfAzlYi3ip1LOjpxI+ibl/lecTQqNlowfnhUF0ZjCL4NQ4ScRTJsYZzvGJ5OUGHgUfn9ImCC
sLOM2noyaLRfQUpv1dZhsAfDrK6aJiNc2GR+BO+lOcWoLin9gg4DKChevSIuV0qXIt8V3t2cnt/z
ptaxDS70IZCr3CrPJJftRl1/+lOjm/oWta2BWgtiJ9+rttSvlWc/GXnSH+ajeePYFLGU3qEiVoES
G4tOPmzV8B9D/zNqzA5+g+IdNC48WuD6JQJK9Vz6omaaqlO2jmrlw+tLiISDH91ckyUEiCF/NYQw
RRVFMS9po/7ew3LebyhMkFZcA26VzP1PzM/BLNvOy3wU4wxfxz6WoKJV7nlujD+GDMN4blo/q4I+
R1PFsBDUm19YGthAYDC+aYiD4TTiMIHuiaGYd6eTbmedfJT5O2OqSDegCPFUI02bD+NO/xjwLTxp
lvZq0Nx/SxPFWGmGE10swyQmIx8gI2v+McziAsLwYJSnAM3Uom8SfIpN7l8MEW7nR4A3PQdQAESr
OiKbjoF004wJxKKqxK3KGvBZUZELW7QAXx360wgFY+Wjs+ovLj4oVem0Rw70fycwS6+UoqpesaWr
m8jW5KaBnfFaFnBD44ESq57WJINMq6a2SY1rrqMRjzT1KTX8gFW2XW+JYzAwvAaosU0dqGNRseiW
PKt9Ag8//m0vsvTg1zkMT7BSZN5u0sbRrvOmsFprKZk+s7jn3DjFm4Q9D6jCcRFfDl66b3S9f03R
BS7S1iCwsnG6VxhcRNmwotXzb6Vl/kgtLXomH8be93TbN8QZ2h+daTE3SNOXqvUg8OoNiXxtcCP7
0ryHmmVfhFut56M8YsVom1OACiC+kb9nTxPw4CnM30RdkmuLaxztbdCvyoYrR2Zuu0v1oXsCe+jc
C7mdDzo76Z5KxUcqVpDGkk9vwPM8seNSMLo0BKtNP8YeF0r7e5PaBhCCMuiynetau9EgeqSuxnLL
Yka8l6111rJaeXKnKIvB/sYfkGyKGIbXUmjIRJlAWzDMUiwcNvOPtUmpdTk/7IDpKod5b34Mznvz
ZoID2aG3LrFYQbFVi/ccf+C8SOehR/LMv86btF2laQxfuum8SceXyYmGQ4xBa+1EKlZEwg7IhHSH
is6nm9Pmb8lbjprwjc7/T8+s6k/V/AwB4viLwke+BDAARYT6EWKHXwnwIYu67O1zO23mPS9Jf+9R
Z9xwOQl6r5F9KLzKPvSW9nvvz7nCwH0AoBQcQHQ2WLuf570WdDjlwcBEpG3t/7w4n//ztmD6KZmS
leJJzCN/XoB7Gq51yRq0rqqeXFCPOlg+KA9fmvFNN8djQjLui9/a2SOB5OeRMFtRQ9ikMvFoLIa6
f1QsZ5kbUbXXdH3YGpafPDMVxbBSmuKH131Stva+WWm0b1WkT3yn7rYyhuTqlk2BnZsWOWXGb/Rm
ayDJRXkBIfLppoDU0EPg26ml9q204fp6YfzFYDm5rgGnAHG3iU7pRjqM6LpO86Z31d978NJ+7+X8
dcBGfYpKjnVhuZsfjDivroE7VldXNP5F0DanxkhxJyOa3s07cRzruNhiKVkDqyA7eFC8FWtt+cVx
xwNd+r1Xm8ZbWCflYaCXv/QbDg03bVc6k/HeJWHH7ptvER8UHRNce0mLydsBfHMOMXAt2thItnbT
+xe9y95VtHiP3ivKp84jotR1nUfc0dP3snzZUB49ugIN3LzxQ3xY/DihDnU7vPVSh+XRKckJqJey
VegPzqfmjWDgw//EO3yk8utcM+isNxqkg39t3LBSkkWIMPlgd7lugNOaTCmDsacI7WaLrjTSI9Cs
f+5CbEnhc8Tpcd5jer4scVOthoaS9NxdbEvxRbHy6pYbefZswmRPSEkGigaaZ4BgOnWb6KgrB8+M
nWUbd8N732Na6ohiWyiZ7+66gjpRgHTiomTV9MCR/9wz42uctelNS/0vRual53JqvWfw3klWFaze
yTZ9zqN9IVBLwIaDmGuvSvD5hDFWcmWnOLRZbf9IU8l9rcc08FVi29PCRPenJOGPsXixlWT8pqig
rFKKs0fhGksxVen/bPps+G5hQt7OpwKk3ynamhcS4ciYqSgt+viVuKnFT67QBT5gpFql+i5KLlyj
EDiCSfVdA0chOM8tlINvOD+R+2BZ9S1lObq+8aLw2NzFrqfw9bvGFtGQoMysH32tjD/TTDsq4F3/
7CjZcLCOoSnosTZTTclV6MRI+sdpSOSU0zonluwOa4vk9x5FeucUUfHYG0qDegMpVkHMpJu66gnQ
B2yHeXfe2NPJeU/FenGoeN98yp7fR9sUn+pYXpLOKZ5t76m3q/Yxb0Yhn5vErS70DdsHTwtt2XdT
pFiXQFIM2ugQDKl/qytcWIHdqt9rollSk0BmY+fZxdfAipzXThH5IVemirkcnNdK6vUmljSe++kw
GUNYeLSbDmnumSyo+KDcjquG2i5VW3QO59kT9T/+Zliu/vEfHH/P8qEMmM/+2+E/tp/Z5WvyWf3H
9FP/etfff+Yfq+f/+fjrZ1b+dX7ePP79nX/7QX79739+9bX++reDdYo0bbg3n2SjfFIoqed/xP/M
pnf+v7741+f8Wx5D/vmf/+171lAU47f5QZb+V5aBrmMD/b8DEB5lkAY/vv74a/jrkX376mf/28/+
4iAoFiAEFw+vjS0WrbglsIz9YiEoFsADnH4GoHwTrLOjYfRNs3ICHsBCMAS3qCt03ZgxCv9iIWjq
f1cJw4aQYKiOYbqW9v+DQvi7n18IvCn8v1wXTQWOd/HvpAHN9014dPQOLbQpPBucpSOwrsJ7ITf7
Cz46uWgrE7ye+I3O+NuF89d/hRzYf/PS/fqnsTgbuuVoFo66f7N54lmsesU0sFRUu1IqzwHoUqCb
Ymf2xbPS2o90LIsFK8jX2MyofHUaIVlWTGgPtpyNn/8v9s5rOW6ky9ZPhD/gkbgtoCxdkSxSEm8Q
oijCe4+nny/BnhmJPUd6gXPT0a0WWQZp9l57meEISV3b5P1f9NeOZv7+zmyUnZqDqFuYgmPnXxr8
pk4ceBtZgP1tY/pAH/fYFoY7FwzrgJPPVosbncwa1EYV0A967K9Wr39nwPaoRWmECynuj8RoCToY
FJRZW/u2MbyPqYta2aYoT+j6uxra1gF6Tui7etmDzLQ7rqbGh+9dGsckDx+QGV11ZgYlF/9H9jNB
Uh0ZIVGIGKAngOFHZ001Zgv22aGhLTOaPGmeQy/NrR7iYmRN1HfcQttMWY5wMrdW5944boNQxjoY
OnVunbxyrT3KHqusybOLWm4f9dlx9fsgrSosJNx9v3WxI4QVlr5S9HAim+aTnjmwhyodWuKM+TZW
kKlDsDg9nY+A4sfCtemPdLx1Zd+bdvzGQVtAJOkSXPnwjxE4Kii18A01eA4GPPkLMR3Rth0496/H
Sck8Acrs5ZAYZLpIb8XMQjSKnVb7UWmLnw9Yu7k48kaJeU9w6SEPwn0cMhNzUDfA/+mbTcm8Evfg
vLKwYlyICgwFfCzmlEzQolu3M646hEgk7mZbbBlbLEASLzTixCvCwNNyq+dHCRhpw/dyciEYvNZZ
DTGzvguaGvM7nBk2YPyQq4NO3SgwSbcRZuD4ePc6ccXC7yH+c8/1NwA32GXW8RYJE7VFjs8yZI0L
pBZ+a9lnOyh3RK1HW5QPp65naUUpsXzddGUB/e/NimiVgRCnJkRKCh/iNnwGwYYBGKqu1+qguUKt
U2I/CIHqVaRVKg6hSYJgLopCT+EA3KTl4mMqP22sMcgwGpJUQ6m87763UfaObuUxl1UB6ToD4Sjs
sKFUfbB/41j27YmmpWECHt7ocK6vBTG+hIQLMhAcA0sPldVtOTFtdwBjzjJ47lDnZ1iZhFqe8oRx
LcSWEGui1r6qTB2rovkZ+jnGgiJ6t3j6kJ3ujIkJbQCpg7ituN5WynLJ0GfWTY3m3yRxIReYoY/2
QHWRKr5TVuG97eKDXkUhr13lyRVxK7cJ1luejTUVTxR7OIcYpAZDiBlBuRdmj7DlJKYTgo1iHGw6
2UsW/IQ8+mOarOt5JJALh92j5DumAOBE0M0YKmT9o1sUycYSlUsezrcK78Vt01Jnq+D2BPryj04X
dPZ6fiDO3RbtBl78tBFzwrAxNm6aRbkrLHsHWesHWRxUj/gxIAljXypeJQdc0cAP6VH+Ihd0WFdw
tPDLDBIWnYXil8M3C42fhDMZGEOX6BHMI+HEBWrMBQlmB8GOYRdwsPXU5s3XLmZMnWQYgBnh1YAJ
E3yraKNgROjjbg9BzHbgpiv80jqvNyHwMCPnudsGfXVu0sXaQM1404dy0+WEDyVFxVfK1k1xCtSi
b7mNmbiRkl4caBzJpVI+hmbHh4QrWgTTs0rYtzUqX+G1KuDfvHfkqJg60A0vw01OjA1fCu/YKUsQ
yxSTbQS1XBIbGpMWD7/epwjFKwIgBpwmdfOzVUDZVDGLDrV0L3LDK5Tu0ljGLaycexhE+L8b79Aw
LjgnR5t6YKPXo7JN7AI2YxZBABQXg9EPAJSBcbAB0de+YK6+00f+Cugux1ExQjxLdnpr3AdD8tKO
nJ1jPJztIrgirmpDsAMpG0NHr5VD8OfkyLPwbLkx+dEN4FGUVR6x7F6ql18rc3qeKxvZOnyVBGJu
yF2Rxckbglm0FtaJnqXbQqgCB3S+yYCMsuVDlF34mpDTnI0Cy61G9ZVIPHVt7mzyqMcrubcelirE
m/CnIP90Y3d8zlj9oRnOqdCar0HKQxY2CX+oR+meWq/sjDv0I9fcLduYQfRo1CdgXRIX7kotBpRi
kcYjV3xoQC7I7VvGDqbgcQfC3PeIKBmONF8FvWVrFHdxKjW/i3VmPAOAT4RxqzrE4yrwnhteB8ZF
ylqo6AodPXmds9rnuNo6SAY2LsdqLZ7S7ilAC407XfQmpNc9Lpyv1UwsmiMY+yCPaJYBx/RKe8mi
4rpIuSgdgajarJMXWOMQel7WV7aJMN6Rtsd2IPEniSI/ngxopShUHbOBP90kL5pFMDwG8liI2aUv
9GeL+D59Kni/DjOWjLmZa3lqwXm89MbtlIY7hO8nrqtuk7Nb1SA/T5Y9bi39wq1CykVY4a82xE9U
80xKunJf15qyHerZxeYme8WUaSd6eyYxjOsJIffLettXFnZDc+8XSvQ+RHxdsJQuuk5+rk7tj6ZK
mC7+lf2NHGJR6lzwsRk8fBUYJy88544B6wb8wEcSlTbJW8KXF4zg95wekjtJJpcev+JY9VLH1v2Y
iNs5oURQDaZ6cdhd4VN8GOqbuaNUiW/DKbmzO9JGSpKAIxh44zi9B+j2NnAWxaaZEP440VvqlucB
F4XYrb8nJLFsG50TYBn6hFFX+J5bA4OI5LbFLdEf5Q+OUck8uDy3A6ckgr0TBfZj7N4X5iB8vRIc
BULdo6Vd0K5HZDUJ95sRT6WvOT25hQOkuMqHl3hDpQzOZhBo2ULaBwhGbVueFS27xiDO3jhF8ljm
gFE4+8BYbPRTEPdXFSc0afKj631DBUGdWPJl1cyiNzh4YJGhDp4GKAAKhQhL0WBqRW9tF71Xdn+T
D9L6XQNSU37oQm7sEJL+1IjXEu5/rm+J0Khh/bRfx46JAqcgZ2k8X5hb3RCbehMvrFJ75oxzilxy
0SKWH9+I02YvQV+cDUt7XmsAjP7N6uAUaHogStBjW0PQ7puyutWV4qGyuXEWJ4LeNcd7O8bscO45
PQoUX5Uyk/N2N3ZGd9LBXQjHvV7a4hF1CAQ8SUdh2uCTRMRaGEyPSYH8lxI3/+rk4rqNh5Xv9Iu+
5QUTektcnLRAx1PVTc9JZ2yHEW/3rHgSOnHhAU5RdfGSQ74LRvbGMmf0zSMTqOuoN1D4IJjYMUOs
fRG1F4QWR4bp4jjOmKRhE4piTjnFCcBNYeyiEQFvPT6nun6Ia7gA/RJCObTw2GxyZzhUavzDSNCS
um6/JcP1NsTVFvteQj74B6I0AJ/Jpi1Q3O+EqN+6LbJUOAaPpxarJmvW7jMw4s1AMQbH6g3n9Czr
EaTZxX5pDDwUcLVHWs9Nx9m36ZhQQ9kjK3Q8uz0BzGBEG+aGxzxGMT8EHRU9xqbuaKUbGMuvrevy
ZAln8/LGebExYPqlZTx/+PX8qQXC4MaxdIukDR1zLUM1P/m8wa/DZq3HrZB8usRbOIG7jKvbNthr
jXWnY/e6CTepLBm1Ojs7E/VR21QMvbrTveNgPE7reYH7M/zF5+2Tk5P1zzuj9xGGrWKW98mDCipP
01llr7CMvkB4+oKDx5vtwAAosJkuGwI7KNk3bnohC++dqOuvcRCE/miH32fmJnqJkbI5pjbbRubB
6JMv+vawdNzjkECu+z55sUxYPK0sTNoScQqGbJ4+VomvITr889f8f34YE0chLP9sTRefbamUXhWW
ltG66HHIXI5CoFLFER5aBKpP+cqeXwLrEROdO83MzwXmo3UTnTg6mArDGA9gCs35dVpzVaYTt5SF
kMxSgbZzWJ4xfMcJf1hTwZPP7c+9aiCwKq4HI6z+8km0322HPh4L4yWBQSJTAfABOtdfrKjGYY7V
YUkU0FRDZWamPkOPQTNk4wtt3zsK6Rl4rc0eSgTfNZRvf/4i/9UXs1xpyDFPBHwA1ZDGTb+8uohb
VGE9uZmT0jEoRJykGLd/fonfvbY+PqBjULLojoQ2XAka/PISjL7mbjTxmLAma5815i0GOqd24Ez9
8+voxif4Qa5wXsJUdcQSfJ2fLbTmXAOBS5LAixp65nmanzXrqZynbymeNEumnAqLpPCee5pMN450
3USkUEPpFyTsQaKHE56xHjA38ewIQWDrhDazGO3ZjoJHLMGJcOLgyBriSzKpf2Ohl6V1BV6Hr9tw
Y1P9gti1qIzzEyRDz2hHFflw+p61d71qnUlrvnVQ2PjBmNwVhHZDqQQ6wDGYwsXeLT19DRfS19gh
bSxuR3hWHB0FzN7N1NRH1cWNSrEQ0Of2pqK78gNDe1ceIeB6srqRrT8s9metuKm6NU508YpJKbC+
A2Uvh/yu7QXNQ3FtqPXjPKSIoKL3Yi6OJnOswoQmEIhj+nMUaGMlUGNYy3NHYcSFEVxIgGJVGhlF
HUYI9NNx/zXqsZBxaW+n2YEXp5zqKLky+/oxDGgLUoZWhsGAETjfqMJ3vKN3YVB4EHqwhQ3R9+Hu
gPK8fmlFdbZGcczd/Bop8W1l8tV2UfnY9jSVsknBAkhe2Ol5CWzM+xTQFm2BAxWFt+VSP7pkbGwi
2GTcV8PW6LtTOp3qLvNHMmxAirejIR2UB3FJc2pgLowI2KLBFwXVhx3ghuUJ53lM0ovcAx2hl5hU
zbcxtocMnmhjcz4kEPhjMNBjRj+Turhm9K2TZg/VjuTrkcQXK3HdrVJikmDi8ZeH70GZb6O+JuU8
qL+GdX8TVcpPYlNJTA1xj4D5ILQeqUByNeCXZJn2sUuWZ3w+3yIcwzad42exuDWN8DWgjB9i+2h0
3Au4iA+eUb7TyH8nWdUMoPmw0GqjvwlaXHWaCrlH116HVXFOY1qAJGGwTTeSLq7qRaREmx0oRNQ7
l3Qovy6Jdo+Fw2uBbpQ7idIgkg1VXM5bAoFORs2NjdDsnCnJe9oGl0LY0IkAvsKQC4TgCRUWfmM7
l0Tjx6KMnaXnnKgqcQgNrWtOlKLnhiAmTR2/9bQmonjp1e4lzplUY/cDF7XeW3V5TAe6l7J2iLZM
XvVp3EOMpf8p07dGBVRPGZKkxlNmSv/zavk4Pv4/7O1w4/y/Ue9t25VF/P1XrFv+wAfUrYv/6Cru
zsK0hM5da1EzfCDduvYf/EiE4wI3C9ciD+x/gG7L/Q82kTDIBRj5Pxh4W66mv5bzH3jjGj+ANIPf
Rg3y33D/P7XVxyAC+P//qLU+FQGOqlJkOSavY2kqCKzz6WZZCMRTUjvU/MqcpzNFv7uvhv4rAYDg
Ak667CbIynNLZinumz9be3qCP/8lWpjNuG1Puvdg3c2KYVM+uyVJYxZL32YTKOhAthpOwCBUO7M2
p7Npp0fmegPpbihBzJbEp15pNkNQLn9xpOOq4j78XyNI+akMSaED6KAq4Mv65Mc7Ol09Tn2t+gmw
rV4Ns4fIGkA1kvBMRdtjMTvDH8glqEX4MbSvO1X7tshcqSEUEEiKd7vErEv+1VpRMc7V4sesyRcC
TIlbRlVjbfWKyJUkTBbIEOTYOBCZK1fbiikqiRislR03xrSBhF9uzEELgbl6LB0ifDtEZp1SyABb
kh2l2Jhfa9UF+EsHdawmyM+zR7WCz8n5VUtwuJxAxkgi3GZqsJmsHs/vHu19lgfeoEr1mEFQJh9Z
Pah6dQnwT9uRIpL6hmy/4xChL2pxQizddm9JdFevm8fMiLBWigcM0tsCnXvlmsd6skDTsngbSR7h
+toMaUipdguOVpP3OstzqA/3jYntPU782CGQyUhfUvxMh/RbZKXuvslbb0bDv82KCodmnUuK01Ng
crKtq/wLibYH8pJaP6l6wmmILqMlZyHJ3rlpq8pHKMaF5LYn0offYfM60AyW5nn4XmDnvilbcVU2
er0Lte5ZjEgWU6jom/Vrm9trd3ZwqJIrEDW09J7Pbb9idAFtspPdbmZ6UzITs1rTmUKHJ0RSeYnm
3IBD6/xcH0NCHY4cuXBJaAsxpa+GK5G69w37dONG+OGp0AY/XjAJUtzIuBvbeWlAKZSHokAsMhAM
lcc1w3f5+JKQ7LQlb33FNXBCjchbyJr0YI2oonDkQiM3/MgYFW+dgj9tdRxi8AyA0qleWTVfHvF+
VM7LD4Ng8lWIO5VB5M2IHDYWKVLwWt3qZMrvsFMbFtWUP8W13vh4DzVHmJOWTyPzY31+OAm+wmd/
nS02gtufBB6C2/XvaTnbUG9M8IGxRM0auvuQG+K4GMNT7uBAjRkJfIwyxQmT1Iq0T0/Yuf6I7fAS
C3e7aoeHTpd7nl/kuGq3VXtYklmJ3JE+HZOFZ11arvZwsLbRAHLsGF17BSl1oyWoVBPopXIt1xn2
fsWtO0gx0shrRoSd+BlX6Mf2jRNE5OvG7OwD9Jt+L4KRD1PRNyUN3mtGLViyBa/uhpYXG8G1k4i3
dUl0ENtGrf/n50HFxf6VLosxcw7TDf7p4FUa/xf6GOGQvE4U8D/L/ntL6b9tkGR561pt23i7iJ5u
+b//zrp6QWRa9IINYqiQDb8+fBEH5VbRif+1j6n8/5WSLSDQCRaQhuH1HbOhOMjOCIl5fq1rgRvR
SzYhUakrQBNHy7xZgFvXR79+8PXfssoYsF2r+o0duzfrYcTghWi6mHe5vvT6yda/1pAxR3kdAHXG
+WYao2Wn6lp8H5MO5sxqABgBiNpDN88T3bfVBpTYCNHxVQCy619ff7WTIu7PkMfwuu5lgUQIcwH+
KJ6WCdB0FuZvSthceqPmj+OUznFujtAh+dYqWtzJBv9b/1PlaN4wqCJqaBqHvWNCXuZdR4p6G1om
HpxhuK1qliBTBsNLW/Ea4PAxMyTejuVT2M3Bdt3TNjjjHOKI10fGJHkhhBKH2St5PLtC6W10AAb4
ZGM3nHjujrvOYpdDMLHV/og1y5GWavBmskm93DYidCChueNiAmkgDzquyv36tEuVUMUxoypkNWLw
bd/Am20VpN6TIxAd2/0+lUcGEOx1n4hzLY8Owx2+w058yABs3OCLTdClT1QbR2ifPhnLfIkLVm3e
Ve2XvFabIyJVqTWd9yVDgN1CIMB1Xl1jSRVEc3WXlpwoSXtVyJ2oyx0GGVa7Xt+e1rTHLgzfY+y8
I0PHP7OjMjej8dmOn1D8BpwIhDAmGCWt33I9F6jwjQV2YljX24khZpTa3sBxMmgtfHmFGU5HrPrQ
t2JFzBnecJkHA1kYyVJ/KRAu7nFmBWfM7G2asT2tHHd9HGYwC5EfXqn2lQJ/aX1ICPWSw6ItuCmt
y7NEpeQiQ9CiknOIUysZgssU88d2DTZnlyfQrEtILia6Jq4JU16NrYlgqajJqFYjct5N86aR9+Tk
OASA6BiztQo2zPSGRcNKq3pOU7uY9YdijG8IdD638qrCtwWttK4Qz8W2Xi+ucVhINLC2UcDFJl93
wtdzM8qDSNSRukHO7wb6zoGqBFxrJLvA1m6WBQG/HY4SoUUVCZl9qGuCc+uYkYu0nCpYG5zay+67
pRqN30ZcbcwhXokijCFutdMtkcgMSrngvH5I7WNT93u7zx9zR8SHBPqj7yA/gU/GY++yFB9Cmwgz
aP76ObJu2L81W4PB0pDbw7G1o2NfOQVbRmE1s5EqO0+OSsGIpKzL4IQ8pdtmpn1ZKzN8dlUE8uwO
+Ved1nWQRuYPmjC10wiNWK2dL2pVL6d1dWX1fAfgu1XrL7MRjIe5V+KtIqZDbiE7mWYEesiOmsEN
No32vh5PChjJZvWLB/vVeOYDlq8bV23STdOODdpjxpVQ8Oi41Rhrz7S7b4YKlIiGZCefgXIZU+nb
ZByl6MZvwnJhTsR1OhgkmrjtC/ZtWBUm1nicYqf12GdcE2oyeYC7l15egvhQMPISbXLVcuaXWIte
M9640phOkelbodgW+YOK3yns/S/rF1Ha1oikhYgFeffBY0VTXe5SMZyLquNYzfiCESpGqHGZCa7f
ZBHo28Juol0ecL4D1XVeF6o06NH0FRuZndbXUuww+fJDsdRbgP6pBgZfTB6fhjKF5xLndrwxRdNv
Adjk82A1yKGC/BmO+G67VuHyv8JEqlvDGbo+SQGyCrMd5xLLChSG7uJHkVN5ayGRGz2MCc2iSebn
huoFOZbYriXCugnXf0M8Rhqgq0cfH2ZEZbzRx+xQugtHrd0cu571IRIjw00NJoQyEmZUQBPzq0Q9
o+UZruZ1hrjego7D4Rg7xlPYPsb2DVG57t6RpWFZYvpRxPVtxLAfur1DBY7vY260xNmkOhiFfJn1
/sSVsfUxaRu8sjxhiv9tII4Iw7RY97uy3rdTQLbpWr2nAwVjMCAI1B/bcb6tRfNaix6xMOsLvj4u
zmPqpeaDagyQ8Vu722HbdsBJkdJ+bI6mVuMxE8fvcZt66HOA8fmidHRLxGSgPFs4m9dV0cs3N/a2
pKnM/vpH61FiFfimGs1Du3CbTwlT5iGZzrX5Nkfk466foY6M750R71qbo209rbBd6cgP5uzRZGlW
UuBF8lCvfoRmJofzXA/GWolwE/cmqMh6SayHfqNmiJNcTuCeM3E9uxQMKndBSRyX6HJimnh+o7N8
E4yAuArNbltBV0hqGXbV4yawiAvCKQLYJUbxS7v7f3WRn/stui0dFw0TjFKSlpxPuPhQc2raDVOF
tYZaF3I9icdQ4P8Nm4lQJWYws05U6pIH+VYQw6naFAdJHJGQEea+akbfFLPlrFKt96XWv8j5AmN5
EKcuLA6h2tw1jmj+8r6N36FbNBWqrXMtGxrmR0wcPvvVR4VrdumohVvoildVzgwbJ4Q0sgsUIgj5
FWi8aUrEQYiDlDyAqqi/T2t2X0ui3aaK2mUv0szdj8RDbyw12beKcqM71PqBNeYHOqFNi1g/SnAp
G5Wh9ntJKDC6bJ/qi+mlsfbI1h3gpb4N3Df7Oeq/rWUxJtV/8ebXpQn7rz0xn5VZCnQ6AXvO1j9P
VVx6FauJCtLkZ7ZZlFOhKwSLeoVckIi63T22A/Sw8v3SI3y0tpbdIPw0lfNa76RqZzKcSPBzaitj
mwOq2mHTHBXqyAZzisP65FWtO1I9egN2MT5uFFc2SQR/+TTG74j4+uRYdJrlYChkm8wvfkfE7YKq
d1niwE8LMrut997sZk/Tg8MSElwUjuFZa8h+VVsHV49yiI/rwSEHHL3dOn45QxlTxydsaf7ZZeve
zhR3PNgucZ0ZWhV0rALvJ8q9sN4Z2NsnbWdBFipTgtQkysZFAQm69KGzrV9qr84mVN79EP348wYz
5Ab69PDgSWqwAhFiMOH4NGMYxZgmgwVbajTR8GrO4CtYDM/ymshR7beACQ0WGGUS3BK5jcsP5JqN
ruE6sl6HawEnj7j1UeSIKhyHSFX8wmTBgv1iz0ldz/ynLAxImmcWfOARN0eBNmoDKAuELA8YgCRm
f0P7qMckXQj9/c+fcx2g/fY5NT6hxjhF6K6jCiEf+y+DjrFTFzrg1PbXK0rMxCZFAxfkzK2MHIGU
Pn2gpYyG3aSh/E8fRyXEyH0uUDlmyvOf343hSJzo89shdQNBIs46LDV5fvz6dmLVcWHXYPlma2+w
B2GcLwqdBkKl1AvGlgzlBaBDkzPptI4IYqqItagLYgiswD67qpadjEC7XcIAXKND/Ei0b8e9Nx0D
02yOkckPDu3NemwGafyC2UruFap7TZtK9SQvUDpP0UwM52R5NNRk49ULd8U+mdm3VSXmbd8jPJaX
x1rtKQFIjhP096bbcD+sffHY7lUr1H1dxRx+yYAa5G9et78AXRH5ldowqAwlrBcmFtGU9aRCthDf
U5M+MHaHnT2F+A7IFljW60mCUUwZvrcFnJF4vvrodZmZU5C9rvd4uULhOrV7E4hDO6W08zZX1bDQ
HYdf1v1CuF1HEcl8gqnavBtn3J/bBXO6Jg5OK8aoLmOzN7G4kb35CjLoQ/wQlNQjE1nsKfyvbVIz
YkTmUHtMo6BWuZdMUbeTQd0B5iObfZhcS8A7USYOPVkShWMy3ihNvVvm7jQiQqZvaZ/XRmwFktBy
3y4JncSIrOU4MRHblGP8M0zt6860vhkW/g6pA1baJuExi1x9V+VBtkusAXMQEhG9UC936O6fsJQb
ScP5KIGnUttmvflagBNf5+qsXTd5fGaKY20KsUP3nz6M/DIckufpdkF5huU0idASWtLt5N3U4IDJ
iJ3GOkWZGUHZp54I5GcKYfQlxgi0CGX4klPqD9pyCXUqQPm0KLgxPuVJ+/bA3eRkHe6AIRXarBzh
bOA+EPZeNijjboB8DPmzzr1AbSnBz4iSwHRslyrHIDQU51CtGrxG3gFZt2C8EzHSgqALe82wn9e7
xJ4wf4c19rYeuZCVwJSU+qN40gJ+3c+8AYZrDXgkfczF2ZLGTlRvfU82zcWJoToZOdySaYmXjePM
D+E8O7i89V5dQI4ysMayRqs5jm7M+avQrw1tumk1kkPWW2rExGSHGum4ftiuxdsvnpIdY3p01UKq
HN7WAi1WPGUgVXOtX+XhCNE/9VvOVgOMMSmihw/cWvafmbrg9QUroiGJZppLisyEP82XvdbVJRMz
57heIHbU3UFZcRjUUr9Ysm3kVBk8pcV9YhwjXq0U+p40FEQOwDAp5nxdHQzHvmQCF6XY7hhgEnB2
++0i13xnKrf4RRKIKXtwRSjqsaq7zZwXwWmMmlNiOTw1Lf2Z1wvhwtDBrwMsCUeRzlcV+VErWKDk
XM2OGd7YTY5BjDPv1u5Ra1Jjg6oI31E+PSNhnZCEBNSTgyXE0wxxP3zdns42JmJDJcNsrJEjt4W5
gQTMj8pCosBJVylrWoH/RXFDrqMo6b5omPptlpnW1ZwNuI1qRcrK2qEkFEyUuNWu0twnetdjJmEE
3AnuqxIbAacISNWs3G/rNdBnnBA5rKmmc8XOQhK5wZAFC0873it50x7sZuLbdRV+nYV8vEtReeM+
JxFLsxlrv3HyHpTbPRXyolToTUipidj8vH/MlMCiImaFFeSCk5C1SkxoMRoz+1pdnDs36c6mVbyv
MKMq12/PFR8KmIiqPUVbYziuH32Up0RcB8VBJNZeI23oWCLpWlfXiGfJVduf21eERCJpXmNZfokx
/jJBQ1tX7VoZrjsmnDl4sNSH8aJP5m7Ez07g5Xu9NoJmFX81zGTZY2n72i9Dtv/znafJqdPnO48i
0aVGJJIUlwJZR/5y5xmF6WZ6QfzxTNwPI+29losYjyOa0660/5mfmPLK0Rl5R34WjiTNrA8/og8v
HTi6Zhap18GWo6wEZi9RXK+jF4EVx77kkF76+Aahw/OgdykL6pYgO+1antyNYqbbWer0JGYv0i44
LYLz0dWo7Ih1Vuzyad1oRfSYpkRSShIr2FkHLRgRv4Tbe2dojlrReUEimu36VBylFXhiVYxmNRa7
hO4c+ZwVke21CXe0tc3DW3PPdb8tsa/daqlz1CGBeqb+RU0n7XqFoSBEc3UuE3Sc8mbSxkcsiZ/c
WDytDZlRgAvVnLUfKPHag03APfB+E28UAkK8aXh2H8U3jh4dnCo/9saAeUCm7HU6Cr8xN3MFPC2v
KPltmPCFw5j49nWI8j//60oDc92tiLabQQ2PsRf4wIR7aGTEUhzXxxHXJjBUgzkW2ndZDNPejn5p
Gd3DX9bMv4px6EOOPB9sS7JTxCf+DanCBs46oYNygUnV2uFiWvvo4Esli8Z17WRieBnU+YfSM3sO
+uRq5PPQGXFCxug36R+y41/e1r+rN0REEHN0VWZTQdf6fSUXiZjGyUHGXTNOwmcCUupgwk6YQCDX
lSKbe8pRLxttyZuF5Dbper/7y9uwf+fU0KsgZtKp9UzYTzxl9VMV6UZiabIFALjREI7k6Y0Oww6v
iuhridtmLqGSteoIcwqVoIUWUPSWnM9wz9FcDmEaeSN0WRVm21oVrX8b8/2joYtn5KrFwYRPo9Tp
brbSlxzDqw2WD7b2FKTOth29Wh+/BRKgUWaAjQYlR7pUD3avP9G4AilhtQOo0DllvJ2hgRmuetsJ
bictCa+GXCNmazjESTff4mp+juOmuOoYbcazehh6QPxJGa0NkbDWSQtm7KHQPjSF9ItyFH4CZGPd
sbOEeJOaJnikVK3RcW9jg9GnOyLj7mw06jOR9saTCL8VlhJ+7KGhhJhfFskDHJzwMDYCZJo3BrT5
3PUGLUFpfJtAXj76VAfqPwZLm1HOlDXyODFdY0rhcn1M2MXS2UMZzOL5oR5B5WiBLmQkuR9j3n6e
Inn5kg+GY6/ucn3DQrZ8o1Z3mqr+pOK4jtNkB/safLit9/wBNZ6WBLt1tIbLf72lVvuYL9vCsPbO
tT6B469nQxWHF1wZv2WFeb92yR9btBpe51L7LsEZoOqfCoZn8iRdK8B17OtGJxc6uJ9NYIVK4Fie
guxdwubrrgqjQ1hdlyp7at12ssFta5j3a4G/tmyqPPPG8qoKSPEaKFQwvwA9k6+W2JDgG+I+mkMH
MtWN8e26IdcJ6Pq2W4jeSWMF/lgyvGlr83Z9f70TvlozKi9ZOMgxbUvkxF/AmU+pcuu2IU3XgTVh
qRbZr5+2r4jccBnyUvdDOdWw7OTrkr5oSvMlkcvGkE9ofbTrVbGekJXLTGBdbOu7xPD3p46Epexa
jLtw8P6tXhlceE2uSL78ebv/i1HBbnfgc0Dk1jXTsHVJVvzl/gwKJ8ZeYjB8plF0G/Kg0VuL/tyu
rlzi3ycpYf6Yblk9pkYSoJCXqy57Jb0zH/SeGLrICS7rjqmWAf5U0GAtISFV4GEnxwwRa7SPkXnn
jneVWTwFeYdrNkA789m/oS2fsj7lo8BvDOhBXxWApvUJbelcBatJK3c+RthpRokeafZZiUl9skYS
hlMT240Vlm8La4+JBIZOmnlOA4KF13mRMutPLQWX/+dv2/id+rm+M1vFS5zlIUxQvE/8FScriyHC
tdMPg/LJZK62zOx9V6wT8moHRjTddkz+kwGgZ+03k4RBTCr5EjyZZeSgLWDOexpG7Tnz5H32Lvun
9YJY4dd1ionf/P0YJcZ2lpyYtRRcRwCapVIKpiXth9Cu//zZAOX+BfsA+QCGgMJLoMv+jD+EWTjD
7+7BJ+fMvgmShhFfOR4rKe5xtfmdtBmiexhJqS6WAmayR+N0b7fEjqXpKWyK/HGcnmynfBKd615h
jd09NOgJ1aHsjyhZzKv1H+E44FE++jRn7a5Mope81II7rYYj3szXtblTsUuYssI6qaeO9I5bBzXj
prbdH0o27PoosB/IIiFXY9q7NvotPNKZSe34qtC3zOwyLbcPcYgOJMiNB8T8Nu8ZWRy8EssbBqXx
TCVcjng5YWs39Gj2UnpppGgpc5FLad0wj2d6OnHPTQGEvlnTLip2FlrH9640ywGvhDs4rSDkaude
20zcgygIrsueN+AquNmqtfKmWQOiyyLcB3V81ajsxNJJHF/qe/WZ/GZBoMOspDfxQCYKvOiJd2Wh
DqKUxVAGu6kUhzlfQWYHHHai7d6nkHAbJTs0pEkM43Mu5n0Hehq7D7HZQPbPvNkJuIeWO1zubjqA
NM0PoN+kdCN46b4Z4bQTZv+ORenWnFBWukDNiBRGTCVJH1DfhaJcklDcRf3WGVmaxmDuuFDCxFR8
A5lUX0bHpGMFxgjEsAj8L/bObLltZduyX4QTQKJ/JcGeVGt1fkHYloUeib77+juQOlX73BtRUVHv
9bAd9pZFiyCQuXKtOcds8w7Qp4t7DmJuTAowo6pNHGrXcjbv2yTHbOAfnGBpBL0bJKlpepzz+Vxo
f7riVBclI9A2/+nVjo42FvOQZ78zfN/HbvmGcIJMm/nFzKqNQ8MMs1rx3BZimxqwg/W3qSODOvHi
nRGJXVXZh1iCN7iIrx5DGpwEzubVQzxNcGwMHsQjP+pGh1kzBvhRtqXzWacDvBKETct2bxQMMzNr
c5vTm1+9j3QnAZCbd6GmBybJYTCN1uuYR69DVyCvl6eSen/xCmSkw5c7Vsybr+ic8dTge6yLDR2a
o5UBM40TgjytiCOJwdUcfvMvNtLn9i1fsuYAUk36qGkxH6+V813HRB/a/90M1SXuhz0TPsT92pFL
HO9I7glCD78oL2kgdF065mkGkVn+lKDlcv1bVBdXJL5Ec5EKEEIVN8cg48Vlbf2GzxVoIFZzcgZD
+UnMHbz67DTjbBoy/wHbDwdQwYjVJi7SItccUzXiieGEHTBoiSZwm2LfxdO9IzoYECu0Cmx4kmPv
zT/mrH+CrQs9Hh5s9pCnMz4z+3W243ettWhGeUc5esj7BcZPOVzKqaEOrbBeY4Tcwt/bpUa5z3C4
Tw4HeNHd1cw2JhxvcTHuDUcXzNrFQZdzMNrlUS9C0MY1XaxwPDMTBhRDt9bOqC1r4okJlt/2TYKh
u36a5R4REFLkad/m/mMk9FPhPWjafD+O4bZq31GJbS1bPmXS3E4i+9At7Zpi7ytpooXo3gC8FBCT
hdY+VEt1D5buw4Y1EzUrHZuJmVWUcHEkqZHlvciZv8r21mkDkpJHvBh3ZcSc2TOwqO1lol9j+GsJ
eS2LjN8mJ3zwy57sDD0g6AlcB70bUIxhGLDJUxiH+yypETbGp9hnM9Eaaxd1D7M4atmj3yQ/s8r4
7Sc2wGu9exor/zL5Vw2EtC6cQEhcSfuctCtjeDPjv0b8cikBZCc9qCCsHXVuBfpz4jmPZRTci+EX
P/oURkfCVvbxS2+9hCTH5u6XtMagpN2YR9hGqm3VY+EzYa3Tea2uNPeDBRKAd+uSduuLZyTZrrwL
5yfyUfXqQW8mpEh3kcYj380nJjYMtNBKkTIZzvkjrvwt6d2snxEpDdvapz1HqRL2cucvaSC65rmn
/1b22X09uZvVZz2Mh64D/eJfRHMmWWO1KSP9qTjGJjQGCKeoIsg81f3UnuHfbSowMq7RbCzEktnw
u4vsJ3fpwO1H+yCefPC1F49PyHMJLercY1wh87MeF/PPBH9kGponG3hfi3d65ocbreqiWfkZ4Bg+
BA8n73D1NHkoo6/an+lEIy/3A4NskaLpAj9pkNd/WE21x9pKawUDvy1QkGW73rtrzSQY7DWrBo+h
cA95iT7CLXZNW271kMCJGz2oY23UYI+yazofdINKH8l9bxUn09D3rQ0sdPk9YP6fygZeSh2YjkXF
wTUgeG2aDkANdhIqKwwb6L4+vQN62+zi1iENJ7nnKHdqZH6omVNrmPlTTBB93HF6aF2M0PTcbO3k
lvqTsN9Shi8ao9FxOOnwp8PwiwgPLCi7EI7zYpLW5n1OOCrE2QCJWlukm2Xor0zQmMSYNbYDO8U5
tZ68cHje6M2rEXsc4PCDZffGSEccrSV0v3h+65LdoGU7E8ZMkugnd/qyaX7F5EPZCx0Ww3tLfIpR
G36WbH/0/IhGJOE5FDriDhorsn2yGLprjC4mWmyoTXezUb5E+vzc6KgrfY2Bot2c7WE540DaXYeO
Z4yWIbHyenPUaiI8PLOa8T3fy6zfm1l9MNYsb2weltceCu3YG8NHt4RiI1w4xmU1XkI9v9dN8ceh
Xa+b1bGZLTbnPFgISOfQuC38Syh5jkw3PffWQxVnf6YVwVlIkrqM0n3N4CVs/MkAlk77lnQRPYa0
QaCZJXg/vfs2+vIFrtfZmJytJrLnJaEd3SHHNYz0QbwW2G8d7WnppkCE5t2AYyaADvRsGdFDo0Pf
HH3rUxICy+Y8U8ZzMy/4CAfdPZoyferHG+gl3J4vg/NZDeVFaLCxqVGFm20HgjQ6i7oGj7ZRndvy
rS8j7gT6tqVg59y3dI2JWPhlDga+fOej8ZwgLTKT21U7iix7jIZ7zFIXj4EmQGsgJsVDbFlMePO9
REZSmP6Dwbd6Hy44w4z1zNf7bXxBUXdLzOzgcOmzsH6IdCZIjEDqRZLy3l0lgQ+UQfbvuvN+12F/
dhaZXJx2OA/RzIAl9i4ip9Khalpo0tq7uYmMJwbwWyPM9Y8FBT2SUMq2oez7x9Q6GuxBo5/hwTXI
DGqEztqSGr+7fGLuiRE2tcqGOiA2EQ0GRePov1AGItDqw/MEpuQcufwunQdSKOCeX8fOG1g7xvIC
ZyI+xzExLVlpJIh+ovootFB7brwJ/NdCaFhVN9EPxyl6AJTg4tVXnVwb771uPg9kSEDm7QQN6bxk
L+JbQ9sPg6WcENGuf4yl1ImjnIvN919O579OAksCole3r4sl+wFvlw2YFKazX0cChYFh7qiM5bUN
ITJlzqWZo/J1Lv0c6gEhGuZYFK/6CBHXa6opgFhRnUK7w3U24Ftqqo7k0/WvNEbb7+KuLQ/qBUAH
liwQi3scp6V4dVMWtFbTjbP6qrmOfOXI8Vp91U9RbmvFlnMrWG30cuGbL3H6jjXzYCskvsSBD7GZ
x2MKbaAOP+Zw/t3iX42IeFql9uTsnsz2OXeKpzRZBI8DAUYz0r3enY/MjUb8NJuZWDRrSHbGmP8B
vGzU8EqQjKdOdXBWDLorh/3Y2meYUSDqm8AazGfPXcwNXgRGwUy13lNUZ0y2krex/aR1fNan8jn2
QiD/PSvpNK5K2q85Hd0AwcMIVWU5WNry12OnXf8zmhpIDbMJbFr7Wsd3lMMl3Mw7EiOPDXovNFqw
xqL8GI+4+vNG7OyyII6MyBNvNu5b3Oz5CFhT6ozj4ujFN9t9L1r4cd4xgW5FJIrczOlyHuR92OPC
0ZBKlBrAmjSKDt3Sn2cB1ULfh/3i7Fd1WkxIXq73xHvKbbjolHqCUUuFSjNeYlSvxqNPIlmTljd3
gww3Pg9rbrHrRB9u7KI6btD8W20SlGM3IHxb7uYs/WDNAclZPpoF6R30/ONVuIt8izWqZKiwNPsO
HVRisdpKGT/Y6OV1kj+Tgfh3WTk3pphI9hh196NHl1Tr07NOLk8DVBz8kYeSbvqDC8mEe+FfJ+9e
OOBltPpB+h23hVwOnW4GVosCshGoZSu3OeTLtCeA0A4o4TuB+VhKctNm729JeeDXGF2rE/SVp7Tw
brpVbLXMfiWLdVePSHvluB+Fc4VxAR0M5J+NA03vnq36IXY/K14UaulfpsswAMNNkrhHDrwvZVns
RWqHe8x0hwmSLFpecoC15Ahkatt19LWyuZhWAPUrINyg0eu/oum42GAhwao8+iPohHhmvzUtHujI
Ri+cxoys2NCsPrsbE9QHdlgUO2lW75KNcIcW90GbA3Suu9DLd7SXh03hUNmEg78aETmYtE8k3F9J
HMg3Ux2/uPBL5qo9W2kfkdiTGofq1cw16xyBdhGlvEt6sXr1dkUmyAByWCNqdIQ31CIPff1oOktK
ipQNVxj3x5VDhprrOcJZ6APkQV0J52JoFQCGgjCSzuiSg1E6ew2n8cnF2A7lNJ+PTFcEJ8kA7eoT
nE05n/zO7ViK8JEJjGyQCklzR7+6rGMKzVnewqQoQG9rw4bUHGvXkCkBcTI8z+aaXjU0YeBmQr9D
EgvWdGkBGKMzPBWGBrEjB5pHRZUc8rXLW5g2jOEeOvg3Ixy7xbgttEo7m2ivgpiz66adw+cFMfsh
Mqr6WBfNZZ7r8FIP7sVggsKZjfE38mTz0NW6eRE4GTdRXwMwEeVwJKAVPsiCTmnwLHszSvetsGX6
4AMHGCO9e/BM/y80uEtvWhOabupzuCDmVSNjK4B7/zga1EH9YA5H1YEd8sE8NGV0Udd0RTJgRK8K
s9n1liXo6S8z8mgLyQVd5k3VQRpgHXsEAz9Vvtx+i9ZVH9Nre1BC3rLl2CDxLGi/ytZ7LOfw08Dv
wGQS5eMS6X+XqASex02qLmUFzmQ302mRTAHW8bA5S8GaNr4oO4pqhCoBg+sH0MzQcXQUl5bL1HT9
217m3OV5qO1ChwOiSS/h+zskD0PtkO3oWDZlvpXDgM/8j3GwKFOW9qSgOENvt7s/hXI0ZCa5ELIY
vidr5KcwwI5ntPJrUmOSFzyG2YBp1jzmJrpSXWKD0MGZy5Z/yUOdrzwdbYPYFVFAd0Xl6K/jOQtg
eJPUr7DgSQzV2l2tNeNeK7wXJWpSDeoihkIzC4843XUkTTraCj/JDn6J9s6OocyvkhX1ft0u/CvK
rLxMhvUtblbzeUeb/rrpyLmwBXAEreT7H1ciDSVX+KdRqN65LFxQEgge1GxLvbJYSNYzy2Gnfq5U
lNoPPZpudgdLZ7U/5Z7P2IXjlbrAKNUKWukYbxgXHRLRPLI/MRP7FlyovxIbmDsWD5Wrt8q8ySmh
4smamgVu2rqrVSFBAIMsLrDIO9jkaVWCpM7fupCkgpog6WHt8atJvzT1I8irZp+MJyimyWGa/nTr
hMBg5vDtDtE387qEZYZ9Up3NdaYKBhTVCQ63zMqsHUL8R80aqZ9X3VAkog9RtAclwHBxqjEg1WnW
rbmRJQ/hlJ1dJMMBc/sKqpv+EBaeksJqzZwHzDknlikthby4FrUuBcrYvitFQtsbr0u7EPZYF98a
hWwd0BCvRcaU074pm8uyPDkOdIx1RKveourViqby+Tuktqzrk5oERFP9TCcCezgamLFAY5my+qsr
Fpl+c4Dju1MCXjWjV932CO+DOeDfVQpdpSBQ0xpCqYOZxLiJ2dhO2ayUhERDvI8tgfagixhmqxkc
0wgchKVuvxI9hr93VRKry608BaG7HKNiOTmaBVDF0x00lP5eDaS1njVwQmwaOHbMTCqHWd2CuKfx
VFynHpyHsY6X1bBDzcC+fTna8uWESUnDC0KN3367Icom1Tgu0vYuKe+QOqYQxqBc+x1YHuu0blFB
pTPLj6CESbILUNDR6GlR8pNi4hKKzE03koeALok7RXrluC9MwjVWeYmyfcLEQvpRgnLX2T8rr6CC
WF+1s80XO2lYAdfuOp1oDOqMnJTIkDPx1jTlfE87n1QgJkdqoj1xWKptjrBxxZCkJ7XEoD29VfcD
2BeXGxBp+wAsDbb792TPEdU2joANvbVJWwVqlqjGXw7pcwG4mZF0h6U4NF6UHZOmENww3LcNZ4yD
+hymHkVNk/xQi4Pjr2VdT5+60bjr9PI4x80nHBwP/Cg9PUGm0+rvaQYm++uArZoKoF0SwmgdXeJx
xi+Ho2cLsvKoPp6cHh0rEbre703YFFDMPCg86tm2K2p2WEl7M6J96qNcibJIY54SjRu7rR6birUI
wJ54WhqgYDnL9LfSRs20sglPZXxUwyB/aj+BntvbdQonfSQ8vf3DS6BAtgDM0lWflrnDjHl/wuwz
I75ejSvhKFuEXLwmgxKm7ig7V+1NOaOf14uMqDwWlHVs/71ork4+jZ3YI0Rsl+Y9tbGRtNgpGRt2
LLZqkbealUnZuu1B3fBNzb6/xPfq1cMEC6k9ZMOGeSMD5oEOskiHz0haH4plm2f+TQ1T0nR+aqyx
4DLI34a53FVF9WHQtIr95l3GqMMTgVDANtJLmJnP5lDER50E800bVYGmV9WJBCacgKuBgBwDDrzt
Xj3f6gHTqaBOgpJT3UOkYA0AAOfbkKf9vqH26yNxc0uTaYOwfvaRk9FyLhgOVGOFCmr1l3WYhbY4
GEAur2P01YCklgl1m0O4DkCiVBvdM+6U8ixGbxH0bqVvwdcsbLduvSVGISyQCHVmTBHHJuw6073l
DN8woyF3sDohbd6Yru3tvbqqtmrJy8rCQpnmYGvjFkZ/uxxBsTAit+I9A4MsmIf6qqwdqw7hwBTx
o1oL+czDlbqaqKbB+Brdl3poaDE09h9L68j2HfufjUeorOOIvcUTvbFQedJVXilWHvnExuyUWwsQ
Z2DHJGc4JhFFC0cJ9ES03DJYJJ5BIqh6I+rxVw+hrmEazMS9kldp84Fh9tGPpPw2uBRrTE4V2VA9
wC92q7gxTbjFG4vbclotfqH5q+iXA7jh5NvoYBpJRnzuPltNsvrg03bnceN6/lYDOjUEVsuFWvLU
5yJweexgIhAHhkGjyKJPzYDspAo1pb0yHXS24oOsP+2kqsauQ+gmcIOhzHLv1BtRY9l1M3RscaqQ
mqDASP46jo0qKoYXt4Qv/aqirGl9T30kby2cDyX8S8MYi1FJCw+Dk1r+1YakZySZR/5ZPSSxsNFJ
4KPiauNU94wQmjIzG7kOsdWMPnPw52mPTFSeEpm89Zoe7gkYYrempMkym90rhuadMGpeNfzfi5SJ
bGSc9XozaDzsECG54QuKGnB+2kZdJXVzKhVTTlTGRqcrc+6boyoplWp3LKP3xO6/1DajVp208x91
lBvfuw8CrY4JVrasWEqklutY3TP+pClBPyzf5eI7+3ThnLvqaxIzeYflt1G7mvoElZTByePfZUTL
Ue29+mSzyDt3VOlP/2zGXeiRG5kMh7Sh2+o241GZd8zVxe9kP/EogpjGaL/0Pq341au9SiqB3F9n
jkyc8pE3tiX4Qktat3WNdFsyAuqGyFgLWOO3BhpdA3TSlGjS6hA6+ceA6e5Q8BzXxlwe1bVKq2FG
qRme1IM+0ENj3UTki2uPSLHYYiwONHSjxB5K3dhMnNunqA//bVSW5NKOc/+i5H1Kg5hLum8OMCsj
BpaSrbb6Men9g05aFUt1sjeq0T0CKAg8U7uMqXiacfarpc1e9ajKXah2l9yG2CXus9W1pqRvXsUH
jRb4003TeKe7BUo7rDZxAWElzrcTV32vduel6ekU69M2wdXduaw1ViF8TKLs+8jaW+p/7aSeMLSc
1U786SvkS1GYvJIxcDKGlO5a7pHsalogbFa9ntLIuQaWv9j0WafWTdfJmVjq7viQtvFOuZxX3Q08
w3KTtOlTm8Uvlgwm0tAOShID8hSHfhEeNEwcWwJR7+tVJf6/ywUoZqcFYfrU+rtkyF94pxAQ4b7Y
9vSjXUg6qVeVlRO2bzOnbtGvNiPqv0KQCTVGB0vU4kDAgoZH6o8JOu7RHcPVocYqGXno6kuPmJEw
B++LQ2IUScdN8FmuT6lySagL4pJXQbOGPlP2voz9eBQDsoBqPWqg5r0mFshLY5XvKs+eutEU5kEp
UHyQ8tsCMDCcxzz8iBbcKM1yALTBbKvp/yqdZx+v/tkQZbupl/GhNvUHx6V7mtoxo4LGIXzZvdUh
96rUxaGt5DUjuXKXpk7Qrgqp9S2bXYVTZ+i+TYFdx0oY1e4PG2TGwSWIXl1vy+9fh9Y5qj1tfUiU
bFFVSWX0A9Qia5jRaMANfqo7Q5UG6iKoQrtbT23qSZul/eSFDrkP64usextdPTrT/1YmCTv+cir5
rr4SznTh55wYqqE2juxQ4U4tas3a6Vy8dSfQObY0ZIj6zrl2u2fdiA8E69lKwdSUOvqSpv/SJGXo
bK8S0LA/jCPJn0WYtkSC8PIsiUpb972CrRWc11t70MLLRdNhNPckJyq15tAwFhfrxSq4WN+F/Th5
dA462EDp/KDOAX5m2VvSY4eNegLVGp66RbKru++yr036m9bCLgwbLJlwTa4c8K5OWtyFq89KSU0s
kb6GNiMpx1n99b0OtsqgXhkN5xEJ1bvMuit9gG/NGuPG9zq0D+HKSfVgXqnVARbyb/XJiYKkoIms
HaN2eU6pxZQkdLVf+Yu0Vs7pX1VXqWVH1RFp5/iBU3Z3kFVnkJXfOjelzV3mFpzGuPI8+emVucTG
DYzWqPwWkykVNtFqGHD1+qLOteqGVxsYIVMPXlTtQlt/Tfyx2i6v6q4fl9UmH03grXLre0EYkduG
Xbl7qScN3uF6/5ATRmXt2sCTiV8cTORmKXKapNXfxtD7UrsGljRtUxjMMTyt2KmTuxKqh3rxEPrl
z6XECJB0nf/AGCRCRqiE3HoRwaNebonTPXHLV9BBv5rVC65zeFSf45w5+CfwJA7zhUqF9DrF/B1c
Kmp0g+raJaSNyZ4oRJaavtewK5a0sIhRVjfGujRVRhOeRYaoIJ7fl2hmLcFjeuzN+LFcz0UibwmG
zLOLequj5v0w8xQmGlmeesX0TP1bMs11qN6Ovm1Wz+jU8jLqkx46/avRfI7O9KzV0q/+d+1HVK6p
uyF42F6XQaizaaAN1ruWXrRRr8/qgGVPAIpp+qQL0cihRcOxl8gllI/ZYuFclwr1Ya2/SdezwLQ6
K6piCwW3RJQcPRfTQvDUqkzUBe4JZh3ftl212/VzLulDZF80JG+oecqT7hhndeFUKTn3ECxCOKbk
rFnbdVql3m2kgdgqMTkg7WftDSez3CI9ueoFqYSZSHGg2Fz/iC3bRjPhsV6Gcpr32vA8cHyii1um
u84eoL0O1Y9oqOpL6BlP3qLDx1KlBydKzi09MOZEDWIoNdU6rsSd6udL7SqiTOSA4mUkyXvQTMOK
mPCZZnhp9ZxwrL/Rkn3UeWg8JeS1T/7wfYqyHfk4Lek590A0E3K57EdUShzzMD5mjdWyseY5KNN5
7yCcYiwfmtu6F+DOF7Lb4mWzxN0H8TGoGpylYsrdBTopNtoEjTf1qifFIeCoMF7snOaq+rAcDbmM
0a6sdm45pTrtU86kg+/dZ5Z7U/stzkWO/cqUgR18tHKiV8wf5Iu8xK34inUbIjg3lzozu3OCaD5B
WqCWD+kSbeXGyyVPWb0zj3eBJTdimqg9NDZ9Hi2rHm2LDyQvdeYBFfukQy7fSrKYambs7LwWiZzu
sJEpe4wJFRqrq1u9xqVh7wqyXeKBV4YFXwKrLy+qHnO94ez5tPZtNBwTdflRMwEWY815IgTnmTYV
l4bzah724X23Sr7qrDr65oDLmQEV4YTtKaU1trAXt2VYBGaOPElk2CFLc3GCPvO3oTk29Jrj/mBA
uNq7QJ4CUHpnG10BQVQrbb5gER4ZmZreUOEVocknXKfYCbd9IEQq3DM4/qVNlrtvBZ3+klg8jzqs
GNPfYRiOAWbsD9dujnYpivOABqavQQNlWlbu++aCIe3CkYvlzkvDgEnpfSQRX2sxnO8sZTxbbPUm
JeUoIrsvNXm8NAfUvmH1fVDP2yXtRwQBbrMJsfTMdV9faqRiZCWdRUMPOO8HZtaYoHoti2juIrk2
vegCaR3SB8iOJy9y3FO6NH/HcQ4RAMAvGdvkEkcA7QirCrNe2xHKuFuSiSGWKbWT4E7chiVOtg60
h4BrsqUhlSxZdR3kyrDKqoe28AHRisrbpdEOfF53C025kTZkaq+yH/GYFBz86S5NZSe2HQeMwJhZ
JuPpzoun+GiAyCXnbV6AHEru6iE2n3keovarS8o/ccNTMhiTdTFH66Gb6vcl1PUVyhsxZuaXig6M
BNyOpkWTBE2ND3SYaFj35tcyozHMyLg3tak+ha6+L1oDnR1KVad3e4bRfLRtgZWWK1PiIR6hdkSi
P00IWou4Stlv7QfH8p5bmwy1sJqjzcJ8vBvGt7otrqVNc0i4qPhbob1XbgSty66mXYMvMXa9/qcH
INqPWuLD3BJ5U06tt6CQFkTebuq0z4+tv+avMZZi6kbLwUR3Msr4xZ9BXHkoQ2gxi4esTJeNacYI
fKGXdjXcG1dztt4EuS9dz3OMn35FbvTISBw1IFnv27ItnrGufeI6DXIf+EGTNZfGi5OdjyoZBw/s
Yq/NX+upHzgvpNMm7C5xMdAv7H3GzTYpAN0hvXUToJyUczYh21Z2jJv1++rEXGckhzQduj3fXCB7
1fBv+HjzpjH/4LBhH5a+edXosy4jkJZGvluMdPbo9PbI7mh0+c9m9En2OQDc1EQ+6E0Xd2z9V6JC
/Nr8tCcfPnKU/E70SdwSDHZiCeO7V5TGyyXEHNliHQLHRWvLdGXQeZy90ccjMuDgkjFuR210iifO
b4sriNl2CRdiCgBQB9+BO3D1DaEHqMt84Cnza28A7e3QO5bAmU5WRfJ5i8N5bIxhM9fGcDNAQ4x4
krLU2HgrUT33rfLqVtb7RA/nQuTnyolkRAKwb962YfrHz7XkZJF1cXbN8b5fRnefUEUhCOHIMcpf
RSWirahp4+kZg+VYfmXulGNp6E/0xtLLVA+8jWTOUG9isNTWtY3TJvwOjwgJgVZrPRXIokTNGHmY
HzP9KgkgRM5J+mTXi11r96/hVNsH8m+xb5liB80pvHr0iIi7qk+jW73QijuYFtJbIi7JHQsFOFQR
RwfCBFvCx/pAI3vt7LgFOGjJ5F6n23FuvBILDXchixsai+zSJpBAMXWJfeEPqHhsLkTlR6RWawR+
yvVk5NbWtzHg/1MmjTUF6f+Mmbz9yn+NyX9SJtU3fGMmTftfPugNAYgDGAKgB4Tw35hJU/zLcU3f
1hUtcs1v+neakub/y3Rc20QZDZqSrCIT39a/KZOa4f6Lhtj/C1py/e7/MBLiITQdwyTFyBBghB3d
+R/Mgmh2sYlkKMXB69Gr9KVkNJsPR7OcTOTmXvmjxuZ0L8nRU19M6DiaUzMHhZVot39+KSGy3hLb
KREjccP+8wUmTtot9nLnzBFoObotc+Y0Mo+pAzZ3ieRdXyNBkPb4rsMrPBKMUOzUH/OaYWiZGfUd
mGiHoN50T1U/vWMkyE4Q4TVAhNn/BeEsvPXT/O8XBNynA7QC14JlwNxcL9h/OEOkJmrT1GgxZrX2
QnxRckmBGaCwyMMgh1FzTtdf8jY29zz+j7XFkLEf4j4YTTmeiQm6XzKsOOheTiMActQGA1LJ9G+t
ldgfVuWxZdUbATiqQWx+ysb8p5UReuNQmDql/jwDtJUIaPEEftVtREnVSA6hs//YO5shz+ADVJTc
3bKcfDr9dLCMfjsb9mNqmu9aV+fXsWJIkpkOYD/JERs1d5PuEmSLCEeWwNeMA1qxbjMNtFf6yt+F
pCLgLxvAejlmuIVCf5m0JT/aNjIkvyraXWq1xCl07LwiprLGI1lkJJtS4/xoonEJ2uTmi2a3+KR6
2LmZXasetD+Em8zqcsQVc5Am3sGLrdMQ8sY7KyTDV/vtdnq7cftLYwh59fIZdWjCTRd7464ASU5L
g0U2lQg9q5KJUTii4Gcoa08N2ikvC9AnfPbMInaFTNzdXF3xGL5bEAeqpkO+nvbARDXZbMhZv3dC
7U9C/Ap6t19pdq+nxTlNc84VdrZw7L2XkjvRnu/ScD6XY7FLRfswdyXyIVo2gTSC3oRXl+WvpqPl
9C96JNNk8pUGR/UU/AoDdTSuHQQmAy/n3Pc4gMLnakXiT/Rtvd7LrvqApygHDJ3AIN0aa1rNxIw0
oJewx+Xwx7ARLC9OunMGhOcRDfQtfKiXkVgSdCSSQmvhFFqOZYayTLvoAhqEx/Ehp5ar7BVrisC2
MrvhkFThLWqXcpdqgw/xlCTjeop2lBicQ9GwaWMynYyQf6+0MuKWO/EEwPMeLnyMji+nb0w1dZyt
+M4sEFyhau875wlmskeZa7y60Of7ML+mI3REwZ0w9RW1tkl7uGqe/Cg0kaSUPtp/G9AO9WAf+tPB
kihbZoGGhnmvzwJyqXp6nW5O/mo/0IdjIvWRxC5xX+2JCNc9c8p7zdMzmn/1DaplBZcRzXDoM3mE
6wrWyxo+6snfLtpqXmeQA83/lo4oDzGVIDRaNqWhO4GNe7ThEEsKx30IP3ZL8MPMGc28txZj2g0y
/8zNdk3LRvjbyvBhSYzTGPlP4OzxS2BamL2G6FzKWZBnn25B6Es9JsvJI1ZhmGNuM//il/7VqJgt
UFWCgECBWC486CbUa2o5RMSTf6vj+HHMMrIy7OQln9yL53MzDXTAc9vPAl1Wj85Y7QG1x0n37iY9
/L38MuuGswoIj9NqOIWj9kIOFMZ8gVfS5oVtO0rwBVrjNq/1s6yACVr2AvDhYEWTfhaadkeo/W/N
lYQ14JCgnJNXq0HLlrmLdyRiAGkxdm9+qJs3j889MSuR61V720GmNvkUMxDPI2v+kZFzhqY5WzZj
FeZB1mEx4+DDkeoahj3zJLLUp1r8KfrqIkL9ayxQQNi9fmuS/nkcvD2vFZ1zsoyPesLjPk7oaIww
vrRZ9IuOtH9uxPhnqAD7Jab9CJ6OhXcsk60EwUxGS2UWu7qgJ2faVYhVPwov8JLLozGUt5wT2UVO
urlekP/1Vac0RbBoUCHVXyZpxeKDSPRlUyyIiy2CN5iNMpgkNE9eCxFJXA/8zrFShhU2hzXdbD+k
DTq+Abu3jZKUHK2Kw4lr/W7QDu1pwuwH7UcVdexTUdXcz0Ab79XvohRxAOvcxjLwiKj/9c8vLgNz
r9Ocgxw5thhZdOclSXdbQpK7HSF+6C3LfV/U01n9UcxC7qix9b36I8LXF5mbuPk43zLpq8UPdDoN
Hqzqt/pTg633iYh6SlHf+AFgZdl0U0iAaBpH+yHRfzvD4m3H0id6hhjWM4Tr8qx+988fDRw+56Ql
6SfTaGlRP2xNzWkuVS7yg9Tq56blFtTN0D4vDJoj2dp/vTj6mTE9fMUxmu6mtuhupou22cl6udFz
vznmUw1wObHYMGMEkLilZSod2J5e9RZ2/rvnZPKr7QM7f5z7pPgUSYlNSg7e86Tbci8SUi3m0imv
urS1XTwa48HkSQlqdx2N0kf4tPu7qTOKr27U/7Q48V4LGcc7GUbVOWU+hAm+PxPHWx36EJgL+bGB
VZl/lrbBR+RY8ybDHX60CvPElAnmPefGJyOJ4Mrg0bI7GD99/VLMgyC8hGyoMCUbV0PtuLM6a7kR
h8v81RV3ThbFgJm05L8oO6/dSJb2yr7KD92HEJE+AUmAqrI8i55Nc5OgTRfpfb6TnmJebFbxCCMc
DTAYXXQDbLINu7IiPrP32td+UWNjmA33ofNbn1stMd5i/taJXt2rpidOw/pt+oAlvlJm3n/Nbvpc
lMv9FJF/KzWrrzgVn+PQfjZIpu+KhAyCbnTFSXezdTSIVtixqGOCr2S/Y+gG4EhDReR2WNAEObdZ
129qmEXvw9ybax0uajtlPMxYl8DXYo7diMm1XwR4SxcD4Ccvprw8s+1dlfTRym16Efgda/pkytdT
F1nXnnVNJ613ZnFI3XHm5ec/SokuCqbGFkfLRBisCSvhycRn0E94yHKyX7ddHnm3I91LkIbIvzqR
NYFTsUEW2ljuc5V6QfSGU365XfI53tpYlK6ZFKJmSKqfOBOg69ifB/GzjqoxMCaIDTTVlziqNldH
QS4WCc/6ABTIPOZhYh112WCV6sdn0KOvyNbod7DnVcfYTvZZlqW7SqurloLwPjbWdW065zIrn8ax
YFZZTQeSr2Qhmuuqwlw1MRNPsVZ4+kkAqYM4TAJe70MHzTnKwC6Mp/gTqIq4KZ0k3plj5YKFCi02
U9WfakwQ3yNXRvh6xJREpl8bZtdxoad1zGj14sdZ8CKVy6FEeco/3ZBGunMaZM+qrJfNWKPBb5bx
ZpSAKJQMdDgs5yVJkuvCKh8S2872vf7yFvwWg9W+aCfyKCq6hGQaY3kAtbIbkA2BUdX4YIylJzQt
e6bbhFNo1zcF0Kgt/eWFTniNeNO8aTRysMoh1zIDWDpG2UZjPl6lHVKPAtojhB1G/PXdZPB4KKvq
H6NxthiZZAS/Y9IK8+pW54zvljx6UFpGN/nkz9vW5Emdndq7Hs9e76LR0eFDxKqX24b1steNt4rN
4rH0rJfMmYZjyFjkrivCZ8P2e/JJuVMjhsE3vz8N2jr7TQXeyfogXBOejDUbj50EYR2lZIuge6qO
vHDPVV7mqyQ0CY+qveaqXwx96Mf0Kut4vSoPhXncCndtOniH2rjtT+ZiMMK2tQra0XuNZlLAlyrs
H35/Slxr5XnJaRwIJWUQahESbyB1cZ5TQ5i3kZ17LEvzbmctCR7JqbvNXat+0LHtbuSEsLmxWAst
88meRXcXz0zXh5Lsipx46YLD+tpJK9ZHAn0Vv5eBGuzbHM5Plo6UrXhZ0OHW7l15+cmsmYalvhMF
zsxNQhuW7nmgx3MoBk0pUTH/6dMa5PJwIiH5Wltu9+SxymngOr5E/A+dGJPLNaVC9MLSHil/Iu3D
72dFD5fT8OcHHBDTLSKfl9+vcqqcjD1BzR1JQ67nqLS3Q0VWdXjJqk7qbRYVFn8/H1ih3LgFj/MQ
2vosk1GfRZ7rc77BFpuejcsv/P5qE5aka/x+VW0pe6s8Rif/9fWX+IDxr4//+ppyRkc6KgM7JX/E
X5/+/ZP/6/ckAPJUXMnT7y+RWWqcPBTZUUrh1XSOe6ouP/1+aJmooCnumoYAriVb/37m92vilFHZ
X7/HMlPvry9vet62osY59PtNSgLt8MnMV36mie3+/bV8sctrr3D/+kT3YKswuq3NobjVQxYSpVNc
pUZW3P7+JLoKwflF3DsW8w4zcfeUF3b6kCTl+vejITPMR5zLtdOZ0Irys7kkw2NNytUTSJV17EP8
il33PkkcgJ6SbYDtWXe/H4F6n5nTQwX+/dDi/D444INW0eVrUcvND+gPs4T2Cf4sMBgSaM68U3Ap
eKH3YURHr14GHIAyXqfFIQIcspow9008DWWFMyy75GsqP39r5nJdN+ZD2Vt3JCgk/NOBT5gG87FK
9dspkh8DUBW6aEwB8tpV7Ru8O/bj+b6KjZdpccho7OLrdGRAi17sAt3xnO/ZYqoZk2AbALXixA3J
rWFFVZYpiLHGb5HDuhF2TtxgDuLngaLh2MfMijv+ldLNUNRl6WEoUfeyVib5ca4PtUDI04sZvRSm
6m4y2IIo5uRFL1yghejO4+I6NNFFSRnfFMnjAO5/Az3EXtfkvqFblC/4cH56XXJi4mBy+/oqY4zO
kcuKipXJyaVmWEH9f0B9Ea+KnCMh6sZDONbenjN6bLDnoRVwNhisbu1ksJmXy4euOMquvefWwfo/
Pru5/GIi8WEhgk37BHGiochKnaLDhEC96vvtTA7xlaz1TnSEArGEJbJzzo6xqXI69uRqpgMkjKg/
1XZewthyMK6MMbmTRnhqzA6auTfhpk3ff0sfRc772pDtU6YvFnP0MgP8tyRnAZM5GHT1JafY7xxM
bfbzUlJECErevofYUldZz45iuXanLz2JlyGk35kZEYXLGz78jbRxyMD2JuH41Szk14LmMbmdFT4e
VmlHP27elDuTKZibgZEt30Zafotk+HKq5gniOTv+8sZW/bfhim0H7GTVYe8Lk+Y1quLTUprTdjaQ
ktjsKgYHZ3U0EHh9cbuyEL12cMcj5eUNa80ZZmbkiCFwFQz0mE+zdDOyLV+Z/fQG3vErilCmmoa7
T6WFwUAdVc07pIvndIsI4ZuKf6Wke8WP+yVismLb/qGX/Quy+5eLMaGOZL9CW3/qsk7xTmQLEanE
PthU9NjWb+vCuvVF0u0Gmdxrw+4wr6KEarriZknLwC/kR9SVb4uTqJ2sGRKoEMDL4kTPqV85a9vF
0pJgdM8fB4tWsxI1vLVlx7M7nEbamlPPtGGb952HvQaDORAfe6Pc+CcXbDdKnEJQH7ug6i+4rfqb
aRdbbzzFdLoAvavUfZVOcoaFn6xai3xIBIbcjPg6/f7eFUvBNi8olJnsGhV+RTp7Seb+tmnrKeBk
P+jcjdd29EiUBwTOsWdb2mi+VbZzdoP8uhftKZs9jCZZfGP0LvI3ifLN83gn5a38MDrKWwT0VTsf
RVc6t3JGR2kZvE4Sr2ecGWee0h9VN0dRofPAztRstJ3jJWqZwpXYkTrT+JbjZiS5htGU2FVN9llJ
QVJavXUGF6BfESwUIxudalJh5Y3ObqU02Pjmr9S5GJMR/dkX4kC4jz3DugNmt+lSJvdhTGk8NwUB
YKF+iuvlwfLYyCU9ZS7tIKHpuARnVkkISftmh6zpsUktfRJmd4P2wWACIM66AwUhQqN+Rhi3MZf0
Cb11GFTlfKncEdhZeyI/JuY6zhf2uEtYrrOuGaUF9hLvjQI9s0aKBgZ0T5DaDeK7HgxcxU6xdK7s
UpySOs8xDHcKOATKZbeXtwpKwq6Yqh8v6lvuC+ot3RoU7pdwicj8M/J9KSucNrk2BO9lhc9r9G84
oxE42Q3fGQrmKsmdXeVivS0bEOsslUvrDX82SPrCi++yxLpxofggFfAYHBrtWuLLvYN9W7KXa++z
YikoUibs+YGVCz7dwGSpOvaXejwio2qACegrGjWErkWTbYsUbPs0vuZ2fq9VUT77Q3vVT1wb3uj8
kdp+AA+0BH3ubXx8O6uYcS3SubHZsbiEXlVn68gyjUN5QQMb/q3NIJuAWDdQZkF2iIW0STfVT52y
ydOLuSX7zHvIOhY/yn5EAU6DnJb3M/KyAEm13pDp/tyxjDPrjLdp6YZkl/ZHF6H7H+OSrpp4xArK
DTYvtB3iVOTEBXt2PQGb6NnqFck1o4e3ll9ZiXooAjp+ktGAPeyQSW1MFJ089QTuxS6TtZa3PHv4
bdvhjW3hVFdL5u/9EgGG33KM5jnAMSfWm0n8SdmVH1EnoSsR442068cszi8BJ5nD6G35M7YP2QT/
xHX9AtEiG27pLQj/uT5qdSgizz5bDj3DTNAMElmsyXJWG6S95dqhwl/gD+BKMw59zhp8rI1ADdxX
sNS4+FnHoddpkZIMTNcqeZ86zhOhU0HOo7ydCs0bRjIjgRC9MiygSZN0zpPtxteAJh+XxHpmguvu
GohkDPRZr+P6IFjNLrnde8xCi+pojesbsoaeSl83gfKQTcmwWxFsjOAdT5ZfT/uYTf9KuPIw16mB
4q95E9nyYS75ZUlrHwTpr7vZ98qtSiZOYWZ2ERQ4jrVYrEYkgqPSt60zP3QGa/LMMe7SKrloHJVk
8xk4fWtu6xTjiKpzfy8c9zHPt3PaDXddaZymXj7I0Yv2Oj0g6MTKFMtsW6p2Gzu8ShjNGJ808XU+
gqyw8B1geI8Jp5nKq26Jnv1c/OnShEGIU687OT27bovZ7TfFw39jyCYAhCSPk26LbdI71kE2zxYK
oqBI3AlLD2VB5nwwcYWmKeqT5fCfb6bZMRzGe3ca633s26u93TfNtb78wUwPV8w/jNWsqGpEyvgL
l+bWhBueat40Dp3QUCdyJ/sUo2vhPakUmWc+W68Ea0+3vPEAifhB2oco+S+gi3rYp5W8Q/0BcNx0
Ua151Udv2MwS0QjpSxJfBtXU186LUxtfw4V0EMnugIwo3jmXLr+s43PftPf1IDfMQMV6nE5DEflX
cZ5+jZITtWrUnTPLJx97GLJQjQiMM3lth70LvodowsZhe+AAaPAn527yelJnLlMVcjm0/yfHcAmT
AjFCP98m/huZoy6KEzzag9Xj+Ez0Os0UVxDaY1czfZf97VAycJDMTIqELXpR+OBKeXT2juk/dfHI
dHnFSIr8r6n78r0mX4U+JIcoJoezaOV5ydx3x4k/TSDBmTpBHH4ThbprZyIWnSR9dgeaympRu7KP
byR0k0Ni88DPbXNTdIBF+9j5pDNAfHgqY4tADx+3ag0RhgDVr+qiIovLFjUOmKmSp59DhHyO0JKv
7egzalFvzSBwiZaIhxuEdGkj+6PVo/0Mx8zaF0N6NqGHgqM1HxlpM4fmqNcxkQue/4nQ+n3wmjuT
BRT0N4zY8x2F9d7SItujG0lImnsqJqoqsTC9S0tmi+3k/zA7zreJMih+IJAzNraLMjtaxVvjN2od
1g5ijKhKb+Yo3FUDd4WkQw0IEOn4rojhHjs4GGi3b8h364VNLHMhb2aS2riwofxN5jMrRrZJ4lIu
AxkqHZdtzBZbKdsGR/wskeMFLSPCjBlQsHic0UgJ5MrNTHMTtQN9amhzrQGASvxsa3CBYWnccoB1
vE0bubZEelZqKshxSPYWNdmmMNx+W5dgYL7Qbs1naDnfo1d2dzI6VaPlbdoW/UGUXF6hBIuVqKFx
hfGGoBm+s4/J/0NUDKMjowWV4Wyg+FDkZmpaNUb/EZeSZbxpJ2uLVqC79FPxZUFQFsa1K5gUeOXF
l1QfZVaP6ylLoHw0adCjzF7HzA6Lzn9nXAHwHok7TdB9m0IvLYiMRmwq8A1QHGX0A+zO6l1GqtAK
mPZyanR2ToeG9JSacNEs6YlHEbC4IpC6DqiNwJw5u2TM1s8oo+2YzbgZQZIgd7z4GlVrrIcLOtwz
p5mu8GoO03hHUYFjv0/eQtUf8tJMjqWOjwWnuQi7/thU5IuaXo4wc+HwwDa/TkTPw1+yOSuHAQqA
C8sF7K/f6GtIpOff59c1JBtDZr3ogWamGFwwlfqRFREa9tMMWG4lZhQPwpQ1uU/dE1bxChhGdDB8
98MY4Wq7tbeJ0vGpXHivelhOkTFa9wk2ubPK83qdGgezjIZNs7CIqbTMWEHK+8XO7rS1IMQCro7C
1v2IZv9Jp4LRtI08MttZidntikxczdDaOYJJPMoeUXwrRnukF4RL+pKO7PD4P0rWuRcxgKogOajc
ByCW2O952HzniX0tKoz4dmnC23DgKTX4TKYSGpVmijoMvRNMThD6ySOMWW/DTtlBeervR/uPKU19
nYBOjs36xy+4d9LQAMWf7yKZcDVzVBgJzDY11neuvKprvewr9EFbWy6Pdd3xbsiibZ/iu7Edsl9G
gqZ887NqCP+lk6sO6mNM03c80R/LgIbQX2rco0P6SlOJKhmVceXAZB00qsLcFCW3KRVWwSxjEd0z
PfaHWasNi+0ZOJM9wQOSWLFLuDVhy0DTAcJUO8k1Y+uVbREkZCiVBJ3F6xfagOKthIEuCfElgkN9
LpKF1HlpsmyUg3/8/QmQD8pMD3pRNO+thQxXnyDLJf3DlS8C+I5E1ebqYSwYTxdsPBF9gXovIaVk
fXRTxfJlcQgrMpps51rLRx+uaic9z5HMcER3b54ZnerRk8d83FmM6oBdR6/pkG0Jqw6DNuMbYO36
WcyIcXIo7c2Ccc1Mza3o27uomPU2tmfIypyb/kTWMsk7yyFhfbfA7hJTuC/VFPTNzNsi5BFJo98U
h+jlEk+zk20l9m6093MXyXscJzsDJvFuHMoH3ySEOFQZOiD5xZhgbzHyAUDQPUVq4jaWrIXdyV7L
7vIyoX/j2L3x6O642Rkf2Go5S2VX4LWdK69tYLRZxAApmkfP2/tLvqESJYVZjM8Z6yjf4nsYc+vN
BAFD1BAQNvY7FnuHXdzl1iFsnFcc5g1AIgIITFL3vOoy+rbil2Z6Eox1btoijW+JMMa1rfW+p/2j
QyTbeTTH+8FiOzsVJFxCGXOG+2UZfwqWbj09+WaMxq/GHa6TJM3g55PS6dOeFCXr88y1xl3Z0Pfl
STluesO5LRxqDZeTYswdvZYY5gPvl/pYo++MiYauSp99I09WGJanaIAr59pc4yJ3D54BtKBSIHvU
sJ9U9enYi9wT1BuvF4hwUSzoDIzvBg5MwKIAN4hj73Ml1QU1kQRTW78hPnUuzrIk8PieF6VvamRm
MLJQy5APQbHWbBksGnCNw0M6oTQbe3xgmc+RknnXcZtOQTxZiLl94svSnMZ/WDLCbpihOqG7Wji/
V0a4FO8jNtgEGFvZvJgXHQqXqcNAgUKWUGgJhasq0ygwl0JudD0+KGalOjvUsstOoBDdNV4EKF+4
gtCDQTtkUBawkWeSVeh6PaBTHmp4BtBs0KnZRfoOVsFcP6io/ZPQmR7Yk4LNkAwTIjaSV4X6Gbgr
NnbpvGiSPOd4eIoHKt1Mr5rGme7riNu5zopNEoHIB0qxa+zlBXGAhd5UpeAqs42DlJFmyThJ1X86
o90EkfFB9N+41zUEES+xoh2GQ27GsX2v2zrZ61adOEzeULI+LZUskDoDOZto3XXtYK9jPAXEkVad
K/HJIz3D7d7GRTH4HGkywLCtGU8FYGrndW172RZVylUWRxJxRFwDAmF66NOoVzG+MH9yPaL+WMNP
iJJkVoWYMgYw6jjBk0xR5g8ae6d2tpWc+5UFT8o3/BgPVL2OdXlvkCt91Zbdqz+RLoBy2jnKiDJW
Rs1mMkj30jloK8IMe2hDexL+ypPIhnbNjCtfOVUEhBqZd5JdWV6FaEDHO9cmbLweqj2vTXQsUqYn
tpiQurDqbKk3MN31RzrbdM0Qxrv4k6rLkPdWN2NylVKvF8K3VqTr9HtwXdk6nU3E1Nbw2LoYSsiQ
b3ZZJxhRevTU9VicjUjA6EnTh7lV3cbH5OOwT9vPTfIna9N851TE2ObkDQ5oQqYZUqnVJ2d64buI
OBbk+prW02RdIPuaDdu2FGERDLYS7FWycwbEEZDFGrzbc00rUlHJly5jGgML6IyT1inrJxMaRQ56
pDIZY5IpTMma5+YxLacn6RG+Yg8Uf7PnzxQVYmsOHhZNQak6+/GuIdQ7Ff49fob5wawyBMQIcUPX
HAKHNX6uie0JiZLijO9Iis3WSM3Mi96JmpSJ33rIe5TfWI/O0JHecrqwlfTpjxenHjk/h2gt/TDe
Gh1svHDeR4M8Y6wE+1XfhbWPUU5CnGm7bz0qQmYGYgMmlp++uHcyj+eXxeREE4dVEwVrZhQne1Td
ujQyIjhCZ+MLs17bqeWu3YHJtlbeTZk4H4OOGVRB4SEEwkWSXLTGnaZvZF8RtUhRxckwF7Fv3PpE
vivBxDiv0eg9mvh8thAgWAw4/jpy+VNGHzawbafbERKDXvTJSdXBxuCwoxVg2KrAEo09y4CF4kCw
8EkE5tA26q/mqkHtTxosyppT7Auxj1IoGhNSnBkswGM5WWhEWNQHxoh9E2XOyUrde9MxCSyU6UNa
cSS2EaEVsd0CGHetG95pb26Ccy/ERYcPuWhJvmTKJxHWVRaL5z942PTGGAkmqOhWT/zicsKy7AKT
2WfETRoV437bxaKA78LZ+YXlrszyldyKQ5sWbOG08TMKuS4pQ0GgD9m66W3c8Y7lb/FU5GdGLOY+
G9XNkBR6OyM8hvEAo6awUtSNrOjIvf+aFnfYLpm3H0UDx3UqCZwR0XOsrLeMRgPFvZZBIlgkG0aQ
V20WuAkjCNFZP8UMrmGZIUzEPHFrqeZTZgz5ZtCKZ8O0v3Ktt1PCFImFojSWZJ9nd43XmlcIITcW
ZN6dmSvUcEumLkbO7Jp32VdvLsd0IcpDTeSfFZVNGZr19H+uCnchRwi7XsowJzuFUXYzpsxEp9ze
Yqj3IX0J5nJCfZtMRJkgppfk1IbYJItwMbayDh7lviu3XnJhA1g20qCcs9Az54t+wl/zZFSnXt4j
f0L3B4jJbdpjNXDLgEJrLpqr28mBGqbiSPFWq3bw3VeFg5UmTxpuAtReaKWZgaLXEaumZLaQ145z
tIW41eZ2xger40yuCJZ1bgdL7t1JZkFfM9dMpQgo96tgGudpbTbZc1kHtQWZZZH81dCbuYyavN2P
bXOHD6ZNsBdnpEDjg6hQFnKOr+j0dMro2hzSP+Uoz4W3AQo8bBJNADEvVHJni2qvBGahNqwxqhCA
8RCSxsO+bLeELKPgrA0rORgvYVTewyqkqsuwfRjuY79kOSX8W0vuGUe0zwSlX45MkEqrPnTZMO1A
RfDeRgm+juzoHUobZ7PxlDmgPV2J20CU7UFMCeALNzsuwwWCY5HmWxtU/1YvzqnjD3g0wB+XC1aq
SSHsbnG7dj1c5NiLaI38l2U66Cn9qevlj+MXUEFRElQ55MgkojNyCmBQYeZv4iQt6YjShzis4QH0
kzjkAv5njtC1HdR+Aea9YpNzL9KhgDSKmdIk5QX+h/UaYWkJ0DHj5v8wMwiZFIa3pkld3Lva4hry
aXfHcq2wOBHt9Dj2tRcU7bs9G69W/+KUKQ93hyDQZGdN/27m9Ev5fT1f+HUGewKRUjeGQ332l7eW
8gqLkvR3CtWcYva1x9f0VRnTHbChtXKSflua+mEwq/cCxZyoqwPHT8cUR9WYPnp6cAX8rJuzW6y8
bB8RR2zcoWD84beQ9SABD3oKcDihMRzK8WCYxdZ0ccFEWmGwxmKA3yxxGJB4dvejKD392kgPLdAF
cGmruQvLlU0IX9SoT4BxBDTQE1yW0B4+a56/dO/SxK3VIN/zST8UkBT3xsSw+pLhl48as0/F+IZ1
7YG3MoQ/sXHiC9ZC7lI/bx/iGtgyVv2aBpWXHBRceMxlv6cOrLkEjx5zdJ6PgSUKGpI+8chFl7c4
IZA1hAxUPCdcCyaP0hu+GgspC/8xKLhvwlInu3KBr1US2NUxaoyz69xYgCxyRpfl8ja53E+N9dBx
c2nkFABqKTNcROT47I0BPBPuX2HZYHrB5LfPKFmopWz8Km3BVebpbNuzFNYUPqs8qpeVXpY37Ek4
jfgOA2Ca6IvtZb30pG5FOe43pCp3zQAeQiM31pNx1WfNpjH78jinaAU84Mm8g5W97nAsu6wwx4Gt
ZDbcK7t4Mhyc7603Ht3uyhxQtCR1po+e2b00ILeva9d5SI1mGysKughw6NaKWVh8knPWbl2aeKwc
47inLb1SOmX/dxZ22AULm/F12nK2S9fchwAVJXhNV0a72dbtavDRDYeu8VYX9Ra/0ry1p7SjoozP
MwhPRm0GkbD7iutn1R6FbfJmjxuDOXV1INEY8Opk5+QKcD8ywb2CCCmOfqUahoagZTs/mAv1XfSB
N1HEeG6/q0RxlyD9JNt5sQ8Geqk8ROAa6+oeMhvdDAMuc0C96EDGc7MRiXq3JKsFmgNK2flIDOxF
YGjvO+NCScWkRKxNjNjhiI7iB/kD8Qxt6WxdZDq7eaLeXLKxuHcKcQVwLd8pTzzXHguemD3/GtpG
YCbNBW2Dn5A925otyrJpNVIypzIoWLkuW4EfBo08Cxh++IiXQky6dcflSaTwwRcUYJhzETsbbzNW
q2C2BKGxE+Ky0R8f4qq9FUv9YKiIBZZpfbbsGsBeAbKu5pMqp/scsGVuJuz2vZ6rwO/f+pkmM4Tz
m+SIwzr7swnbR9e0/sz+oInvoOfBnWnltFz08EgBq2Ch9aYENOq1YtUgZA2eiVvQA6deOt0doeVX
kQIxZEzE9sEm4VTkH69NMtEZezqXLnGubOZOjB4gQZ2tiRsvJu5knXgkO0dwJmZOm2H2HzPVKCyJ
9a4zIY1rz12z1aTyQWnIUMUqau49ZFOiUhdkmFWuVAPjdfLJG1tMn2B4mGiU5tXBqVBBASEegmTw
fMalEDeB9hMh6acN29/xMe1fzBKfE0yxbheZ5fdkeu1G9Mkh8ur9gvHp2mrWSwPuhbVyTkQ2/POZ
URIvVQ4TPzCfrN7D9j6Rh21BcG9S+tk+umWZgRlJUeBD3EJWa7enPNVfwvf02owuvaWKM+7LDEJs
s0VV/NEOh6jDAbGSIRdyNhrTLp/sYK6bj9kYnxFw9qfLvDdhjR2Gdn/shu5zRgpHcCEEFSt1OC66
ZMSOZbyYzrAjinLcgCWzWJ8yxJBKEc7BWTP9bgUF2b3EiWVHDWNgIK7AW0bg2bkJgVMUC/UiqwCj
mXYitr8am8CzmGlgiou7teGSF+nWI4JIJXg/0CeLv/Iy/kfeqev3ofuu/+Xyez5LMu2QZnX/9i9/
+yh4+PfHf/yUzT/OD9vH//6Vf/uN7b/9fjr6LoP37v1vH2yKDqDgXf/dzPffba//+kv+8yv/fz/5
j+/fPwUU2Pe//tNn2ReMNO6/o6Qs/m6Ewu70/3RO/a//+L++/i/jlPXPhsWC0Pcsy0PppS7ZJn8Z
pyAC8TmQcYTQuK5hYK/6P96pi42qLbHb/+s/KfnPyvZtQBS2h+nJct3/iWvKpez/m03Idjl0feoY
C14YAmbL/G8BbKKI07jM2204wGXt1CVWwfcPYqC9H1A6V2X4mpXC3UnCehGoaIc8vBTYcZAu8UeK
ILbi7t0YuX9YCpYiPpy87YiCIDIG5LzzY1MhoBJohMhlH1YpiNstO9FNJfMPnfvZYfDCV1RI3Q7F
+3KIUBGTck9WRAPl/pLrEqv7RlibZWGpnDL52bhqZmEke6wQEzXIlBKYwHEHhA6NWvxMOjAwTGxi
q14ln/DKhnNpdHpbDUwMJzlNe9AnP1NnbbWt1p3lu2e5yObBAbLP3fI2eTXSRMy4sCgv7SgzQ5lK
LFOLQyfvxOsogyMUL9W4ES7EpLoP37P8wUXiXPfeK3HNNEFOP+2m/sWvonPjsSXDACDWLf6mMBkB
51ssFKB9jtFhQNpET1ofAYPRgxToRRv5M5TufSnnN4teOI9cAgcm+DYlgmyn7x4KTG5toU+mYd3P
yJFZXQPrqJttqwlHNtiIpcYtlJ1sVxYPjdnw/2zTUZIcQSU23dk1KrNh8ta1qt8tH54PqTVHVWkN
k7E5G06PICodNkVpHmdW/MeZCExttLiMm88ihAMNqLVmTR30pSbkvEd9VOWvOULHFTp6kzqiuarz
/nEiKWGIrTdCvj5mEkdWJUm7SdTQQCCJiJCQzk11qC4NNWwNrpoxBh3PRmgz99LYLAVqpIEZvErQ
9vYhSmVflhnCkPncMiZD8b08wgVCT72ynA4FGIQhBoH0UsN80WTIM7QZmOeY+D07SaHYQT/EGZFD
s9r7iTprQwUulKXVwPItGCsN8FfYYu2AIpjDPKGtjQgs+2kZcV+oC9NjNVEyWYKq3/VBWPl10FX5
0+CdBzD+cOwQLjh2B1Le19fEoDMOUOFy7MtuOYSIC5NExDsJ+nbVBa3aDTMpk1kmtnXbHdEjZWsT
6gVB38O1tDVj7wGV/RJa3+aAPxe5mE4yfyfJBQugUdwu7Ds67pONPQ+vC8/aEcH9mnb9tfDeG5GB
66xA0MQgiXnfMUnkiLnyx/JxuihnjGK+iYdDW9rPxvQH9zt5q6pACYwHhwHORJFJ9LM5Zydch+7K
GgfE7ub8xyC4Y+13ESIMXxzmlBhoe9whLDrRrhPfEZULTiqKIhB1N7pnARqrKyxNpxyXgJ+Yf/we
h1SP6d/29Zu5gFAQVnUV6W0+2Ag6UHxJ3FYEwLGZWAZqj2+sEmhaofklurlqyC8Antrf9NX0XAr/
vcRzwmiL7Zzr2Vj0GZC49dJtTWYyO0ijZO2om1Z4m8Zor42ki+DV4Cef40PH+o+BrDxX0J1Mp4D1
X7/KUhsgDsq3SHen0hUvHRg1HJb56gJBmFllpxmtQoF9dFRoaMi1fJ0Se+cwPkgLn862mx6Npb4f
luKjg8yOqKRBARzfm1FMwWoOKoAZ7q5LJ7xs6THHdDC3E9u9SgzaB6b2eUS6looYko8pciam2tH/
punMlhxFtiX6RZhBQBDwKqFZynmsFyyHauYhmOHrz6Ku3Ze0Pqe7sjIlBLF9uy/fxK5/r4fqvMT5
fzJucZsvT2brvvW9P24zr25pL8Bt4hVIAUPyEMXxGwBBSCY2B9yQJStUn9QmZkm+8TK27QGhEVxW
RxdI016skBMqos8SMxE7Ut8omvuZPHbE7A3F6L16GkULKCPNdulrC2Uo0OOK+MLn2JPc6gZg19Sh
O+Vwi00cO3mCrmiL6q3Jnv2UpSsiKPWw3gEwGMtuYxp3nUDZEZkMqpFG1jT0tvPs7cQSfSXs8EWF
qYeM10Hp6c33NaNCcppkR3FJd+rCtjzXk/RW+yc4TMwapEGTTeIwbyhMr9VCKoP8+MHrHOA4Jt15
Y9k4IDwmqru98kuotj9mhbqTwmenYOOgMmsIETy9afNcTp0B45cmN3FppfkRdYg/tJB4sM4p4OZu
YBaWOir/0BYQLSuX55l25A6/AiYJdFSHpfFmrqxjTfJsXxX4ZssnARoKrA02jGVyRTDP1cGgRQNE
zSu3StTLRRwHyoyzejglyWMRmn87TmnsurTYz95Dq7Bzlu6EvEnpvJvTxdEbz47VftpWzJMzqIvk
LcKCKjkIbjOzB/kQWc9DQnIsFV/KyW2Ivt1nlWi5JzcPbyzy3g2MgcHSVOcQ7WgY0hc2NCy9luge
Rgif4ka+TAVmknomEjiNPm3AKzLITx9KVkQrd4E1W/xCfQ/TMBxi9qE/JdNiyqA3d/WTY9dk4+Y+
RMcG90Hv833qiQdIOxdezLtqKDiLglZj9Ulms8vJ/AqGb0CqRFyEtAJTIK+Z1vBldeT1MgYTcCDj
wRidnTkMNNJYEVQAybAmio/Jquh3SnIUqbGhszqV75MC2b1QHTTgWs26NySCi2Zw1mGXY5zBzTWm
fo7IdyBnxEJn/O187pj0qpxbSQ9A1CbHxveY+2wEF3f+M83mDa8RvB1tov9l8blSmMOmum/uMf9o
XYbbDuJfOIKt6TIWNXlmZ+QxZ9JQ/W1IU47xZkGFfPXSTxXt1anEWUys3My4P7THNnpfi7ISk9oJ
BZUUa2H06aacz5piBMhhR+Xl/77ImDSq6N8x8hRs1/XNFHR8GgMA8co1dnUOPFJyYBuSuIDGxmIq
9L/x1iRQKaKV5Rwt7W0RiQnh0Pa2LRjuiPYZ1vEHL2dKmdLx03Ktd0yJz9B2sDglyd71HVwt5Y0Q
MeMDy8w9PwKQi/ZMPN98zYcCEdoWgFwLzyI+YufEjj/SpIGBP7t3fvYykuUojakDY6KeXYOqjtn9
06OltwSK2IqY1r6begz2qfenG/NvXOX5JRvhfrhLg/DYu+/W5EdUSwBWicVV4knj3udwVkgbwMGU
/tybZeufuzx9KCQ2Y090v6IAD2RXWfji60cXap/RdfW5caDvJct415DlDzmsBbFRsj1d3DywqcqB
7CHvVOab+yWPUq6RltsQymQXNw/51HiQi5UKeCnSrUWUN3Js4wAtlXScRWfb6Lx766dksuA5wu69
qALbfIiHx4/YIfYJLt8VuZvExHyHlDdOrE7VJq/rAAc4QGx/oE7TxXkb0dXkzCylhwk3DYRKo0l2
ZCaahG6WTDp/HZ8nhs7HhywLyNac4xUMDEX1qU6d21zY79MoT9MEgpWz3m/lUlpUZc21yMat0k2z
9slDzvLaN6qaAhkKdiDOsFfZ7AZ+cXMKDkSGpR+UMZ8o33sbAYlgovjbGBjG3FGjNKTJM3wEbjv1
tHdTkt3OZJL2mP82QlEulngPEx7cTS2MKxfSMYxgwrkFv7kka+AP3odcsAsh+WHNGUEBpsRpNz4i
roMYSyBBbFD828B3UfNH9ej9pxr6C1jNaraELYqQhRjZmMdpQj+e/xLdxGKVo29UhnM13SN+Bfw6
fX2bDT8+1n590U5xD9j3Qnd9YAh/27NnTN3ioE33LUIo3ci4uI0Nq3aMCBiMs984g+uQNu++oV/I
vONBA95iu/I7lnC0OpPqUIJX6WNfY/O8rWVsserfVBw+jhqDmRn2/ZbiQhsxR8qT3xt/4eZsGUH4
KbPoo00A61GyukTDmzvTw1Gqn7n68ayKf+/SslSiiio7e24xRM8gNjf+7P/F9uOA3mYHyNoY4oL8
i2v9P3YLdBHkkwOGhu1EysvG/m3jDPE5Zbeh7LVyK98ry3rpWvayPPx+ZGfdPGC3m9ix7pC5SP+7
WDLiGZK7+dhU8V2IkiprNDY3f5/yYiP4eOEc+2pYZDEC5ttoEKw6h3tDN8fCr34Xy4PUVx5MJDCq
WKhNn+Pr4rDmL2L8a02uORnIlvhEjsAxWs5DCgDMcOlbtc4J+ckAUp7gIT0/jJ31R4PCLTZzzvTX
x9krHNg7MScgsl3MYzaBiHLkbuSaD44x+XxQIiTI8rnLrSepwnezJwIgZ7Q49qZbWRIe8XgtlqIk
ZKDChQs/exZzNmOQLd/n+SsdxF5yjKV9AcRz9WqOyVMUg4m0c8FKUxM+b9ynKjZBWTcWJew991E+
ibs6obK9sk5LYnIGtGrEU58gDeOh7XHbSEb5bFbuoRwYfchTnZWPsQrlnRKSENhYgkeXIMd4tnGs
erVYDmNk4y96Vg1vcTtlmptG9TtL99r6UACG1RFj1Ch0pn/p1h4Ifx3cLFUcV1P7ZppaDCBQdZwS
qsAS5XB19b2Jq7eDSnTgLw68WeE+csc7q4nnPfQQjpBGkDevc/tu1uS8G+z4TQjecEJvJfAQssyI
vWEOOpdxWCXWTzSnn21XV3uKF6uNchkOQ7Oyd7WbnzV736AviferH5wBzQG982bRbQBRfOW0JVW4
DfviVJWSizmb7y1/tLegtOQBt3SrqWNW6fi7CMlOnSMV1IyjzHgrrajMKTtj30sT6FnU3+Re8dDz
dCJtfcCWEqLnR/8Njf0fZ/hASeriBsWaIZwIlrOY2K3skUfMFvEewFl7SWjtiV3881jVxyCWjPn2
nD6hHWa7tAzhSKUFNmK2CNrjmVLa0U9jwlITo5UBtFIRKyTCdkvn712Lc0zN79nxNKjgONcpn3Q9
JdYuNptxh0ecfQjpMFkufMIlm1CdABsw6/AOBMVc0xZVCH+nh/wDrzjYMkIZlwGA/MYBJLxv47HY
dHU57sRriPGZW3VhBInVloT48LXQWpmJjrt2g3bTtCGwOenuRLr8eJwL8iQp7vt2PfmVLBkSknmF
3VycXLcbs2NbMAHA3cqJmy5tBvgfR4YGw/ef7X4JzNrz2WxtbKaGI/5NGiMNTjA1lEmWzoxyLkN6
XUQXW6o/Ll2VBwG7LdakDfKSphYvf+szzJMInOMOQClJuUqN+26MNOejgcvCmS9T2r7kUcWwT+eD
e26qktMAtw5oHCKo8+acK/Uxuy8xsfQtzS7scnS6g5tK8QaUsqJwiMbp9TKUbAQUwJa+52ETw+CI
J+paEuFiNqM3b9AYS8zkxaDAbhV7Hrw2ooyA1qJKxcRGdBwFqZtChcYhqopV3E01F5byK54342l0
nOewQnO3i64MdI0VyOlTDqOzIYMsdDEqWS0o5yjH/eeP0W5y1rpQh8HNhVapMX9tIqzQTtkX6P3j
Z1mQTYajTbqsbAoc+eXTUMlp06UL7nkdfUR/wIDOT3PpYNsaeDZOzvCjYgcsVymx9ZCHY31Sbku0
62M6otjrWkjeNojJUcbsXc3+2V+z8NGfWfDcWQyVPTf5cN9wrHAzrOKxOeaBN7iwBPhhvew95mzF
SZc+86IlshUnnFjsyYE56BNuLgznsoy84Ca3VCAxzg5/lozBE/fjQp3LaGFL5VaeMUFu6xSHRm17
LzRIfzF0t3s/HF5cBSgwp2Q2NdIXe5E59kRYkFZevtehlR5rEzJtseidlRjH0GzzA5f4e5z26aFs
YnMrF/E1wE1TItlKw/tr06OAC6j98hmO/hECtXXoSxGRGJkZ4+e4PUUXBn9Ixi4ZBHxk25rPs47y
GveZ+m1Vt48oyjj903Vs9aVMh9V8yBeaqQETOP5ba6bQLWzKDt1v8Ab9nnLeOPDcDx55DGlJOJ0i
riJ0J+cOz7o+7e3E+6JxPd9Km5ou6osm5oMCqroentgubOMujK8eUlXiO3R9EUEy1m2zsBQIJQZ0
KjnnoyeKJ+4EYGZ9CjtKi78YmF8dcFp/i5snewQo4LT6tOi6OPKcJI6foJY23BcXeAhzYnKhUpSM
Minu2945tC5ryWqtFsO+jv+Wasq67PkQjdW9PxXVDnSBDiodDUeX1A42vYoHtk8N/QJbGscoXgNP
HLNWn7XZFk+T752GMk/2bE6YsGBN7LnM9a4zdPRJ1Zsj2XivBOEqav2tjGFWRIkdETDMT8BZ9xBI
ykuSiqOVVOBy4NAwR/Pt2IGOD3m0dIHtv1lSA5Itsn0yTrvFtN46AGVbBf1nWzGITtFwk9wK7tvF
fkVX/uobLY5GyUN5MNLlmPlzSxAi/M5IJ5K3kXjgxE/n6u9YcDZa0ncOqO2ujh9aWmF3g9SPVHCt
8k3SbiODwc/HqLUt8lX57J8HUYa3zMtPJrWMG+LxzbGh2yiMsZrYHMLquXjjo3zX5XN8odJpC1Ok
Mwe5b+r4avl2v3MbuDAhqKM1e5LtSItsUkInlwZaYjBmGBsdIzYuUXGI4zg8cAT5yJxBbPu2e2j5
UO0BBBG1SBFygKHv+TyD1yHDWHrg1gWnCZ6mlDHwCcSwRMu0J1oUsb8TJhxW7tzOU/AAdGbw/Maf
BytqsUh/ZaYNhrTc19KzbwNHwriHtRwNqDlOnFI7V+NQME+ek4wXt21PSsZVUNccdhsidqgj8aEG
dVizWKc2r4aS39bsQpeKwNO0N4BjBTIz1KkDIWuAlgrStmVITPQnNpn/ImqbNzmRns3Y0j+LoL+N
rIo3QUXoemp8G2f5na4RQLe3n/283S12Q4SqIfZDZzlgAmuvDZ6gCo9Xz94T/1Ly2tooOa7l5+wy
4ImkxRg0c/qO43Nk04ozReTj3ZLSLeSX9rfyE4pb6ta72KDBtxyJ54D99ZczWh/sWFcaUajhSde0
1a8go9EYr9QRoESH+Nc1/grKTeB6+Jfc8clMTCbnD1cHfjR2NwKirGBowQiiFa0NEaShJ47xHOsg
SB5EvUmTLuwHa6td8VZxq0TAcKKtze20r7zs1unzkhKT4yC9BPCRn5w0qtbZEu6GkMaRw80B1nm0
s7I82XrJTGWLa/MSJW7AyAmE37Y/XYudBy7X82A9dKbVvJZdq5+XmYyXja+z4Xmzad3VItOLfRd5
h7SX8UPePpKtcNUa0lmwTReInLuhWRuNW6uGwybLXQvXAyANl1erkr09yyHQXByw0tz7WM0PckmP
/loBQKB4eXI629iKtsDhi5O68BTbmpg8dbnoS1oJfd9VzlM4+c4NU615JUnyHdbYU1qbg7fp7MMG
ti4Ts711UFpOgu5cpNstvbvZYTQGDKJLYT6ZiTkgCHDI7EyHtCp4+2HQaANW65GYG38qBPqNC1rv
AZO22K772n27YntlPtDrCM31oTUxh6Vl9LtMRXrs26uoF5PjeZECkEfRj60kfkTgHu/gowbVlJWn
tgETbg56PMpleh5gMGzEYsoDTcucw1I6EuO1Y5oCJlDbS3lIlvaO5j61yeLxDH4BuKcnvUs1d5+1
INZjqP51toT9bHKaZaC9NsXg343cbtnM++4R4tbbwplnhNW8jxbxJGbmR5bWBouqtWY2Wl4GlJTH
KLIALMz105ITWCBJBj7NoNED1xulszZ8kXwcz3lhHlw9W4eyMupdZOfE+MjSzVVC5KdrMRWaHGXa
kTZlyF5ECDU3tqThlzGqcAdHlRYabV4AiKupCrKoKx7/feFmQ2hwToz99IMhj0C0SnNSkAb+LrOL
t06VnvLGzG7w+4Mhsgb6O0T+WKQRZYsiN7faXBPSXnvp1ciJHl3cMXmvlOQPy7yqDpnVnhfd3y2O
nXHlioNvmM22jyLF0cPrHvm70RxEW57Guvp1W2RXM5OXzBfOFVbJtRsnBhjbe8AYxGLGG9Pnf186
MD+WSTGekWAL733KJgv1J6uTY8VdbufncN7nJE8g3inqk3JySLP3XGNdOyph6V2/UtCyTKhziYsu
d+TZvcWAsq4pR1Jnyin9YnQkzOAqVGOG67zngAbSN0cM9wRzRmdwqXjvIwyaaxI33pX+MOLrNxy7
P3Pm01Ktpz0hbcERX+ig5ynRFslxynyaIOLXJhuWQ0eMZNuJfgoaE2KFDEtUrrV4KUmc4X6MZkZg
FZ3jkXyMMfVHnyMKVhKf9KZTtcdOys9y4lZOyui9tPsEN4Uif0WYHRtZAr7H9fP3cGHWpjV0E/mg
AIyJPVNNvpU7iw00Ma95eRgODuYY9HXYHW0JsMGRhdjIsnynfXp4BAMRLKL8r6e38z4BAEl4kPgu
pB86sB0ikH3rA+0rmkADETQTOz/Vdrzv+hLnaU+GL/ybruDLFZ2J0WyqL9jS64MkKnfkeL9PaXE4
q9jc0AgyneM8/2mw5+2S7i6y19KXYkXemgL2QFW8+zWh2TCxzJMOsf0bi/2M5REz8uLf8Y6zjYtE
4Eu04sobfEo+nJuwvPwDQC4elnyWt66e5iOaGTYqL9w6EcukbCxuFU0M11wipbMTJarWIGWD4RCr
7UWMQA00ApKW7DWGYpqfWhVhUQcRNVIDJlQ98c15fIrMNknA9f/RA9kRzd8xgbxELUeFtjjYLpTn
kMiAnezDcnhPTLvE3Dh7PDnMFXQ+cAA1fXAug41LyMwOrUcaE0srT/XAc1yxJdzFirc0/mttk981
Wz4S6f6tBvrcsnk6LUbcnuPZ/c78smLy6TEfKtKzAxQktH02wpknH+dxpszcDnucTkaNpTH69kVM
aqz0jlaEOFkMOQpJRrf7AgukjPgJ1BJWZz/z7mWWe3vyElirFHbY9cdAqW/8XZFWyc40oCT3M5py
6LBtIdZJCDHbTdZIsNct2qtZw+/I7YSkwn9MWRoGgReEFKKekM5fsJIjampOPYOh5JHhDkBXDBaO
TTfFvvo+dOlqHTy4GMZiJoTJ4XI6HWFbjQSeGeugqBnZDeOX8aY52oPxaZrWQ59FI9IvGR1LNayS
st85l8bBRbdJhmIDIh9WQiRYHqziugemeZttiDR+up0BWdBtvgpIEFfDJBbHjmDnevOviozHljB6
MAPJMlXHiBiWP8yeRNvg0vR0tCaWLQNyXgiMLMkv2gj/hMYCwtwtRl4O60gft4W//9oK2PFCUJg1
ppA5yY6H2xR0IDN0YwetJKsPajJ5szX+1kHZ1kcZMv31lNnE7b3nRuuOgrDjlL5CLMxfZhv8prTj
oG8RsrtOeFeloVbAQVt3xS3TEXkV9t4AqlGjp2u73ENniE5Flvv7ZoqqYOhn9pcxjQFeXD9ye053
s7b1aUhd836ksV0VIt7GpU8fe9e/k/0izO9lh8KzeWJ1LnjCIQyMkKbrgmfM1hE8o2oTM8q/s3UC
GJPuzv5EZvFNtucpjh4mQgkBHRQ9N8rMwkESDfFtCNHUq9rD8WhqQXUBcdDQ0cecre9FI8mCJexP
peZCSDwysEYV7+ISiqSZ5fVlLC5yMv1zkdrTBdoXHSA5h2YFAtaZ6Jl1rOmVB+RnZGT2vpXDn3BA
4pl0wKwRsSJu8GZ7ar78+1I6XoMbuajfxYJskts/GVvacxq/ihR2ZDbM6fpJeInol9/Ts0imYf0C
5+Q1w3CDtLMwys/mi4P151CZye/I8L2WUgeaF+ti19ptWARWVGmwXN1muK5Z1rnHQS4jYx4SUTEu
Xz5Hp33jckuYMosy4XZ4xfhgEKvwHqNmGQ66MqP95GPkoF+6vWqyQeTt/JesGjkq4oWDWdA4l9BH
9ARnesaIGV17M6TdZNGPBGMUGMLpM2Z3S+7N+vE75xWKFx+rVP26Jc8GIkH+tmDhR7KD71SJmH6B
sWIfjGBOAUVdYT7ysbGOOZSAGXc4R3liVK5otunARk3Kub5MWEd7RXNsSh4HmIm5ayNW6uOMOmUP
4meKaaszalcdpi6/7wekb8mKmSNLfP/v++U9iBZYU6eKw+wB3N9NpfVA/gQ6ESdvj/JZVV9Uc48H
RjMNeaeitY1ztX5pV0Il8MPjevI9s8jqVwgzVEvwXEjBPHBdZOXcZzOLgnZ2VvYfQ+EccGdXWDM2
0qietRrn9Sq1NgqlMpD84ueU9Qvl6RWuS7KkMHQixvio678En5BGxxPTunOI7fIRFzf982FeIjsb
KsAjW/Kn//9LX3MAzliPHPrl014jjQMF25uF0ukD/hwP3JtUh7ALf4quOfAfBJ18tZe+P2CwynOV
XD2M9nEUYp5dULyN8Mstuk83qytCBEitjpHEJ79Ghof5eicanv6RIEfaJUwUM68f2gjsXS7dOBgI
e5/dfHUS4DAzRaj/QkzZqSn6tbSnjvR02iB0kQysaXzyYoYlijZ2qYvNUrgWyhx/hRu6r0Xhd0dr
uDT/rhvDnwhbSH/TY88+W3TfKYHXP7RoHMtHvPG+g/pFKP9JOcRTSdIeQCEUMxnyqXzh7Z8vGPZA
+Y82nRTQmGOT6gXAHQTH6rt6dtqbAzzbrLrzZNAZ7ie4zLRTFTd8qDY6Wtqci5yfsywQ5nx9q20n
um+tYjfZobpk4YCLq6iQNYzu6DjE7tj/0gqJb2qX1rjf4bDE24Ic3S5SyX2UDurWxRmPAAyqBkM7
LqpKkp47Umx0vwApwm86PLuaFuvVu2e3LQXwZp4FnBtnzlWsRGr/YeK+guk44SdP9FNt5VTXpM68
48oyb/6YXcpR1I+hS0Bl8OngLRKo37M3V1eGw6cSIAlDlkdtnINYIsAZbikw5m0uOkb5yGZX4HYH
tvFvaZfOGFvGV5u66FBk6IijuRkFQBW0VpbVKUGBdEIPThl7fGJlhPH2tpw+CktQF550r107Jqz+
80c2rjw6C+ukat88WGLr1BRZ2zXLuoaE88z/vbETTqN1hSBSL+GhMIiQwkbSG4XoRUfImmdIuGIc
WMIbrTFY8FNLPcNU63kbAYj+zRQlacM8hIfGYNL49+eWsDv/+yfY1ZRj4qfXqZ6p7uH007P2p8WO
rlWSa2zuRjwGbMJBc0WJgR7Gwnln4OeXSJh6Ybw161gdxrhHF/a8iZCe5xxz5VM0HeYzl53THLt1
HyIzmbzIWbGfmFtnC2D3Td1zmYRHqVrMIAbBITRF5kei4JZjsSheUyM9ipky0vP45NNlR/Qg/3I4
Q208lqUcVnlqOqlL90b20A1hSJDCgxW/lOc4sl4LzbOpH9fFPFuPOSbt3qh5PocGWfnGir/tpuP+
4+f0bjJGgrRFxpd92m+jvCxXI7O3rX32KPMCtl3AIdm5W9HYBZYvnElx6hJS+ndLr8+j5z2aysS2
Zbj6/O/9DXH4F2tbU0zjDsRuPGDrv3N0mvNBx8f6j/r7758W2fARwlazDQuE1gJYc0esIAZ8uKce
YK87697vuOeVC2+Iy0AS1Fw6hG5rfeK0s2kSB2m2ITFtRGCHa5G8xSYf1iHhuzmmONqwy85jbJFY
zUnMlPvJwf+QR+3vTJfz2W0Hg+xLhBDHCSDBBwojuueTav66Ur3GpYCDTxSBW8PE0KXi+NgaDSv0
4iVP4m5v2NUCKKB9NwyOtjkW1/M0NCqD09LAFoTLyYY2u5NYhved8dgzPZ/+vU+9k1XnuqcniKxd
vhS/eWGHRNI42XQPTa2Kk8uLIZ1kwsPSr2fN+BE2e0PrNBulKMtQLys+G3YK5aQ2sOzA1We1Zxwr
XegdUggOg4rIvFNM2E2UfGMU5H+tX8BqgCFA0oQRwYPo39vPyQTmYAsax876jTcRkhtjEylq/ZX+
fala+PNODUi+4F1Bt+zOUZuuf7o7sALkh+95EkZmbkF19wKbYDTyiagBi9iC9Qp2TBOx42wOHIyx
kX4KCE4gCu9GruLTHL/OZTzdkCpV4E+LxZnSGO7SuvMO1B+dMghLVukZtyld8JJ2nJwSv9d3nGln
bhctRXs1ek891zCJyDBE2W0qTOvswJSqtaruuMftQQyBrjPooJF5+g285CBhSN+hIJQHhUFpk4Ya
padgFbRu81dnNBAbo71Zbv6nraU+mkvk36w8dQ/SmH9LhIbLONaEeROcQzNVTVCttpmdJlifscEs
ZkYQFCnnLk7xbhd+ceepiP0ZkbaA7Vp+4efbL8YSEd9wnhxD+Ve8AXTIE52qBYJCkRIxJG9V7Rc/
6wBHynkD7mK61qQxct/I7tiSt/iGSHOpJn9auvm4oC0kK4DwCXtTHtBN+5NJj2Rmg0nB8GbI6DYS
e7QjCO+xy8etpyvSpeNYPGc5xBnj6nvEcmRmsXqCKoISCuglyXbdDMIlbdo5GAVukg6ivRr66ejI
6btij6+91NybLZl2fi2C+rtk8PSDIetfMjxeOGDWLazLBBvrpIkS33xX3POf/CRGeDbDat9BHini
IsgfXBSziHMj6sEGPOVuTZirKHqO5erSW2hbsBpJhqve9F6TbhsLXJnynzKH56zpFudWWOkBs+lh
0lFD1RLVBq6XAPgs4Dl9NCHqRWxBoElrp6BUzsXAZDzYnJYD3s848MP0T2+sJbb8hSxXBR27wzeP
Qi5do60DC+WKzWGBTKGja1Q3hyqHTpiaSbhtHHUv4y8oEDy1MG4FvsAXbnmvMS0sW5wMSNE0fnd9
8Tczm/00TF+69D67RHwLwzyVNLBHbcaYGiYQB1MMuw6vp4vOzvaw2GQsqze0aQWOcO/oZxQEzYiR
nPD4lCwxsh9gGhQNAC/dkGnba4YRHqXWbxbhUFjEL4/Npa23SYNfMmkFNqol3TU4/Bejvtgt8Xpt
mcZ+SCW6YHwPyOZv5SJ30Y1VUeLefWEQImdNCg6mQcImIv2I8iBOrTcNQZpbmJNuy4oFu+KkjMsO
tr4VLx3ykUDJt14syj8MuhPtQb5Km8QbobpI4YALtfkIAP20kkoCHpYhnbfpVtnNTxEa52LBSulN
gSgnklczaJCJYNfeY9bkWPc0mNfIPLuO/d0p890r9BetnTDzQddbFE6q9i2EgMnAD83Ddv+6IYNY
OmJ3aEGGVL3emYgDS9PdTNcntzvhUjdwY9QmZcfjDzs9esLwdW07rf96nJ4PwhgeXF9CISqTZ59Y
5yacPfMEKe4lEWDpqCDrD1iladIr+LxUHvhPBYGOubC9jjkuxBnnRazIwLKq2WWkTWPqc7uMjg96
CJvaSfbJpJ+j7GCxldtBFyOPZuNVly3RojFR2WEaaS5NspdRLo+CT+VWUegIkMcmRA5z67p48Yul
wuG4xLNC1yDI13XRf30mxa6enuaMP0IA3N8283dV2gjE/Sfb/pjqFG6c1vpRz99Y3p6xKtK8PePo
N2guDAm/Ini27nISAvha1pjs7UNMpvgaFKulDUtWPFBNubMtwFFNAS5GGaoF0ZzdHPjW+8bhueDA
yT1brbVHCLG28Qik2m+ngFAMZCFq2mk/H+m9ZQqy8+WQyOo/0wHH440l8AzL3lKak+zcZcIahAiL
QQMxV/UfUiCp937Y4E7qAPab8xduVMFtBECd8TFFztbxnGvOI6Cu5UcXym7DUSJUGTcfzT0KDyYc
WX4DPfq7MKeivCt8HDC2wcqeAxo7hidq13ieFPDJ1wt8kE1zC6fs6Hr9RVOpPhBn2SyCL2ViwSwe
yQBndkvx+0SpnBsCz0ot+h6rcjqJYp6vC2NS0NCnuOncbkIYIZU3O4zGUcYIkliFviSiuWsbDCgl
jd98hhX5Pf2OcaA6VellkfIhBy+FI4m3H8hW4U6/9DF8GXp1PLv6xwndPYsP7jiRuIw6b/f1BERc
ga4w7avihLh3QC7sWioUcPudOUixkwlx3xcQwOL6gaDEjSEDvtT6Rg8FgFXkqIaF5NbvO2MP6OSw
JNE97sE54EYkcyPe+9YKLs3Fx5y2u5bJG1KyU3i3KmUH1BE0MAdn548stalha9IJOTR+CHHN0+7B
fMQtpBnBS8uIV8scFe66gzWp4zigVE6+/JoX9+w0/REUUiiL13GYQCCg8uzvJg8FHqGh2SqHiwnc
aSqStWUHAi4tHSWniNC7ZH+GtsMrVddnq0C2MQtPbkLR3zBgDYdMxN8VksPeOnQwnAITI8gWJFig
XcK7jf+hjemS6YjmzimDwinvEbKCjBd1a7NH3sEcpE47B3tehvmnG3o4miRd8LyHwBsBYufD3LBE
WF6HfPQvFkavYKkk1orwSaQe/PCEnshuPkTIPacxVCW1wLLi8ZYHDTVJV9vJ7KDPY+TNjEcl/GpE
IRR4EqGkk1q3MbaNEcZBZs1dQLwIq3B/zA0LSqGL3lCaZsOJNgeeQKAZK0vk8rJMDhFdt97GyD4U
oZDVcW02LimhjKVuimc+Z/jPzqNlfTajirZx7D72hg1ZYC1bVhkWqrzMPgE38I2GnZzyZZfN2NHd
GiPBGLtBaaOSj743BGPHWE+F1f/4Oq/lxpUsi34RImAS7pXegJS3LwhVqQTvTSbw9bPA2zE10dE9
LwyRokQJJs05e6+N/cGvNsgVz91CVeHiQ0WnlXvyUYc9um8s4LAPoCqhFgPThXsSBQ/803VuPJSc
QnYxzTHvu/FgjuZXzHFFiI/oCNnfbkCbfpDGtz5KcYgW31oNb4V/k3HCTX+0uLnWMdyE0iAPJy4n
hpfkpA9q2M4o0lZRsxilKaySCTVcNIXanK4SJXpqsCtFkfHO9gB7leRY7SQO0WszQdmhVjCSV/Ub
Dxh8tKzZx75nUUf2SfgoKwoxvXFgH7YZQS+fw9EJulq6ACGKcwZnQYXGBgoCerr8vqh9/xJmZxlz
qPAdFGuyIok2LcYLGv5DWtmLdQCGF/r2kvzwpqJNrc9PTqSdiYuPPgxD5ntVmNz/qPrOoeWwuo/m
ZTRJnkBj29dpAXGjmIs/xqqTeATs/JRLBvu5gGgwno105kiPUD30kpCTeMa84YrKf7doCqPQkiyS
dE3syHIMyVGzt1Mup3fft6CVYlHyPSxDTlp9IOn7nc+TA51a6+8HOD4U6R/aslYfyjPlxkftdsIK
PSLHnmm0E6PIxu2DRlB+bPwMFhurTC+PvbPNf80SzKlpqKjyDn+LPGdz9wtR4yOgf+tdTcXjrPiE
yOolOz8+gjb/BqpIiSRRlmSpY0SbKq7IlsblyqSSfIkKkkP0iBEibUgDKKVy3xNcY+SEfrTLoWAT
aYYIA2fPKD/Ircl14w86J+suBlPmApfi/H+NtTyn5Fvt2dpG+1LFrDM1PNzIADfEA/fPYU0YvVns
kUGzqM6Rf0Rp/+bmdnXwYw0G4vJ5/qwZa3Mi+FQaKtzMhkMfDIHd7b8TZWLDT1M6ZMtqupMONbFy
3kBSObpNZ1xa+luX21eIgMg9SegmQIzsvA7VUAzvbNAeE4Tgn2YITSyXzYmc4/yQMUFsI6ToK1fg
yognecBwk311NJ1g56IFgn0M847kyaxoBdVj7btSMlkr53S7rEbG38BuuR6imtVhRQQ4dJq9EXNn
zXzKPNbYIB0kSlgzsPYM0JpC4J1Wzekc5hyrNMl2ngp3ONRYL4z6sw+pK0SrD1g5/2rQhG/CBO6X
rkf+tlOkpNUy7/Z0/PUU/Wem/66b0DgnsMexzWEhpE68jqtDlgLE0DzX2XoZy85MDD9ItMajpdGF
8jFibbOOwbqqiB9O0ztW0dFKIziFDOr44MuOBOLk2sRpsk0NfDZmr00ssM1pHzK8qkj7bUqOgwd0
/oK8HxBeVZkXvCq07nI5nkhV1fgFWm5B0Q5NyHbDNTGHEmHGOJ1d+7MtVXVX9+mZ2WBnpM+9MwDI
9DtgXCYSOFE0u3kkvpBeFXp3GddXTQUOgnSR1u2T8pB+ifRaAqjaUp5o7q1FiDywku10PsVMSDzr
9Ck5hYXHep/4uE9KjBTTgD35TSXOnuys89QBK/TN+mI05JKZk5M9RIPzXJqad2Kf+IOKAKoy1uR1
G/fezgV4j4yYi4sAMJuanRs62hmvcpBOyVXq+BCBbya4J3E+uJ0+Y9IfWXibeXugZcZGvit+wrz6
gkIGSUIDYtxMHMVF+b1OZgIYo6wli2tpkOJWuXSG3j1WTv0O4QGuIW2uM/lfBwzESGT9ctoay8FZ
8KZPg2G8Znrpf6KJVlCs6/KSISu7990Hds0s7VvpfMQdkAe7ry021tYLkJaN7qD0BC3GuSfKmv6D
sUUc1n5GCLAwGpWsIa0YZM9MVEGWqDtn3PbMtq7ZpgHlqZGZAyPcnMOPrqNHozx6EvpRKuniihYY
OIXEQ465YqnEll5kvmlWSo9ahtVWsvh900ykQZYLVWuwX4wuQkm5LPTruNrm3iAucZhnyCftE9cf
eAXzBWALZWzFbW1ZFFdoQCsWMHrkbOqJMFhB+BEFy2WL77LU0epfSWec7N4Ve1XqWAJlfkqsEYdy
8us21GYGP54b81K4JLfCqa+AD6ajmbAMtmV/Dfss/PQFLAO8XGCNOyPalpwfv9fZu9aUDUTf7EEW
RMcMqSG6P/rTPVE6+4J++BKfFa51ix3OINjve5H+JGKYL0334uSUaFgdQQr02FCkyzXAuVvKH9qP
VoFby+IXa6pSqkIZ5ladDQvCWCZeUEtoh/U3TYTMECWqnMpBMmqUGvGGpv/mCPVm58Nec4ZXVjeE
R879aeqjR+GoX7Fw0WgwvaqW5XqvEpapBUiQinUnsXwCbp37aJucdLpLUClQC1RgGA+IIhNaoG17
jPsMlbsJTnewn0ysnwrU5aHVi3MI4p8FPc0h8mo+NL9+MBSLJrkcYz/30yuh5f1jmjUvcchJFxpj
sZnEHvDmelPY4XNC4NBWX+x82M+wU/R3lkGTSKBupRl+bA3clM2iX/DCX15GizonoPEDCOip7XTr
2a987zyOLOqGBkLkMmErDalX04r3yGeHI4UOXGOUTKVdNXIPkRPl5YQPagvwptELcpt8YW2Lpm8P
WUL6l3RB8Dqz8RqT0TFN3Aa6ktSkW+LSamNhxa07O0Qm3DOUMfxTZMyNpzSZq0fqOL9HCHMHpqRu
1YxW8+HjUaEkUm9SgykhSTtAG3ZB0Ias2NmEOAdJJ4yYJOTYEATnOlkwp7TSk+m7yzlJk4YLOgGv
PIf1g9aybqAj+cv1nmOyXd/m0X5qIqBfblFcoyqJ9h1+yw/00UAJcFn1IxbHsRTPYD7E+vbOicFI
H7fhQEHitrBCjUAprtaAj2JVeG/lqz0O1StKz12q5o+25eBWQLhQa3yJZSYcAe7gx+64v6kTcAWf
QsS2NCCsteVa3kGMiXFm6NYQkUAp0vX3ySzZeU6Zvq0WsFqYh8Y7edzLIqZtn4pYCPZkDIUpqSo1
t2CMreRDJN09aqHyKRtLdemdmZj2ZuQPihiOBvpkpEZlKASH8O72/sQABqRNlXNoO/dSTtWTHo2E
btouS/xCC5R9MQgW/dDxwBAEwJLFE5oJIxW9uYMSHivZICWlAFS9j1E0P5VCVR96xrBIvAwXh6lV
HyVnk7OGBhU10w5MLxOiGsyjO5Otg+4UWfnItK4X/V1ixd/64Kj7JHXqB+ao96GeQuJlJ207GS7C
D0LC3+tI7CaqueusCdu9OYm7gt0YGqV62IlqFBSYdfWeDRNu1NalhjWDN+dW1y56ROnWnz7hUITs
DKHPhSxLLf6zj6LUqVeN7otA0ROQ6Vav9TxOPrK2+op8ch5L5QXU84YnIx7ub3fUqBs0thSBnHFf
5e+Z9vPPy1Gt74WgtloPWP4yVth9mMV7q/U/CLpzKNn73VVSliI0KHQ+HBFna2PO+0vWjeGj0ST3
6CjSrAWBXrLLncQwsXfn7+P2AaXeKYLoQOLQxbY/pOq+4SD3rE/1hyQyZlrR6fDQaqiSqWL7qEne
K72hx6XFaI0w/j0l6fxUh/q1gps0VY9kbE2HOmex21nDU0+zec/lIklemHdtSQ2klHNE8C6Lf4RU
/nv/ltVO+xKNzZ4DjnDCidGO1Ck5LZNkEk68aDWjar2O8yNa6+hBxvQzm2hOr2auf4xRRcehpQFD
wntz8puYHcfA2IzVe2zRB1OWem3I9PHoguMLGjnDKZKzyZkcJNIejQebLsntQXa0rP7Ta7fv/v3G
7X1/X/v79L++dvtG/L8fdHv6n177+6v+66fdfuz/f99/+s3/9bXbr/r7aX9//f//2t+/4PYTtzf/
22s4hSgd9ooUVJCyJDUXE8Nyqp0cg4KGloC2bOcy3sxRKQNqTQRM53j59d4fg7wWESaS5UuQS8uX
s5QB5imsNnFxUMuP/J/3/J8vb9+Kasybbkhe6e3nasP1GbT3iob2WbewHE8FYfLVAB4PZQmqSTN+
GQyTAsxS/aAFt3AEI0zT41QGt9cw1ZfB7ak3E9TXw9sgAQGR7qxHU+AN7OyV1MMtJVEVKKf+KSVy
DMvqwh2Ar98EeBPV64F1nGq3OlNbXgHjobQfmX8S2UJnDWcqMwal1VjLJQAScZ0I/DOyCkuZMwc1
2nx7dLlBtePowl0jgZkjN9lMm+l7NzpA3oRF/aRNL/OUmYfBTx6Jk6nXagKxOzTxV2j9IvULA/UM
1NG0Y4Iz5nMP2GDTGcDIws7ZqkG1eDIGRNnVVnTIP8rlwzlfDl6hRVjApouViANkyt9gUsw3KCk7
stCA7YZwEkeNeZ2eoL5lJ/1hJ9R8LB8fld1hiwQdYjVaP6zWlSxnQMuTWMK3z0at1DYPw5dDDZ5u
GwLsoYbU7OXcX8Com2BAk++OjIOQKn7R/B4U9gfqSeLU9KD6ZzuCSJNeSMKRKMbDRU/KlsIdikOf
6u8Mh3rgNTq2/Fhj3TeTRjSyt0i6ZpO1NQvu8DRYNbHhkfeN9GqbCuUfmEYDVwz2xqVPkbFBBIu6
lCLnA5DSx6G20N5wGHXOkTNg3aQ7SYF9BJQIwW9DrJ3ED6LZ66R37oGyndGktdsy61MEdegKxzpC
9kMFT9H6ppMKomfUmqcKatE69KnQ2olzYQU4olp196PEuKC78T7WiUDJI/d5zj22FxbaIJqlVHbZ
CC41CBQ+TfuDy/hKoGh0iB3rYOjqEZAJmIYBCVWcx1flGvaq8ZLPvJkIhkWivrldtX3fqyDRUQwB
LUUmDKxhZ5fDFxcX0myHHzJo8Os9CQ5tkkI08tiYlZVztGcQ2FGmSOkpkHWGaWvtwm4BDvEXXkxW
7ex2OMA2CP211RktaSXdzkTUcWzHDUxg7LY2NmHhJjHFSjsKEmPcWvSeNx7FNnYK+Al59xPVE9Q2
dHr4piKMYMj2cxp9+aEGgkMSrZy5uU9BQf9UhGXoRueekuUO9miUrutkobF4xkqk5Vn3ie5OC+rM
UcwNe/v/41aw2bg9z/tF0ysp6EFo6YA2b73oE/MZx1y43bY1Yf1Dk3jSBmI+hPunaZCS69jpO+XJ
NYQY7riZU8luwt6ohppb32DhZlIVp6kFCTH6h6w2vnELOpvRjJMjF8Sxq6n5hOyVW4vKnCV6bTsP
6k5V/jF0AEDnHcJAP9c7hr6yD9jK7C3uDIdGz8aJhRW05LBuYbAqCqp6RwNtOejInQP+NGtXxeWP
58g+wDrSrGyIAjtJKQUpFZlQYn6NKuDRrV6dbb1Eo5CBh2f7sIFz2HOjtTWj5NK9c98o9z1VmM8p
LXI+tKWPb436xhCjTod1SVibaRMyy9JF72VnUweckDiBdGgTnELo8D4R11YHoWsB1RCz7lrm6kUv
qaCsx6GzwRtwpra5FV4xoIxLVWAVjoT0kG7G2n+SsLZX4UzjxSHF8DbE34b9ySAtBVR2xg6qBbcz
gCs7Gww4ERuZTRqZNrr5LA2Ek9xXAiAuEtaGhSzXgoXQMfI0C5lzcwKoiRCjhekSalEWpEX42Nd0
wFkzkiNXT2cDQNqBOte7zBuiSEdaRNYve0qRFdjUEqSOji7P6KXHIn2dJsx1yZJ84HBjz940rKkZ
bEsoNSuMCQbe9v5tqkn+SWG9W2oRFX0iUgZp0DLKgmh5qwto89S3sqMY+vNtWrw9ZKW1qJnCfyZN
15lH0AFMjX/fcfvKrafflZF8iYo72aT7GIQTRlzNBRF0e9qz4Q5uX+We9INK1c4eVfiLL/qCXrMI
IV+bdzK0P/RGqoOtDqZblOylQH7KikNHBhQ5Di1ePW52+0XTp1+tBFs1udrvOPa2RSruwiZ7ijTw
QMSZgEJkpGx8nWsoeUIH5vOHMJql9CQSwUSsR97BzrmcW1s8eCp+nbuYTpHld8GwPEw6RnJNR4mq
+EUZZoi+cmC26pJ1qv5cxk26xuE4b4UpHRRr5XNkaW9u0X9TkXqpDbmlLxydfLDkZy9bz8P4szSx
9nZYvXk2SjgoxrtZTr+KhQLStpazbcDTNvg1UdWwuMgo2U6lojBBoNQqse7t1IW2bponc5lwajGy
NU3hU1RJCw6cWqOBTpukglUY9cl28IqVD8w9xviOnByjbkeJbTeiY8+S8pkeNYZ2rQZ/3od10FcK
+FPYbXQzd4JpeSiQZK5Gu0i3s0mEjfKKaAebWZYG6XRup7HFs0jiptRKupqxNoxoDJoBip1Dxht5
ijQz+yYLHHfOgkKr06OTW6dG9ZcRDh3tJ8KuQvp/ASt5JCEJKSmWukxl+6dZ3KO33zJIaiK1/3x7
IhCDrUdWVAe6pde0Y/pxWx9egf9UZ0AdnIX6TiO3TuMuSCarDRaXfDAq2zrZDjSX5TibUzpR1tfx
VIE6dXPsa2CjgShk9bGhejrHUb0tDA2y3+8Z+/h59PU6aJG00LcyNlpC4ape7itpiGejg1Ai/ORM
VIQv2DRMBU22Fp1YkC4fDQgYy5c0nxtCmabKjlD2sMLQ5+Xsp2QNgx6aV/6kHtM5ElvTqmDr8ccv
Bdy+SoLbk9vD0GX9hrxELKHY4A5FmzyM5LNTMvPddUpo/T+j80g3pNFB0ZkukX5cjjEjO6b3A3/l
uOqW44p9bBmtIkIjOdu3yWuSWhEQS1MGInM7dG45pqK2JkdnNvdoIJtj5IYHSM9ARB1/3lCIgtY9
xacmtYagWh7Msjlj99YPDf0lvFEtExCLF+wz3227zgvEd9S/kH1MsMj8VHzFg0/6MlxZFqSkP1Hl
Zre/4PifxpmJ169QKqjZPyo0+YFSsGEMpAi05NUmm2V2GuIgkxNduYndGxs0/K4o0IT9GUOOtjX9
j2OKPToE9rM2ox9LZ8jsehJ0Y38xFesUyC6beoEw5QXkK5R6Q4ZLIaruhANyPU7675jliAUVFnFg
RGbGsl3wpwiXYQ7LRA+Lx8JUFMxs/pF02VU2+r6etdeCDwz+PviwHAKTtScJSOGjlUACZ0WBRTqE
Ry/6oQKkmztHcq9x09eXOtFOUzZQKcbji4kA4EyqvXRKY9EWNifV2WJbzPKxLRL0cLUXxL24Jzfw
U2pkdDYdYRRDekIsS+fOuSswQh+YmfVgWBZVY/GaIlFd5xBO2DQw4d+u7sT1WKZgjD4gqA0A0NCJ
z79rHU8xhA/PDgXNPvFlSzvfmxF8IX/ojn4ybyKUtWuEDizI7fBIn8IAaeh/334pNNk6uH11m9n/
vnZ7appsJTLX+ee9arnHbu/4+wP/9vP1cnlWOzOGQu8b+XspnWrfxNW00/TEeG9K/c2CM/rgjXnz
MNfO6+1l0Qt9VwvQELenk5c/4EasEFhl9X3RZ9+3l/HaA+ZgLbcH39EePJ+j1y8d0Mjp5BVdO0Zh
C0OiXVjyevvG3+/23llFnbjc3grjgj0Pizz7EBvx5993OR0pg7Vwr8lUmdcJ7+e611oK8MtTQ/XY
rzxn3JRpaFyboi2vBrD35Qn4EfN6++r2oGGhSlFNgrme4EqjUaJGgza4tK7mMP3rYaBxfnBiNDbY
POd27K+3N9weqMxY1w6Y5KZJwYiUPdacWHhQDkbXueJxeGm98T2NSH7xv0YMYKckK2EoozmzM/PF
13GA6K24FDa7HRykr3/38LfiA3o+lrQ9iE2Hrduq6VE6lwkGjQT0odm73RmTPj3aAkBdv/x6zDft
aTDQxf7zlTUghJyJDb19uEs/CPrPrswfwf0DyG5rf+N1ujrdHiSTGFH0QDP9xvdPixKBfbK+77E0
0RNndTUjPovKJEBECWLOiskDKG+PmYm+to/d5kTU2DYD6Hdol2e3l7ySdteAUlvrHZvQsE9r8UOY
7lifYIexkfXbB1+aLyygg9hAgFs0BU605avbQ2t12UlJkJ/zsR4oCZd1S/zqIkL1CtD1iHgM0kkH
po/IVO4JGNMMIHd8HTv7D7vGGINx+UcZbFrJoB5Zn4rhlFEG3yam+X57ifKUh4Ock1OgotjnEO1P
aijcDfAhuCvLU5d1NULYAuQPLp4lL5HiU6gS/RD1am9PPTZbhMHdULebmPoeYjsgCg1rDSYVsFKx
s8TALT/E4IDfnhPRVsXKykZ781+LOHPjvBd0zLdq0XGbQ0No7e0aiSr7YmstXSRwK9uU6F3OhM4V
AkU7IRjJYfUr3Jj9wTjlfO7iwLPKsj4lHvF0pqW2RdnQVV+Oxz9HwHmpe8CnkTXnO5pfL2MN5ej2
4Gqh2kP4weGI/6xIEYriq3y5nYDbA/mt/S4r9NfQjo82HGBkyC3727jhwjt0s31xVJ4ekLRmFU+H
h5xFICJR6y1S4yso1G53O5os+KvT7WBD8yRXp8o95NJGuCV3ETq99R56mEBVhiWES9i29lUXMrQP
OPqXwuDfylgz5A0YEOMtdPyfvKKqKHw02S0QihMJZhtlUZ1RUfhtZMXz7aPpQItjpu3/+TuWwp/e
5t28NvxxOBTIsP6tVtb1FLSpngOOMqr4rH/3ppoXMf0ARsK2do6mBXNFEEQKv7MQxjFbvDksR4Fr
xckbnfjqdHupX74CFVxr1rOVY0MJM/sDYgrawSwt493MqHAbCwbcLfjvln/UTwF/0MCxjtyyQDX0
aO1DG2VnR2Mk8SBNyqgW61AZ5XXCV3+1jB7n9Fy4W7NNkN41Nih4ZGcUJ5SlffcW9ffEQrlqpybS
/7Q+WBCTf9h74vHpA7d1ovdU71/C2He/MOP/yUYyvfyZhThGTmYOcwLRNcMJTHv2UBqaoElN17Ii
8AazZ+J7gd6k5jVTLPCnZUvBfbX1XaBlRpj+62Hsp185nXBISVBQZeeBE5si6AOa/RVN4bNnwxgJ
JxWfY51DLvLwQ1K/IEyqD6nqfXT+4BzRM+7jNEwOdRnBHRt7yRaX4fUUsZJZdSE7AdrCaKdJZkmG
HwontGTCpVDxjPvW4f6eAXVMgJ3pR5KxBuUoo9HEwvpgmLj7qUl/VQMmYHdabPMKvMcMRTMseiwg
FemBjL0tZSqcWnky7CNZyOMUtvc1p2A34JhZuzqgHT+akWzP/snMTOB45O34tk8SDEX3dUVQxDrJ
erAf0O5YX55aoBZHdv787DJhLD7dsOaXhPkl7XJjLxDGXlvX2zi2Zl7jzB2ujBk7KQzQn+MADA5x
xFMNko+KRu2t4FNYdB9mbJ8oyL2fnDhvMRa/u2iE0pNa7Edrpq9iTPjbAW0jXc0oARKqkVqfxYhA
kyUtwWkmyOLxZGkjKo3wW9AS3yIJcjCWdESPd94eLWZ8Utm7LNBjktkGl69XLPu7+ivy1BL+99Dr
kIFYPL2hIVT7iVS+Xal8xZh7AWed0j0e7nTvFxYti7TUVaEtmBcqZ5sEmjmJe/p2wNe3gbMPxSkj
qDD5ZD+DkNsiUYS7BZcbeLy6g4wSE3XQi/Z9NJbmyFwZ2A6JVnAwteQzvYbBDSVz6U523FnKqO9a
W9+zr7vTCKBA8LEURxSX5xT/SEGUwdh8AsxjRKTfKed4J/SedAVZR4G3cJccjMamGx9LMZ/IkvKR
BaVEVhWEsSZkqaZJeqbqyFgaD4+4LomK9ACol7iJxWCd8DdNuxysWqGxYRP2dAe8mcwMaQV1p5A1
Ff6r2xryrPnOMR866CMjzI/GR1bu2CLdSiwttcIF2LjWM8Kgd0raD1njGPvInQmDs2D5RcKGlEhh
vfGITglrbgoNCCMxskQqpiScaOKVKQCxeU4BddYggBSsKCgQsHgY7i2zIBgGSXVoFP65HsvT6NMh
lpl3brv4aaC6yr4ZiV+UaecsY3hg+zFdRneAHEM0NnDHlJIYmIjdkPiHzmwf+h49mtZj1pHGMUbH
AFuXnLl2IXDl03DQ/fhMZ6g7ZRlsJk1ccx10cYfo46uK/C/LEuV9TbRkn3bIp4rh7HcWMSbkPV1c
5BMbAzkqXkqXyHDsFV7T/2nhw6xKN/SgwKG8H8kP3xld8jnOg4v+1y6DLIvrQ19TAVURpR69+Jmz
2qWAaVKsXv6MJJBh/JusSIgWBqJw2AnA7erohVSIAFGjCcAkQg9SZeQGWWNIJx+ELbd5zb6VLGjc
OP1qoR7tAZUXaxk2NZDe0FgZxKvgzqDDmKFc4Z/YGWxQ+Y8bona8a0GbkkCe0jtNI/7Zws0RkYI3
JreZCLMyYK8ZH+zK+JwMhkg4vdFG7/SXrhuNg1dk7CRJvaShD3ay29oek3s5sswsPY9NX0XxBraN
UyQ6LomyXnujfbA651EO8pedOdAoTUBtBZWNqU4P0QgfO0PNhk627PZ5eW0GIVd+5oSX+K7nsDul
9uACeOamRSqEwINSjMp3HS2PUVJIG4cd3yZPFUhoacw6/j2v26dpTJwQZjZP/vIqUBT0F/zFFnxq
qLGuetwTqHMzfIVE6hZhcyEY2gTVMuRbz5dvBbR3A04PaiEDEq1JenrjyDuyS9o7ZqnMEj4tCP66
rszKtUUrYZcp3B1eon3YujMdJmP+4Vzg3mux6xs0s1f8Tga8hQfeoMbbxm1q7OTQntyi3fv0z44U
/mjVGwMcmAG/c+IvLBt50AxqaAbupX1GEJKD9xrZNjDaWJ2QTKEKcGcaULDLahZPrmaNq0wuUUx2
RsS3ch/ypH6cHO8VDXdLJPMCb69oe6UQrpGJzynJaA26aWyKrxgQLn267PzvZcMmiuLvqx+VX0hw
so22kDApjfs4yJf+9S+nXShfFIpRvX2Kvo53Gu5iji30XmlxXPqkgWLY+Hsg482l0IvDqFu7crAR
6pHdieFlwUhZ+sUa42dNv2sdzK9WBvt5ioAOzOi9GdkA+LGv4AwSx4CeHnxt39UQmFHMgpNeciWR
AN2H4H4z6ZfXsZA7yvGKkX7W14P5GmFGYfYevmP01pQzFL1wfIHN/DuRYFzduX/RZie+Ctlc2Ja+
ayHtI8eycNMa5hkoFOK1CAqvr/V3mPwxfVOVBhTKQq4g31fG0bQW2vCi95B3Q+AouSa+qWLdS99E
PlJCSBjqdZiL4VyC3H/r0eRFuX8hJ1K+ScN57pu3GEXaesT3i1Wt+hjROtHGzg+RCVUvFEiPUWcS
SNojrqYBg6WydC61kunOK9ujYVkXqiEEb3kob6dKu5hER1WF863PDiYj0H4oU8bDMI53DdoP2f3M
Zm9sjT7bTSAmukVgIhVbjtrRAqBkvxFGlkeVDCfglq/Cad7cSt01x0naz0XkcVvkicDobqKXKrDz
JMMfx42KU+R5P5RCo6F7ZwpHAuSiDy9ijU2m8SBleu9yUa96ffhKASmu6nTcDE52xzbARfPVo5HV
m2YHyvOuaXVIyfA2EHZrNKvQ5dejib9MuxArfxLURIXVqZVoVb7FjJw58X3RWPdhjngNq8sAuQHj
u3HOOP6JHmdb3FRPCOJwY4xcjtaT0RjGxW096JFuMh36iB5oDfJ5IJFnFHqxNjG1jWx2AGOO+7B2
7hJZf2Hkew65AinHqJNKtZ/GPy+VurPKrD101e2YvboT+1vMmYFwT6r0D436aWV2Z7HFXbm9+tVp
1d5BnzCROTv0AtzRhGO6riGF9QWRbDTUfHiDyIxBZw/ln6TgDiUJGtnEL0pNQz7cZ7Rnhey//dat
NpRn01WNfrD3G4jg9rh1urp7uD3o/X0jjHSbEpUcm6k4tCVR6zFVqAmv80H1sf/o6NYjGvqOE0Me
98jmkFrwFb28HSBP3hNckOL80s9z2M5B22d/0n5GJEXHoyOGGChKBRPUSX9NJbOabtnt2SnZ5WDC
JXijsoEeeXTY2ob6qimHrYUND04h9bKqeeWCS18t/N+JB1A6pRY2I1xeKzvEcgpkLqb/sFIuyjdH
aO8l2kPoOHqKKpLppTVtEzS5Xm9JpKf0HeqbXvpq6/b5G11HuXXc+C0GmDeKD8dKCD5NXOPOcnsb
eCLplmPb1XvOHoUBB/4mwlU0shaAxHbjuuOB/nz40gp3Ozgw+Yik/2Y8q7amAf4E6hoSMwBkO5VO
0BLI2k0i9dTGdEirXoSbUVnZfdNF3tHF76xLMjOwax8i30/h/xBeLErQPVZNda+nr7mxDZwjeYxM
orfNgF4vuKtlvQMdS9/GwAKIEojadF87UbouevIqs3ljAJeizEKOSdbz/y8SSU8b4rNjvgy+bZz8
yLKAnbUXEeNckGMybqE/B4Oc7v0QVzNLTW+tQx4paXvvxhnowoz9sHHIZFUDJdwszZ4gbKWt/xia
x6mz4MSEOAg737U3TYMynW746KDAZKmw6SNuKYCPmpEftWiZ8QyY84SY7Jsi+lPoalp75L5B8UaS
aVgMY92CqyzjX5rAW+521G8TVqQQDTPykrcESNzN5JPIXmfh0qTfpN5mJ8+pvwiEw6HQcgm5AS1Q
eo1D9dttTDzxbgcgWvgFCk8XiRiI415iK/OMP7ZFm8UYiNmoKQisstp3j6T/sE0pxvtm+Go7iICe
x0IaOCX8s/fBNubtP/ckKGSEGz7X9CmqyjunR0RRFDjgPkZhH0n4JkSY2WRFq+WhENkJQsQb6nNB
d5B1SisF/y84yUhrlgRdgGg5dWcy14zFMMtPg5wnAzlkd9W6JTgSkI4IzqAYQ1k7YJDZakt2ZUOD
2GwDFXbZ3cjeX9TFxiNLd12zOHBSwVilc+OUeRcAz6o59cOPBTYJRvBHGodsZ0h57BxCFjUVoUls
if4b9fTVAzi5jfKHIXe+SbTNOInsvxo61DV1IigemETn0Ty2oL0Hog5Q+iXhDtzjn0b4T8Mwy10Y
El2+OBXBPRgIDjaoWYK+BHvWp866R9ayczs0u21PtSBx4Far9liMw7hW9LqAMPIPz9EbVf/F7x59
YCtIaXt1L5OugsKOODP1gKU0b1g4TSeKF49xCaMsmd2tGGjeZ+Nv0STPhqHerKgjWiFeSyF/UqvU
tuGrzmZpwLldDvh+PAETPJl2Rv4LJtoppLq7nVmmQfBAq51MoDFy9NtMPfovLHOfXVIf3O4XOyL7
EuLJTqfsz2wwqdYyRgiun1Ql6Xaw3CI7ZRcbuGdcZOy2h4gcQ8muCMufSCZw2ROnXYcTgzyVE7ow
DZ+PgUllJihkScEnum6T/2HsPJZjR9Is/SppuR5UO4RDjHWV2YRAKEYwqMUGRgkNOLR4+vmQXd1t
1bOZTVrdIu8NMgKA/+Kc7yDncRL9qIeUYQVLKXgvP7gFL2GYXcwiusEXpaF6N0HJai+gpHEHzCFx
uyy5bCk5F7uXPAU+UCGiwy7l+rD1HvK80zYAdJjCZMytCybLenxUes1WeWD1u4ikC5JhPctFMpDi
4pVG7a1LUG0cG8WBztrU0hcaHEhYGUHNBv/cpF6GyKADzDioRLhwG/qnqkaQkESf2cCPiIPvseVJ
PSTO8zggrRYp+H0bISgpRbupjuoLdqt8DVGaNN3IzLHXjYt0EEIVA2qdBpNopMU8W5Xu3s3O1Vg9
yQgCRK6Pu7xudjzwr5NRkm4X2DeU5c5qlB6VELtBZ5DvHrzqAQcSkh7vhjHKp7QrezuPzX4ft8Vt
UGNYlYZ3STJQmSqO3ohw3wnZ/+DO+lVx/BarmgTFUVv12bWnnzdJ+NxIVYAYsoKP0osmEshQEaQx
ZXnCnI3bddbfyaj5naap4XSEYdRPFsQ8w1dE90HG/Ta1YUkABdHOSuroyl+LQcNKCur85RqwOHDF
wo6bvHaLJv7L7ku4g5P5mg04sfsZeVmW9ac4UtXGoJi3imjPghn/aEDkvJbn285K2JmC12wcHrWd
jVgFpu0q5l1Qs7WRMzKESYTnUVXfgxmDDYGUkmXGDr3YNrXah8xW04ZOJ3TJbFRT98Gx9CRblLsD
xRneCm0JFiFsF7WL+Y3W5ynKA5+IK/625VJY0DeRdF6CT+adFZq8RNvKxj3j4pRaO077JPL8GyUX
XWKbP094H4ymiVaE3Dw2nqgpH0q01gnn+lgQUWd2yc9Cl/LmcckY79SNGajVxBymFhWkr5rdYQR3
IPTAt7gJlxokok/OZH8K2+YwSaP1hVK7IkanYuGmDzsdoFuJ4wDEAAr6tEa83iI2d1NCTl0dKxrp
p/xACz63b2ooYCezszCQoJ9d9foYHck/HlEh1Dy6+mEX1tHB7hIGi3hV7iz7qJna/BUk46sm0/eo
bbSDbQ/NMzTlJZ/JazakSlLvgJQRbbtcoe46dbRmbw5RQ2vRCb8yAvBWwgx9qSry8l5LR90Q63FE
QY20wHTpdEYNUU1wHpiBb9HgHaZ+ol/x3JekQrhc4kRtzBaZlvEbyfhptq0zEh+W0KDwbCMm+INu
u4ump6nuvuckfyqoIpZn7aeSXDBmX520Wb84pEuBJvNdm3jRHjijW1ZQlU3nkiUzOji7pgdyjI3r
mCz2e/Wp00mWC6U0HF909q0+hZHLFQ5aB1eQrBAvhB7qI6/zjZbhcjDPR0mTAxxfUovpb7GRg0gl
P7NVZ7NKNF8fKr/LGWVzfq6Io1+SzBfje8dIzUAh1BmbAeTMxtajO8vBUzKOnPtGfxhY/jAl8HDK
2yX3oPagmz952qTrTgEpizicy5R2gYV4hBBIfCHtuR8tuPhiwkgJ9cJ2sw8vq+tTCUeHTyv97oZo
RA2ZPI1Tme4tT95BF3K3yjaJZ+h0HDXgvgt/LquMCA1A7QNSOGYQYt87lbmNkNWR7IxkPtjNeXhT
ZUQHlcSLDCK+gJTjInKhIPJYBv3ccZXJahFKFW9jbROEQ4BY6cZ4Dkon3kBmM9fwToJNaMaXedCZ
CpDOOBni2/VMfonSfa4qQBh0+iROZ9oX8VjQrzQ+kXqovkgt59dGqNpr2VujoNwl4RcLNJ4JCcEw
QY3zCMwIqK7fPmeuVkzPYGQ3RkbnnRSEIqMQetKXWYq+kD0B2+/Pc1m+kPeOWyF+q3oHjECibRnL
HIU9oofR3fc8485Gm3YVtfNosImV8htqCi+OZg2K0rXJ3Q6oCE8Dt9zNNnNyzjOk9kbB6BHEYUhM
u+849b61QPumkBVZpzZJi6smn06xag59ZECjdyi9NeqPVZBHj+YIMZRgtXtGhYygqG2S0ZHEK9TO
qsqJV2WoqSXMK0m6p0SJVkZli5WqFViWILiRGYYjAiw43y3mtpGHQmSgcp5tbY147FSp7DJiI73Y
uGfgMj0YQ/hes3Xxh8oD3V/c6hFbbRhBqHNtbpC0/0xZV6+BGhlkYFwF/gktANUOX4zBym3ZoKcY
Ali0ngvJA0pUE/Xebuoq6JgCcCOxE63TLUgbohzK8tzGDHnqfqfn+PrnDM2bQZpWuMTbB8gVpmqn
eTx0yuI1EFZ4TFBxxUsuAnOuK8LeT3nKhUHwZjx+gsb6YTbmTfYnFq16S8odQ+deIzQgce6RWx0H
5KOrWpVPTAgAQDjnjoOwgjmww3fDwk2bbry+9wNTF1v7yQvbF7QLz40GQ9WkMCjJVCKYTnxKwO8X
s073Of50FRAMT7mNyt/va8QUDo51mYjn1m/1oFsPhMISJQbHj3N31bTRk0O2QSREfIyosFOxqVve
yMG4RbIUEzSenIyLJwCqVRpOziK/xD1yZXpdNEfVfEKjsw2Z8e+SCFUo+3Tc29dcS5rd0BvvguDl
NqxJrVPQPEVsfxUyYD3tfQuFcsuRJXzd0n6AKBiwGNpnffnYxPZ7mbgxJRSu1CinAUBL+Jk7Z4Yw
ZzAP8YdC9NebyQaeCMrUfvIdjaeSy4RjIZd2dZFCfxymAwEuD4whGWlY6Y/DJoQhgGZuregtnMkv
6mKDJi4ObphyTMwz0+AcILtrnfbEynfxHTswXNvy2SwZ5BYJxe/oUI+YNMlWNH8PTC5zAlxMN/Qt
E4stU8EjOBQJihLQg+2WFnE9PQrcxqJeKIDZNHQZK68zcyjyzOkMTF9cvTzXw8giJ3NjDu5Pim9L
iv4+VFPJoE//HRLtYng4slVJ2mn5Y1QO4E6p3bTe4g0Ed67JBObHGD2Eklpr8OaXntiY2ioewQ40
myCo85PSJfxcE7xOR3z2wcHG7WYvadjdj1oByrvw7lm73trIOdYwD5ItoI2fsmEQPI8FpahL6M7k
LElA2dazIcRj5BdT0G0HhxmAI7BwJhW2n3hgJv8CM+W56YHe4C2+cMj2+PSJPep6fVvW035QMLwU
gZr7sPKunS7fMbXE5zxovpxx/m0C98FyxlsXdWI9PydG21Ni9XdxzI2BsuXYxMzzq8Y46dpxVPIG
FN+n1VDhS26jznvtmDZRRdH3LrTkvtNXPR8L+8TDxKadEppCMG6pr/Itd9zele2HogHlRqC5iVw4
yzPoPOmprdu2tw3BTL3zGJJ4uW6J+bMUg5gC4dJmsNufrE5SDpzmvh7dax0SMteqFn62tYNsgzxQ
Lx7y0tkDTjd0E28QZ6VRhcwkgAUGNoA2vcQQSJASBjCy6ZkijKn1TnjougidAk+rybFvFHdT2oeb
RtyTc1HPzguRsJ9z2l85z88hHt8tOTUQ6/r+kHbqDP7IeQqIvNWZ8XvGdAFS/ZJpifSrAbUWlMEb
Q56s9qcbZ05XUL/ZAm21xOLoI9Kw0c2d1xlg2czqsU/KD+Dg2Bl6da6cgIpBX3etoXjj7oDysbgM
bkeorSurmndaA+oHQu2M/AQUSYoAgZ712RT1nUQ/UJHCpUae8BgAw3XPcxxqc78x0bQSSMH0Qa+s
22QiIJIdS+MLHb6oytIBBa3auYHQAGt5Z1UQ0CJATcQF+SAjgQ2KpTXp1y9Vb/suOXnMhgkp0Ria
FG2/STyczYH4HcoqwX3JqsiYHsqgf0u61LqxMjb1GVtyU+NtzHjwBjXqOtuBjWQgd4Us7vHQjdet
Y1IySK5kbVC/TqQzPbY2GvGR21ymzqatNxlSKKRN+metNCo7pdYmOcqagXKtESc5hPmKHZVrqheW
wP3KsgYOq6a9DRoyDIf8XTfTfeVW9wpgt+NxaXWZBD4NqlLHyo60iBtcwrbTHK5jfTgGM2lP7p1j
SAW1ZpgZyH5Qi2i7nHJJukRchJLbp4vG02A3j6yy8E7MJmtiad+7jX5O0DjQ1WvzNvTMt2IbQSuF
yG+siB/eeXBrYCfYpIi2+jHtIWg7/RPEsmRXMsBbeTzcXfvRmsD/91cv7Xge5ikKWHIjB5QDU3sF
RKGvUMgEzF6hfTNG9S0GOAxeFSm0mnfA+snBFMIfDMNmnwQmHC0CnCBE6TxmUnKtNJIM2eF6p74W
V6TnXFBjY/hBmMsJXieJTclktOx0YlRdy39snciH0GkmX0yZi560gP0VcGtC2XLdDVLYDmhhCEw+
RRzAiFrjMxg2nEp+SKW8lnXB4qohbK/lY9CaaZvJ9ESdw9bFLEK24ga7KReD+hib1bWtgl+CEr0N
jVi1nsAzopKOsDnc49dayGEesTQxMlnX++IT+a7aptqz/A7BTrDU9ZrmOFnVuEKvA/Mup8MhKRLX
D2NJMM7DCVNRtmWlIpFLkklt9Js4oGLtFerXrnmQJkNFbQa6HqVXYq0whPSICqsgJpmM9XRmVae+
gBobuc0PnwEswQSvSCdbLCU89zun/QaN4Wu5ee0LqkmWiM5laPuTYYNTDfucyK/8bZhpQEkF04jj
7ADPWAyuZBR/acVQrEPsxXAd7qdufDVcg+gRcp4DpCk4YbZuo1w49Q+8dXdWg5wR8xLfXqdv5tSL
U6jFe894QOowrNpgvLBim1a931ohZBoTFLdJzSgqZnhtMkAOVvcUIdWqne1rSV/QWiQLY9DyRRAD
SK8A0NGXSSrU7sjdVO/amduVVHKvemZT7u0J8WUc49dzc7VhyRn5vPdkT/YY4qtVYC/ut6lgYUcu
cl5Y54B5s6FP5q3MjFv4VeuY83FTwXpGdFRCzAboVfZvYJp5c2nriz7fgZr6RXXxmKZs410XFp87
6VDyCGql/8ZVUIaMsxssmKZt+hzkBJsb5obRnolr0/lgY16Di0AwRggnUDCAGRJdiUhDwPnBa6PI
FciT+rOcih/SMNSa8LsHOYkebzKGubnpvJ3Rlo+lwMGnXLksRli3JuRu6950qsKg2oiOoJQUqpGM
+gdiRHMeHXT1KihTP5HerU3MZ6Q521pnC9TF9ZNRR1/SDceN6AlJLgrYQoN8nY3ahbgG0SPSXwvL
ustnLYFAZe7T1LvREowco+gSBpTlTjbK2jlNFWy4FfvoOW5Q2ZH48GvxVBlV/tpnAZGRTAKLq4zO
c5O9eBHyNbLrOHxRDKj+B2fslxYpP4bYo4ioTBrxrqP6WqP1IwpPqsckIoB5DOhf/kpJY9ega+yy
Ux3kC8eSYplXcY6wRMs5z0GBOcHvMNCaDxH9d4fZKA6mTyoPhpgOj4TSzdCWZVzQLes43vfmkCaw
+G0mJ0kPBn5kh+zVRnkVW08RmBYO5Wso04/FX7ExYZC2cBTWDh30lnPL2TJapVVJxowmeGY1DA/K
CXLfGJje6TbdL1jIx6BkEgfU/JA6g1jr3cGJvhIuGygQ1QYDQ4dbnXhI7kA0RWGFoh1fcKuCd5NM
OWQCWwer0u34NhA4NZW13Lk8nRBfpDCSAg/tLDlpREE5l7y4QxcCBdhN3gzoMqiAGmIqYxI3pW0f
07wLbmyTR8XAYFrZDQEsxuSD370HjWMpENIN6rpN7Hw5jvDWAuWuNhrlwUHyBvO2Tnc2D+s6GR4q
Qk3rRr/VsonFi3uXINvZRlIjq1Hg3XNl+r08TzHcOyStsPDOPefWSBEWDepgCtVwolPu4xLK6Eeg
dMYEUhAEQ7PN4otXJghaH7ydIgJ1HbrgphwbWlGPt81S55wMWD6vFyhzJZr7WqCHC8cVvilzWzGx
2nVV9aUL70xCCOMij/u1DMynqY0O0Fck2SDtfdN0d0QwhykepcIxvB0Cw3f2uRsUvPFBCthSBLy3
sh+uKqcfcdgNs9Eg+KGocGho86+umJILev2tgUM3n9r1YHNHJkl/V5sk87V6vAlouTeuNm2lQ2kW
OWo/aOO7hf4P6heXPp9vbca2HyF4Chxq6lz15tEBn8KhBwmrpXTaAfQFScRSjC6RyFw3nE9NBk8v
CgaPKx7lhKqBl/bZzpuEYl/Ifmskk3A90HcjTKkUrWrlk2IT73PlWLjIOLVLKzRYNtVbK2AIYJnK
8j3TzNG2JZeOjeJKeALpQjMal7ITJ2DmtwFswLgmRqoCgMxYMOR/9WDG5oisp7nnYdfTVTVh/dpZ
BNmQhA6ns0lunSTa60seS+F9AFqub9IQWGcqCWoLu+wceYekZoMK/z071bP3qLeosCYamjTNfnsZ
MKw1kK5Y/ZMWdmeVOfqmDqJflLHpKkEqkDS3MWlZs/KKNde+XLk9YgkA/HASA8Kzx3CP4UvbFu34
WlXGr6fbPGLbYh1NII+r6I1psU3QEonw1jsFFVMioitr5EbZWJ2KtttrU3uoDWBotfaQVG2wsev0
khEthohpS576DqMq4znjYwjCR/jPL6ETvgZF8FNYHwJVaqoNP7GJmmkKz0JKDAsqOuUgjzJDv5Rh
fO6HgCUigt+sQ8qmx9K6VMq7ZWiEcoZIiLbIpm2SugwWbA2rRsDiYR4NSj3cI11eyhX8934Jb6dU
6OroxVw4YFP1gAD1BVujwxXRfqUD26nBhaSWx90jgWzYz7XpjWXIkwrM+YaQgi+x6y3ewooy6CKm
6FWo5JvfFmn7HAq/Dbh0a3KnfcuQ3wb3B1tG3kkHZGaeE6AiptbFP1a+5DOr6667SVt3uPz1Hz2U
P+gkB9/QKkVDXewL0/EzLkYE1nFw0pB7NcCQ1oyN5Dr3QMJe9SoB7ZuKeEuyC4Mt4MJrU6thfoGr
PqcZYjBgrA8GGeqNfnWn9MgDcNE1zYdacUvmFThHoR3GKtf8vBLfcWR/VJrRXaxObVLNfup1vO22
BfcmcUjrKe9cRAAnQ9deaxslaTeI3LdNrF9EynyywE63sUcrNnlvU664VIgMjcy4XY/z8IZ3Bihc
av3WeglC0MqYIPAj9SN9a5anEPxFefGc4kkivT7K/lDBojmbDTJcTav4ZnFvMp/bwBQB1YtTdz06
5neqTUTRxSG4p5bVYRUA5TQUIKI///i3f/z7v32N/zv8Ka9lhl+oaP7x7/z5q1REnYUM2//1j/94
idNY/XzHH3/9tf/6tv/xXZuH//P4x29Z/3F+8B//53cur/dff5F//5+vv/loP/7lD9xtcTvddT/1
dP/TMK3660X4SZfv/P/94h8/f/0rj5P6+fufX6hA2uVfw0NY/PnPLx2+//6nLr2/3or/eCeWf/+f
X7x85Py980dddz9fZfP//J2fj6b9+5+a+JuHb0h4nkQ/5upCWs6ffww/f31NN/+mO9KyPNNBX0Q6
mv7nH0VZt9Hf/zTl3zzDsPi/bBvjlWPbf/7BPm/5kuH8zbbJqfeEMIQjWW//+Z+//r98UP/9wf3B
wPhaxkXb/PX7iD//UP/xiS6/oCRr3uPnc8gv1B1b6obF178+7uMiXL7/f6mkKSvNq35ma8hSDlXV
NkUw468mW31mpGBS2xGJTC5T96WH4ORJTlbuQtEVURNYUOdcPdTvOSIs/QZ9XVefeqPX7YPrdb37
kIrUXuZ8Y+3BvrFIBScTOVPxJQ8Zu5+ogIbkmV2dmx81V8KUWXbsZn1QQswL/sQMOfflnLI3qwg1
z3yNFRxqTqGTd2zpM+RjbUgqBYLCRiJXpFGuVnUzsDxH0yFnkqPxGkDs09oZFAqakMSWP4mmJBIO
VWes0RqgRHj2bCs8Weng7jCkpoegSJEch4IieCgiBzmGbp/KlHntiO+eua5kcZeLpL069ISsfQvz
sYpHTt4hC6mnAdKdNbfTfDsCEFwXnochq5nQI4XdvpQMf6eIPU0ykmkW1lKd5kYf9hSK2dojs/dG
L1l64c4sM19YRJEiKvDuNLzrWwO+5a5m3b0TSYLrWR+bZy2DPl9MxuiPU+OcGoeoHKzxLSChprrl
09K2upsDaZ3zCEF6loW7shA6xJ4G/WNtDym6pk6u5xzf8xTQeFa6UwG+9OZbkL7FW5nHFU/V3syu
GWYJAB92wWLQ6C9AFnDrdfAzAdiSt9mF2i7TMvj7+mjtifiYr21txQfowR18ZsM6drFr+rGZT9R8
dPQItidoSGOVjYd6UqC8I1LASeSzthjaeeqlGJbWEiYVohBrIpQjaA65qWvbpoVAyoyiGc6NrbIN
CeLuVueAOiWtMh8ddC2YNCP9AZkhps2E6eSuGRIJAz+Znicrqg9YhYsOuUhmAlBCRZ3amElTaTHG
SSA6uPyuPh4w8TrSxmNDy0ZlIBqrxI9lkSWFGnIS08ad87x8MtPcjh/rQZEGjgfL1h4ro+yLq94j
J79vwpTiU7KMhKEuXXwUIeaCMAfAz3QBscAqGWojPFdML64WJAd105EmHNBgwe7y7Iwg8ZoiTJ6y
TIsfUDgywUJiZrwx+0reFJ72k+BLt5PZIhExzb78nEKXesQyCIAAT5+Gmwq7CmjeOEVby0HCyJsD
Chx62vQoPBl7iQ1LnfI7L+HOs5GRA1DZOFZPkr4oUESfGBkz2bhADgRQA638WjMmu+bkdxkF6SZM
AkLsezveGktIDcZw1b/MRNmlfmAH4cNY0S1tdLpUmDZYNcGop3jOsmlpDYErkx1ahpX0pd2yK/UI
FkcZzx1EA9sPM3WJY5IojmpZXxZTzVNlzPN7xgyICExr7OadPpCofhuPrUFEEo3W9G5akfOR6vIY
J3JAr9ROx3LEz28nct52xZycS3ziW0t4LfaPTjQXdIJL+ZmXL1UAKLwloO0EZ8bdET7xiGkdgGMb
hDvbAYHaRQRzlpJRI176YXxvySMgjzQwfVcSUEyxQcROUsp3rl9vVVXZayTD33wQ7/BJddbuXnHk
BcbFlDZvS6npu74yunWfoAUcOjJqCFxjPhvEXxMa/jVtI2PRyA2eNVboiDymfG9zBw5hArQE8lSq
FUSaYGbdUOALwlL0wNlmNGUhk3eyNJJ7u9XVPVEX/aPRdPMzzUMAj96k+W+m6afW1HcDumcF+6vH
MZ3v52ChCo88gctg/NZbfGpeNOS0u2yrEhEaxxbB2l1FBbtPG+eOSBkbsG8KLw+6K72n+kCF5e5Y
Lue3Sc9ECLrdeXL0xyT1HoXjbtPevTVxw63ARm7TRf7jlsRPT6NNmJO9h8dxFUsmQhURh6EN4Qf8
CfaIimdeP546S4HUCwgxZp3rzxm7FMbc+6a0jpZXPBsJgGojeM5duJ998sWn/WMOLPTQiPtTBH+R
97yMyxsvMveGir4K3P6apR8hTfjBbL+pAEPTWCiw0e6+A0SBqU3NO1vvw31W9dp3ndXLBjDiNbEW
9x48SBI4DAS4WTOd88K9wW6y1ZEFFCBGLGA3BfqkhJBxrUcOCcnakelecCVx2V5KvYAfb74ib2QS
OOXDxzzSoRFNQuAiGyws0XrORtjlkLCSnYHCh+AofyDlKnDFQ9qznpSe511zGAFHOjY2H0ZyEHNL
7187LTgUecsG3BdUtx2W7451Z1doD6aIk/UI890N2m2c2Ug8mvTeUBPebYzoqp2ezTipHjqm0Kuo
qjz0m269CyG8+uaIsTCmCH5IctKo7BpYuuJKrfXmqHkOCe46y9FpIs57eesnG6UKrLzytcgiu0Wn
RoSrb4VxcYiQaOzIcFq3bhp9ZanHRlkp+Lo5QrxtxGDFdxZQZDq/TmkiLoWRvhv6TNdZwvuGm3qM
1OS7BvtciUMuLYqnRBhPhY7lJpcNsQSqDG7bSQdsWOlp8goEr6EQx0MzF4wOXxLd2bCn3HQ6P6fh
MvvKadJwb5F9WzITT0P7YOY/SU86MUvnTlUwTbKb1DFeshq2EvqDgiQDl8AGmLaXUH8taw1UgVyn
jMy9ZRMO4koSoOBJ9i2Z/R464wFFGRP4HO7TeDbIXs+ip6D+yNL3snmt0vwmZNVO/VKuC+k9M1rc
shElVB3fU5vDSQ15YTAuNFVZDP2hN3YTVGAue+xiaptGBBVEyU3uQCQau2f88ZjpTG6R8U2jIkuI
2zXK+RHAMqwO7TnFvjTOwT7Ueh+FSpyzq6rFdhwlKt7p6Clja7YnybSyaCM/846OMbzYDWhwR3vT
SnNHWg05EPhohIBRDE8j+2B6Svq3+5SwEUzq+VG3KyKj9ONArsjsPGv0ig5TP7Px++Gx1Mw3ryYF
L31LBRu3ifG+xptlf0CY2M0h9pjBhbOZbdM2vsoaVa2hbVltrhVpGhxk9zlqYLuTdw7Jp8IRRzjc
NEnlNk9D30OH85eKBjvzoj7jXRIaCmrUhhZB9EFj7nEhVuRm1xL7+ViGybGsSk4Cz9or+zQjOZwC
to5oufRjVeHTKrAPRTbN+MmyicYu9L2poDXhOdpU7P2xHL7MlthniikH2KaWvSRnwLqx2i2jhLUB
Bati1YSTahrS88ye1ko6EmY/Z+T5WXmoWf7OODoifdliqBtdZpsBMtm6JpNcDiyUouhKUmEO1YN6
k6quQjT3k7CpG/vwrKXpiWc6OdLQHZ3uUatw0tjs2vYVs+61Ph3i9n1on8fgOGNQ0VEJifpKRYo0
kQt/ifiqrEdT1R92+jJCVtO7veqajeReLvW9nvVXNHJrDvSN5Vx7defOMwsfPk+B0AV6RRU765o8
BDt+WtKq4KhtJRYEs3x12H+P3ruLrLuvBz6np7nB68cIByCQoz+1ndgGc3+K1Dnt3udM2yaUuS19
MdUCXNpglcS3XocAzalRAFkbk0VD32l3bkkKjbw02NQC52OIQaI1zpbsEOYO7MIbYGzQpzLBKIrp
oxEf4/LbZPTg2MGqbx5Egrio0i5WfNUiSGljck6no6FXd157wcS+GuzPpsvXBasBU55jpLQj1sC5
O+jyOcLULpAWBFQrhhv4oTAvQ75X8sLjYg/76kjo7xqhzNYd6Xgmb5H8ImiELEtRmC+0Dht/qsNJ
xsBY5mR3MMduJ7aykIsCdM3AkVgq4ZRdnnPWo7ROlXPs9Y/SRM7KnRs4q2TGrPL71zzfZo2R8JjF
kYRUbR8u4CcbQYJh7B2U9wsrPo45Qs4xGw2bEZjXfqZAfyxQUs6wsdu7ZQeqhyfZP2slrwg9TMIg
pq6jRVP7hpRH0X4PidoEQP3dp9ReXNqELJVkrNBOUP2zG7o1uJrJcNyOLjyl9jy0jS9ZSqQuehiO
bQyM3I7zOsxBnkfppmWd7YYfgtj53LZXeP24TFYzdKqwujUyxkT88Lb7FNgR7BUidrycbdZ3VfUr
jQWLCol6JuqDKIORvf3AHi8qQAnGWHhZWETJvVYNm9gc9g4Ct6B4KtS3ETabiAVrDhth0ul14b3a
1muUn+aBqlAyG+Phu5AVFueL5rwK4qQylkmMrLWPRnuL84LVt7lRYkImy/4kszZ5cJsVLdf3l24z
TKzVAfP6VpD8R1C87r6AwdoG9mNsfaPro8CBzs6gqEPSZhGVbShUWHb7ZPTXblyuID64zPnEp3bC
RbThymCOahxz4xoIyhDLPGiTQoefMZsNyGXXfCt5K90nzXnxcqD5AtQOj5CQ7fgUw5QBEgM52vM7
tOS83spDiQbBYIWdwCfVAtA0jgPnxQq856J9F0VwGit/ELQtAAli3tQgu9XG+2ZkE+l8Tt6P7b13
LVv3lLgr1FTxuTXsg6huk4TcmjFaV0xbjVG7SxehJR8bvm4/cnWwWV+G90XJpsWEbmKb9lX0iF3U
2hPz6xtCv1E2Spb+i03jHm4EITqETRG97dZHKW4d53GoWErFn03wXlS3c3ttIyg5Yu0VGoyk8cFt
CdNOs8c8GJ6XKx3I1IawXmorRvBVcSVE4ezSiakGBypU+9w9lBUyXPFalM8J/FyT3Y/bjOMdLB6G
bpkbAAcxDcpv6THRUPduJ3/bOii2NUO/NWzjc0TDv8qG2tzFIp7fyRXeOaDNpxZBHnl14J9pYIkz
93TfyBpvUxhJuAmtDla+hxeTxgyBLWj3FSC5r9HGp056JWO8sgdgk3ZXGw5y6pkbAmu33dCBHGCS
GEmgSpm0QLP0rv3sQtV9rNLAvEl7YbFZjpwnYqWSj7ZmzFrD5osI0sOxQi269lp8Ndo0cjwXxrOb
e8ydyThHgnrLo/vkRuE2IzQUX6H3FvYMgsdZPqhlgZsG3PWN0CDPa+jcu4Y6JhnGW7ard5EZ6fda
gHefvLTvxGLi1A2SFZeXQl9O3OFsCbXPwONG9Vj4tiDVKacqxPU9PDXEAq8a8ga1pHqqC+PSe5h9
G3wXSh7RFuANauyXzpVc+UhlPKv/sGZ+VAOJkRBoubLgXDUwFVJOaUT9pdMfTba8mM7nn7jvZyif
DdJ5wcqYKQqLAWmAk0iYFuPrAawXEpiM8P59muct+OQWYcrwYLOi8s2mJt5Vei9hrt0HcsIuj1ZD
VfJLNNNrJ0JujeDWAyHoTQ5TW3s9URRmU8Cizqpeo1b/iZwp3yQtSuw54GUBVP0wSNolrribyZRn
czixCy+ZM6QFcgjNZWRkWXDUXPNFjcBhy4BnkK1DUiXtiU9uS1P5YNTW75B9OKhjKUMsLIe915DC
jL246TYsnx7KhFiLLHmrsCC+eZ3Gs7y2iSshoJX7VCOqZzKzn1AO+A+yPMhPfZ+NbHJ7CrvBBQfQ
UEdu2NDXFyGoppOyGk96l7OYw/p+CDyYrAueFLlZYx6TyWpJYEBs3ZX5DPjTZX3NMA4pIhFuRSZ6
WLMEkJneY9IxE8OM/H+pO5PkyJE0S1+lLoAQQKGqADa9sHngPDq5gTjpJOZ5xq7O1hfrD5HZ1T5U
uUvWqnrjkikR4TSawXT433vfwzhAT/NAnjw9CVvtq5TbhhgP7tTbqzyhBMfiKZOjRVQX4WWND348
wG9HS/DCF2oxAD71TcUQvrSfo3oaThqfB9fxTN3kifksehzJfm0HF82ErTWP6bbIxAISKUv50rnx
fNlxLvRpkuFQW2+XEiSa4GhlO1cqn28g2bzAYXH3TA0+GVJ5awlVSqZGsdNuFe4Zs4GVzEQeHVyz
uyUGzjVMWXor7aXtJxH2OcUJuZ+0hCHicjhnFdBom9xyzY6OD4++5VRKsk9Nf8RLOF/62NqA7YQc
I7sZK/tYqSXY9dXUHY06kb91O3lOrIjHi0HceoKUBl2KrRcpl3nFtEo6kIE+95ClYCznHN/QX0H/
Ic/5hpzksgwWGCqro0N2oYtC6kGWOSjlJ32pzn1pnIyoJgcxdy85zt7Cyw6iAjnTc36uq01DzBID
/StJGUAvvT+ezbAiR9Vi0+ayAk9gb4C4NcBoZ3Ikv+S/khWdb0i0LSs0Afr7qXI2hvltUHjxsHhY
Dp0DUNRb40WwtTrJI31VdvLYWM8dp2kxDF/jThwog6da3TloVuOdQfyugfztZyRdreCLJz0qApNe
PyaNtWUIT1C0W4fEvUyYlyrmJhc0b6LDsTTaZn/MZXuTzPb9QNO58fd2epsxLCtZOyG94Ce2iFMA
Qy2Tu8ghkjVjXsNBUlAbxVm2OpO3XFdYcp3UOZeyOglyuhnst2BpoQftR4AY8xzcKtPiMoLIBfXL
EA9QjW+dphswB2avTj3zcLfNdgK/i0Mc1ok56pVRcjJIov7GMNS2AvpZYZ+vsbIa/cwXhvPGPLxK
rJceI6g8im57ZZ4ZZuHvF+N9EU3kouyn5TOIBRdG27qoTfRDRgYGRIjSv+N2cZX091OAsSlxlk+V
hh7DokZLHejXuQhY72DKmsCIg3Nuin03UPlkYzViKu9bn6UF/hPLNrWZhNoSQltJW1wUrXMz2mpb
AxXVLtxAbzn+cWbWGOwTtN8Z5zatB5gWUsRVZz3nxIkq+OwRiTn4ME5OMRUnn4yUkBfA3ZkIGAuu
6DGNHKIdHioyPVBBwI5yCS6ZtTkY6qzwIouyN/TBNROHDTa1iMqZlrc9Fpp2mXjT0ddQgYHGe5/d
w5TFymOS3ldlse/9qtpmuF4YhoTmAQKmWtdZPx/HQL86ssFcTGIpbdaFS0cYNyLZYtFK+6OXpZec
zHY+LCUTNB9CxAYjEN2YD2VP4LDPOIVY2z5MMS3AMdHZWzYreJZ1cB1N6JEMY8uquYytltYfl3wS
CvA2awZsmC0fXMxReQqq1xpoWy+uqaMPwr0bDClbGCGxiFGoYq0np0R4xSpLiw+6jmFH41xzSozf
Np1Tz3HQjhgtSgY70OsTuxoEmBrlGXj14pjYXw0luHYHTCTDsgw6AqmhxPoCWKRdEVcbg3NJ+jgF
3RE47+bsWM/ZhKDF1aicKnUFc4CVoDF6/MlbXMxtdk2SdEy4gE0S62Ls4RLHizSM2dHmgB7sXIxL
7IJ57kfk7CD40a4yYzluNlnP0kvKkc7M6lgs+wbvKIoC+L94slFOBzfmeqUcRi2lHyEPoMj6LitU
mAXtfGCdLBkklHkd9EfCpznXpqCVxls8doSATIsn5lZbHpeilLQaLZ0F4np1MpNxTPdDzLK48jvl
J3dGEtIiZGWNJiHXTGowXu3IsXFDjVIt9p55oAYpXNcV3S6XvW/YEKUYu/NrrAtE6tbeB50/y3uv
QgZe7mTGggdxtec/18ZgdhfgBlL5kHgp4SMwx73JNVXNKeWlK5cTfd6vjc7pUqq1MXF2J9cEfHlu
XTLBm5ROR+/GgA9d/Dc03quvfftR/Szbfq/a/q/9R7FIo83P/9L/QG1XmEidyNz/hbZ7133Nv339
Xtj9+z/4h7Brm3+BT0Q3xcqiHM1E+v/KusL9C56P47raVkKRokW6/aeqa1h/mUQhLSRhm3/sgrX6
D1nXEH+5UiA3ewTAQE45lvMv6bqmVj/oumjNvDhbMFpFPkY4VfaPuq6i5QfHjHPvJ0RcKuFxEPDD
K8d7a2uFp5RZ7baZOY6aybzv1TAQovYuPc+/dzv7IsYfdWxq1NiqePbRSQkJghOqdbhjnBQT7JH5
rnXrm7DjHBEEWX2wln5M1RG99zDQD1H80uBe6uvs4I7oN4lHQm+oaP5N/ba5Ev6wxdZ3doz+nVm0
gTrUfUMgq/b0MDXwwjxxkTMLdAwmaqUrwfJi5/AoF3uBsRwK/1Sa/YUSdBYiTDEhbPd5QIclIhB0
G0FJeQiuHzPWsZMD6fYmfFi6NTmSpGKXNMWj8tp7TPr3Vm2fy4qJIxFPvNLNB7NiwwAz2Nn+Nrea
98HiUO2N+FDb2AazFgALcOZlPlbptRP45wJoANaku5A68tDul5pB44380b308dsgcHqM3dpjValb
FwtMplKO01MRXLFstJiHGSvEQUXcjW6923KU4SZE36LjnBUqa7kkx8dysj/oHMehJQPo13hCUzSp
U2AJa4MwG3PARhGMFssRGCCfjDSKZ7ivIT2sliGzX5DGkQbsjtyhVBk10PLKvYxwhtNzNnG6X5uh
91LGRGYri6SKbzbnsEg4SMh5F+emsfXmRK7aiov7PGYb0FlEA8cKoo4FStabuhtgOV+HWsG7tYsj
RLYzZxY8iG7srrUSjxiICEVW+liMsMUwUa7o1pvWQ01WIiAqPlHaegQAGm6Dt6FOcQSTCVhbPIag
dptdmyEgZnq6TLl8acOkokIv5YCy3g+1m9x3iBKb6SBFgEAdjU9p6NcX0OwmK75P3WqndIIeIR8V
RcL0DZT0p6KM+jUaezfa7m4JQTacmDeeY+NRtWGlGWogSGX6zDB48p3lEQkRfeJi3xTpc+75K7hq
R9cUl2bl39YdDXQYgNKLfGY2GaUVyO3OSDmOJGflSr3vc2/XMGw6RZ59iPqg2Vuu88WnDPuShOlG
k0/iELlOuy9+xvzeLC1kmYqwTpw6mDab5BPt0z3EYbRLQ2po44pp1kKTk/SzKOvT6nAlzn36jRT/
l9Cdv8g83QQap1ffGE+S2lXutj2XXPe6XAJyxDKR86+bURob33xEw16C9MGDmMTErJnq8ME/NOgz
y22KGUtS7seRCTm0ldVgDrdJzPmlwehsdT03FDldce1DnHUaTXIw2Soin5y1QtoNTXzbwbwuE4kR
lEkjzso8PzWg9tOA1HCGu54exHJLZBqromCKDHCGqz9kRzUWrzjP7Q2lx/OG5qWzQYZyTvvx2vK4
86Wm+1GJ5jRnkTg7c/EgnLbZ6L7MjmOV3Vf9B2Dnz07QWu7wI1Z1J79QAfkE2YHknw7ewNTeM2iN
UPzbT3smTQBg/0KwdgEH/YJqAjzcdMNj3ahjlwbVvdXT9jkXj6MRv+YBgDKynVMOvtGKvE1dN/d+
+1La8cxwNLvkOon/bUTDguV3SQtKq9InFYCFhrYFKbSB3h163HWLrADlPpAoLeKYxE+xwSV/A836
CxFFasFl9uj0am/ZPn5T/NS1XKp1nW9VMRgXBWXaQ4BPOxo567kmg+eEiWxeO+fWb/N9RJo5kgBi
onCyjoJzLFdI6ErDBYcGph1+j73LFLA2NJ2XRE7WVuFeMJSkPJZIQg2lYG6vS8kUvekuTCG7tXLb
Ch0nGQmET4RbnYhAGxrYUxjzxATpUxzVr0bgQrVMMnBS3FhlCTmkaKtLN4GEURdEC7s7W1vPgDXi
ShFRNzwIWUGJWGXh+ZTwEL13UrIJJnQLRco1H/PwKisDHl9hxsdXcjZgSCYby6tx8itj37uWvWp7
fymifott9d7AbZzqodg7Y75vDH8XGaSrmoSx6ii0v51tK4CNQIhuttotxsk1dq5mnWbVsRR0vUSm
XBbC+9ZIEYMD7phxCVU1nCh2zwBLjZjQ+/l+GpwZsSHxtsLpjnGRk6U1b7j63nEhptgme6Ki+Ntk
OuMNDEVyeT4ol7DBZFtxoDtjGzvEkSeeIVYSFBp4eFOanA7S4q9ti2q6qGdEJsxg/Q6Qw1aWLIcl
1uUVRgb443mzVA4cs6XwKffc9pwm6tkfGJWEXUZLhm4JnEVXVLsRWFySpRKSHfIZhgedNtEhtuvm
GMd5uWMQdyoK0OqFK66iwnnpaoeyHzWgh2bqLvTdl9FlieW6sjdsrqql7o/EQAq+6PXZMWFMxwTW
M1EBoZA1S5XF1E4D8Zy9cy4beHFZ/dwVOXAAPweJpGiCtpwTEoexjQBpEG79IKhESZCFUSBVzu2Q
RPeyUM5OjrcliOVVaXrpvgyvEfkbYlb5F7goButmm2Naw/9MU++8cbr6IKf0WLikL4UuKIKZ7+b+
yirJU8U22V/fVmdSidEaXBOX7RVg0WxdoMxzG+gWKll5qi0v3GX5xUz0qrDvYxpXy6q8oi4B7xe9
xH56H3COCtnk2Gfpjoumj6hM965MryM3v4HhyZ1lwnBtgtodBHe9IHlzEpwXhC3XbeUSBwn47rbN
N05r+B9qEIrChy+TDfUt4aaRgY1+DjomYjQi3mDIeY9S48UPUsQ3w0PbtGz2jB7NPWE38tAhV5gK
9mqc0WsXFhCTn5NSPPTYCaOrjiPUihgoDQcZt73GxVzcAHEvviTqcRgXp6vHFdrllhWMYEVTajJp
Q8dvHnQ0KPFFTfyt0bj2F7KhNxjFmEv7OGgaSHiBU71RI1mM0tkVc39X4X/GXOCu+zC7g67SIrQR
2+KksRpq4yaspruyRGqpCeHDG+neq6VqzMDXs2osJjj1FL+NRfE29EfHLr8NnOog8c+XnsvJK03n
bKNc49GuindOuH7dndNZ9GvLFJ/4pHZeILmNt1+HHiG8EIVkQyKkRKvJA9e420kVG3yyh2TKvvIq
LFKmGAXyk2+ph7RiqYwTba+E4R6ZoflMke0Dp/o3wtzXGdWsXlK8OBLecpnfR4Y+Z2S7nqo6f+6p
kWO0pd9BdEabpnCLnTN14bYf4g8D4xxHqPoImKtdQT1tmeRQSSEHIJWYmDbFggO0DHroGHpZedTe
yflhrMHom7LbTCateKZ0T7kBWzeJMRKAkFzFXXQ3uOjUBBJeiGWcUPmyR2sCWEDIVZxHuz1ZEPN6
e/4YqKYYpnvD2HYOWdmp5hwW9gYkw6DW67wavvRd8FhwmtWiJ2aKy8YAQ9VkEeau3sn2VdZ625o2
I+0lJ68Q/PhUw2fBJbrp++QrXkgHJCJys1O2825wKIxopQdWrDy1UZjvqA3+NEIvPaeF5/Bhs+P5
lUsNTbVj9OGsI0Ab7AGbuXW9tZBKbZelfody0y38Ns5F3cxpyLhWNe9RKPi5TI0c4vp4MGPOFDo8
zLDc1rLJY0jMUUSemQtPzgAXXzVDbQwlTP8ndB1TMphxDbrNCorvWEtVvR4HhB0w+bug8T/jpjyS
zjIokzafomTyb3FTHFl1fBm2z3kVsXT6MYNVQhLk+TG2lYOzzkz8dx1zl83oCKQ+3zj7Q0ayewlu
4o5v6PIoXupBnYp6Vswkum/x/GLA3JnS1zqz7vwwR2YhGgmy21uRp5ys3tzkbrEMcAwCsR2Uno6k
EGhQoGxeeGmJTCMVNxFIIO3tenh/a37adDkm4XBVMtlE2cPTVTvpQAgG9JXqauQ/O6fb1koOjU3p
4dzb1hlOIwwB4TED60txDnGAAL4vtnU1XE6m/WmZbnzn5kZ6APPE3NSXH42Xi+MS3r8xk+p9Lsbg
SMtEuA6TkCLIPobjzm62yQ1jTyZSHjFG0cjgNz1tFzAsMD9mzxoxg8rnrN33GgDp2HnPBbrLWFWg
0pp8k+GUZ1boEau0SB+ZWRlubZMiCmN88SNYlaytRKnmnPIlDgcWcOm2YaVrQxILJd4uq8z22U0/
eNG2kc47ExYavcqWc2mHkk5FFZCvkLckMDCKkKHXR+DGlDiCGxL3urbeRApfXsXEBYJpfPZYyBzz
1gladtwOHLftiqfK77ed7+kTdwQrz8cHh3+6oMmcns/Dd2eKXTOClHS6YY5w863OIDb21MbJcbpg
bMWaa74DwAETj9KPiRX1q0jWYb6Z4sWsy8FrWw6ygVbKgg9AaBWycfs6v6YmMt4bTujC0q8P7jDW
d303BKgPztpuX9lpxLlbDhJ/F3jZKcbrCI0a6PGaKeXZ5q+qSxNAU5xvAWgOKK7Zre3Py2ky0lse
2GdeLKUQwrCR6cnJY8HbJumtP9m4XtzDNPoXI48jmAwEFBHX21Hll54epzsSUcAUPNKL2ru+lxJR
JBzjp7AdaOKt1xHNbpteM75mfnpV+6RYVGkjebfcoOB3rXl4EHgk2xkopqItr3wFWR/nNHjV4s4q
uYbAVjk1lUBk6zjzeHbEtJROQx8di2/Y2DvUQOewHYzoGqb33vcWGsOcPA49fuMCtx1K4KefDAIT
z13NVLRJMQfacbxJevDeuZENG8sxDnnmZCuZ9efRtHy+ZkRSQ/x4ZlejiLgPMzveCnIGBDft1ySv
MExgcWZtd7ZcZbnWMGWm66LiUxfipjed80ytz5lCwK+D6D9GHZJcp28DKbb55nVUeSDjkeXU+c3M
6cTQ3PeCon9QS72xRSuxW30F5XFvoyMPiCr7IWdTaUV1jfwBpqx0xjXAeDGToCet1S8ucLkmdHKX
9sm4targtUuqMzvr9QD35VjaRUcphpzX8xjsCvurjoJrFwcpyBm73RtWctUX6WvCsYwI57xpWR6o
oGVdmTAXgeLbm8P4pSYba3ny/V9PmfxX48UfZpD/v4VM+Nr+bhC5ZXP92hbNv/3vf6+/vn00//aY
R9+KHyInf/8N/5hMKv2X7XjCdRxi/EIrzdzvH4ETZf1FCsVSji2ZPgpuQv8xmRT6L2y2ruRqR+oE
3hGpl+afeRPxF6ReBol/TwsRysS/NJf8cSrp2I5yXaG1Y5quVK6jmZt+nzbRQnv4Ooxi46IwrHNZ
XcYVFhTDU7e29PvDjGV9F/J1GvvsOZFcJzB0N3dBGyScctt+F4oKUtQQHL57S/8ZjPkhCEPY5rsY
zD9eGKcJ7XjS1K7nMZr9/oVlwssIcuMUUjbgQ44M/cHSiX9jpbioeqwLyn02JbPCuA4hZqIDQLE4
//5F8C7/+hp4TzwlpOfRIvfja6gKQcK4cFHDMwAjbXau8D+YRtQz44remPjBmshitCaRJ8d//Ucr
TyslIbUL010+t+9SQF2NTW7IWFFy8geLbDxsbdVPHCdAtc3TmZZtA/2tu3W8KvrDr708eD/93kzR
yUsoZsQezLclovTdD68r6tscCjA2IX2fcD9eRjANtVLBTteE78D6cF6oBmvT8BJXZe8zF4j6jjIH
sXE4/f3+rbCWZ/D/JaKWR4GpvbAdvhHLF+Lnj8GZwSzQyUUW3LQwfIfySpXxdPQq9JwoL/ap2+6Z
NeOK6Dl1tyYBCm/pbizd+Q9P5a8PhCcxVwJgtSxXmotg8f0bg5jDTkvoEx+5hYV6MClUyOrqirTp
LtdJcpxb6WxMu3tklpH94X1Ynraf3gbp2hofOdEw13aWT+27T6Wggm9yXIELVU4GmGv7bSD4ffQC
apCGrOiufv+2E4T7+cdpngEScYoUGo/ijz/OD4Rb5lBGN0WA54X4fLOLVfneCfNJ9Mu5xatOv/+J
1vL2/fQbotTwQ1FdHNsUy9v/3W8Y9oMTZ2O/lBNM0wGECvpu6C3jAcCWDTSnwE7uem0nW+CAF4Vd
MR4oxD6DSrJG+18LTmDXv39N4j95190lGUJa0JW8qJ++C2kR0orOIsMgWjn7tjOa88B8E7QpJSJV
HjMALsd9ojhfa1C52h1tKm6aJyKG0V1GyJ+denBvSqyYwItQfdzUMM+gyRl0GwBDwE+Zu7SkVr6/
i+kVQqx1oDjoDlOQ4l///a9j//LV1iYeb9tVymXlJwb+41sMYLrSVdVCGORkth7AEsNrTU42weNV
zpl/U1vjVwro7OcwnF+98sXIs2jfuWmII1kfUuLcpq/FU0pYH6hh9tUlZLdrHSCrsnOuKy0ExQMN
pVnsNqt+UPVyvXjyvCQ8CApgOS3Rm0Ere7TuB5BLIY67S9sfFidCsf39Lyt/2dw0zxArB8Igm5v2
fvplu2myCKil3aaasb9RPYKTNcwKqoQMiHFC5a/4n0A1VC2W3mQ+v9Uqqk9ksZ+yCnIXxS4F2QDh
nKacFY/s2YMt7Oyc5Kc6+CJG3HTeHN5VQKAOpgP9uArp1ivEgzGZ3RWTrHKXAjxZR/RHb/QgQfgs
xRUB41UrmjzmjU28I2cAnE/peBsC390RK8SiNHvxo1VP3+aoOTlJUeBbi66ydJZ/eBzcn79wkNBN
T9tc1AT24L/fwO++cFBfIzong3YzT02/K0dn2v7921BAnqChEf5qiViuXeS2P3yv7F+WF3401leW
F5OpKX/++CCCdwqkozH0WSoudgAGPtRsXtN7gBXcNy6HvA+3rRtoQmgtE8nJyMlKUUJNStulrDLo
Nkzuvb1R+iPQHbKJBa0RZxUulhQSkldByDoiBDayInMPxCjDXRW1Hy3EjavJGh5pFiS3hdeTvDa1
NXkByUJUiTxGKYlYIP7ncpnhxO6Y7XJ3mDYc4uUfHtBfdzbN2c5yFd9I1GnOOT++CZp9L9J0PPOt
s3uoTwgf5YyFt5Joor6JLEOm0FEAbLTbUVcXdYywsrTcsQkmm99/WxC0f1p9NVNWvilCaQ+yqfnT
gt/gd4urhChMPFqok1F656d5dZPu8uY5W054GEC4ZnbA+8vC+PBFmSzAplduTukqQuNMh9TYCUqM
V72DGfb3L++XdVhL7EMcSDip8ryq5dV/96hOyGVEJT2IUnZK46tgf7B4SLlVhZse9epP34xfF0re
CG7AyxnIlhw9fvx5PlmEkWArFnMoQ7RnAoyendugM7rb3MR5HEL3WfdRlJwAI6Ii5znceLtxNgNX
SniE9MiEXXLoXeeJXi7cZrjHJtuqLp1N0abFJY3ugNtyn3xVh83fV3Dt5+lL3hb+rglipqMDFNTZ
V/R2zoy0FOoqW1BwCRh+Bbewu1KSyhUeodshGo+Q2ZMnG4NlLSFUZS0e10Hou7YmxNtbtT7Sy0Ta
dS7mx2xk5Kwar2IUrSUbWXTR6iJ6gezGLkiXtZUFx9H2ENDYLfZyCkDgpUzKIkGgbjbLF6cXOA6C
6cYah4uoZ+QqTeYL5Gr2dsL/aq2cAmrx6GjKCl1HdPds+5jiY7O/14DGsB36yFYUCSKbBdkxxEva
LuWHbF3AKUPC11B3ITXTHvP7p0iIXx5yJHLL5t5kW5wwfl7xMi0YcTLp2CxQkJ2G7kaxgYi3ycJu
S3ImFqYbnByvpLnHUjjrfHxpXY+RcjbErg+t9jIRAL/iiEGW4Uwelroiv2mVDN/tkfbfRWdBY70Z
RrCmf3jxvy7XUrJMIAZxAOVEtvxy330HpOtBcbYiZPBwltclgkGZxXdtK80LxGamt6ZbH13VfDMs
RhaqJ63TZG92mTLC4Qi9mqrZh6VUBafRqrYBRrRjmgUaUBhj3WmqEvLeEH6goeWTa1w0LpljPXbm
yoKxvhXuKPZJ0TV/WAXFf/JVk1o52GM4arIl/PRrpWNbaa6QA72v8bVVufWFq1dVYub7UTjfwBkg
lqX20W3hXQXhfEGZwkeR+eZ17WRHirFNnuYEE5bUC1QM9HzUbWnori6j3nuFmJg+h4n9VglE899/
IFhbf/1IWL21y2Wc9LqJY+jHjySjkd7tfXYjeonjYw2Cfd+AFrtBsEk3cempp3EE96ZdiecNGNha
YRSkIEJGWwhJuhmuLG6AK200V7OlxnUg7Rc9xth33PjKbc0Fye8tTktM8LpiOJ93/n0ee5RMLGY5
2tIoKQP+Vk7BdV6wNdJ6s/Ha6QZ8wnnx4kHbTqAGMZsuEcMCbZzIAvhrqqNklXy6Ix6aufefe7t6
kgMzeHpgPmTqvc01dmW7F9+izI13/mD328mrPslzJuhHRFwYX33Eojg4Fu0lzPskvWnAWMHSyr4i
ZVWkt/bcXIfV2G8LaoI2tXcEwapcC0VV0t6i+vzZzVIs0NolbetPD5nXeJcOiKLEIF/YYW7o4snl
bcxvO4OJ2iTNYRMS4x0ksjpnuk+mw8k2SxVSzbBkEFNwseFDShJt53fxRdNZnLzwU26zKVqPWplH
2NXQ917+boPsgoeqquYrKP1J2xrXBDwU6Xyav3TN0gNpKF8bY0VTY+kZ27mxAUe5xQupAGShqRbr
VBOtTchLwQUDkpQmB6Po1+601SP8wBwdbScmCsIk+oWwYbQry+el1upbOCwfdtKeHEviuLESKJsV
2ucQsHsYBchxM6MjyaIMITabfT7PEyTpjmS2XZ560R1mFXNudpOVCnR9wG2+r2XHMipDc90rmvUq
wjwNsYiLwcqYeD6wg+CApeRuPxvJsSFBu85LmhsH2117WXHH33NFJBGoY8NTZyUvziFS+TfspaS/
TTSWlBYQr9fdVuTDJdd/uYsD4zOjr1nhEViJzMa0CiiS/2JT4D6iy5qoDMNZwpAVWXIzAnHeUsdY
iurCxkq1jaepPYDW9a0AvhsJdnpAEE8HfAAMqy9GbGzYcPQ+BQcuhmjr9HWOQ+nOs0e9BYT+Sbbi
fqj6s4xTeEuze+eGRM2KfhCc2+evWR3TL54mT7mKKDGhoxQXUrcZqc/tw/m2NkE/WxEukUHQc+lB
MOY8tvDI6Ajy+9dhQlVg/BNvC7p8TRDgB8vc2UERnYu4DtbDtHR3xvpgT7CrDIN4mG6KvQyxWFUh
2OdEY88FtLepc4dUyOKqtlmemnZMgHzhpwmxcleK/7aASZpqhcAei/uEWpx1gutCLn9JPtFdV5Pl
ADY8QEVMkDGlZeyRiJKLNmudq3r5ww7E/QQ2CgectXUG0V3jN8lxz1STJVZtZL2lTb42e/1ZmiV0
xBJGUjax5squwnIFqrpmh4B5wAmGhBYrb3RKFXYppIJt7Hh7+IWcwzObMKsoPKq90I/N3Du6o3fp
hhxMe+cUd/ZnESXPRmWwTXrbsgjK9Zhm9I9GIKqzgd1J3ObEdOqm3Yd5s1TKahoALWTDusacgsj1
3M253PEE0T7vV+9QtKmc4YTlElH3dHmMCE/nmq9JZfcU5IW8fx6ovBlMEr4TD5w9ZtuWepdN2/Ap
6Xbjc6RYFWCXEPDsVV/7J9Gw08tmilZc076OynscSoOsdqlKvoI5rMzMCg6i7x52RRhD5vY7LBhj
BkWiay8q3T4ZufjmZM1DOzF3IqW3JY9crXQHPYQjA4BSaRFARd/FJkN9ZLU8yVeAP4KFlraA87uj
K43g0FctCNultANa/ypvGKpJQq9lNTM5oENgVd8QJa5XE1wSluxz7ZXxLq2JfXZ2R08qR1Hm/IgY
OO7WIiMYjYTTWnQHTFRS4UIidxxYTy2mtMHE9+nk1PWlFf6qdEJkKIuX1gy3GezNCfow1yNC9iUU
5oLQWden3I5V/qyKcgFVedAB1VU8SsQzO99UvLy1LQkcYrigKYNsTBy8NC7us7IgUiCSDJLg+Bph
4IE7OW00RbuUdCRXLHo4cpr5Ppv917oBjqMbKsb89r12emJVfULmT+OqJJQA1JNkbmvyVc0e5jgF
+01mZp3SXlTo8lMhwNJU9YyuBAZ8snAuRjqnDsu69PuSRTwcWyCuDtLQ7MI539cRcFCtUmebJO1t
CpUbbEL8IShuBaTYgmi/tSdv2hI9BpnQ83pHGjHRrp0B2x+R+5S5THfh5E6yQa7PyZ/d6NZ5avyl
7J7D27auMxoRW4Y3Hm08m1HBupkAGw0Bw4BkfE1pHwLZ8hpkzAUKRT6gCFoYo01BnIpORcxbrmK9
cS6N2jpTlBCvBpIQHLCLq7hNX0nfwTCZx7tu0P2qUYPcJGRH+0aPe3RjenqSJyrr7dZ+Axx66RI+
NZ0Y8XXCzUcDd0I2Z2Oo9DCO2WfXRfbOtjx0sobYbEkJoOlCPqkoIoDVcKVd82lCWF/JZ1RXoi7t
/YjwtyFWG/PHl4ZZAc+/Q7dgE13QPAyf2UrlWvouEjxUw8D6ILgFsMPuHpx52IhS3JQTwzwoz1Q0
Nj6MOT46w02v45a/2PdS1NtkK83klLTjYeTBsVAmmxh9FJ0xM2ZSP7kAZGDzc2zvI+VeP9JJmWV2
sepFwQbqsuQoZD0xlPl6pN4ZbiauYb9i7aR3jwuUcc1afJFB7rcI4Kwi2rzXvvLTda2ehOd/mRx1
PVbm0/JvJEtuMWbaizXQfFFWxLH61PMrYGIj/zcT3vGpCS0GfIBERPpNWhBmDSwS7st+VA8El7x3
BepmJbr4OujZ/6x7XFKCXRM0blPEL1kzY0BK8LjWU35MJB6ruX3CfbwihtUAF53f6w4VNlLds3/y
OuMIFeltpO983WdiIl5l7XU3AJhyKVhMJHHfzL8s5ScPCaVB9M/gnMTfAq5jktJYLYj0rSxoVVLN
YaILYhN1462kdxSD+iqQ+CZmnEEbtsR3aPJryqAatg/2Ha95dPKGO2sm6svBHL3D4OkrYccu3gX+
aF33Ebo+9bLL/2tCFF1bkl4KSz2fdBibpyYgU24lzlLPnZyY/8wkOhNFei2ogl2FBrCadGpdtHPz
gDpjXOQR1INgYhTcLkfBot8GePf3QQHdi5J10Sl1HClvpGwpZuFz9IPJ+7Qm4DOSajlgYxqvK4Rg
NVxUQcMxJ/jCaejTsproSMIlO9hhZ+yiRiDg81WhmI5aMScU4capSMhD5/Qu/dZ5ISPJ95R77BbH
mr8qanu+Uka/5y4JPhfTDdYAhbuSq2JksFLB9MhOoeNs48Gvd5kYDILc10Rzv5LpBtxvoGynlfPx
f6g7k+W4kS3b/tBDGRqHA5hG3wdJsRE1gVGihL5vHV9fC6FbNyXerJTV8A2SRjEZwQgEAD9+zt5r
z4EMR8zH2cGrShvLJMyiiQJwjRivHJE9GrE0cSJH4oDN2tloMT6CLu1P7vMYuP2ZbNpPja3kp2oa
43VgQAxlNf1iZ26wddqdiA3rzkKcfPENSAVVGS0dBBubOnM23cAlNcnsFMNiPWvAAM5ezea7koPc
kO96iY1i2BZiWEexi0xBmWu8heWJwMa9SPhryaxFMoMg3xctLJwuzdxtyUUMJpq+aDEsw0LKPXTg
eZMN6J7JkrzLreoqQk7uutfqTeAMMOrJQNhowX3gjd+bcXBOnTeNjyYi8GXsqE1edem2CAr9NDRo
bMTsR9WJP9/khR4vQ5bkoxnE92wjALZmaXPfZv6Jod5j2XoElHQ40qDQoW/GnyjT8KgP5H0Vwv0q
wLviedW3gZ+4L6olCT6wuU9OerHLVOhfPLXL0Xcfhs4lgzaujaWDnSjK/OJoVKgN6WMQiBiF7Ql8
kdebh04hbhuFERIeTwHScEvajtzgCYfxgc7WXwxT01d0kp/Mgo1O0g+vgYGETeKuLMv4NUY9tGhk
Xi0SmxtvRuruUqXksCFAWSddiqfQBpkgm2nvShDiY4dvwBrKoxb0r36THt2YpahNWP30KafZAtUr
1asfCSjYpiSGUONiRk3dI/dXwz7sELYPugqeyQglxW9YWfqeJGYwIiiknsi8wB0yDbtJ09M9/pZ1
3Ba0TYOsce97OpTLpmJ4YKF4uWcG27GG+G+N9N0r2q9p4ZWy2wemyTbOtIlsNi5a0fU7OqzklKqy
Xaej157qOon2eLoIaA+DQxUaKQNXVhCj0hSRgYG3zNRkHTjl78UgjX1joVxXbdI8amEP3Nf3OlAN
7sY0BvTbVUuJEfbcGblPPQC3NaD+jUSn5oF9HAJ0V8DZQHVYUXgnS8QpcefLB6e1GBpCeWepGvKj
JFxrhbFr4Ro1PDXfMkBnxdkGvAwyq2JWEpWR8VihLS6xVtDHbsp1kSXDQ56RNEbdfyirgpjlPvC+
wLAOp2x6S73gHskOIiqZdruoTNrXJprRFV7/UhTXpsjaQ9bVpL4kRvvI3nOdTa52IC7wajMlX+qS
PNsKARYXIeVQ75lnEq+vWdeXJ3pb4i50jn2VQSVHtn4/FQrUGPmFFQv4kxTxfLuEpSVr+rQj9jvk
bmd8MNaqKYGIJWOBl4O/tek8kDsq2WjNO02L+iTG6KDD29u3DSlCcYW5TlKknbDOz1BAe7gvVHx2
O5jgFaGbmzFpzfOksdDaeUqgpRVZxKShwjPt2r6bpuZTp9gpRX7ORpb4d0YcRD4mNWFMBJS1Ik92
Rp08cPzCe1Js/JVjTt0mNSdx7kb9PSaR40FNno65wYueii6GYpN2b6UkUEn4ujpQDe5aKEWfsn78
RslcPuToMzakUBbe2tUDmDCZs1KmSM7kdKTnPmsgOPWJvmjT3j4IixRQVcgKR2+FutBtNh32dbZR
SfbNRrhUBWO2zS3fweWkoU0MuQXA7cQCq8dUFm5prb0uqTdxFMVIwRtKcvKbHBTCd0qGJ0UY39Ig
ufZJI5IKKwLksXpAANcD5IIvTu5int01rUzmrkOMiiqpoeW40cocDXFNp07MIPA5KSWKL4NVXFAM
zcQRwtunKIn3SVUfKg91WlemzEbDeXtsj+mOp5X0XB0L8rjHGDVpCYuJhocWVzaiQ007qSD7hiLl
Ibbj/grBbDCTUxKKFoVm/LUgCRahY+N9KqUz7G0OOTeZQbhvPpSGu3xCbpxkSbpT6BWSWSSdKNfa
eVFZbXIzhaskWAIF2n3uj663bkok8TI3HohFdJ6SyCq3EJrYS6jymla2PHSVF54mi0j7CSGzSpmS
9a69sQQEfuiu66DujZlsbu5K1O1ImHsdOy4NHBdb9FJglFoUlClgqoH/mCb7dW4XlCItTL5K9C13
0oDltLDvQyci2SCbZuJA0u7CHrwUzjsyfERp71vugEdgw8O6C6H76qwwW+kQKBIXhGB2N5UYEe5l
xygJfRh1v09qF7G7Udo9NqZTVDjy7c+KHuLG86Ynkurao2O07TGHRbkv7X48tc7IUkykyRPd611V
cIo0nRVcUUVTn1Knb6wWLXNfWOlrW03vNTbfhYE7eG1a3nCnuny4AwMQHIc4fvTQLk5Kf3Cqrt2l
NhgRZXc9jYgOnx/s2zvPbB/8OmX5GvuIJHCWtLIAge+Nldj2VIAIGO+m8QsEvCdw79j6jPJrDJfn
7EyY3tlH+7j6MRfCmRjzGMY1thI70uh/ZzG5UyO2famy6uoEhEZanZw2iT+MG2PQtjnN91Nl6cnp
9l0h1H1LUDqQpCk7yxz4grJclgfi7tl+esiWa/r0sRNExx6AljVfA609NOf8pULqSb50ugpdO99P
TWXtgjHGJU/dRmRTdoBfkd/lika9TbjRsuQkZyWP9h3y27NHzGkxvtANP9WdGq5Tg7VNj8x649bw
n2TngVfAPL0i+ptyDfjOqcgsHc+GQc/NUGvbcj02iUlAGzQwlkwv9aOpkOW7ZABBjwy/krKVnOB7
zmYafJp2nrz2mnkIZC7fE5j7JtUJsSPhvnd9CuzaNc+Vxs4RsmVB2U3SeriWlapXpnKbVZtiEXGJ
5lxAQTfurEjeK9eNTpMRN5zCBKL63qEoOf65HW6DEYFnNSPo47Is9rYi3YdFYqSVjo457imNxcC9
qXSq+kEPCOJUYfgo+seAq/9ONl58rxoPd1kdx0/k2JLLar27wm3WjIfqxdCIDLBYyFaTecUKU5Pc
AHmuntV4KOJgOPR66G6LUjwI1rzHEE1H1/UmobFsUfTEMK42GMy0nOWZU2N/6gZrN2RVeHLcFN9B
rqy7PmIA2mtk5QoCE0ssB4yCZ+Kg4C2aClW0P1Fdecoj8Zu4Cq0NT3HXPkn2yk+wySmhjGnYS6IH
NX62aU1U+GQg3DPJeWdTTaIN0Z9om8SmEf5LbslTloiR7tuA+/024ut1sAqJQSA0NWIbUVUU0dht
K1ylW6/BsNVaRHqguYzgNB/SFDt9in/t2E9tdMzYLHLyhKRSNuKlZheIAf3ZSTt/nw3tdM0rMV1F
QKRcPdpggrEspmN/hx62xQIJ3FAMfXrsR5Eex7C6EjafH4pOkMfSuO1Oa1rA+tY2hKO/NtKcXXk+
9uR8VCjf52Gt6n1j57exv6JVIzelXncEIKt230fhs5fbxAKzo+XsiEKSxDpYtWNPllHeWfdUts/C
bE4mcacYa/xmg6TprgvY2PL0aFEBb0ArNrV9PSFA0po+POca+dGfVDi+tUQCb3W3tfeiGqHy2RIv
YwX0os8GcUjC0t3ahvZGBDVupN4e7rR+aCHsJPGxSJs7s4PiXo6mfmUIf2CXGlwnc/gWpl16pHpU
9yz0+T14hLKv7qJIfiYybqBzI+jh5/oMf/L3eYj7YqBGSPG5sTFkXGvh9N6VBSNuPP7tlVwNsRAF
4VQdRQOdXgJQ4gDTpilqUI5xD0yeR1VZFm61GLIX+7L7mWK+EhNx8LC9bjvcMAZbUWuA7QuUoHxG
DHoNk47E1B3MY+8G4Z5+V7xyXAss94i9KKI94nFbsor3oc1Zp0B/kLZKCIe0/ONUh2/kwabbFvvz
Ihx64lC7AaUQygTG73AAW1e+FRgxd66XdlubonHd18kzSGCLbgSNZSpQ8u7tT75z7tzQO/Q2c+xQ
YtWZv8z9n01c2tUhd8V9UOke1swh3nuttR/p/WFPF255uH3pyacmdX0wAEyIfsuI4q7pVP9DpxZh
dBJ9a2sHLo2Tg18ygmpTB9I7hqjLj8hIK0o2fNc+s26mG0n0zeYwwGEYfuRjcFfPnh29Zr6aC6O9
GwY/pfcQT/twHIbLmOvWypHCeS5y7eukIv4msxzXsen30F/tmIQ8wSHPiQ1p9PNk6tUB5xMdsLZt
7/3JbpclrZgvkYqPt1fcyHDLpk28mQOkIzEO3QNkVm/DYhUfxygQJ9xiYm3aDKKIH8ZSI0TzXjO8
uz3csvwn9hThZ9yexYqiu79m6AZ2qYEHOOLiud7+x+1XgjB87uajRJ7aQmut9p0uN6FIVT09gnAS
a1eUgg03f9iC474RXO4Pt5d1e4F4XLe3o6Sa4EizffjiZAYWfle097e3mEVNdbi9bZwB0EWHwnwK
Inx0uWzE9zpZ317xfNy8+QAqUmhWNjjvC4ootU/jDESxXrV3t4OfOKp4nT/XPHlmKy/prwfj6ecX
2lgnbjB4cdjyj6dx/uKo8T0rKabDet4H3H7x9j/+esjtO7cS/hrvGTKx+QlvT/DzuW6//dcT/vzf
rBaTgp8y/4nbT27f/fI3bj+ECg6eZSJS8udT3X4YzS/z9t3PXy8mgv3K2vn015P99Ssf307suDsf
89X+b1/V/Gp+PoI+ZrxKkeYxJPqfQ1GSBccR+Pefvz0F6O70YGiEC//+819e4C+vOjW/WDnJMB9f
1i+/beFtWBNNT+/v90/ml9/5653OmqU0qSg55o/tr59/eDUOcXjcvu1m/dfb+eVg//W4RpJWisLn
5a8f3b77+Hm2KFxW/y8WMhW5RrCjrvrwkKDnvFSM4bj5rzOniB7F8JD1TrFqmI/vkpquSEtcACMl
/hlO2rJW47Abmh9F41Ag0zCHrpDbJ5ud9yIz9OqaNv10CEKarEUPP+I20P9XcMXdT63ph6SMD//8
X4kp/19bGlCL/CJt+I/cDHJV8+9vGiVK89b9ili5Pe6nkUEjHwOlIAkXwkKq5rgOWof/ic6Q/+VA
IpIoZcmvMAAN/9vKYOBXcDEzkEuPQgL2CS/kX1YGQ/8v4CvCQoqD+sNGvfJ/sTKI32Uk2Cika4pZ
w2bMKRz/oY7pIsPzIzCTTstGP4zfLXIErzVwj6kw33sKaag/FuH03RdXmRdfcpEQ0TNsGzNE6R6I
aNMjfF92HvT2kkFWazion7qGjM0pkuei7A9p18m1TDoYnClpeWKs4yMGAYsYb4VZuC9KmuaYEEWF
aAy1J9iGUd+HfmDvpsDbodh5yNQaIKNxV3Vvfu32V0fj3uxr9MjtMaA3m2d/cBLYv0tUbsdFGAjD
MTFIYZjuB9E6MfA5lsrw2rgkvkkdd2iajdPKqJuvGk10kw3HGPSrSmQUFFF539NStNyccse0WyCC
GMEywrs3RU7DYfCUQX9QxHvhklZdTt3JLvX3stLyU6n8t6KfvYQOqRKaaxxTZKdLXHjxKZrFpOFk
hftsWyv3lg4JdDtEjlCyL0icPFnWsLbvfPer9NJlJGmBZ3ziy6mjMWJGE3W02aAsEJZOvTZsSrcp
r54fqg1mOSLM9AIqAZoMx/uuYUU7xLXJzM8hNCiv0GSQZbtptZ/3i58Eon/dLn51qYgPYS3zOYc7
w8YiYdoktnxUrCMYdadeaheffERMIQ+NmxWXYNK2otWNvT1a0xp8ZrJiU8ReHqN2bL1oUn908EKm
bJlZosJVic97ZaSMFkbbTrY5bV7gycgp4nk4BH4e37PCahPVMVBOC21QOY2rOugkCj7oXk4d5WhD
XQCQhB+zd+7CFSmABzEyYBITNNTbjh+JDiIvqvZWNM+Ci+UPaqjZJfWLfP/niSZgpDi6tMApiA8n
GqQWpSKhXdIhXhO34RO1iqFeJj9EO+QrEeLqI7+CLY66D5R4Kgd/Q2AK7QIkS6DAEjUgLWkBOESp
B1QVTFxIqeWYcbmZzPRHRTLOaqS1toj9aPyDCO2D5+VfLx6viZCmIXTP+iBC6ydDM0LlXWIkXVdE
DxtvpDs0qHKTpeOy0tlydyGa/XZuyzfySFa6t/D4JXRIzbdfbr5/c1rdhHx/GSFuLwadn8chlNzM
OMd+V5XJqq4bmGFXswIk4tr0eWAIxNgNPdpTEwHPOfqE9eilxSd9tBbN2DXXKq3exhiwifQK1OMe
QxYMC6FP8GMvnTMj6g5s5TTcMxVjIdDkybO1y91CuWP16Ffqc+SaSGxSJCc0wmdxmj8eLCQp8M7Q
TVT62cpDfx9Lj1mwZnxtx8hfAJAv9xWBNBvfdms0DFxqWkXOyFCpO/yp04ocInVZ4oYYEM8oDKZO
pJM6+0hG4jHM5O6fj5z1u0z4duTQ+TsWCk8E7Sw7vx+5RBUabFVxaQooU1UWMPsitaivXRsTLpmC
Q0TjdIQkTtgE2QqkBtO7Ijal2pK4OS7lQKkbizM+H5jPylfbiY0S8ioEo81JcgFOsx9Ag2cQO451
oEJhpgvgaAe6m8uXXEvN0ZD/CNpf9iy5+CQteIE04JBouJw7NLuK1T+/aeN3r9ztTaPcljpLqGW4
CJZ/f9MNak0lDP2SMpnfGr1RM2bZxtYITNlARQFMpyQ0Z+c71aG55j3yrj+8gPni+HC+suxSHUA2
Q+Jlz0vzL8JUBtmRVfvWhTvL3DWLf1jFTmoAypSVIZcGpj93bvxYf+TIHWBq0z2cr+1/fhnWfFn8
x8uQxqwjNahRbifHLy9DD1In9QaIxU3ONjCI1q347meBew9YC08jOmuzqZLzUMoHvfA/k8AjDm0T
zCBRor39HIJ1VPf2rnP0/GTUnBuun3AGvMRNxg421uA51hPkR5K5EOkhX9aYYSPNE7MCKcZajj6B
1sRb5be7yA/EpQvadiVtxrxR+0dDmPN379cAKWdbHvWVNdd4vx72EEbppKX6BQvO3WBgUSEeN3+q
Cd62XXVJrZo0XIBsmp6799VhmGSMKABdlD0kRFGmh0qrxkvmc0Hf7rSlzm1vnHtmtEIWnUovnkle
gp6+N22Dk7hu7g1o2MtRad+SKvEYgARqjY1aHCTNmqUPys1WEzmUotwyb7F3JimMumKYkIVqbdTl
XamDCqGLrdFbR/eIp9AFPNF3KHckWi5mv+tOes/21i+siZTVMVm3FcAfY9ZzDnOc9MSoREcqYWLn
WdCvy5ddEEXHAWXQCtPspp915JFzT+JFdHabi/PouVcZqOBAa/TStEwo6qwv926+VQWXcRphwCap
KPnTajif8x9PRpPYcopfi4tPfjC4oDGPyWHvLjScm53u+XCjjeILQkAgliZ3jQmn+QZ20qJuI31Z
GtrKie0DIHvo+3W+6qqy3BSyh9uEIQWQ/HJIUbUyrc63BUEfqWZxGwdgB48hPf/hQvq763n2/aFs
NqkEzA9WkHhwNWBl7cU2wzcqj/rUQ6/piRhf+s7gkrauYONugyFKVh58XCbeix4NDHiFLcyGcFUV
nBiFMGFGkJwO92sr61lN5Y9XrY3jSxBBl6prYxfXubsKcjBrLEj2wqhJrWlQG+7MgZgcL4FE7ZrT
/Mhw+IPb8G9WCjYdwpqd2Tr/fbh4BCQ26E7lRQ2sBGJs9wFL5XJq1BuY24d/PqB/d6GyOzJgvesS
6+hcov9yYyrh0g/AaC4E35UboAc/NI8655//xn8UDWim2fXg0SPhEKPEx5swUW764JnmBX48u2Y4
RrjMuEhHER3MREwE3PLR0RykBhR4UBQkJGqHpJnqrW2etJRyWihADWaL0LAI4RPa5OyEJXRkHaSk
6jeJFYp9ER+Fs/YROYB19tNV24lPWi2/+Bqg6lJFdyruilVvoIZsg4J6fK7fak60he5dCQiA8qcK
KrqMXxib8ilke0QoAtqEuPbc7dRhTLHg6KwdKzvVtkKEbo8PJdEqOYq+hk2FXfR/WMBu7qFfL1aO
Hd1XtrScEVgsbsf2lw9oKo2gZtR78bT6sQkIHpQ+JB9l1P0yaNA8OTokQoEQB7VAvhQOdXmeT89W
mj/flEqp3yCStnS6y+Y+bLhGbTclEYa4DYaZGgMweO8le78pBo2l8hoJPJ+N4yM+nqwIval0X0rH
R0iCSH0ttQg5Eld5YLfasbTabYo+A3qKqR/RYt4XTRStDIJeqWMquS245jZG4g2bZkKD3ugxa1yv
r2unfS3QEmuYdU8D6of1xE0lColae2UX7RxH032HuFGt1VQ9IDGy/+Qkv22APh5YMAZwV2fDNNOw
38/8omFo5pj1xYnRgkRk5D4Amif1sNzVmWvcDbKCCFyMP9diy26ATjMYQsuY3/c6kj2sK9Gqjklz
Jv/FXke27+xtkGOklOBJhhZZObOSloF2GHfxGS3psgwHYCWNmaBiAyWDVLiam1zRBcXL2WR4sZ6m
5KUBOcIMxkP4JFz8a+JLiJnqPOEoBqlZG7BUHPpS7PxXZcRdunfhICU10/rR/ZoPQDodq1UrZPyX
OYamGZCNeIS+dzLyThWamk3lFm9JZspd0srvrlNqlBTZXTD1+EB5rgp907FnkTIm1L9B20BxS0Ad
uQShMKpxyFDqEmVwOfN2aKgR66XYfkRiXyddDZCRqPLWjqpVFeQX02YIyCDim5q3XMzXLkDfozu7
iB6Io/e4lvMDhn08ykMWzvDvb0j9t10MAA1inX4wDmEurUOjj59p1yzZVHxHLVISm1khPWZprWUx
HqoIn5/hnpqQq3gMwkfYUChtpjBYklVWoMey91Ye99vecq1lgT54HtSNG3uO6XCk7e0Ra60sJ8uu
dlb+AOi3AxJrnplXroOAJEXVgI0dxg40YXOR/XsNjRD1ApVikHTBH8pF++MKMF/0M12CJFid5tPH
FXqC7YpSI7toSTzs3Ia7pq+icatnjYdQBSmojdkfoQv1u1uH2j617EdArBHjcQEMHUvmCnMP0eZB
SSSafgFsyfy8r7yTNe9120yDkJu2VxdV8kbREaY79s6u1zngfMZ2ajOjyQhcMFpG3AQ0ZDXH1pXp
Ouz6cY+U8ZBlqKFNMvDWmZ6SfcG2cA1+g7TvWQAoMYCZ3XSHI2DcRV766qmeeGE3rhe9iL7LtiWQ
m8+sygAJ4vQ5dwb2hknB6sbyOsIwcws+jTL6g0/N+NgV4cDONlIKcQO4svNxPxJhbLetWju3nUFw
Yoc5oup7d8X82V3q4OFppWFtfCJg+mwn4R8KL+Njv2v+6zYNL2c2+tGPnBfjX+7lNVItHzrIeawV
+ID6SRrp0ZCzGDhkpe9iAy9ATCoCRjYrlNY+zvhIG0MnbC76Pnj0mJRpXbupcFfEkB4M9PT/vFJ/
cNrSLZpfIRxosFfC5PT7cFN0gqSKOiSlA0345chIPYEH5hXj29DyUopMvw9AalajfFVzooen6BZZ
CvG+zW1HBZ69CTpzgTIR0tQfVsKZ8PGhcJ0ttljBJWUE81Dc878fP1gxaeo7xdkhgogakTiueOof
kbledd0HlJUBEGscoAF+6Kt9mNV3Ey2SRW2wttRavTPbGMfURFhEQX444WHnvGjd52R8i1zc2VoI
aTSOU4TO0LxSzz2RS+ijBK8gP5W1fO4MzFTeYONuGIR8xuE6rEYFfCAIRtSM7McPXh3gBpMgBuOp
yJ7TmAvQrXvtFKHDK3XrIWwrY9OVcA5u/xSh4e10jSLaT/sVaW7mvWq74dErr6PuPWVGXn6a4Mju
B40eqTu69qvruAujssqvUw/3DFLhgmS7cAOvJ+fNpe2yS8vxYGSowuyMYZik20t2abDAmoxva3QO
WEUpZvyjQTQCcitYj1O7M3kEEDehWMXqda0EQJkKBnGjweJrpNx1rQSs5oGT8jYjbASv0vy7Zigx
0gqI2GT47PJBjx9CZbJQNbHBkDosn1E6zSxdFZ5xaJXPJXJXrY/PI+X95xZ5vVB47DziXDfYuBS4
lCjcqlRkW7/MHgLX+N7XcocmgxG4ByzKnbYTucnLUM8ItKoafAsAcGsS3ZrBgf6MGqLO1UkE5kOC
HIWm+nQwwrpcATWstmauDTsxZgZWMyJBZUwyRjh+cY34u1UMyFcrpJ3Ibe+VPHoiIG2E9ELXq51F
LXvO9wG2qKYT6EdQWdvFO2s078AtrNMIAiYIXmRsUfMwjDbeCwwWsVV+0iN2GnZsvodzRp450YJx
kLwMtnltBWq5sgNKXkbiB7ib+tplzo5Urx+xbfqL1imu3Mv0pV/jB3GxlzWcXdaUvaD0fqJUZTiP
VMBfAZFkwv/JHdR7AX5Xm3jwoOjQCTYnY+hB5rE4ZizBD7ru0ObvD2Pafynn9KsEl5WZiXUwDd/k
gCenTyBKxu5jAqrdd7orcTMe2kXn5KfWpjX8V0x8hxz57jBQKBtd4S7bIbiEyK79ckYXtOnZs+OX
2ou/sqi/hLEkSDQ65EpDFce0eUCDTYdr+pTSjLeDGq9Ah7+wLjGu5dqXEYLlInci/yIz9RxxIi0j
xSbVm8yF04PvFW6NO0vzD8rSknUNU2/VaPUnLUSGFEtUsmZbdOtwtoFlkzft8VhtsrrOz6LOpq2p
dS8aqSRkPwG8Bu87rGXa00SZRyYafsFlouEkRV+9wwdhX7xN7YHiMAuOE9p6zOFcOXHVZZeyfx80
u7+0Nkeyd/duZ2gweI2Vl1qrSAxYsoop2BDA0CB19rolrlOilMgfDq0feeiS8lDm0OUw3ViOcSCq
qD0lBXBwg+Jz1SdXozR1Rtu4osgRQdSEZ6+UZCfGyaUSBP4gQVwUmp2tEjfMEPs5kCjGBUm25PLQ
u0bog+BjDD73WaevnCh8dejLLs0qu+b0LpDuTEvHAGI+MYGyPWr9XHNPbQH3Pa5KZxUXKYGIrlWC
6XT6NaKkTTLF32EykrGT5nxk43jt6vFZ4mZDmVHh2yvQs6i9IjYQqPWir8J3Uo/EKjS7c4dOKhr0
rxrZ0VsveHEDXOxpFpsAvyHH5hiGYn86Db5G7awI2OlS+6jBZbWRgrLz/mwmD5lkkBVFc2wYhscJ
vdRSq/UfQyhevQkThgzJnwnwFg5d8oSOjji6Mp1WcjLZ8/nkGmoAFQeUY8gM7E+Bq+Kdr1hHdCtd
mkHxzdP82YGoD6htxxfu9C9+GQ8bvedUCvDQ+F7zWrvOe2xSv2ckp2mZvp786B41ynTQikfkS6+6
iIK1J8ZFlCQvVqdna0cbV0YPPyGW6D6l8Vka+BO6sGYVwKicNyYmEqfBDByM5tWoQwc4M1Qjn6Q2
ARN5kRfFsHBaKXYQFbh9aQ9aU32locTgBH//FCEksgobM30QvEbtzUpT/ihoEe+zqd1AZ01Wo9a/
Ix8+k9tbodQzuHYpbQmuH+utNOC+J3j0DHmtBYKpqMtBPFQN7y4xn/Q2tTeTba3H5s2UVbmrAA6j
DKiPBR7eA2rNdlq3wzhsElJ/GYWSX+2YGXSyDOVopFesGNyQvczYKa2ud6OFc1Gl8A5bY7j3iH+Z
7w7HZKpe6RiLZcFoIA7M4pD++wsFeHHoghxsPDsNGKXmdPAiPmTnTTUj8ceY9bEatJQAdqhj3QZr
vro9qCld2Mq3b29Pl7TjC+1J3AJ2UhxuX/Q6xd47BejDB4SBQ+QXRCTN/1ukLvj59K0uMoxvdfnZ
VvS5aRgHFIyjBp84D03eT7d25EpU8lOo6h+tvFedgaUlwTHbmbSV+fuTNe4zYuOR8pbpOmuVechz
pNHKtZ919AYbtMKvnd06bAlJ9HO18NQAj24i48Ucw101uT1WBnG5HXEvG7ODHO3tYPKAqrBh/7IR
tUlGVshDDQ1PshFV2ics4xP3MkxW+Bed1eRG4jUykITn7nmgPD8MREFQaU0PyvCmbUDC7BR549It
CANmJsW0kk5nP+I01GNHP1MRvKB295bQ2SgLzHGROr69mJBeUhuUtN4wqi6coRcXA2OgpavHCsD2
3tvGSfnstV10caNm6cKWQXc/rohMeZLsOhfUovmpIiUzzSg5Q6d86FpU627s/9BqkpmZbU/X0TKu
aC7rDf3YOyBqxrJSiMIcy/4MY5XKXTefs9QK7+Lm5IjKO9dMrntSK1fsRmIovhY0/Tqmx8um9ky1
W8zQ7GLtpXKDz/Pr6NH000k5GAfDY+pb3htJ+kxWrX/SW1fbZw7s4aynsinqdolanyiyIBiOFemx
mtENmyqwtszNX2Vb63td88N7umv+sbWNO3jU4T0whBnQ3qyc3v5aRXcxPBXiNaN0J1nD8f8CQW7I
WEur9gkLc7YV34w+fRzyFstDO+xCHz2QHzgvuoTH5SrSSwbr3Zb+tApmCEpKQtmOOHZ4nuxoRgbE
TxgIjkSe9+wvTqpz2AInhyByaIZZwUObD0ivKrzmbneuu4aeKOckd/7hIqlJ8RSZK1/V/hLWL0Zf
LzmGQ5Yeb985LeSHCcP3inO8mUMIyeec/Bc3xxraYKGcvYb0MLaOg+NtBPkcWeawkHpss46H2iKf
qs+T9NaYgvKlhbBhOeYY2a1gOgAS1vatle1z1ZXbwBo/eSrH9FQ0GL4oZSdG1kVUEo/uW9/jUE+P
kutp5H5zdSrx3QLau8TdMjN5pDqFBr1C6KsllIan0pWkCdtR8aOtRHmuuuSAvZU7uKo+6XlergwV
95+HKXqIihG9VAHG2p6Q++SGFeIqJMRmSqJTAClmlTjoWV07dY8JDnHlti8D/Y5DaBHnoGdym4F2
qu2vtfbW9Ul80SEs82//5FYJDk39NY46IMulw2DeLA8J3pGhSrQ51Na4CLr/0sOONTjkXQxF1e87
cNrYw8srhhW9Z/1RzXZqCbJvYGcoe9wVnQkfnS7i3ql5vxoxAw+tgxRyZM42xH5AO7lMT8bIFMgi
+EZhTPLTrL7wKYI+37NsiznjAb6TbJ7J/0VQ37DQRUOzo2FIahRWJ3OInYvZm1ecW9Ypz03ACjpl
tUuVzTjWwPal6xcMFOYSpC0Rmp0fLVH6pniEtKv8b/bOa7ttKNuyX4QaBziIryTBAFJUDtYLhm3Z
yMBBDl/fE3Td4VvVXR3e+8EcIihTEgicsPdac3WTOGoW9xn83n7H0oTsNQeLS5bDfnDHHyh8zsxg
3TaVrBVZTXR+pRPrq7vJNS88uZmLnkwXi5CZFFPDCWHIjlwz+3UwZhxANjWGbLUSKep3lJIvmSAP
wemS53Js+hOxHLCRoCunFfqQqEXYXi4GhArzIxmmOkhF8Vl7URs4veNr8+y3UWs/xVp/Tmz3IXW1
8D4xnUuM0W6jjTK7zrjLtwyTslbepWQc7SybLXObW8cMbcaWoAKzrsnessJyUzcDSnnHs/f5mtGD
QJwxvQc/XGWqebC7tbpGJ3axrfqjmEqCDzR8GOagQT3WGWuEwEIo9fmQl0+xXiWv2TjCXSD8Lq31
epdy3WyczGahCn3k0E+9vas9km/n2I3PVj4Ut2ngcUXUPHiA7oyucb9TctiE68dDFGR/xZyGF8F2
nxQ7y6Ms2vdGj7Dke4hqULRzUQGV+RYPzDH9I3E2zfdFPKQIs4NhqOAg9tnvLKUg4HH7nUtNzeQF
1V86f/1BSIMBuweWYA7Oz6SBbTLO07nNoulsWfPrwEfJ7UtojKvjKquwObLbJ9qiMt6j7s6srdVl
wcZLsWuyy+nMSmbea7EJXYBc8iVj3Gti1lMJZUGGdevO1BoHElV5FIjhr1T+D0nGtgnG/8dMyt+9
U+Htj2xsak6f+sIovUsFFWMLOPwzcT/12WwusAngTTiTry2wA8luOORWPAK1rqYdAgsV5DVl0BWb
iNsO84JnYL+MBVmiUx+hlC6fsTy7PpLfY5UTsplAwCC1pQmPOEWxE0c4+roWyIplji/5WhyWEwl/
tcF0nTCSbNMSJ0vo6Aulh+ibKyMgjUV6JfPtQ4ILP0a282IYdb3nKgXfQDHgaqBx2bZK8+6pcF+g
1Fxba0neXczPG8kfb1D7OZjroEC7IDFF/ByxfCDNrjuFwwRoO43LAA7etv2dsfR7nhow8/Y8nFkf
d2ycwvQx9TICszCg6JAZfMBcMliHogKC2Dl2O/uQmPoD4ODlolLtXDnpvSww92dFjMp+GrdUMLCK
YEQCExDiQ+lJpo+KrNx7gkDjyisTnzKZwYUvuLA7MCxZrsNBT8cOJM6iHR0N2GzWUwwheOgbxen8
0ov+PSKBz7cU4uhx0LKLu2DDsdzBz8zGO1idzvoRgN21p6TrOJRUY+9xxNmXMWTNixGfyDEHU53g
BSX0A87aHbQ778y59IcyoVCqSFo2By/wlrSmWJn+Kibkzaz0SUNHHfNizKXfNUAdM90uz7JpPpw5
Tk4y1YZzVbf7JskeWytPjiKfx31T4/myi/QI56y/z+re3Zn4D3cLyz14AGAhi5K0zDZ2yMedEmtD
uZKoqnF6IkvmGrmR5huA3HwKllBtNHEULlxLXZePZjKCTp6s5KD65GDiPL+jnfCUOc77kMoz0jVK
YBovdTZmnrSxuRSiMzEgl5FGqD+xyNgvsfWgHPWdDQO8DJGLw+LgEC3cH4OiThmdepUl1wY5UGtF
VG1jTKyh9YO8JFqnuVGSm3rIVMxKW4Eagkfz6XGdHfoufRd9I89lBZsFXyUi2re0mr0LNZpr1LIN
Rn7kgCiItGOUxelWQjI4riefWFoc5mSMNezspJB3NGLZ9FHfcyjBEROEM9ZGg58kUXsyc/lh2yN1
S6tF5uiNIBbiXejiv4LBRVCJuezqPNQDhGy+3hfRofeM4jMatq3kd9cK/a5Iqxczi6OLWRZfHagt
yCsfrOu9i0C+AYbObCngKABmhG71NnkikVDwFWAHWI1xGCtiMMcKdw5xOPQ7vZMiHnlnlTDQRRVE
vaLvaXtfUc+aJmK2Jgh4jQlYtI45NQ99lX1MetfvY4JeTk0eIfSnO8qSLrsjTu1Lz+c3JI+byewB
rVnGi9kt+ZFdEpbCqPEY+jB6AoXbdcZyFSr6qWNWx1nDXBFR/3zQkTn1Om3lUd2D3vJWqyQ7iqOF
bv+FUhQJPVYVhHNfbFUeepsEEdZJsCoQ4yTuUg2KEkW2lPmP44i+8x3dtotT6/1r1rzqEC6kVp/b
sjSPhSDm1Jq0BiLt4NxHggbGUhPU6S2Vd2gtoli1RTN3sKWtbcXyNfBG4zkMdeqJrXnxhrNgJn9M
TxpVp23LSu6slXySjQQFQZWAiTYZz7NonqkddghaKUiP0u6g6dfDzmkgvaAVb65J37w5dh/uAY6Z
WwbexzlLkpdxri7GJUcleVczKB2XrsdeUQ7Yf9rxpJuE3NM8nbY0SVxoFmQwGFWzreT0Y2F3tUtJ
It+QneSPfdqfkJQ+tIXW+e0I2tAo0nobilE/y6BTdIxC1aq9XY1PfU9tT+tRUsYu0e2z+aI1ESla
NXmhzTC9EWxKa3vghwkTjWnOwF7K7zB11LH0tNfRJMFcyCJ8joZxU5Clcp/UzI8kqxSoekg11jrz
yV4zFUGEzIELqDEvM5qsTUEbIW/lNlvyp9rT2mcX+AH83E7cJ0n1M+0N/IS68crdjQolyIxG/Ohr
1yUemtHZZGZwZQpMbGHnNoRJfD8z53P7ECdFGHXbljVVEfKpU5auyTBPPomSENxaIEahN34tpTS4
TKuEOHDGuEnp3b6YUfSBnB33noJyUDNpZcqR546JdjPZRL7PLfEqLXSFSGspmieY0MqIyOMRfTci
4eQaTnGA1DffelL7JRfGzDmL3VNLUnmjmXjwNQpiAC3GbdKups+53OdsRHdmleU+FSfEuNaY0ui0
0VWm9tllIf7YW/KuTsf1rHZEQyGWmcjVm5q42FJbY0nnanumBxBH/UC8Xgv+1HVrpNPG/ODRHTi4
EaumBZtn6iTlpdQ9TnRRR7vOZmlrRtp4rxfDkzl7H8mYMf7Fz2lJqEgUkXhy6+0umiWDouTnGNbw
HvfZfsDRfS4N8zy4Q32EjBNvS4dAxq636EVAoZLoHzYIAoyt1tL6E1G3J5/tkJDccZ0FbgYduZnf
M+QDBoPsEqph3sC4ec2sWQa5kaCnGZdHoQ/JITd1a+d5ubVxvR2JVOWTDriqisNzK16x3ltXJLcb
+gp9gOY4xbq/p/RKn4L8ca3o7xID+ULPbbIlGg2PN1lkSWTUj4ZXt2TYNW/TSMdXFOjhoyQ0/CR0
WflmGsFKThft2yJkNcR+8tIrA289wK3Q7dwnOcWXTOUPI/YAX+okEwGtKzcdO6mHAoAf2iGSyIRt
PFWQM5rRi+HtAlsiiWg+0GEDuWOdO6fcId0gYqygTaC5FgJbCYuOHBjdWzlSzSUu0Fvm2aPGjmYH
NKufBoJutGKmPgZsa+26ml32k5kTlpJYC7y1gZjN++1NLbJhrQyPdJG2wzK+ojdK/3TF/r8vRF8D
H/5z5u7d9x5k5fcy+f4vppD1P/3TFGL+wzUcWoI4OzA9C0pVf00hzj/AUVioalzasKDGaST+M3nX
cP5hgFSndSdgsJq6iaL1v0wh5j9QBlpY3tbUh9tL/xUJ/PBHWPLHsBP9qv75/F8E+vz4f1XhIXS2
aQPTL2DD9z9FGURMdKUTi4+umVAkZLn12EhMGEZxwZUfX7usHzDhkuVjamyyYmb7KAWFwDyKnhdT
ZHu+9ekLL/YuLIi3DorPw+yEz8ZgG68WRYV4sbMHdw5B+0RVhkDvVI3iLXFDIyDOYIPLL4Q5Mi53
qZWT12NRgmCjWsWJ/k2N0E3cMaTFZntuwCTjBW4yf7fhMW5CC6luUdJwy9r/g/LBlMa/N8mlbZJh
oLsU/Kh5IVD81yZvZWjR7BTx1S7Vw0pZNSBUZrZpnSytf51g+9KXhtBi1Xa0kWS1FgAD0TQN9zCo
2DOkHA5144wamDy6jk5MFTUfkWrviH9PrqU7vNq1h7RB039Wrn3KlDsFnZFtHXf8MlfQjZG+1wZW
enetxqXttCc1EYxF2D7aoQbHpOAUYBklZq9YYqAAC0iiilBPG/QxcZQUZmSKiNB2mB2aSXXALMEC
OcA39BR7hRR32EjPekmddolBaWMl3RdayRbAre9IkUUvtOTnMaxYgxYDc7dOryGysGrTz/jspfPu
NKS/VVPyIxxZJrshEVAoCsoR0WNMmQ3/89tUx/ThH3o2DdsiUnczYMB81E2/XBstMxl8TsmON0JB
0k7Zygv7WmwXm6V6orr7OIDj2LBlcjH4wpbriAjgZfDWMdmWikZIHtNixtYNbws4YaHv0NKRdWHE
oEhWQX3ixfSWZgPO2XiF78EUvujTqRzaw6i1AV58ZEgyNxDVrt4FN+q3rG1AMzXg0qoloWg9GL9z
WAhHd44/RegyHVjhtG9JhNwqN6T9MJOXnNlkl/YN6498uu88lziUOcQ/mIElqMI7Vy3vbOZzP4W8
eaRMeUdJs95mIgGJgb83MSleI+IKkhnohyuYXEBN/MjS6FguSRB5LgVHnS1fhcpty1wHJ2DfE7qM
fGAlaOZ7GbMI5m7Apm467EVU/NTK4kAWUmaHdwo/EGQ+Zsi+PRBIYG4iAm83+ayo1dpsWCcob8Ib
N6Rs/2hG90m4NlxQSkqAh8VmknhtPCheNXifZc2G7Uzp4Lmh65PBtIC6JibWoVkp9WPLes0YEGcl
YgoJmZSffTfHR03if4o3emVX556u656MBfpE1ugGEJYhV5nh1R2iBiUwgXTEAKS6/kYi4XISeJq3
Q8zpHMJa+YvjUcua5umQQzPY2Cnle2PI1MZC4bPJ5RBu7SrDL7SwHDEkHSk1G5dkVtGrDiuh0mc2
kWlG9GoY/2QzdqF6Rs+dLEzWeT5tst/6FLFmVjS+8OGTLgtptV96B/5f8tkXeQzNRgArc2DJ1DKl
1FV3vzwV6Ruybpx7BqmDbUhCq0s7QmAtjY2WFP25TUntawjLlCa8jcj7jptr+J4JGy7wqJlXuqlO
XZEL7MXnMZ9pLTekrcZJFES1rp36UT8JrWsCoDf7xmgeuwQRcN6IPXaC/NBCu9z1VAtBSRXzHV0O
IH9UPDoXkwH5spU/VBp+bvfce2UOAbYMPL3wzlbfUbUpNPSqD1Hs0rAq0CrPGl3iXPGOiqplXWOR
Fipgc8I+AO3cToU4xSIUL5sFmoNGmgZbd7iyuble1LFxwH74WCXWR4tN7kVvmFlA7ZC4lvpzklLi
HWAM899nhkb3NEzheKam+laDNTsPuFnrmMrFPGfLPUDQVxWLe5hF896MrIBdHJsMlmYzJBgYXuMT
NCdc/SI71yUh5B3cSuVRYYSN5+0KcwkKlZ5s6W5aQbo5VaLoUiEr2Y743YoYOb3Zwn8a6k+c2Ciw
4t/9yIiZGxgiIpR+mmZTVhDkciOFaVFDQcBkTUAVn0LSZvaibe7YdC6WSmchG1EZN5sPwv+Ip2+1
vZeB7shdh94BlNgk1lHujZ81hf6D0HGfNDS0IqX7tSn1jR3JDtm6kQOMgZi/eBvR/EyL8b52iFSP
67uGNGTmXKyGCpLcIarddyp82pEJ/lGjipRqzXenm+j8cxjqISbGMftQZh0HC7HTh9ppzwkbok0U
hkDowy9DQx4v8W2OZWLsMuXntB+CRH5WXiggZNjZdiISlpF1SE6Lsq9eKsdLEw3aUQ7Fz6wo72fP
/Q3CSOxLaZJBv1kiRcKqk0JWDZPsuR76+TAg/ycjQ+6jzAHLb2kGwHx3x9atvSZtrh/ccOVSW4x8
pB+X9dIGKRXbOq2bU7+IPjCm+yRefRPIWcBe9OzVRFr5k9to577EtVRo2P2BPNItMv2uS2f2xGzm
prBh5wxVl6zHgyCH5jgZY7ObZ4OtcDbHu1EUk++qFRZOZvUIDvhY6eq7ZdqYCCbhHNeQiYpxa6zY
XETxXAQG4o1UCptuTPmy1C+jU3sboiF+GwuFXxrKokONRi8NxRUBWOR8W8hHibcFeyLy9NjX5LHX
0ob1/TlzS2yGflVL6NGnN0/xOSRSjx3NZO+1KXwxNGtd7CT7qshh4hAkdaCxCKWsm38YYaqzHuAh
dEwaNbCbFo3w5HwqF1+vU+NaQZy5UESiQ+HDgLgmWmug0uoIu2V4qF29IscMOoxlRjA2ByM7G436
VUiq8ezoXsuwjD/iaKAf2p/oFI6/AXMe84bOaoxGddNKmlaj1L5i+KGUi7cyiay7wolpCUUODkfO
68zgcqVGUV5JLDW3teZpJPWZJMwnDRoQTzCdEb7XR9xZbjpYW+6WMugcg34xlaiKZJkeZ2gXs2t2
LIAqwvlGJAIfiiZf8nXyUVXQDlEVyPWrosvegea5/u0QwZ7GKWnOc5X0TPPxXW3JvachmtnQMl6C
5SsXnPIppXTcQP3fJOtPvD0Ma5+/1tKd8AYQbLfG/O2FaX3BTY69Ms3T7YnIipfcjIiqFTAxQ51i
Hq1D6QHtzKrIXUcFUsRH+a76vN7L9e+7vfvtK9HrHyVwUd+Uh8V6RISbEXOt55vJkx8xBoOY1F0/
dxAtaygGwJMiR2DfWqH9Wn8RRUxz5UxvpWu9Q2HFHCLGRwlbc20/dOlxBdj1xzEbKjwnnHETs/Ox
L9OTGI23KYsh/mBHDG4PY9G/5qRsknjM7E5YwMXWwunAHDAEt4dWydcot3NEfvpyqsu3Eucw8gEe
QqS1K0pqIlva+WHQwAycJeQUDjM3gsRh56f52hfIo42i/U5nUKdiDvGOI+SDa42110rr7nZSdJDa
C+jFheo/ti5/ru2Pvx/N3zN4O2ZkgwUaG6ht7FiYd+XGWc8MBARa8qMHzteuZ5QMZsVz2KZNTyxq
nZCV3DlAZYz54CHDOt5OZ1dgnjUKi1SH3EV0cjvbQNF4I8qQu9tTeiNMt7I6Q1dkwXH765PM+nDJ
tEakGf/zhOiGnKgPl7/ilmSdJnd/Ffb0NkfDsr+JH92+JT9XA1/vILKH27p+DIVqlh2WIMYbk+Ay
LiXZ0ibXvebPQ05R8M9Xhtld2CS+epi5DKEDQHUGFRiDqYJIfoadbe0KSaSIQ/ALZfsaZCQPgGSL
48pqvx1KjbQJChnTfKpuj7nQ+e2IO9HgigGlIcqYfvHG6SNxYH13UXTsggY/1IZ7FsE6w1Rwe8Am
5O24wZnPrUdxoCox5Bvi/xjHpap2BQ52zF1jE/S11QS3r6b11VbXjF0BkXRjQESkt9l+SzvWfnM6
9gGgRTh1Zs8eo+7y4200uH3if24cxoVQWCESIvsOGHiLnNR8dfoSvT8fzu2Hlz+HCno13b8PY5xf
weo5V6QJGOxdauU2Japdy+S8q1CXXclxBKtbSqu7LiEkkTEl13yJj8X64u1B9rO8Onp4qMme2OaF
OJTAiTbIKDfpXBnX2wMGvH9+pRJ/HvTyz+EQrupukmDKmMiMKz2uwbcj4K+3p4jGrhR5ssAs5Hi9
pV7AyfrUBIW0pbLZQ91e8FLDvLPyy9/v+hOQQd75NUVgi6iQ5djfV90+RHYs8oZFOcmsmjmxdiUg
hRCd7Cs3M/VggQ18gpj7eDtcm3lBc4q8tdtToew3b8jrRzOGlt2U4v12uImreV+NNjxnT88/JK0j
ta+1qrw0XaMuEKXUxelC9d+e3o7N6wu3r1gxfUnDlPvbf7h97+34v/3/2zExe1+TXup7xwpPIQ7s
zYqyxcMidsrrTpJF0NEeLWiDnUlNOjQvmkBIR1tbpfmXt2gniNIXRCZHQDZQX29vynwFs0sskIil
0qnZvw1dPW7zRopLqdXRUWbuPQ6uTY66Nmjaw6TRy02K6HvSmQ8IZ5lWi9UJNj/NLUG/GlW8oMO4
VKXkuydV7BvsUpeMHHSsnEGaNHdFCIyRwuMJGWHlK0w8G4HsZm8mQ7mpMoKh8zA8hGlaUJvlM/77
UC/aW4oN6KATQKoMyzuWBkm4YfHkjggHwhlsf6Ho4mK8cckVkdWwo0WXJB2KHE0dIC/cD0QXdOxT
9kXxUMPkDqhfU0Vkzu6G7s4QyWUexwfDyok2BQ6Lzd0wD2zyfnXEPxem9dnnc+qrJrBnl4S+wRz8
Ib7ky0jixcz+C3EVEk/WKXNM5aibFu8UVsAwFvb9cRo9R5BANpaL/7ZD2ULngAga7xim5vd8XmIf
cTb0miJGqTVsrQZ+0tDCqY9g6DVV7isunaMsa7JMZX9p1gdOfRw45uS3trfsHK9Fa+SE9Fu8+pS6
SCkYkl4mLVe+lbEfNtfLcxk1zEzDXF6o3O9w1c1BzeqSnQL98NYkUVo54zGpvJOZJh+F4WQ4cQWR
TvQ4ndiUF6yAG9Y6Dk5TNJclap0YSSXcXwj7/MLdrkrj9nJ7UF2VXBLFBcERids7WyLTD+fpSY7W
siFMtvb1hbZzPXNhLJUVBQ3MinE0XkrE2YeMSNkLls/6AhWXeBkz5EN2aDh5ydlg5oDw+FITTbdJ
S7CDlWegPXa8059bps/UWRQ/S137STNU+Y2CYplk6qTb4Ql0IJnbNJEpJ4sVWopDOZwoFOEvRjEu
g2T90eksm0u9/vIuhmYKX86W9dvDMGnP67+snSE6LtN1hIR7tGBkUz9CWTIo72UYJ/DBPGnW87qU
zS9zugNPVrMsDDs8ka1zWSqkrAsNoG0zdXcOLhI0GunJYX1/sbs6uyAEidAyru/S4/nTWYU6MaRW
gmR9LWd54jh85FOplzvN+5zdItoLbnRAekXql8o0ULVQ2dDXBxG2u76aqsBaR6WM7FY/DzXi55OS
1fuAKEg1e09HSp5EJGPgcv094O+m4pf4cIebDbKOLyuKDm2VNPtVIAYZNT3LOBPorwwjsBFT18nj
ElImXSC3+Sj+a0IGEMtOMoNV2e5anFp+uZ5nMc4/XJuudt835HdU71Ej2Q32w28P90Ub2mdbjlFQ
6+gH0uHVLbqv9XL00vLFMkaIJrSq/CquaUen4mWBG7HpK3vnwb3eeawA2XWglhXjdpDQF6f1QbQx
Ln0jects69HOc0aPiFhOwpoQzzLyCCybMpLerkWfhAwWlyYFNNzz73Sf2w0inmcjsu9Z76CwiL/a
ccY6qC0/wjejE7uhMY7eVGUsESqFcWXIOIWKPuR01OtxVYO537RQ3remGW5DE4WAVg6valII09wR
Lxhl8EtPltCfryLg8zttrsPt7QULyPA2KvPvrpp/6h0km78PIipH/GDLP48t60q5lNrp73dQ3jgb
cZKd6oLKV5S474jvvR2rgXY7fmJq7nyZNlRo8d0UsnsvqkpHPch9lTWhP9SSOohdAoCMk8My9yZy
kvStIBdjP4m8pASNFM7Ga7Zz5I/ChBM75fW1c9sPY4jro6Hm86I7M1LuelWZhE+aFpFs02DU9GQH
8M6tg5hc+oPJmRv6yNs1A8owZTICWHbyQMpkuqJ5rS2d93RnENaOeyU/l0NDkTeyE7SRui3B8XMi
4HiOF4ckM23hradFMTgM2rPtpTuzsMcLmrTpYrkF/bGy8N2pOjdxaO8ixqSRvuRGqrbxGRYsoV0m
r6mOUy4/26THtNQScjsYaDdHYoOz7Nb8WsBy62HW7w1zEAH/eKcZRW8HW1+NcX6UKno2nffU0NT5
NrMXbtsFBb+OkdGYtEUJv1cg06nqBJrkAvUz9+lqTYGNvnrfhGZNnM3YUTYsf2Myk2hj7e4iR0X9
zxItxZ1yojnO5XwbnZ08RRMzJV+FmR8KVXY4RUR7QaQg93jnKSgxsot+ujfNTvPRous7EeJKTS3U
qyo6jVwoJ5r29i5XOjOQd9QND3G6MFm2Vugq69HxUWFYu2HRCZUpqBh0E11cfrdLU4sGfKbzK2I6
18kAaQ1mloFarF8LFKle9Im2pvanxSYyb8yPpLKd4ljC5WtWVKuGuPRye54VrFJ0j2vBSsvzKqWr
E8rj3tx529vkpbOWC2YBwncWnyvQg5IQPeYw1Cq/1JPvZZ8dzIaJFzvr4hvr51H2+TOoJGPjddTJ
TUKMdqk++MVgRRcLR8YFr6LrRyYG2nagLlOnp2loyf+hRmUnOT3GmZMuPe520KcJKQgwPLWUj4Qi
U7+JM+Km7MVCMV+BQHdxvLRJSnd3XVQZ8xz0UHw23cCdbJf99yEfQNWGBYIqqnrbvuumy+3vn3Ss
1wqWBVSO5HOmDcbuML5OPesU5WiFbwgUR7YkE4nph4bxVWX971h2+UbYFYZAd5kR7zCaDbkGHSty
XhJBaQLa7GEcVUPKgXOAazAc7cS+0zxubNXzUY5a/TwNTMuz0RGq6nhbrgdiJalp0hIjUxXscuO7
0jyzO3nIeo20lARmi8dmI6e2uoIrUd730Rr+jvIY/CIzodyZXvaUoHk5hjWBQW73omJtXyry2ZbZ
uoDR9Y5RTvXKDL8GzO9brC1B3ii/TZATJPkC82z56oGD7rxaANpeJ5w+FR+x0xfHtskeSZUSm9DM
R3yc6V2+WNGJOgbC3cYMBtLBDnFR/1ynRsv+NLgzqJYA4VmIaDTrg8alQckaZPcJfO2roaZVHzGc
83jlxpKn4u/NWmPIIagn5BwR/yUkhFFyqiCTfkO0iM5EY0Eua2fZUfLZgcDD+kQpbUejbqf02t7F
zohrGCOKoU12UHUUFSwqUgFYJH+axvu5n5qD1tp+p6/wAHqpO5ukD4stz0qx3KAUYAKSP7DwfPfk
2vXr6HgMXvIk5sw46mmT3nULWwmurp9lnX6IaMZMl4folWfKn3Ec2IPzraY0w529QOuttvTB35fQ
pBzGiTNcvST/CHp5OjZMepHxa6TDgJMUF75yqrPhztO2paSzi5blpynbkM3POMMLUr9vV+08ihDX
U9RuBD/8Qu5d2W96FaHNY1SJ1/UmlmZ6COvD7akDnQqJLcWK27FBZyJOjfg10WR4UayogD/AlNKl
5p7nRCFncdhzOt75NsTTOCXXFBY5C+R12F/nxD/r///25e2lKS6OmVAIh9apoUxz9gh/5sb1ee+t
/RMAuZJSJsPCbTZtlzLeRak30DbTpnOYchsUs3NMhxwkS9NN3iGEzLv/W475W8v6t2N/9+q3b/n7
6r8VcP7j991e+Lvt//sG/3bs79vf3vn2ff/vx/5vf9rft//70/5Xx/73v8Htf/zHEzERyLMpDExi
0dAcaAul5Yahzsdk9tZj7fVLe6oIlqGniZ4fJznwoqhqgmatsRS68W0aERsJujLz8GUp+ZQu1nyn
UXp8RmT0oKl4+RYRh+F31FiOaFXC11KTvlp2BO1N3yY3GijwN8U+ri1xdvFvbGUY3mUS1Q35lndg
Z1imOnhZUt12vtlElJCpSERLatFmo454im1kpX1TNNt4mQkNMhUDpFr0/dyLbbz+JwpnW6BY5XuK
7jHoDUR3Eykj38hofUtFrZ5m4Nx3UsAauB0ni8/b9E62HKXpPXtewZajqZ2AFReM6qb7FgHvPKai
Zc+tPZVT/D5qq1dVp7hEt/ItMxXzXDMQ6BTa7oetVe0WOkRxcXH1voU4aZFyEe/S1h+EChC9QApK
YsSCokqnfWgg0fQqKt4Moq6Y7TW1vR2f+WOhP+opWUzV/IYXZ2uu3++OA2Ox7aIB5Y4iJTyfv2mV
+4pKt3zy6ny8AsbA/FlOzdNcR09L6sX+7AA27M0JY5KWed/cQeD3dYz3KfHsU9v2RKKSlFyDaHlh
KvbWi4PkBpGzMtfzpzJEKMRfJspIBeTftn+eEmbpN9n8OC/uvbuE4tB6eFqsdL62s/Ns9ZOfIUVi
AklYysvMQ5kNt0vpUm2GPNV9Und2cT9qr5ndPuGVTJ76am4ejNr9mUnL+JjTVvNhlYQHbSipWY91
QM9MPo9daF/RLBDZUy0LFea03anhV99xwhSW7CBZvTSiaVIsRdDsBX22omuOWlnm27g7I9JckJjS
+021xGbyG0hgBpdN3U7Mfm84D/Ssjo5lJB+ph+DKK+mgsMQA3JV8Ti5ObDmkxYc08++xY6uHBk/6
s+tZp7pXy97O8Ioq9AHbmXh3P3FG6xguvXFSIUlaORJrxQp4Bh8Z2BLiSVMm8hKpGYGGWXkf6egA
7omL8VyhAX13nMfbqTdohZ7ypcXmmnbux1Az+Q20ua5Dbonngb9qtjICn8jloYNls/ah1I/1O/km
auruVZgHbpEO3+RMV3gytRhKyZif1pmJDEQgKUN0SFlZBqPColagsxnND3TSViAI1WQVy9HZTZxN
ZZH8mLRd7QuxyLfU+2bJsPjQY1xYQk7T9vYUd02+m6wJJnjSHIH/5B+up+1U3bgvLpFZ99aaVW6v
x0dX9XsumOzQaR4zes+9ORXDj6mukocm9uxnq4ElyKf8sZSFcZo6OuCrbuLk2caI1BjcOPgcz49m
bodmKe13EA8UUkT1KkkSvyfA6ysVanhnR9UXo1i3RPTYKK+9C4e/KM0q/XJ7mo0vCNyGN+AMLYYQ
eqZexFTKckqAM23tSwM860gWX0TGa5G+gzvvWEub+Hp6OTxQ4sdgRRtCjLF+XSIree+GXyYqfGSa
SUpCX6HutVT+vv0wpSawPGtzvwVQSxVFM9+pQTA6D6ZxkfNkvmfpmxmH7Vs3jcU5SacTSTgMjIIb
tyVO9VDSr8L1pGgAlRO4FLuRl3l9GlXfXZxoDZEJ/4O9M0mSW9m261Rkv49ncEcts9+Juo6sM8kO
jEySqOvKgdloLJqYFsD7L9+/po766oAAIjMjGIGAu5+z99ovJHmnWF7dX102iXeUu9YeIbW+XQ5n
HfJ6NI1vkaCJ6lmV/p4gc6iVwk48tMEl9ysDF4n+6Wa1+46SZtrreI02Rk8VT4+c92CmgkK1D642
d+x3vd9amZ+9T0XqXyFPQdEPA1ZVyFTPcUB510qkDaqONz+WFbxarc1vda2z4O+PY6HocznYE42p
wzKd8k3zhXaovILl3Wg0p5qAld1UybciVMbJcCgqaVlhnLBAenQco2BTmrWeIajwdDq9Cm0CIaa6
w7wwm3KaIWrWJ7RJ4e+ln+9ixHDMBHF4sqJd9pfHl59f9v5vh+P81/7xI5lG3fX3H//H7y0//W8P
ZwHvnC3yPdxPGuI6jZJlr6Uix62MTf/3nh9moY6olJNBNdS0LJI561DvH8jhy0++yPJTEFQ8M+vV
q9fT2mWVX5zaeZO4vMxlbznnVWRYFZLByJ7bmTX1nBPqCmejCbo0QDp4HZrOQE8x4WDos21aMIvn
Dl6jjmZD8eevPcKEP4jfc7YYMqnbNvw/2rkH5CgW8oWgYjdEXXVyvdTcBExSiQXlkAAJShKGrE5/
DqMmyU7Dg13a/U66zmM5+4UJK6YF3FXmHdO/s5NDiLI7iGix9Szn7WAaT0ZRcU553d7z/Qtaxwzg
GRlg8fwc5lQz8jTB9+UZ/zztn8Pl5bEaz2mSH5fXX5slr8tp8TEvu2QAUJAlnnDjxyHA/7n79Wez
nGv6VO3aST2g1MlSxIZHl0iuo9XMKQ7LCxmkS0psFx3+/Ie7sYGZEGl7uTTV5g3AS3xiquvWIZYF
fWvMHU5QRhPRhowTc8fRnvudf/zdOuUgbv7U0selETa72XvCd71Z47BsxsymsxgjWWKZi70Iv74L
FkEnYG9wiZm32sKAZ0IozmyzHi2L9MN5789Gi/zsxNj7lkceyLn5SgtjTjkBM7w1vBkoBKz2V1nV
Ap+q+ab2pKnRfmYDSeevvcJztCM2KJ+Rg9C2+SnCrsMZPXZouON2Ih1l/tP28t388yydoMVpBMm3
5SJeNvnkgU34c+y6JPVqY3okx4p3aL6msa5J4trBmCDVxpa/XNTa4H/6U/9QWllH53DkOqfm/9dG
C4viWBMZGwZzW7DE5Gchev6952gmXUIiw4rQ0UlPTn3DpIFts7yMtB+2TdzJljYr0oC8UpiE01bG
x4YyL+3p9vffcZkj/t5bzlH3RwG4nPzHz7jzU6uS2q5guN5AM+1Py2Yktuf33nLoNlg7lWIljgq7
P4mGpnAhze6vveWcG+t7+FKMugnAhd+3GQxORw82bJpWdG0zh3iveSPg+W2GRh6mEGuX2sEhp+Cm
y/ZUYuCaZlGXb2N67cb6PY9AlADRIAPdiD3iFjPy1NR0+bOpPIxiujbRCoTJeoZuypPO4W5WEsC7
k8EZPshjIQITpWBTXnQwD6u4AGiRffSy7c/LpiylX9JqLD7UULi7PNPsc4NI5jzZyvm9txyibNO3
7vzqjKKm7qLFoKb4iSh1nHMwb5a95UGDnLnK1eW+0R3EdG20pVIGD6kPAFLMpdXHwvgpxqIi7R0P
DnPqBxy6JMQM2T7SiR0ePDhlGl3TzZSFAS+6TS5WpPuHKMKaHPeBhaiMuCZiZVRviAudFfcY9Z21
T/pAewA15PJNWZsNc1iFX3Br1o8eYQ3fA6Hbm2GssdgTbP44WXA8LDHQlET+eogbVLhFHwHOrdxg
Bx3BhWl4tvHcHxx0PxsVqfrZzLIfuS6iC4W4HomalBvshD0+Xm2mbih3txwuG6LIblObaKjd0KrU
bQwCJ+/7+7IRhTbdkJCiomYIJVEO7WSqb6QN9SSk7onTdSRPwpNUJJjd5GsbTv/G64rXbgzxR/v5
HTtUcrBFr1WroRyxDI6q3IaVN/uV/2sD7h6LttZ8IsKmgDqf1/0Y/VMZwif6r5+iHDPAvswSpFRV
AySTiuuyh+W629eU1PO5iWQ26hlJ8rC3WOIhOmTjmrlzNhTzGKembjxOib3NhKDnWus4rkngUuTT
kUesj012+X3SR4V0ltpGzjVLcgiDCzVf7EO01NaaFe20jj5nVNFRzPB2eV5wxHe8BuT/xUtRvFFn
Ocm5qOI00gVQjmWNhMp+25EnDhahPo49minqgFHa8zXzQX7S+xHhpS6a8BK14kfTClxsESqouXPR
Q+LYhqJFSyBmx3oRfC2S6otVd8bl94Yknn1GtwPFNgDMKAOU0I5kfLdzLWgedS9BGz0qpua6mzJi
Jh5I8XnT5TsQbvHJ7qitGUjvV6zdCiJgsA/plFx1WRjrrOu0kzAHuS9t91RGcfd7o7cRWWup0nPK
/E6A0rL9go6O95cC+onuMfO0ec8t5EXvzRDeIjdcqOBIfalKbZYphqZz7s+MYzk3yNIlVZrAzGWy
oVXNv087lsMYQtHWS6zPfJGULFOO37tOndf7KUlQkDCMe0RKTbh+mJbQiUVNFD6U8/ll/MZtWZ2W
8XvZWzahiZE/qacDIzEKVjwVX2qLWyysjJflz5jz31KifXA6S+3ChLwLvDj8oczEkGPyTaFYK+aU
q3mesAzt/VSvRT9lRwOJ7YaCJnKJEo8d5GFa0SmaV0ES3xqNJe1tMDOpqNUpswXh2XbxVeUoaeDl
/CRmTZ3i+bFlL28H2jfRtEcGzYCKxZBvzbLb4IA4WLW5gcKCZ2AZvheQSuAtAeFEqgW+dfwzxHrz
DHIZ0pdz+NsPqMUGzFAxSOBlfrnMG2nOfCX8C/rNPKlEcMaCyLe6AMFcrOBVpXqw0eMGf8YyEC/z
SonIf912IYWPycQBGVQ2sql5s4wfch7drXb6JlXN2zVvxPyOLA8mlZ1s/LCYpRap2sO9PbaztKef
N1E+y3+WWQ8zGPKS7MMy39HneVAxS3WWveXccijSelNq5XCQvh3Wh7xvn5oQFE1ety1NfjlHmc+7
hgMtqFfJjjYHsvdwHgHn86nBUL7sLeeqDKoiaZUFlyoPLBuIs92pmjfLoeZjIkNWQJJXS5dva6q0
RdLnbFAkTWBdqvs/JuaExsskSi6pkE+5p6t12IXlA+y820g3hSqAxI3D6i4I4v5mT8bH4ClxlmTV
J0Mz3BrNfepouq+JS4HsJDWPGX7u6Btfevk61caX0u1XvmH4X4SkaBxz5xlolYGiULTKgtalKRWm
12UjvGzGykCtcnO1jYLKeCjLmsIfSw5YGSyiZo3hsqd7PJ1wDFJCRGPehgrtltugA8E5E9N4ILTY
MD8A9fOdNaL+4FZZeEVZ/T56TnpoYDxeYt2nTF0Z7y5qjW7ytoM/XPy4KnZDUrunBGHpyjCJBuij
aqBfPh40RNvMYy14IgqIG7BuADoCQOAQ/cpB9PUR1Wf01OGDjNHzolzxTgmD5WoQ/lZ3tY+MxfvB
jatsL3Scncg/ozvxd8lTYSavADqqLwjC5LZPx2fh+gDqusStNshR3UutJX9tpJF9NYHqwFWAoxwN
c3L5dOlFNz4mjDINwur3zu+4geW0tbxcvtSZVX/UY0kkKjkSa2UO5AQ0GuVL0uXGfaSG/lk13rcR
ku5lOSIEwd+3Gb02N8DCmEzOh2w8MBXCMUFxpM7HmotxeJTeYG902CZWHHHrK4V+kMMDZlfkwen4
nkLWfsvLTtFVB3C3HGJG2MvYc5640OKXOCs3pjFAx2qmjadphP+5ptxXEpBy1I3qsSWl0O/b8lC5
TrAmBC1cB1A2r1kuxGMSakSFWF8DPWufUwKZqaY4/atlgWtj4uNc0872joX+xHSzvP+2dmU6jfoC
bP2Vv/M44TliKQfVpZ+8cq1SC63CCJ489eNzOmbJZczbWxtGT+k814aRANnV1NWOlDp1d1IatUMZ
jV9jXdJfH6e3JKGFZUF9eku99JKFgqDM0a/egrbGjiS7F+VGx762umteAq8rQu5VhdbKBwFy60Hi
3b+Mo34ttJdamFSsScPZWkKJ04xA2KelBWEzfWFINF57tFjMjuwl6HDageyQZ8Ip3TMZzt0O8BK2
3vytUmO6A2XpvfFaLVmLh3Fwj1YFpXXZ+BOi3FjRN/Pbfj2SgXsnRXFijuz6CFk73BkuwXUtd+Gn
PgifUGGT76Jqd43nxryZtr1yKR4dISeMG+SS6iPIHfqbZYaLtew91ix9/UgzkUWQvEb01rKmf0r6
if/NZBU33DTDUWGCJUwwNLoDfj3n6rKkuY4vRVq8BHZdPU8VIF3lNtnZ0irIgDOKJCsJBhZx+t2T
pyiesk+W4MisMx0ax+DaF+XrPcZ8eJhREj67LiI2x6Qo7angNRDWS+/p4205YghFuWQ2SF/nB9ss
jzZNh3obDtAzBXewsUnrX4iPobCPuRUx2drsR7HvAYfqmnGLpSyefl9eE+4lMIwA6fTKtc5EfRLd
Zzz2NlbgEhfGVY0PCaXCa2p6we+NNwU/7cT0TlX8DYOEtuojEcF6rMPnOk3jY+oQnBuieMyFG34X
TfA+2PmTb7T6qznaz24U18+u3WhnkzrYhvYoRgyk9PVI9o6hd3DUkWIBEvMYURqJVw5/ylvu88L6
0UV2P6ibk9DUBxbufgxOJDZTnWOG1pjV2nzqRgcDXU/wECea9+wAbW/DVr3KhpaIhbGDmfIrufDq
te+3rtNlL3p8L7NeHvn5+JIPGNe6fIzu0h4BKPrhPkpd7XHZxBMLHApy3Wg9QH4bXqHrwJVvhie7
idSryGco1dA9Lo9libg03dABJhjPfVpG9wC2410qm86IMwctz4cBJJbfD2Sga1jb69flPJVg/B4d
hrOebJLrsqmdQJuFXPO3BXQynifcSkzm/ZimtUfq1ZOCIqzn7bM5b9qJ8SZ0CHnqBwcncqsspA39
x3JEGU9uR4WEMzS7yQLg1vmn2LcB9eoIvyCVe+vOJIYsbuAzjom6Er8IQ8Scm9+mOUwXZU98ht4B
bhrwBWNSrCDmXVI+BxLx2NMduz+LQf4yoGNtgZWlBPxmJaK4KXaOTQGyaT6ij1Gel73QUtEmsfWR
bOwOEQRJwuNVMi2FkWxAzw3bA+up8RoU6kfbGsVxRLnxYEdtvilImt4uh1MWjQ9hX8iT6Ufvy6kU
+IpPok13sONMu1B65XD5NdUPf/2atHuojAWJsSnRVSwPAM8GZHQ+k38U3FJcrr7kaDllzn5IB7Hk
eTkn+AoC85OgCOZfWM6hFmUu5fcPON3b50kyQwjzlgrD/Ed6ylgPiTS3y4N9FLwBJcUXYoZoxFii
Z1ChdWj1z00MrrJxNG03BYZ59DpiqFyk3mejomS1/EhRS/e5pYMOEXB4XE6V0JIZ8Pzi4IWV+ywh
tfA1tClPuyvXjr0rnQcS4/0cuaQWowAkgG5jinQ4Yh/sacDjvuiJXND7aFx7SVLuVKplDwoH0y6M
aix1CmNaLh3nSENfvkK2W2nCmXaGDjG2ELYLRn9wb6z5WVIXWb+VGbbDwMnPhW8GJ+UY4c0ny67G
oqSoivbwIj0Lgwe+CYP1V64yuS2N8YfjQzbomWmUq1P0qwdqXxmMYx+pENQ64yrdiAZYjGM8Wmr8
aAWJcHmPBJ4Ek1WX/oyZpK+taXryUqcBpxw/4QI00/HMXFDD3ZKcpsF682IzJp8AgSFIMMIUeC+L
cHqxZXrrfZSrPvyA1ZyKjbCCXOLAtMU5eMri6ROJorWOBNQ3iF6J8waLxFynKAGn1CMLxPxhZXJX
ZmjfdWLRnxNIVc2EjyLn4pxy59OawulQuwpGjKs+TTVH783ajTEt9u5g9Xdjwio7QLhkNV0+gRu9
IBU7j4Po5sSkYtOW6ofLpHNWWfq70sQSqjG3gbiYdtgQk50bmSalfnx4Gut17rrdWfhzmBSkhQ3Y
ecpb5a1HNYhuNIN/NATRqnR/iJzw9NQ0yrXXT4+JxM/cTNlWGSBGYqJsXL17N3KKI4RjrBFk7Sw7
PGoNZLekj30IrsOV3trnWDEKeJpzCDR7T9DEczJaHtgJ606QM0Xs6UAVz0dUZ74ORomKnMwDrSA/
OZbPvdbLTRnMNHlvvm3nNM6BY7LgQ1oeWdhGyA4t/Xert2K8e8a5nNC74NQxan069HX+XWujGU8D
YsXGlN3xZu+7RPsczmEA4okVxj6z1NH0AEjahhYdmtgAaiFmzQXWi3b8VVTBce68iYF4eNRs35Rj
0vsV4nNyquhi+MyASIlZIdMwbmZr3Qsfux5V+Zr1nDkDlZx+AxkGPjaavRJfNhHzv0hfBE0aEFzi
59Y5yTyMw1PM7ZFuw0BdwbZxRUa6U24rKe/WABYVGw70ieglSr1yP3Tkp4HeIdLBHtYJIpTEL5xb
l2U3IiQgCQbmk3JZKaswvGd5+zY4XXTF82ieFbnd2MaAeqaEJTpl/IiiBb3lvee/ui/S8nsZuPse
3trsWtwvZpA+aMgBMSCs5PDCU2OfN8kVVw7RLU3MxKN0XwZa3asc5dGhs5rHkthAcHrRnGEOzNFG
hUgJO9Zvg5HuVZwf+RTjtSP1737F8jHWBZh18DfxUF3tmtRHa3T7k9Y4oDgwCucF3xPHxKldoUni
85dzTjeK0A0dzVtaBx8Z6ICjAaiNnr131lIVUhrqKVg21b6wEgz4UN8sWJ/RFPO1y/kfKAkeLURA
7ibvuH6bnecH506HcKfCO4HOIKVKlgmdu/ZVGjwnrnqNJ3t2YTP9lne9oVfbWZClnJYikIoH/E5N
rm8wm+/xFB9ABXPZKMxQlYaEmRvkrZS/+rI0HgM40ytZpjkwOBomon1znRGSOu7HFeRldwOGZeXU
RBiJcjyN2AQJzvgS5WTiBC1FZTyt9QqnOAKH1kUoRXlqnYQfg4A7OL24yda1uPSZfKzyUfwsU+dr
ULifGsI2ai/xaz1gPWywaDjAhOup/RUpvvJ40j7yrA0OdYQjR+/HM2njeJ0lSu6pBM1UE3JNEpe3
MYqn1PDGZ5WIc4N+Ud6ENmcNM3OlVti+Vt6tyMiR6Q29eCAI6huz9N6dGD396GzySVFGHegi9tyS
TDpUPOF9zDSFepMJlKOS1Q9maCFIUAX4z9YmfhugYc3wuk1rJGAAOTZG4z1VYfslw+h+gQXwrWis
u2yNX5MG1F5p+WPp1p8+88lBp9KBYq60W7W1xyxC8j+9Ozavi+VXmBFqKrUsvcXYtr1Ii/Yw17zV
FOnHeDIeMmFtu85ItrKwcU61ZECm09VhDWsBxdT8yP8xtdy/XIiMWp19TJPa5UN8JXl7F1TmvoJ4
uUJQE7kEWFh28lQq59U1aMaM9jETzC/rhoQOPs3jgKSLznDDgGhfZZF8CyISN6Mk/u4AeddD653E
TiTs0vwKu/xF93H6wsW/mxNBmpkM9sgtZhzo9M3MTReiLnqdQG4bYb3nTKrIAb8Qc3K3qGNPFWh1
s5GIp5v0nk6EnzO2lXYXg2N0tFViixCPf6Y2XtaKVao5R1+ybE+5yntd12aZ2i6IMr7dANzXVkzV
V0bpYx1fMl1wlZOpAoLW23oaPb94I2Bgja48D6iloYRwQXsZrcNp5kWbKbrF2DnnyYBWSR4oR7xb
heLWPJrvtUErAGHgLw9PAN4shKpNRJ2AzyIlPX4bBvabHC6DUwNKEwwmI501E3d5A8Vo3bZAeVWq
U+9wYEeGnf8lK6DHB7UzrI0QdHb0YjhQviYk4r7Wv3iKRHKTOJOVI0Cagr9a4UvxmXGv9bjb555D
0HtYjVT3vRbV7+Rd3iqhHiakuSxainSjywyMpz66eLghkzQVt/QG0eGGslCwQkB6ow6080bIemHA
2idxs3XgQY6D6P6Z9HghkWUwiBlP1NkGmEv+rHMJz5QcnhFdovlLKwsx9vSdbI2XIOgidNfHaAj6
l6B+jqQbrb0yghrPWORpK4uZiDYVNUJopO1dRdUxGX7E1nezIs9X4P2nzmTCosbC0dSM6qiOusGy
MJuDE454c9aabsIpRFrrDsYvGo0wtKCawq4ruXMX5S9KsrvJHZJjVKDth18wgaHzxhvJFRhyTLQU
iQbVnALvgzLQJmgW5fcG+YFXM0MCB7Az0NIwGTF3lGZBkczUrMbi6xK0/efY1tCxUgrmLDhX5CRj
DmDOlntrVBUHpVXQDN0zS/BpC0PjXHsbxC4QyMNqHpDiRu0Haf/Q0uyQCtPeNTq3MmGPP9tIcFX4
Vj9zStZuU3/vlSkuKqM1nYP5XYVuco7Ru281B9tLngQ1TeroqHsJ8RpZjRsm5jrIjfzNN6OvRBzx
VlJR86lYrgklobAgrQ3JRZ8jqi+MiXcdadrKTcMHc1KvmW28maW9TvPMWjWt98uQ4deJ2CumgU2M
1ZIrr/VJKE2heAmvNPhAyO8Cmgr6Mbvm+B6wSEe3oR8IP+7MU0F6RFA63bHHr7RNdecHw/1DU/k/
ooDklrrA36s3rbYOC4oCgT03w1HHrNxcumvL/yZDVnYNHpp14vbTdgY4GJ4Uu36KHytD7DVvNBDp
JY8VwU+BRLxcCRtAJ60v3OeoLurEeDPs+Dt5Dm8T8bguveAoQBGYxVH72Nbca1VvziYMRkRLB5/f
GWon+TUKv8k20LtwJSeE1gjnNsCNf9ZVfrbi4RMlE4zSIt6EiUfUbcS0ttCqkaEcklobDSiB2gP6
wnrdkaWD5waqRYVUeJ9lEZ1HLSe6JPwWmfg+JjqnHV8xKuvTNWh56qDM7wN1wb0linfERBsfTmtW
dJu2Ng9YwGhZpWgMkvzeVb1zqQieqkqAc3kqsA8KyKNJgyBMSa4aM/xCe2PXaYiOZaxfxihR94ro
ATX6X4aR7DASR1Glr2sR/6qVTdEwRrkT91+L5lmz+w61ZK6zWBHqUXshCXPcWv2Ag6hisgSROgZu
x7iTCfwIva3OeevvVCxfXUvwH0GtxsooONd8dU5mwkK0UVgxNbvZ+mZ+J8PtKQPY9GEEVA97Y48q
zCfBLVPrzDbxrfUYYgum2Ct5wKREtkpZ5huiP65D5xLpM2HPYG3xqiQg2Mj5WdWYIJy4QPtq8mVI
I2Fu6Ne4KwAQIPUcN76CAY9XNhk0YNQeK+ijAPHyX27XY0UbvpHO+JJOwbtOpgVzB+NTmwOK0zGf
HlAO2HubCLuTB9T32lVZu+WKyHmRSbTuwvwl8o+id5DpNb61SZPgfXLICB70AZ5D+1UELPFi7BpJ
ja3Are6BTV2lVlcV/vIxETyTvooWkuiLHSTjVaXgMliTnt3gvH6hfR6vs6n2VywCCSS033hH11PY
iiMUTURWY569TnGIa4FAkk7p1578cTxle3+y3mLqPyGmgJWi0VUQ4rKOPbCw3D1FFI3XshnvuTfu
3KGDdKcF1QaR7LHi6jFGalK2mqXp/l7PyCuIfOe1K+PkyKoeWLlpWTR8CKHRja8hko1yrqgTzrTt
bWIOo7r52vskECB9qjTjjFuzIarU140nA0zTppwibuSZvet0iqRWGqMdB5pD3AhVtKJD6hlhj6f1
1ClsWhlc8KKcJ5J40/LU3tNs4NZlOWBtfZ+mCU4NSa7MNtTLdRrwdyrLZUpFTCs5Xet4rbezMjFK
PtPOc9eMTtHeC5tpaw69udFdZP59lBPgWpjhtklfYoYoFAZAHuMmfJRZpG8JJJ0DO59E4/HhI3qg
aeZ4myRmTj546CBGF4QucytuTkeNNXnmq19mgX6PGdTOGdzvujKdAxSVeF8k90ArsrVt6T/agQgT
uvDIbJvxQ/QhUGH0CsvpSH1SCpnm8GxtNaTDt6DJtTXBOynoL3M8AnImxshmwB7BRiblidF9wGWR
f0ehVLJkBNQaueMuV8o8sGD+hNsPm6jdJ7KVmynkc2DyGK3ycsTb5Vp7pmPFXteJQnD9L45IZgJB
+jxM9nUc5qJq7YLvMuiq0Jkih7RdpzT6DoFJ3hA3F1b1aUWuiGIw9LScQarwbxPM7p3LDe6ItBlr
Q096zNyg6jxurf1AlJqjO/jf01xeXYIEdZVuQhBISdN4NPntrTlalK10myvs2gFreVARAV+hwCJm
wWAtwM7jq8X367CcQNvxHctt+zSCySp5Rb1vls+pBws90miUNBXxkaJ2v5ehGjHtcs/yBMnqhrNr
htgkHjdnuB6GjaNssZtqV7uXCfVE4ifI5IrlQXbN82iN9SOMoHUfoBVVWfDQ62a+0Q3j6gDBLdQQ
8z12r4EvXAS9TAD9ud8uU2IjAi/P55Sj9BDLdqv11RcycfgAJ+Jdmuq9F/YLBKzhHZH3tcmnXZbY
6h0dXnce4q5kSYaR1pPfFzDh/0c0Ugdd3olP9T9hHm6+td/+x8+8jdrx9i37+Z//8dz9+N//61cd
ff43ROPyS78RjYb7L52PzXBcW18AjX8TGoX9L25wlnAdSWS3OQfp/cVn1KT8l5h7RkAapTT5lxC9
vwCNmmn/y6NMbTm6jsBU0p/+j/8HQqODnvO/MRpdgdnesEwBdQWFimXY/0gbNiNGV6uHtwg8tUMX
MexzYAHPLVMNFF71cwFy9F4ErXWxSILRcDi6DFcK1fiZ1GdmLpUcv3acR5KkDsKXCKW1TjxMZO6c
gsT+uhwN6AwOZgoRKspTpsxl8rMj435PIUieGhYLo+gHugdzmmVqDu0xrzP9uXXt4DSmzGqG5eEq
YP1gWusmEM4XmGNw/zJ/uil4u3zT+TG9zo1XjSRsTWMOTazTy0J+BwOMIrAvir0wA1ISdKHdK2+g
R+R/tNqQ9rcE2wFIrhALu1sEL8j2/b0YCM4sR1d77qTJctkc9AswfX1F8FL1DfHLmmB59BvoNRDP
PelBbN074A+beBq5NTPwPzD/zR9cAqAuKfP1GI7iqe7fme+rs01v6NwrZzhHGopYXyJg7Qh1KIIh
ucCKYmI4mCGgE6NMNpLi6dmi69M0mvVSh+171SLgn6zRegEAkXIjkc6R/D/7xW3Vr97vs6un29lr
Tg88I83tiUZ5/jpo0wUkrIXc+qOp6uZuhLK560zCyYJqMFx6+LwFNaBd1AzDkzNCOLAKZ1/nZI04
KEwPbgEniWUJRdaUKvVDNtkfdhXjsakKi+a7/OapsTo782awg7IkmNchQxxs+hZN2DOyqGvWKf95
2bhS3GVZKvjqsPVNs+nXUZ8+kH5jPvlzY35o4h/l9CO00hrdah2diMplfOa/vK0DMzrQLg334Pvc
Lx0mVK/PoBkFhGUHiTVt3JFuE77bYc/i07l2hYf0PkzuTtR6tEUpjkqVq7ey0F8xLD81aLWGsX+q
TTt8Tjph0Ra6FpgBbgCtSgoITfzR6NEuLUk2yQJZvUUC4rFDltvM8qneMoPnt4Vtrnniq6gBuJBk
Wjgnc940zhx7l5uxdijFED3m9dTwLth7XvH4jsMvO0s6LSA2um9DGsk91uV89i/n57Gc2GRhftZr
6WMVlISDcW+gvZDiAREaY74zGExjhr7c/ttxMx8bSClO1tA9T60iLXLeqIoKvzMkN5bKNQWtbdCk
9rXWbPfQiuFp9CV9rr83oUXvq5wTLJa95YE/55jQdSfN/dn1WXRMB0oQ/uSfk3lTVhh0Rseddpbf
GHKT2s0+jVNF3AN6OjPMzIdaE/DMiENjzhl96wzhX2MqN3SCCxh/lfaQzRsrVdlD7Z+WM73p+4Qf
Ce1hJG6qydDgckNmvhsn1aVpjFcRmmpfTXZ5WU4tm4r+3+9DrsJ070z1l8kFEUe+kBfunMRlnhgo
hWt+/g7iasOngJDoawQAhfsWxGw5SBjrjZnd/JhgvNiJ/9qz0oApl0KUUDW5hVJiftidNwgfQiy5
hff7XNr6xrYGfLqOaUKQuG35CBkoHm9jDXgLhoreIAHkme7RyqKP/GgZXcinNlW7FCIYWkWBCrNl
CeL8/aj6+9Gx0NxTkRU/7HIcb0mueVcZHYfIe0w198Oz7HwbjmFxy0ofw0mZSnYdjRI+M5at7tQc
qumFfGjn3MbU1QTm6Mp2qq1Mcu7rzrCPrdD9bgb0fadQfClKr2KOPwQvvFsCH4WHohiC6K2LcogV
4uvANJ0iHwCgXTgHPFLDrvZ20TeHtk3GrW8ZVNFE5bmrLnYhxxRosCGSk50VBhtwCyyPyZK1145P
aGFKq3yu10yCwF9t73nENzhN/0LbpX+xPHkMtDJ5WE6VMocfaWACC6DhHqD5UvucvOjagSa70hFr
1yiX6G7Nh38ecJNKHAq/h7AOJC9WcXQWmYM5/t92s4I4LivAPmumZXOPQ/LGO9d5BzHo4akWxk10
7c0uWhqhOsAzAyVLPSYe+ppROGcbaRdvq0XMStF8mXt6Qzb536k+ZmthNHQswKdeKhOod9uULVSK
dUHuiBvh0IlQrxLJMz6QWczh0EpxqCUi0wrl0WYEzMqI0/vYPeB9r/rY9E9mlQprvewKqm/OYDeH
ck58BncsAPQG0Qn+/SmkkDJulnN2pOSVbmYPGnSYg1D5uWWToLpbOR6DUgznBj5laJqgxuB/Uf8r
r4kVFiS5RZhQ6uxuxMWO23v71BOb/BQZur5r7TrfIF8hiqXXwl/DkKekb/MoJh0EL8SoIfirv2IG
s1/0uJ+eFIkLjKfWy3JKJDqXaJTs0Rc5q2XkwsTd3M2KgDbDwH+wnHO7Ds1k3Tk7y2nyVYQs9Xnw
rHFve0l2hISSPWJ701Z+M12T/0PUmTTFraRR9BcpIjWmtC3VPADF5IKNAhtb86xMDb++T/EW3YuK
LvDDGCRl5v3uPTcfxYVTU3F1yqZFBx7qw8/bn5d74QmHwnbe/bxNF+S3oRRnBP73BoPSrTQrvU2b
Ru1+3i5xdSkpmn6JPUiORlw8lI7zbZl+cYuh3m8JdJi0+OjiltEOg6KdDI+p6sdXptH/fdwsW7gs
Vd6sf/4ryDAjEzJnOLX9QuihSo0HQvlMZZr2fY7sjKuMgUQsdXoLApFsmY1Ou2AIUgbG+mMBxvtk
Q694MXNjL9xuPsZN6RN/t1uOQqUFe9ssjh7ph119J837IOZXlif1t7KOgeWpI6iUaV3RQvCgLHHI
Z9omQnNcgF/GlgGqhEKdGUzsA3Tbw2TXyYvbeiRCYtcFENVQ7+bU9qlkUP4k8KLBqtHM6QuvOMUB
iyjfMvp5DIUSx8JT5GTiyxMcvWU91w/d5PgPKQjN0L9/Im/UaxCjyiWVWB5stkGg4zAyoMsFrxgk
n6Rlf7oMuN4KfihkDaZ+a2rPeitzbWzGquu3P/vC/7+17tvEnz/889l2GVyKG+tt1RoMHogSPjmU
8u1bGdCdGXXxsxD8E0AM0i7JlVp2xR7rkU+Ex2mo4hwpSx1omlM2G1m8O83XXFB7lA/u8oi72j5Y
FaQVznrMTBb3ZkTekzKH/N9kd5sEnf13Dw0oTP04f+6IuO6K2oRU2u+70ouOo+cOBy+ipdjKo/5o
KxDT8VIOJ2+oIQt28Xi2xoZAWRssl8WvKDBtCvoKbFkA9lx+RRIPkQ1KgWFVkrD9XtyvZsyelymu
15A86Y4w5hLFdeyvqasK4DOZdZnGWOznfFbwIN2JrrvKgllKXFb4hMYSl6QGTqotxJf0mR18Plv2
Om57qNflYL8LC8ArItetcLzQ7m17xe0w34RngkXBOg5ZrZtv5SLBcPrOW009SFoO2N3R+D/85t0l
Z/Qlhoiaof7QVS15DMoAV2Y3238sRvZQDWNAt7GxnsupO8sSvnE6m2ChR1wFEULOvvaW8UQnoBNi
CxnwGSK+NDYlcy3aWlVO/aFUy++G5h74DMQXSN8yZTZi46+B519b7ace60/T/l4yoV/4Qvql8Wls
C4Zk3v+8nc3OOjE1Sbgp+SOMscPCpxB0lN6yTYKDp/gLcktla9st5CX3O/fsF8W/XLiMUateX7ki
KG2ya/mI4thv7UA2D0HZUDIiC3mu8kLTNl1qWjAid5vCdwqbThJm7dTDzwucb/VAZUy65UJEqfDm
T1vo5q8G0DvaZpusqF1EVU67bx6Df2eYzZSM6Rk+WtY/u+hmVL+Z80XCFyO6xrOnylzFxDM2Dtz+
kixFsoCyVgyOZmrFJ+BFzwhsEYQSO3gL4hI+tdTxp2XzRBSB+rZ98DDuvSRtIvvLYGulQNt7kTC/
4U/8KjzVHHqbpwOrdbLOg1k85G4M7mqs4ZDRJP4emOK9R7L47qPkorO0vuXdWBK5yPSZGX5+STQC
qc8z7KMax0PntNN3a2W/3Un1b1pAT0/gTRwtgm88JajFKRaktMzR9SdgjYStpx1cSAuN1z51v+sp
qT+RVVwOnXV9ZjY/vpidfcVkV39qyxNrQWfAkSc3NSDxuP/5eEsFyCah4mVMeNhlA3yTUZZHJKT8
yw1oZ9J+GvDoM9vngkqD/z7eU1edOhSJOJmTPBb0ucB1LIovSxh/Z+oPn0eJztrbnP2i7BMB2nof
6jJl76/LsCIW8M5cm5KlumtJDvHZKuIUA9q02P98ti87ds2eYZ1+3ibCfY3M3nj8eedRuDQImVzJ
GJy1qoY9Gysk1WYouUxLeSxcVp/Ec40DOrB/5KooDq1L+Qrwo34vRGsh46YmnmDXvNREbLY6YBHp
3/sFTZZxZHoaFYgu2pBBz7tFZW46ndXPCBmQiNoYixN4tjN5AE76luQ8EimxnWazeuvm+M/Yy/Gb
/t6Da03tRx3YzrquqvISTcFwniNZbnItqpthZpc5GCCySprQpqDUWOJ7zgjxYJ3imF50aeNFbZrH
MaD224EEBRUvro5ct8Hz1Nh/fz7vBFBjlTenzx6wiKOaLebvqQG4XahTUmXWyahxYgmpzWurnRlC
nRvdXE7TkV/3mDqxFNc86Tvq5rBlL7fEFngStdtdaeZLdn3UUqWoe+tU8wsNrSb+1Rlu90DwMtt5
cTFeqGdjXCEG8+wYcb+XupWnOhO4jSY7PQVdbx/ALpMNrnkAJ469HAynop6uRknMdUNV11zWQHqw
jpUE6u4coeLF7qgim2oan37e/rz0tMsli9M/ZaVbvPgyGbfsuFimvyo3iF5SWS0PKhifyFJVrzYh
2leaQbcV56En1SLz2EQu0aWZqpjRI37HdjfGGMWoWbaOCMz53li0+6B6nt2dsOYXRJ8i9Jo4/zBd
/UEJXfu3HFUYyFqT1dTt2uwi75sK098xvR+3tMfvXfdl+eIElt60C0/G3Bnlrqq1sRPT3Wvc1O4R
Cbrdi1mnDwtOrE3Ql941GqkBcJvgIW1NToAUiPZrn+P1iNlAFRswO7Qz5CXk44ZnWjX4AY/95HfB
xPYxW5Lx1USG//mwykG/RxME8YlV2xvurfGB+HCBrT+T1ffBV7JxHzCJfvbPTVqXR6cPdiZtGdku
SS2955x3DSY/6HFAqFfPdEjnMPcr8P0NFYxsXmKHFh8PCCu/3GRvdgPuOZ3rx8F21aN1/3+ehSvX
s3Fr/Xzs/5/geVps/TnGf3X/w///RNsFGB4HIMR4e+A7OPET1pDyuSI1sp75xrY/b39e5mZ+9NDa
L3UdV89WgGqWuIQh3Zon+v1DOXis3diQzwxYH/p2ekZPn54zjrC43TDo/3ysAtn0gL/k8PNOMQDC
fMgipo0Fvvv9P/h5qbPyZIxO/vDzzrA66koCF+usH52pQTa64Ez9RfTfC2AlBnVNgT9pGLvy1FNk
lxeUuKeLkFRMabwB9nAoquyvqTyYIXnkH42xodBogKr/kzgDdxKs+xkfCL1105FMAsN/m9gccZph
6xgGN3L0mosA6kyFSq9jpH7BXP7482KhIOI8vb/HyUoIry7Klb6nXX7SzESenHDhJ4PpmpC7LkuG
GJa/DwLLJkdAY4WVMIKi4GbrLqB9PS8HA9w75jHAoLNY8XsiAvNU811e00XRPRnRsSUBGWDq+I5q
SkjHPsYx6En8XzVGGidnMyGoFGZSgPCWvrI69VuVNeDrXEQmCIM4vPBFivFmidFnmrwRNlXa7t3W
wFAkPyLPMSBLQHNPFWlQztIEhgXgSOQ2AWeVGuN3IA/9pQxpNNngtvvyuSoHgygcO/bHMVoJarxK
u6cbwZMXR6vrMFT1IWOQ2E1zRVy1Rytwr25dufs21wzgyI1FDY06mDDtc19qmODiYbIQgU1wnR0V
i6QUzYOTodyUSrNBrbzTwhF6nSJSrqaLvSz2CbOhcZzSl76lXICaztDiQHGiMeR3EA/ZVgJY5VaV
+6mfkp1deI/tFGQnJ9NsvmzK4Vxg7jvOUw9mjqi3QAtaRRMG9qm5/lwt3EvMJ/0q+wX7KNnilUH+
wVTK8UNDTdZ+4h4l7aUrHxmWiF31ZNzDiP+93JOLhMiYLM/E3jA2gSiDqG7P+WHKgbpaTrpy47tu
0kP+xGB3S7qtfcdXp4UXrBcKTI/TnS1QiqldkxCJt21g31xCAkfHl7/R6cFHQrzxi+axyDFU1OZX
b9nF1mRutbKMfyKK4xNhnh1qRXFgFkp+cBn1FRr23k6VRQX2hRwvdghnfBsz1J6kkwfDYobcDove
0Pd+RYaM90kJs3HCF4VNFSJYj1UFG8EqyrutwWXsz2hQPy+pubhbtwz+IO1sjGSL+jdvHMdpAdlk
CxJ44m2BwI+ITkTGfUFxCj5pKwiryeCulopykuGx9VsOUTRzvjB/ps+skj4XABNaDhukCH2xH4Tq
166T3joX/c9ki8jwWFPRTRNMPlAkPAVgUAJceTKbk20uM9rLaw33Opr1Y6MS9oPmNqDId4VlCFPR
jG2jXdKz4yIb185kbWqPNdQAU4nLF3uwufZ0DJsV7TjMo/S38HJzX2Hw4siYxnvLxATDvw7TWoHK
vsz52m2t+mwQBV7MuN1G1jw8iik9F3X/L3D7F4zl/sZvrQ8HTitOyCznWpU1SZTi5tKotJUeCjBR
XQ4N2YYsKBPWup22NbGqVcOiFg701npIwVikNZ1DgX+RxnIZ734k5SssU1CjZdV3l4pfbAat1vTx
CGkg1O2Q2IeKktFTZT9VOGXoErhBGC/Y6blrFmO95wnbsHLzcmdQ0mIMoz/NOWbo/ESdHr9x/AB6
Nraj42ONphMiLKv43IhxPGLxG88xQAE/bV/LXg4MHFgsZmcBOkJ5LL2Ov+h6zdd0RPDXAdhre9QH
8ivFmjQTLM/RejTN4V/lVwezKfRaYe3Z2xltTZNic+tlbA+r0qfVRLi/JN5B5TfP5kgnBNosZmgj
/rDJcWCJ9a2XEnP6upbzbqlLukp0GJOjT7LphEUqf/JTnEfY2V8TNjwh2nKQxy1ooVa+eT1x+N41
d7Vn2uGWRgX/PWUftbJk+w8/XL2rKOpbu5nXbeyh46K3332bNBEerymMqFnJzNQ+zmVPm4Hv080A
4AifF0QOgbijhreqrdtLkWHnVJA34JVsm9yINz4pWVxPBxTEEh2vuSxKPmG0p+6nAOUzKoB6XBwF
na6Oph/knm/txsFZSUzo3505rTTOjK+sw8okKYPdkGwC4OFEHOEMTjp1Shd3w3ZpauWB81b3CJdq
01SQDZXNXiqzvGjNyQAbWn9S3kAJqZipt4nta1Hj6ilKy1+nFL+M91IDBw06VCI7uigJuB69jbSH
SxMsb103fncutuXRWV4Iuh1zPAYPtdXtrHLSH9CU+q3Onmi19Ukd9dwkePnIg+4MXMSsi9B3aw5C
NjWSdHYxmy8QGwuzfqZLKKSTcAcmpNs0maUYhXeYG4I5Y8jn+Wfi2Rflun969H6fo/K6r8pn1zex
lUtpURJfxPdHVzh0o/dBUgak6tS/p0HpHdPGfxN6wY4WdO2tT4u/ZCH2mov9Mlc5AzBCcFu54MAu
MXbJ7OR6jXphRaMUla9aL1haq8xDGa3xUY/FB2v0ioNYs576yNxUqDt6eml7BlJMPH+P+d3H3GTm
tWFBEAUljIUVLzscHsUhXXpAVMoKM+nlW5kx7AHy/uL5wxdYR7EyyMauB0CRVZpXTyg4G5NCq2Mt
GC8YrmwOMoVkQoaUeCFcjG3dCItzNaYIc3Hax8KnKlbm76Q7PhX/25oU+nBipxAWXSHiNmE7fieU
UYU3AvzzgjrbaOzf2wlhPi+c4mrG7kXYhVyLsTPXQPReLGV2u1FAA1O+A3V+wmzRERW0Ywvj56/R
VkjAFtpz7hJHbOwoXY0xXKI4AbNB2yS16K1Dx66dgJ4upnU+jEgWbfEBC3DcNVS3sOfhfAhtrf3I
gyDAhhXEK/Bt9LGn3YcX0PTdsFNs2/hNEx4A+Gmwt4j+eURIwroQNzsHpODx23M1IWFzoQim4YfD
42FvJd5dT06PSbUd5bgcbGMmlDofzdZdJ3XwDgqbFYLitbVTQcWh0YLOy7F5J4LireRUqvX4ECgw
Dvi3NnAOrUPXNfvMVMwaHFGEsDvPTSNvHFthlu+nCdKDyUNmDYQ0jDWFoUHs7xnS/S05waelYE9G
rJSkPZ4sHXTU60LPU9Lf1Q1D575cdwPcTDtYNhK3Eb+1OzuziZcwL5tnSeiB9lnzELHTaQVQdOLU
eZgZDvcgfLxUz78ROrANRSa8LcMDrJUBZU3ZSxXQvbO8iE5R0myLXJf76Y4hp4tuA02ObIvrHBy2
JOECDI4q934zwCffEtB6RPnN9rXIzi00uxPoSAbu3XAQVU0VeS+DFfOSV9Eyp0aEyTbj+Dunin3l
2zEpUBDgdoxRJ/aVx6aqeMAY3+4yfFQ6dg/O+JjdAXo0q62ona53uBDfWmbfD1Hqe7SOEnZtZXcy
Sp2HXgIouZGRc24CibtxcJ5qWqI0oleoTPz0RBiP0dD8i8a8uQI2Ow9NCb5G1WQrumyXJUQvLAq9
et3xVWtxazD3rKQnEdFk9JjaXD4KNsfAz/eST/GrUnerfu3g6jxmGrSGm5nBpsK1Q+Qd3keNYyh1
wLcm8Zt0hYHx0yXZwa94R+0ea6oXR5sJ5HaodfQUDTP2YHoMWkoIKFvwjlDMy9ohrUEwhqveBBz7
MWEUOfAG9TDeeLXr76p0abh8zY+xntlK3U+/IqO7LvGYJtjqENOb/FLQMH9S/Yx7t/bkI2UAWyDf
3vOAaABbKLfXjT9R9pNCKZgMJwZAjJCdE+ClAQZiDi999UcZ3OVWhuupc0H6p2l5GVPvrc1I/QiO
xBVe4IUqnY2RWTcgyw3d9QENvEZzq01/OfqR7KkGMtIHZuZwwoi0WB1PdVyH/grwexIuChKLN2YW
lBEydwQmT0VVbPwhSx4arc6tMH12SxUoUvKURmt+mLpW2yxjqKxqZlTOAA1kiFjdLMXmuX3QLmTF
FjxEL712454hAaanEnGfAsiZNb+jisfj0WMYnjil86vFUMsoyIqXGYZI/WKajljTpdKtF8urnrhA
mtnGydJW3nrhQyEAwJMRqTzsJcDUsbIPqg3iNfCChTOS/2cyfpPGV3QE6Oc0xcA1uONeLNV36sYm
GHNfXafZV9zn4nMpzTMel/SEG+tTQfti94tlvdZg74YZG22acJ+Tc76O072Gy5lZf6fgFNndxYak
sG0qv1kTC/3TTB7H86l1jmM2/2ETOF3xoU/XlGHRocYeupoHZ7rWZblpgh5gc54QgOAksAIUM22b
xy5OtoyZ/CvCr3/Fgoi5LsFO7Zslk2dQ3WlDRTJ2/7AMAiDNrq82VGi3J9te3o3fbDky7kHGVL0f
BvXa5pe6Zj3m55AVd8tjqtfGOHJTNhKYv81ukA1CCnaGIdLP90RSUaAZQyMeLib9lpjhlxUjw2Lt
RXvsUMnKz0vKhWhW2qbjazlAGfUky4zcKKzEq1bXBsjU5TlFKH36eSH7xeEVUYGv4911SfmpOJCB
RTLx5NYeTsjSp7NCMcOu77rqspPu8BiPXhiV1Y6BTLBKYD9gyO3P1fI8E/h4LiMzTCaUh6KQKdi7
+MmKxyvMawZOQ4T/e/5SGQxOnMvPnr/QyTESedIWnU+yrY4/4FzYLVtGr5/taFfbJOFUlzV76Y1P
GK2CwzKzjCGSOBy92XYklCelV2Gpa8V++8zI5XcC4QvqSYGxrz7TychXTvK1tu7185Wxpk5WhnNR
rRHZyMU5/KrBHJLbRIhVrU9b4U3NI2Np6opil41dEQcHgwUs9jFsuMM1cLsOWm1tr5leYiKqR4pD
GvbSOntA5fHCRY4bnRnfEy31qE7PdC6aIR7Fx6FsAVtorMd3F+iqb4qdiBM39KwKUAcFAKHyC2yo
ln4fgMBTHURSqosgD4PsGIEenZhNEFg0xmMOTPQe2FDrfmzlZuyIwiG2WbSNBlEQsnVAZRZegY0d
/5JLZCTPbK7wfFm1imwSUxks/T2Xqu65Y1uXegyAoCb+0bIkTRUPwg9H4k4FrkkDui7xOdZ/0X9I
MO0h4awg9DqLvTGDlnXnz+/eXJsHrlGTCdwS7TsPxxxx0sw2sW8MeGXtiKu+0dhZMALughnWPTjG
s02hLccqhp2MaMjz5xZaDX5ykyihIXHd32vk8/4lsJYHITpG68jjLOQMG0gs7qKeQsylv6E4Rkcg
3UrV6QnOyXYRxKOaNrpKzPIrZQDmcVLxQOocuEuUAh37qPN5WKcCY7jjj192psyNpTSg2WSb+c2D
EbTDiYgR8j0JkjzKqAl3SbrP9JvIKHkF3IvwCqSvBLt3oE1yATBj1OehnnHbKR8UAtGn+q6FMJ2B
GmUHxxnLbDgFDbW7DYd9lxQBBw4yrBg23rHQJ/eOOQ2WcHkTgDvCohxxtDr8oH9esPHXmzplrGQ5
5V3dfapM9HcOlhzdIFRhSsODSN7AGPNvoUkTua0MBQbvGgMtWr93ZIi8A7lcK6wRvgd0J8gF2K5o
l7qeDS+63DhLQ/umvPen+HAv8fdRoONO31WUUqTDNwWCBV6DlG9lhDM60gyX22jN428ipXJk+pse
qHwgEJxgYq5sEI+uKygGazj346fpmpfIF5cGlyDNAQmKHq2CRryL4WVTOzlDioLiTyGgb0Akbt/8
XvwD4bWzUjomF4pH7wvVQz1omzKH+smW/VOtYpJaBuUKBFljnIrtKN4NOdjUtCh6l4Vc9o7l7hRH
NkQr6i1VytK2KFhluk6IsF9S0Ku/Bh08FjUmYoSTjwbwQ5AO7+SuUbfdiLqc2N/OL8w50rb2Nt3s
3ig5BDJdq2q/zEzCDc5DlUQ2oHxspgW3lPx86Ywq8oiblFKxpC4MNFdTbz33bwF1KInmey+gT8cb
J2bOgdvYhTxtlSZNGIZ+QfxlN+p3FJaJ6OTlGPJxmh38icB4xRiYfg5zP8roKrA2UdTLo3mcf8W9
nW4iIyAbKJKCeFgWP929g236Nrk+C5cr2pMHRasDJxM4lBFLgOANvqaQiM6wItLUbdlL7TKUA13b
8giT9pnMJLAaW+yxXX3mya5UpzIY2/VMkJv86Wr0SlYuZOyGHhTHTgDvtkv9pOTsrkgtP/ktaKg5
B9KbGAVWlfnOYu369Zl2UjPMC7RgR5R/tax/j8Ied5NAPbbxfcIgMLZNN34mcfJJLNB/We58KT/4
jjLfWbeYjhhWzusgI+k3IDIiYVtrOSIWKStKedQ3wGQQkTqzfMxk4R5QPx7qxTFZjkkm9HHTh7Fk
U9uUQbEfBTyMO0CNSMKHFWdfFFUGW6b73jGDwDEQL7Wtmd5pn+AX++qAzZxem0Xzt78HhZBEQukz
AkRh5VGfrIGvqmfBMixdcwZ0+NjjOQpxebDH84xxTeVhhou9eyEjO2+nsus3+VI1odFbFay7GpSN
ho6OfeRMUGsCEuoZq6pHErGoUFn3wy1JDbVxu/lNK+NU3v36OE5g2YqGB38c16sur5jcBBitBpSq
Z2w0h8AHGZMV5jqxs3yHfYUw1pw99x3Mq4iQ8VYk+D5pNwSG2KyX/Ogo68t3MEWQl0GdLdRNAYrM
qnkvmvJPOT4Mpv17MPpkVwAKGGKrPECZ7iiKVTCGOay7aOuw0efXpfTkYe5USoTMPepYB9dqnl+x
2J4g/p3ZFFjh1Kl3HND7GTqAndqvaWn9Bj4RHO17jC8yuh2xAIosEQUz/ZWxMsL64XgioBa4wJW2
sXQOWjH2GOVwq0yP5yDr+ibSEZR1Kcj8l+QLmqjftfRHbDsL45PntX/40TvbuB+oJ/S71zjznIdZ
XZ2ArbUl3D3U+jh0jwsvFb0khi9udXeR/M4d8BJrKVp/g/vwTxRPe1RumiBnGp3uK1qx/MkmfUlz
9ckkRpAeq5+7esYJMqRnC3ll7drpGc4z3DinfPNrSA6TLW5matUXcik78rhZiA2I3TcLvz+fMOuy
JKuL6PFWtF6AsygfbvQyMnBhEzbOyiJgRmhzjCjfrSBOVEWOFCMiCJrL/Cvr/JdxEh/Ust+rrUYO
ZHF6sPLPPHYk6vnE2mPHTHq6lG2gEoAeckT4hvQyJcy32VVX7PmcXbrvfkrf+1Zw8Lh5RuNjJbH3
Rcvy0UOddZbs0uC4w7fhxfDKggOGVfJEov9Vxyaz76z5HHsv2yiX8WguxQcbyYPTufXdonAlh8Us
c7lUtv9rGnk6t4PLyjEiR/VYHxoXh3lQlYdBUd3uI6KHvSF+/Z+jDCkh7BwVbxTGK/56DJVNG2w6
99We6vbgMtJfGWO69xf9QbvFrnXSL99j1gNQYVkFSUP9Om1cQ+Dua6f+4xqPC1xjsrMMogzjj59B
NTWjCe9EyVeK+LMVBgFQUGxNshYfCbnuMYFxoeUuBcQCxu5Ri/6l7eKrhkt7p1Dl2fCtNP1E8wx1
0263wsGh18kAYEQtn5Iakew+jV973fIZWNzNRPq5yb913+u9uQAriYnN07+Hz4uubvvvyLOM07qZ
HgvHfwlm6y134j+25j8VLhVJWLC4JJmYNDB6IKrEX042OEz6ky8BOT00fedPNGzyJDlXsf4cvfaV
2Qw4tkZ/BzCnlMReUBnqq+Jfu2o7yjFAJN3lN4KenrqZDmDYwnrFuf21dEuIZBOHBjBMI3CJPedP
uNJtdBACWrV7q2L1Ww7zc2pxGh8dtSZ7yektShSCBdVwy2MHPAqbxvLVuzwDLQqjwmR2H53B5Gg9
rJexNMIejC7Za4AwdbFldntrtMB4nTFffpqU91na1g1rweOUEmFfioZxeYthVarHih4ASgzjJ7+0
djJx72spoHax2GrlgX2bPfOrSAgCZ9rCOQnqdSXq6smGV4NTt9e7xqDgWhMZ5wJzJK258TpPm1ez
j/YZ8A/we2hFNJkRYSt/3RetHLJMAE9kAeHHkOjVj+39QM0Ze7DklSbSFCsBYxjgWRBvyrOXvaUz
FsHWKJGKqujKs+qSkSZhPmFfXDrR6yApgIyxqJcuZUPmU6C8BCNserRn+i9EgUskrZ4b6b07LXqE
qforMTxOv92hshxJJY+11/6Nv5Lim62evVehDMYzKd0RnD+3WYOgT3s7KcslwQkeQExyRfJppJqV
D+XR98WRQdLvsRhSxmFwnk2/QoKo4l+uxXy1c7PfBmVoaRskd2TsR4ZwoEwosfmQ32p4Vl0wnu1S
qhBJLN2MVtfjW2E1vgtoVpFEYd/0LqhGOt/rf1g6MV8kZfEU2xUbcLmtDBBx0yheEh+nAtbqCAm+
ech95PqlRo2oCyATPbF807wXx8adGWZJ9kKkWTOv8rkEBka/i2RSDKYzANyYmoSoy2iF4PcJ/x4m
bR+9kndgoxHkF5HLr37uqPrtNf8UmEsCdfTQKfuhtLyntpzMjaCa5f5srRzS4LXbE7IHWbfGhE/9
eM7HwPtaG2yO8E/Z+y+adnaQslOI6ERkVYNcI7uSO/pqNZ8yhoPQ5Q1OcX/+hycqTO5XbpAQjZ2X
l1wzmImC6UUwHK004oJLIaEdJRMrNdeWUTIIn5RaMc86VxazxWCoXjIOu2un+SDPs+dgBdzHmk5z
PDD5cPaeUxOGLCkOVNwrosdgjPJihIqg5Yr6vq/YIcfRm+mbwjDBDDbZMnh4K3rH2vb9tY9jvZMy
4PDRESGmH9Ywl1Vl52+Lh+eF625nUZUBD6LaTknKI6KHBhMvgb2P21fp4k4y9Pg5Czvbc8mccHUR
rrUmJHNZQXtzu2cxg14sS4DMnepPgwXhxxJ/2C8izORq5WJN5mpopoGXod4UebDLga7sUOC1J/ge
8u7tTrSdUorpOxg3qkt3UUR9Gus0pLKJmHxmJ+e2BH5d3z1Ei3eU0BZSIjjHlAIuBscLHH7R5afG
nH8x8SOnnrD1uP/9UWkDsSnTwd7jJvnXTLjbqr1MJ4L9aNLT3bcIQtF8SHspHoA1X4g0sAdnjYT2
wia08cbNkMmHStZ/c5GfOWCbuzHJ7WMH53SV0O65RmlasaHmGE+7n2Gb/6pq3Fm6L65NzhTHKpl8
me7IsC2LEPqrXWPSEqanlHiwp9ZVUIaJ10BiboB3JWeJFW9NEtgosiOTAH7tcbUGzhnQ7aen/Twx
E6/6cztAR0mU9dpltd4Fzl2D66CnJm09nfKiCaNoxjpeK65qBncp68aqlc0Lm9fr0mOXHWb8PG1J
jC6J6gAkKXBEgV03dPv5zaiYXheOCcfhZ00D+LY0mbiOeucKGaJgLddl8v1jHNS4B1T/dxyylvEm
5pypKbKHgn2d3eKxTNrirfNvjSuzrW01v2oTu3m+aPMykK7N8+ovhUzVxU7zmkcpL2SWUP+a+xRz
mY6GRdkDwxxFyhlcuZf1j/fC+ni08dbBjHR1lO0FeCRIDc0tifNqN4+tt/U0aC66PQhBUaLnJkDU
DMw5b5FlWbtpXoL/3mJiSHEamXe7FaMD/J47hzOKmlX/44MNEzSf0+AN0XvDpt1ISEFNajzjbKUM
3UwHvAQEyVK8Grdh/hwUe2GmLMHOWCIXC4zy1pIutQqTdWbzZqYNdTCI+OKTXMJS9o9WYYwPedM3
K9mW3mXpvGaXJmYUQmQ/dNyW+ENwOABYJpBceANV691zinF813d+dYrqzls5I1TixXvNunuFgXvy
gMPuzBwoqSZZFDRPHOfifTrQQOUl+tin83nUlJ9UkUeSpZV/Bw/Djt0LcZaTei/H7h6Qe1rs2Fl7
0Agn/AgpJvl9wF1Fj8i7W3CXlLAB1gabw46ewbUKrKeCOCCUb3z4uPshUoKa4ckLz6V6pCmGxirx
FauZQpyl/WjickBiKm8llrnNYt8vBYaKIrh6Ou6oePORHu/+z0kG0Aa7YnPfYCS9+Ioq+dT1E4i2
0vXC/7F1XruNc1m3fSIC3CQ3w61EZclJDmXfEOXEnNMmn/4Mqv8+3fjQQEEo2bItyxS5wpxjas1i
x+jwOLOT++As/qPCeVwVKaYByCHDUbVwshvM4AbgvTJ8QrPNVynvs+eKghwnYjFJOD3oCnurDNmy
KIrvTAXcAPknFtIehnZSBitvNHIucBO71jRKt30c7Q1eNc9BoT5W3TVRHQ8H85BDx9hX82cui0ct
4oouCmx1MYts2JruOHjbMMqDXcNifR95HUAkGBmzKw4OueymhWYABJyh5+WT1RrpURoe6X/fEmAD
QWU8pGvXyZB+jwaOJ/7OTJUcOirmHwwMfSVopCMP7B1AWdiB2grNxmvJ2ssU3dPoOjub8wIdCM+8
7s5DWz/ZdoRjMj/kzMethJlFpWj8dS1hI8oux08C9uBeIB40S7M/ZvHZdvFnVPwpdOQOdeB9uoM3
MDEi6FrqZD5nIKeERJcU/BmE4QMdazZj4t0hlCR8yJl+gHniXdulXnQJFYDnCMExleK3IXImbOkb
P/5JUz0oWcxao1H44CLg8M144s2cMX6U7E2pTxQH6X6M4id0m+GmDJMWXrN7CCywSWXXHzBjtYz5
E1wDkUXnTqkgoOcofTqAa6VkmlqEYhzQRppC0OdiVN7XfRaR3+69kX0Nwbbuz5I0tVVVhxeuTuda
G1+CMYJjNpkflszphhlPoMNN14jhMZHkS18O6q0GuHGC8FCylwnJiOvOTQbSLogQIj1pYbGZsKWs
q5qR7JxXX+7AUtUe/iQS41oeNndhX18mycQGGIkduh2yrOXltf9oGX5WisUmHmm2y5w1wUSku8Fm
Uk0fjSUfwlD8ZhC5i8j9DoErr6UQV9fI7jv4HluDJYJrJsa6bZw3PKZipWrItx4RGLb3WbJIUvjF
ccaCqRXMRhL6/6SFLzEU2uKXyHuwcvovLxeUBjQ7BDMxaGZ36EHOBsyxRy+BXoEsZDv5HuMMQKtw
rhQD45q0OwcwSxKxxBWZRKIRTiBtxFZYQEpsGvAWYF0Y/iLypzwzDJRHStuASVsns5XDbsaZGTcP
CdxvRJHhZv6DBPK36sUVcsK6FaVaF+hpEyRoI5p0tPygr1maA2LltQN+jGOBjp/znkRvZibaZ8jq
ioXJkh5fhn5ia59TQ/apZOYHcvQxZUWyn2ylAESSpV238o6Ya6KNto3b4gDwbISd0RepfcUqj1CD
BVxumzx/cPvpm0gM+nMZPhmIPxrjsTAZXOCp3o4BOwEpsgeQcgGwO6esHjK3hhzDcr8aiIxr7O9y
KRADVqJ+ofPqUlz/RTlKyQm5ISkuRotOvKicz6KC5ub6LdD1qfP+4A3O2VUZHKnDE5h6WBW52KG9
3/azfMGrywAMPrOp4VWMi0NkhL8TamxqXbQWCBbQ9ER01K2zq5prKi0Uy84mxZ6FzQchTIfDy3UQ
cEXajxnFxRaCQLeSAQtd1abHoesfSiw1PuA9Wi7Vl0imKxis43PmLFeyIpspLSkLGBT/IC27EHZx
nh0DYLnuJ3wh9T5+w6FFjmPgAQ2OXiTOqITiAxliFN8Mj8IcD31YiWGP0p1hJxVYaDEt6igFkaX1
uBpJxEX3t0P//zq5iP6XZYclOKjIwCBXyb3KSMlL72GYUniiIagONCnOu4JN28SIy+gP3hsvetZG
jIMSj9CEMWrnLfcihu+d0f/NLQ92djCQoURWaltzslzeJrXLZHkSRLKpIcQ3UrnncsiIkWLejUMm
WSkNuY2s2U85rvUdVPp7i1hgTc1S70PWbZpmnun4aI4kCW9k96w0hV+WLEEasLlezRZEQ54Rcyro
PPm0wNPma9Sg8g/Sn3TgBZiykLdflW9YlB4COx631TI2DPvgx2hecBFfc6U/52P8FjNHsDll6lHx
ineZfb71kUC2vwejxbUhH1lHBl+ACZ5K9AJ+mzYGT4ffonvl+087lH2PCPLaCcU21XyFrnenJS6O
7A470lwjoozZ0y4AKeBFOSrhOEfhYBxdC3D90vrta4zlaMf0qx324ji5X22lvZm25aCKUszNTcl8
P2Hw5C3t+czbOxquYTU+WRgmGMUmTLPz5D7nWGNCSqp1rI++ljOKdCvyvnQykQ371RzXld6MGyhE
RErHwScXL4hKODCQXro/bIR3lTs3u7TWK7+qmt0QIScmROlEwLKzKuruXdHaGxK2juWoYGubEX/6
asDqRaxQXGpv1n1uNz+0rqjDG2OnB/1DZIePVRT223hi+gXP3qbTJVAnMQEkenQ7C1YJ83G6lc2L
V4Uf5rjh8hST6529oJW8I2tIAx9GoxbVzFkkTqwOVs1Yql00J9+9YKaH7iXdtOAUa0y7+UARFabK
XHcYX3zD6PODVciXnrZmnTRIgzljDtLDVh21zzVm9AS3tx6gZLMGtB5EjqXrkCMS6Uj+60T7wuIE
Y70IHdF1Gx/SGkRY3XZbD0WybaHwnLKOzKVOPUWdTi9GK+0HFs1oZ13hg2UOw3qjDr8Lh6BOeysM
BDZWb7OegGMVk4uai5wARy6XKwMpUb5MxVLbeibo411ZaIMUi2ajiIkVwpiM5mhYpf2YHouuZ1tm
7UyDqO44QmbOen1tsYlhxGY429rM91BoF9824Cp0mqcIBT5EVHebEhDnuhZKpgkMos0READC0REa
Uef+0SGBUEfkGsOkkTAaMw4QX34BhKM5dbKAg5ydB+JFwm+CYfBdnYtXqYcno07/6K14TiayFBED
VKndb22dSTs4D4pBiqWp5b02dNd+7i1+Xe+P61uEzWYmmSgpOT2z1cxslZ4nsqSPInefq5EayZJi
bWI3rHBRGXU/XqZB36HX5d2qhre2sIptbkZoaxAuDOmToYdPIrEoxBAiFpMVXCRB2ljr33ttZqDc
fY0ldXOO25C5JVVKFeXbsmVU3TSco3tdu6S9aiFd6StBggsAeOMYwDRdhRRNQTqKjZWQ6OGNQ8Lf
Q/70SYG8Je8JHpOPDIl6YE3ZoWTeNkMcm1R+h9wTtWWCXjnhb1gaWEBKixa4zA1kip2ztaoRr6ND
+M9gRGSMNPTGqGhQiSAASHCRxdJnxWWv9WLcFNlyJikH5Oc2piWNBnRCnOvOnON4TH80YRUyqfTt
XFyQkbSIyERAEJSzUWwiybOKHbR+0y7pxF5ZDZDJPu02tRkdo5b3YKKqbV9F9RqlHmNuYt5C7RpZ
3iO+jm6DBJesKSyxVpWdE8yMVHyZLdlJUAGc6IZZ+xjyuYiVHxkcM2Xcwicpl+m0efYsDYIrQ2fC
MRsAD0Z4sWEKM8U5TRlDlKgNqsvyo7LZ9XObwlnqHeKyvOUyQAzFSjXzvA6D2t4R6EXtaJJR1zca
SbWCNW82fs0M+s5QvKFFqQZa8CCHdZT/kA9gridHhT57q8FPKp7wIMyd5uTpwakb5cMsIZrFcyzf
qBF6ZYKuQyu8ZCuL8O+UW+ABCkQJPaVA6MUtR6VC2hGF56S8TohOV4YZLJhG3rI9cWEeU8NWqx45
s6BxDZ1N1cImN2LU5a3dyE1bcI6KGCXQ1p/TPPlTtLrEJyLOnc4wQP51al1HCwo4tZTPUVS98v6m
t2q40OYsGBP0VE08qauyK7D22gN5h/GGa1vtax9FCncgENNjRnDBSvM8PAcZKtTA9OmaPuAQsC1J
4d3acnZPIWP/FYLb+3CTZS3TwdKQlHNGd9RnZm0ase6ufLJxk7KXzX9ErH+aE4peMWmwK/KrE1Qn
JiCf8+z+BrOTrUsO5I3cmG4hjthA0rWrDG+HLAH/1PDl9DphenJ+8zpPrXI5oEUg+Zcj2/RnC9ay
g1zHjV/Z4z9EtfiNImirZbkgrhnIs/n4QzT6PujBG6bIA3oFEDma44s7/XFAxz604jf2+vrOtTFo
WIFrrE3C6OCNxpiBCgLcNCu+kuVQ3Ec26l1TzMy6FgV11lz5ywBjxBTkWg+St/LjGHgNnNm0P1pJ
+tTKEX1vUq/s3uGFH/5WMjuZ0/0Csy6m/ksZCNtNvHSnms0Ow+3kL75zhDeuRsjsoOlrw2BQmYrg
Vc+ZR5msq6D0Ox8qMvY4kz4SCq9tnuCAEUGt74Wc3up8pHhF2c6B0P0O3lWFWroTbvjRNlpw7zEm
1dHRYSeieBv42KprzqWNPjUw7M43XPHtVd9xPudrJsHJqS25oBT6wlDIc7SLjfeaFcjNY63+0ojf
KWy5JlOcY9JQDybtaQT+iV221dKIofqLECX5wwhoto+CvSKG8WA4zrEym92TRs4IvVhxs/Lsiymk
EzaqL5Gic4m8fQ+1aUcg2wgxtEN4HSeuj2PFlj0oGtoDfLCRj5ES8vgI5Dyfs61u/LEME/Oezu5o
CsO/jhIXgzS6bgrGS2I2OdZ2XIxdJ56x3NmrUfIXbnL2l7PwthU9lGCH5Ti0TmaBZ22ymfox2UXh
a3/Vdf/UdZW+Vvo3F812E1PVoHcbrLU2e4wRbcGQutvoloM/2hA7vU8BxSrXWeHs2rZY79i/MMqN
5W9kzb+jZdhHAHkbquX5lBPjQ5R25PqJQ2FWmDZzSiclzMK94oxtjBgRQ9Z/ulnLTAXb5prFFRu4
wasfWZejnSAdk4v8fOEHiWUJ+gRhEYxd1XXbjL5mXTXmms5yZvJr7MKUSaWAWwOGOWcjreUI4hHq
r6a8O0NvvQejYfuqdi96rf8ELKAakKpjaMl1wzyNrSb5Wl51VZVsTon1CsF5rS3hgw7Q8i29MJjL
+YiO4O/kwUdIm+c+AFEeFVz/JxS0XX0pEo+jscTvgMasL+fIn73cL0m427IkAIyEayiZ8l+hl3gG
yPSyh5qTOFAhREs0bq3onrXBuyNZ1zdm55WF/rwrNYbyrFe3U54g1FHZQad60NP42+wGJAvZgZXA
W2e4DJ9te4Oa/NInTDM6B/0SXmp3Qxbr6LttdDFQ5O+yYPoIoUmtK0hjmc4lA8o6yE0TwdS4dJi5
YDhNwMTgdQfD5f2KrmZt5w5YZ3c+kFjxo7r8UZd6fJCEhmkLvyxGO1YPzNLyanorXZyuYVz5jgvC
Ph6q37yvWzCzKK3lOF6yIbzAenDAgcfPMN1FYbxkOEmf4ubRWiDBXGTAEAzyC7kW4i15l4w7KRcE
GxPYUezrip2bRlYk2l/s2CnoTKxta84M1XoqX5ou9/MZTZjg1M4FeKAQznWTjWIskQq0D3mET3YY
o5dCZntPq9kNtaG1wluMZSWc543JoTah1QaDxziPmFqkwRsGlO5pxhUQpJtyWJBAY/BYdAr0qOjP
5Ww8eFmOfHxU35Op/Up490ith2WwYu2nPqYjMd0rS5ph2zv+wAVuPTfeR1k7772R2itDmMa1wcwc
092uMdfHZ1ZxzZaoOuVX7IhE/N45+huG8JPLsg7v1topsiPCqmTtMizz07xUm6aLlwlKx7xk2RJw
iif9bBek0xN1+95NYkKWyjuTfQKZhCFKpvp50CcmUhDduBISjWfz18/c4GfwiGyTAxE4VohNkb5u
hrEyS7L4wkhtirZ9A3I9rbyZyDQaTx8P8Ld21xBStpp45cpJHCuUYIdRXYKUBJIpEXs2yOwvQb6S
ysFZZXS9VTWRhWgF+37GwqAhWckb5NpWNQ3+RBzDyiO2HL+cu29L+ZA10bttDnej+xqImH0HZ9+V
xZYBK67xYZfqKQWuGpCbURpqkXUC3KgL+Rg3FqNMU/6EIjSh9B1djGzIn2LmiBpYsdmEQqz+xAEd
hjgbwBExsavX1qRJdkM/bMGhmvM9AMYLhdOLnufs2BE+hvNwVyT1HZkdeLl4SZKeQWAWbUw7ooB2
2HY0vYaIEOn4rJu/bdTwlmc2H4FqygRjgUkZP+NoPzNtg8SXbceh1dbZiFY8HYuvrEnPqF2xuDMR
IahpK1qXY1H6KGdtlH/F2Rjsdt1ydvcNmw4NyRwvSoGByrKyremZMHk47yftS4KA3o8Ksh8jsmhW
jPjtnerow4y8xgap6fUKCWBEPObkdyr8mxlm7yPeGIEUhSCXZH/KSPHajayzORt7Gxsd24rpJ7hm
BKR5GmwDi3xvdgNO+bX8MxXnRtf7IMIcYQXidKHUInjPe6R0+ltm9Z8oDyvoPh2oCyr6KQAo42Ds
KgSI8UGP1jLF9Z8suK4wgi1FiCRiE2Ohh0gmvFNA4gp/sXaEJB0K+ZSNbX1QNIiqIr7cXT9MjS42
LNrQzI0AajEp2ADIVg5HoSuT37nn2Op54TZ5K56MnP20HqPdiTDGz5UpN0FTxixkeBekGjrpoiU9
elySLVVbn4mK1badRXxProLXKGeIdvtcBFoT28nysNuN9xO7fXTEUcaJLTPQw7hTDABwSZdGwpFt
eS9cb8GFlCHFMVns3f+569T1k2HOT2iE+/V/nsXtofVwyoBBHIKS/Mo58e7bJJy2zfKUrKZbEumI
RLzdbYNsZPOd87zKS9YyLVrdvkMJ1YCQz4DUFqbOuMoJKb/dhDAgTLEIfatxMZIvQe9ovDAVG5x5
bl97ezVuN/95Wv/42L9+5//1mNtv+Z9H/6+H3D7WoPzHibq88P94zO05/OMn/9ej//Wj//H527f4
z4/+r4f/r5/wvz7GXoHnY4vO3tWatf3nQ/AY5/vbB1FUIKv7z+eNxMUjdbt/e1IWW8SZ0+i/f7Hb
//J89P7vt8U7m7QgOP992P3X1//rS//xq93u6rcf8q/vPxLCvL99/b9+zcncQBpZZaENSGMY98zV
7vVRNCAoaN9Bx7+EsK92uYEgXXao3404HUDdPbja1O9wLbyyOc/oM10yQ10NCNNHj4lq3aAYYkWN
ikL8pkxAaeBRHc1NkB0TeqvZcltI+ECGRYytfGaTicJZmsNi7nXxjGOyZcNyckiMBVQIsp6udzXR
K+4JNaFqKX2v691danXWvixYPSBVRiagFBI6vlO7+KPq9O+o4l8467eAi5+oU+kdO4Q3Cuo70cSU
WGPUrDoi8JoxfUtbqgaC075TQxNnZ7QPZQjivqoTsQ2/26kzt0xrWt/MWndj4GveWZ678QrTeYM8
RftPSDtXGfMyOcGvasfu+DdcUDOZV8IaEF+0qf0wfqL+YzA3lfeNZ7WHaCiSHSRwRi1Z+TWwDzb7
KdoDlGQFMwz1nRTjFgGMJL+3PEIae8BRXcEDZReVumNIgBNS1rJrP+2GN22HaXdtmv0IkaW7NBXA
Obc59DZayKFYZBdD2KN/l3siUFFFRCOeYJJ9Np2Dg1FInGH89FVj29W2TtDTDq2tFuM+PkaHuitt
0G+Ps/fGVG0CtGF8hmkG0pSQHTr6kWgUxu82WTzrMPvwqgV7bbDZYE3DZJS6mvxVlftDAqcXCFoD
jnXrZuaPIo847pzyOvfZXRaNv+wD4pcMeYo/gU2j+BNfgYmqvxsH3A76azMRab3k5kVYQQMxrj2z
eqhVhCEvZRzLejRZB/FDD1WMiAxnIKJUX1PnkJzVsDqOHbbJcKhXg6BTLc5DimdY170PPIzftaX9
5nZl+EDmTrWDIlQCx/YLc5S+GYidhUOLF2LQkOEb2xp5uN6HLN1qyuEO/pDf2+RRM9zHK2foCFxU
/KWzczxWCfDbNPU1B7WllAzkx5RNMoJ2gQxDEdbAEI/j6k5p1YC50foEG3cg/eQT4i0x6RYK7ij+
FCRN7JtE89Yk//LlVU9fz9R17hnheu5Vi1zXH1FYbsjpRE1HKxhnAHHrGXQn/hWXsLB00b8SmVZ3
tNzEuGt7WLr0l5lnnLSU79olTUsQwrJ5IUXK1NK9PuavNMBvHSisgxO8sc4EV4QyYxWM4V1bEYZV
BABOdM18jCMKF2su8N4RBLRycJKdZL7LIxb9pYJ7UXWJd9aq/Mkbu2gLwQ33DoyJsPnAM6YwjfW7
su/FvbTjb6uV3R6LI7BcG6aJEwTYSUgUY1RE/MxsfYU2515ndJ5DQVaNqmeIoISkWDlYdiUzDH7n
2ab7qZkybfKyeXUUoy6lG694gnjlmy9csKA4YnQi2h5sABrCgFQYp5n2VRRpx8GzjjO1yjqbgk1Z
oavX4JC9GYc0Z/kwQSjexOjAuh4hAHulfs/GAFA/b1kVWr/C7faoEsD8p0ZxWsJsnEFztkGLLiDr
GKOwr0gc8ae35tZ36Np9+o3LFPYzgkusHdDZWXYieTOs8dB6DFGIOXpmD/3G5btaCcXZDSEsXxuz
+Y2/PYZzeUpeU2LO56bVO7/BGLmemPXIlHQaaCoVo72Rsa9VHnKkTGtBh6zr6hSW70apv/SI4rp6
scsibDYCSvA01nZAke/TPvoegOBCr9WbTdpP52nweAUYquu2fEFJvmE8XSPqirpV4/b3tdG8AbZn
6T4BItDZfO9ghpNQgEgpN/SdqYYDDaC6kB3IyXzDOYIspwzcsAe4ZtwCmpW7uc//al1WnmlIX2xb
PvVjRYvAEHoFfT+mtQgVb3gZInFy25RLTiqJTyWMq1F7MyJUZNTxf7Ad8k7IJzcNc+OdlFazqv7q
YXCUFeP5BVhqljMMWi1+bqpxCwtEbipVhgiHmAxlGRHten8dvOzVCAivs0Hc7eoU6UreoQ7VnZeB
EQeSLtRwYz/8jWsj3CvRvBRZdrYtlK+Sneisxr+W85DYhK+PHfuYGRyjvYTeDJrEZ9UzO8qW+VjW
iI3oTYJ2q8TbRDoxx/W4JyWWuBqdiXeBZkHmals3uTrWCGw41FFpS22TCgvfTTH+OMK+RyEeTh76
9JglNn+I10qAWyKcI1lzmNvIt9notgdsjDnm0qol171/DDzrgeMBMpqlXRu938t8O4WtuovtusRo
3RHyzHpnEvo21fJFE0yrXLt45ds65bJpaRtNc8lEK161MH4D1jDuIqdbFb4zWa+FMUrmNLQGAE+Y
+2vJo7Kl3AeN3BaRNYGJwwnGIMuvBY32U2PoxUkLu1NeaL/ssCQiLp5G6Zgf71GPp8fOe/Z7bjWv
3cGaN8T6bQ2RHtBn13csdB9YNq5kU733TeYenX7hWFOxdMai4VYvnsMFDEs7rI/iD7OKb/7v+K7i
QpojDqFnDBjS4xNheescqim8Lxht1yWhf+jC9FVWaEvYnaTV6qEgdn7IKpX1pbcmgoq5xiGAUr8K
agQhoL5Qk4+R/ciCzJTmy2h4rAuSWR7irnZ3bsWkww7Z4laYUpj9MYclSUjek3azgbu7R6I1MQzO
1o4h7UMVjyyqyLTHiPwEI/HLNjnP29G3YqG/t8b8BWmkWiVzraN+bp8nQRpgt28m1z05wwgrVwMH
YQWIZKz8h1itczPZT1gTxTaapoZ68Ew0nHexJozGehun29BEdwA3iSTKqmJRQnSLRAU3y02C1EaG
6FkqsMLm0K44tiitTOMoCxwQo8744itnqx0W05VtC4uF2P6cY0ZCzcwU2DJF5Nc6geRxds6s58hG
OuNqW8029fXIyryJAzYVEFYxjrh/iUy554C8wkZYLjJ0+XaMndHsdjE5676murNysuzQy5IUpFK8
YV6UTcx+yGrJIJKsWDXibXo53iNVMFdewBJYNdDyTRt0CvOUgkcFnN1T7xdqENk7IoBQKsyQI43L
55Axq6sG+k9wHi6bBUSZlCOpDlFqCDeJJF1l4vrLAc16qa3ifWlb6EPYt4ayN/aeEf0xrNfBTl6N
jvAhyipnLB8iKwXgJ1nql0K+B010NkJ07eHEBEgqSvW534TeJ3RCIu+9eDwlHoV0iNYnnur3yJvP
Wm/Cy54IG+k4eZBY5ssAcVIdM3BUpKlUo7aeR+ejM4z3uhzedULMfVtm6KBjbc/2G/VVTYXJAb5N
awZTVoUNV18wWYZvmBM1pERoArZbom3Bj1lob4tZ1lZchXXyzx9qL9sCEOx2jqEeGTYRCcVX7Jws
fSVvyGezAZB6ZvFt9gm8l5QsRVKgLnaGpthoJWYpIPZxPBcr73HJ6ewzdz0HRkDSA26r4bMIEcU0
oX3Is4m0ZntgbKUIGUphGbH37a3nGeAnpptWHvvIizboQX4i0drIF9xmM3gxQnlLFScjILIpDlkU
j5R4Ww78Y1oz7yX0TS7HbiePjQirbdEj0EM2FHHiCYPHviEwfSh15GJe2v7NtHbnuZH2mstxV3XS
ROUyDteWNck9NcihMtzhinE1fnDN+CK43JZBTJFdDiP6DL39qWAysp2t38OFgZZDndm1Rmb5wmS8
drthBKLvgZUcddtiBp6gfCaIwnixYjxBjtVpnAoS86Wsyv+720diOIHuY9iO/RXTWaJfNNsa3mqX
A8V23yqlwkthKzq/lB19qOvzARlw9ehGHivlYckPX+4ybKseASRVGFBioD/Lx6rlBqmCsebIMGl2
uXu76VD/+aiWGJr//4+Bspywq4mJbd+/H9fkNVFgpf4geMNtB/i81zZNdDQuw6dgooF5S04H1dTT
vaV18mraseMbcfS3EYNYoZobkc3p4/3tf6TvvPOn0g//+Hhf2UcSFhDMSmc7g9F7hbpgbSb2HtsA
jPFr05OYVaCe3Ivls208usSt68wbQ6f2cXvQGS8hySUimFO/ONyWe6p02F0F2ovBDJCrOZ0kXnfn
scrqj8qKyRlDhg5M1nSPVJbhazES8Qj9DDyGILGxUen+9jCVbsa4qd9nVsR7L6xtDIOxt+VnkZYM
NOocVBZgJsq4CQ/HwRO1Q+S2oTYaWI9rb+mUXeQSfCyxCA1Tgldg0M/SwSyuLX8UGXjkECw3cZdb
G3OmgO9xdgyj015lEYXXgODp5c4tq7xC7IX/Jc2xSy6qImLvT2MQZKcxRPjSp5X+YGpR4hdR+yhF
bO1rR9QvYW29toDl7trlXpziTasDV5xvnwREDPBgyVzkGmTtuzyM4QApFupKd09Zo4ZdobvpfT1o
9cYZLPupyVAjxy2bQHBBdI4x28Q0Nh4cz1ZPBfY1ulvHxsNf2bT8LqqUev5ucNrUav5VtnOqOpx+
Jp0n9N2aEDIykbzarPH34KSdgM5xBaTgmOvKe+wShsoYGAcGlamDeKxAa27a3Z4zYX4y7RqVg3Dq
Q6Cp9Dyn9IpaTfsYjKPziNXEeRxryijJVXAoeMvXjTO8ljHMmLh33sGhO1vHNabd7W4hUHJzrjzm
GHjQQBntU5+yhiDVIDne7qJ79Xb9NHyXUfMWZinwadNkNVJq9A6ZEs9ZlFV0HQg824DtQsrxIgqd
M0h+bzC3f9aRmvKE2198s8FpDq1pNznmE9jcgGiynrjwDps1p6vmzllucjtq7giNhPXu4HK5fcIe
uTaimeEzkChOVsSulryq3SCrySeeqtkEoanOA6H350xtOjAq51zMlC1D8WhkLjbMKid8+/bfeIzu
mwpXLjEKd0lZV49RNPyUEiopmHKX0tLUTiAklwbMLYH5Gi+9uSyH6xoNONXXhRmXPJRN8pBB1dvQ
21ensqymO3K0Qt/Dl0lN6xWso+JgU5ek3IV9jHGB6yRiO0goROJx/c6FHj0Rf57zp/OqTzrlv0Ys
ugfD9DgTZhNXxRqChJun5oPrPeZNmT7dbpSZyENAvuGqTZB/enF1vN2wQaiOhAVVR5dlAGOPLY23
vWQPRXftZBYMhuPhEmgmzQ3bsTM5alcnDYPDBDLw3PILAcZ1Vzaoz4vhVgFimnwbw+uacMkVNHeM
B3wNg+VLwP6dNRj9RLQZsBzfq4yAitpkU2l3XzYi31eRESpENcXagbJGB+68E15ovsihEBydUqB8
tWgPVDfvtJKc1zFRxtlS1Z/0lunhte6rq5DVlzgSH3KO7cwGMgcZBIlAPFHeA1W6zJoX7RlNER9r
6TojliY42PDkToFlLnsWXEl9O+9EyHmwcJAn84csP0VqoUuvgh9++WsRg8du2I6bwRzd326g0r3z
jqfL7G3tETmLXAJv7e/xrZqUwkmJOLMGGPM4lbgRKPTXTJodssJld8HTR3fUKPuqQxtcmSol83ns
6lO13PDlJxIh31xCdl8qz/W2UpsQxEUjqY7lcOdQm66G5aTsRfG2MvXstfEq6xg14tRMxVc7aMkd
TurY8LGIK4oFypZwVneaXo2PnCCNfVp3JlbXcHzPs/pRQS/3WbABBYu19uQyEJ2x2F8woutbGMvj
cR6M8K7zkqteiPC5bbMdW/f+HuoQqZzjIF8nwltpMYOTEcGkMGZMXOyXaeJtB+1AzpIWNrV2zEu7
OXMuKLfAT7QnqiBc8jHyi3ZI35Op6q95vKRBJkl2sop4JIbGhgOrNdpzoQm5x58HWUy3tOcKhUrW
hleheJ3DEZuxw5Gq5eEy/YLML9tj49kwdGZdnmCY0sLnvKk6lLd3IBIt8g3E6LfXprTUXZR06D2X
G300pzss9tfCKNTBqz4IdPNzNFtZXoENhfq7b0fbg0nG2wstCxpVDt0nXk8GBkOPl4hoJRNLyArF
oXvXWHr+iKbteyThb41jM8QXnNOChQ4hxCkWu+WmRDTk6nryOI05KASGqK0mOMymML5nnl6eShOL
y/Kh2w0Gazj7xHMj1R7t8+0mmzn3xcKeN7e7Udh42xy9OMrJVD+GQfVyC5BiGF483G7MCInGWHpq
30CaPkldzptrwJv8fm6Y7zEBIPcQ3fnODjsgHUl2CJuIghxLDdEudncxwcvAO0kUXhIMSBYpOWS2
2hFKEZIEbv9jqkPFG+KFHt3womrewLZneluwxrSUNs6ijZml7kYQ1/fksI6cNJpFY871p5yU1EOv
gNndPjmlqCRsNWDKZaNzMoyZkfztv/NyNir7pINSb4HatnT7bnSs/8fYeS1JjqRX+lXa+poYAg7h
AI09ZhtaZkRqcQNLCcChtXj6/VBsLqeHtN29KevqFJURCTh+cc534n09lObOqRxMX4j8avCnHszh
sFvFrirWBpyAazKRdY8EBZ+pWfSMsTMX2MOJ6pFbN/aNI5B9/9noEN5AfniUXewzchfEhAVVda+g
ACzAS/T7yC/i44iqfpGUMiVxizU5D4/hZWjsYoWMFxCi+cJBDhuyfR6U0KDwJmS/WuUNac071fvm
mWxS3OolmSrgIKxzPeV//hHXekphJUaagyk7a00KTADr0j7zaQc0GokIhcyuQnq0GvFoHSmG6Itb
Cvypqx89z1Xf2jSuW4b/yNTZ5Fo0gKhm89MQR/J2sEq1icwI23jnXKBxFGBVASSbgMWvfQn/RRSW
BQ5l7I2t7DDrdfPQgpqVkWSVb3gcwXfjPBqRokEv0AmstUyL/XgW7y0slbxdhXdAJqttexRlN0Es
dpRJH32QlrBIS6aY/xJVzRjY5BDBMmTO3ocUtyhmbDpAImnN4is1DfRFk9qxPX7nrqoWsN3Fqmp8
ZicYN3mabuXoVHtF/HXR1+SJgf+j0cdW1prtedLrvemm1ab3RmeRdehTKR8NFJM3jHfZaGQOy4x2
6xrcmflUn6qB7tREHs9ybFVXHLlWYBM7R8459gHQnuaQMuHiCjWd8ZHUdHWif/3MWMJvrMQ6DGOe
7119lKdR4BHJoD9vZ85v7RBgRZl6PxhE1vdYLJdNTlVX5/wHyyQzyJyDYZP7HARvaT4+x9oEVj6t
1YlYYSf+iIvKv7dcyzvmDGFpeyviYOdZsSn0w8BwslXFg8L7mEQeU3eyyMeJ/JvI22d24y7C0D0F
aarW7G9QM2feZ9hS4CWj/dlmLVAH4gM6VZLZLbqb0HQf66jgCDvW/XkypXbkhk3WHUBPE0Nh4yt8
LXpD7F1Y3mtxeEh0JC0gk9iAk8HUxt0ulsD40XxujNI3t2S7fMX9LhzNuzIJURIjAl42gQM+pGai
NU2xtlZShudGCnczDOihlGE+TzJFgNg2oIsdQB+hoPqt3FuRWdsmgDDUpC5biEZ9ZU3/HnknfKKA
kWN2W1lZrUvb2VYCTSk22CuWLRnKl8oxJMo24kQNC1EYo+yTawcMrCQNEKHyW6oeCEKpES+torix
0H1vcbB+sR26ix2kPhoou7zy9rLhNwdy6APwzK7viwcnqPeUQ0AgCBonUVlz2kfXdpmJ1umiTZv3
yHYJG7cdyHIRjgZslYyp0BZNurUvSfzCunjpz3EABw5JWbVkhNldy2UNl/bilkQm0/Q15oiF2WFk
PDhEnU9WOO4VwbH7jJ//1OfTqazJrTcoWkONsUluYXNBLzKYyB0kS8aFp9ojwOwNtXd2dXMKI4UO
sJHAogvGM7aRjg+WTIqzsLKPUCtPTd+3RwQQjNm0+CEi4HaZOXPScyTzRRnMeejepG3NVjt5Si82
3pD26yhOprOykHYz5irWClyGlYuz5okDSIkcmk5wMRPYHIEOAUZm6zwE65Rq3ndJLOcC+DYmGWWT
jSQMMreAqkrX2CIys65DmHx0iNanzoG4i/4PlcUmG/NgL7rgxdPvcKX3KcVF0FT3nDI3MkML2Aim
BvElMuoR3L32mufNJ75J1NaRRSgbHP/SnL8GcJFTy0fUGXPutH62BuVAFGgPObZ7oDqTHm+7Yfzp
BnXuq/TNRfy6d6vmFf1QyJYi+hxe6LhZfohu2gYmWynf4T2K0dgxyWbNZrB3SvUPGUFMLO0Yw3ml
PQ9oZxZBDWIwDd+ENT5gnmC0a8CBhg+nSMLVLBAiFiOrvGG8Kwdx32r3ox/LhedVPK8LlPcqRC08
kW6cFMMWzVJmiF1PydSTprW2m/FqRSLakIGBC1YFj0ZaSbYNvEt9Vy7KkvWToU9XqYM2t5oZupPx
RIPsFOpls2Ek+Er5FnDPc7bPixnZYBvwWOZvSNNT2FOwynQdHKUag3vnx8i4cBFr+rXzjZvUDt/U
zJ2uCQJYsetasfOkFBm/inqcOG6n24zUtqzjsa35VrQevLtE5sE69XP01IUO8FxPbkSEc8qhKvvV
BjP6kO8pKW1ecrLi+nVCHEx62vBGkXFocceQu7EWUCGj4jtr6xg3O1A7HujHboa+pUH/5hupsXM6
ABoR6jKH/LQbdDVimeYfejd+IU/+VKPBOesm7+FmVAXAEpf7KB/d41B17rEP2y8VYddjbB2t7MYm
QCOyFqGV/Xg6GVOcGp8I7p4akRgYpamO2XpKqJxGFi94pKGjiYn1bqpqnVRYcEp2SroHMzzV6WBL
7ZloyR+h48jKm6vq6RubOXHDyIq3IM9vKeKfRY8j2FQgImr/FOjFSczTRwPvf1na3yHeZcjx7dn3
bwZLoUEudlNPH0c07moM9XrNJgzxPQtdu2T9PsaffWq/C5dJhFbrS8LDcPAp1OmlVr40kXZlbHSW
bkWf5h5CqUhHuFWth9i7EnfUI/auGsoNLLcDwrmQUrB5qD11chnyUMcbYXAOS/th9INDE0LwVR7W
EdIQDmmVIgltABvDYef1sG+po9tIulwn4KrlJuVJxvWv8HqNdb8IxxQpWHdDTwRlIyE6U/5oIcdH
6WXeyt1yQu0jiWI5wgGLfN92MAGjJctmXsKZVIE7A61j6yKVlzaPonDQxnUkgveg6rtd0T/EsFEg
9Ftwjzqci8xKMtM6KrJvSgXCKkaUjIrz0epY1uYyn8XPWFYBU+7YVt643GasQPEk6nceCl0iZvqD
TL039Evl0vFBFrusr9nY4Z/q85MJ6AxEMLRxkX8ljYhJAfZPmRUwVh9a7sTQTHaWKm+t2ntN2vK+
VDio04adS4ZJssvQ2wKKXkx6saun5L2NTM69KEVTFziXoFrW/vyorSLWfRL2mfRa5MQE5wUuyz86
TpsObmtXBpcziA0d/FnVWj/Yto21xkOJCNt1ZyTrwMVWbzYg04kUXGaofIi4XxWB06E3N6i0yAOr
phCBiEy+iDBehlKshQ+Lrmr2tomklR3vtgrTV1y7iDiqcp9Eb23hvydFb67HoHvPtVEtM0Foe50Q
7x4TLE/jssfFAfKq9L7qvP+ea8m2GR9GJ3kr7LhdVQU6RaX8o2E8aTG6Fdul5tN1kE0Nd+kIrJpn
jDXExBn2KBcmvfq2Rt1f1YLIxMjq8GCrE0OAox5AzdXY+qbkIXKYajlWMMKIcjPdCxNYJXo+nUfX
PpjIQ+6ZhfBY1cH9Vmz4CN3J14XhfiOkLAAwCCDUOWVKI8iEccUTAY8gKYPJRlPZrWWWmidUfrFD
WJEMq7UoWTzFH51p9ZuYbTO2ODQXQ6HvNVM912jFfehZGtqBWa9da1g8ai2/ToVpkRnwkPf4xYTR
32OygNUNYjCMMAxEpXYvRsEKYcxfdO/ey7UCEZC7NIcWHw7syo3Nv5s60300lYAgGxeUZ5CsQVe0
cEZsdoEDI0/DoFPULRJ2GJqHyWdXwLcOiWZekPkQ3PhlCVCujvEuPLqpdi6c2mAhB+eUyyEIkl/D
x2outiD7h8VNwuWrvZRCLvI88yB9H6fMAAfp2dB1au+9KjkeQwc/rVeI1wq/yCoPCfTT1GeEgOag
uVrAiGxk+15lHyMlQg9TgPf0wwtpp+34gwqhu6Do5fHcr4EFILJmfq01zAbzPaLilBDbpt12Y3xO
ayffIKGoF0KYd7oW1oSGwBudevMrOTslKRs2MT7LzEKm2tfRDQ+LhRPzS24oGgHydGs3TKKdyWR3
CWYtfcmJUCqL7mK07q3sum+d84yd5lzfNZifkStZTfvkDKiSfCW3uk03VoC8iVzAp2nIRq6p8ZtD
WbjKQlVUia7GNmfcVYyvViYOjFXQdquaMO9rbXpXNlZwu5kt8tjQv5CDbCixyRdoplXju8MqCEMs
3BGTX1e1tyI3hpNrgX6QgfuB32JW/cb7HLsfPq90Z05Rvqpi47l3h1ssRwh5BoZLUwIdQsrTMBfu
TWE1W9xxyKZEuqwVuQfksgAEiAd9C+UUb70FIIu84pXtet8OPRtHXHmYJutIhN2RsuVUB9qnr5oj
tsi1TSaYn3dfaBqKveVEbwh49AOBF1wkcbjEwBvuSc9lrN2Vu0nHHu72ydZmQ4ZUmEITcdmZ4Kdn
BDxIisnwKqZioehlCClgCt3Aiqq8gFt24rdMVDAKCKgZmb0Z7PsgTp8cvA+Jfl8geNiWKn3VIrql
0nJ3gP0PDZDw3UCKTZ09BynCccOvCFYwwS+2oYnDvAIpZ43FFhpzTRwGluWKfIK0+czIE6MRQFAk
O/HINK1akrVJkgb40jbDCBBDn02qkZgCGx59LW96oyRgZHzA4XVvmD0KTSo2RsRJQNbgE95AGTYH
mYjwoGnGWxLLfVLPTEMhkfS4HRmUbASWUTM9jYw70366KwWTw3hCfmwDycpmYmffzCmmbrZonQml
u5gVDomh1uSYPxolq2FDb74mcLEs9vd61FzGanJWugx2YCvHI070V47DTQ26NtbGifOKlYGr3LNn
tVjERrzTeZxvHG9kEVGDqhR5tzEn8yGP7Ven4ULqooG+0/e8Vel6h8BA7T74wEUHBg1Lc9SXEECN
rRjZrIRk+mQQCRJCRQi706CoVdy4Wn2TBRAaHQmOb5pq+jYj+PRK5gGh7/N7hcXlCCqYCgCAKnoa
5YolDDAWmm/9R5JBjYDM3xed82PGGhpjBAJugmMgZ7pH5soNHMTn3q+ILiE0S4+smLd1xAXisATt
O5QbPXd/POe5RKJZI+U/ZqT/LB3TZWMc1dhCABdMvnktievju4Y0iZPegHpv+RHIp2pSTOo60MqQ
oAKIIu6p95vjTCuv/Vw/QMn2gVgZzJw/pZGHZyTM3OhPA2mR5Jl+NIXnwZxCLDn41rtV8MBnIo14
ZrY88Us21E1a2f6hRcfQxW11FCNgVNFgH4uAZuOua1cAzJyVXdvr2EuQ0etKZ4POVB9b25BzHvQ6
W27Z+oheIUSO/T2lpYCaw4LBXwvnwyaDdkMkarCsBrK10K3kO0SWC/xw/UqVLgIMO390WG3ua33G
8nJf7wFirJNmEcZhsa1oTrF70dN5/MbXgVhFefYcGk27q1z4NmGYAJG2WBGOz76twbJErsJadGXC
HO1S79bz4/QUgxtNDec6VIyGato8u2/j2xhzLWu+PZv9u47onKImB8/0r6OWz/Ch6iMMpuDgkPgs
Ctme6i4h+wfLdEdM18bkJZIqlZsLwyazNtPf2NOAaROEabYdQkKjmGsEYdarsCjozGTE2nnaj4XP
mqGr7lLSJhI4k4xbUOQaIZJOatuShD3Bta+HMDtaj4RelhdYsJxNnfnJDsflfWh6JMYl5lLX+NdF
5h20KCLbADroUr6yRyC4I0OfKJp94DJ64nJmslRPOBQbwEPoDWqeCBoUhahfWJo0uUf0bFNkUtID
jOWytK1zEUAax9bp4vRqnw0P0lsV7zs1gIcu5iFEzpqoddSl0jqi501x+vUP9ykFbeVY9KcIQFj0
FHv6Fu5EXLguoocCmByQBA5fWOJ3Y6G0TaZTtJim9S5KYilbqiIOBJ9ow31oq1fGwtfC6MAwioYI
eD2qFpEUEAImqKdIvPh0xRjt99/+9e///jn8W/CdX+dwsDz7LWvTax5lTf3H78L+/bfiP/73/uuP
313DNXXdFbTRuoV3SUiHj3++Q50K+GzjX1BM9LFET7GMw7I8egA5bhRAUs9m9M+KdziHABV9YFzr
sLNPvsbgTUwGQ12TWDWzYpjpAfyNejSQfQU7GumuuScN706Ou6FV1aWLXXltHIsXWWV47M1ZJtH5
l//H65B/fR0WP75hSsOyTUO3YfK7//Q63LFXRZqBegfestGLrt5h6+4WIky7K+xaBYzWyleCLfxt
qeJnCBLIjNP67Amp3ZSu7+0Gs/go40G7Cd2NXeXBKXGie+W644E4gwxMhF6uMb5hPcEA6hq9di+d
zL8xxgwGYtjI1f/9Jdnef39JwvNMYQp6L2k61l9fUs/zACuIF60BmyneWDbtKR0GO5zoGPiJ/qwH
1ranfCUOKDRXsD8nOq76FoZk8h315dboJEdDGt/QFZiDYV3+6w9SfxkLROqxlMm9kzTe6dcfExiK
E+P6GpdeMljdBeQhQ2CU9g9z67Qs88KGzA+sqetIIOpTPGZDPdS7vKiXVZ0210ofg4VFBT/fTckj
MlXaLCmnA6u85KmQXD8MINhGR8O+EW3BqFlFN61B7ZSEZE39+qvMOPQnO0EIkqQXOzXdfRpYD7/+
lthtsP/1Tv/rX+6C+tdd8Znz6qMgbP7pr3/ffuc37+l3/e/zV/2fz/rr1/x9df+/Hn77yavfzveb
h3/+zL98Id/+z39+9d68/+Uv4Od4Ot6239V4912z7vjP23X+zP/fD/72/eu7PIzF9x+/f0JGb+bv
FvBE+P3PD823tzD0f7jm5u//5wfnl/rH7/ffEPnek//2Fd/vdfPH75ph/M20bZfprdC5a22Ts4Om
8teH5N9sDg7puq5kccVd9/tvGeF6IWeG8zfHMxzhIWWRnq6bXNY1sPf5Q+Jvpi4RZ9iuIz2D3Mrf
//O1/3lU/cdv5X8+uoz5lv6vo8ue7wjH5p53hS05xJz5/vmHo6s2IJZrnYawJS9uDMiZbFRSRMJU
nD0OZw4sXBLMS3eNVfi72JgHSEbCkF7ZuAKpAj1Sd1CSDaBmj76O+VnV0tj8wzv6PxywmPB4L/76
c0reH5e7mLeDE8qbP/4PPyfO5xL6VHjiVjpHor42foRorVSvkzZq57ZUH16Cchtl4bxyoWYRzMTd
POiBA9ds7CICtNPAfDDaytmFTfKV/EpzTMRjBeAaAapaCJcVY5uutTonRbd0f6DkgVFgnuFhtjww
Iyf10lYvxBmuEsykD1bSvKZVhO2HoL0+YpQkUoVqKN5GltQW2mgeWa8DdgfjvSYxe9pkj14HD8wR
1SWvvXGbTyRwGIOEYpNRQ9AQOn4UMxqibYJlc6BKHOdHRbIEpspgwXfvc/8K7LE56m6+jxH441AE
6aXbnF3nzuzvJpbFTGqsaK9CFjJN2+trpy2+IJOKU1rNco+AbQjeb7FK3OmWsd6tGatsB6XzK3HQ
jqJ9SAB1ITnS4hkQSxOCSiE9G4O1bgElzBkj8zqxevO9/nYa7WDbQI00LUVPk3sEaboGkD/9p0re
A8UjoGCGO4pYrjucrUt46SiERRCTNTdcwp78VUnJcfj1hxNOPKwJQ9ukyPlq5Jlbv2kRb/uevAFj
+hJL+xC7yCpZrtH22wFlIz8khupVpHXHfsKljGAAV1DgvESyDeeL5LOESa/3kGcD0inzgJ5bD/OF
XdQaVCTyUizt4KZcApYGKw/BzhcGD6SqYqNqc1Ox1USygqw3tIqfMZrezARSJxsyoArdzE/r2wSO
Wx1+OEVm4tBvs1XvYoNJroZv0GEU1Q5Pz2vUtD+G3X0HVrv1Jv8FJiZLXylvUCh4S9VkF9zkNeAH
BE6tGj8inijkdELmgdHv9vYboSl4E6Jx6Y40r7bhngYBC77uvSuiiW3qj1uE3RW9R/noJeeuzN2d
7mtc2jnaR6Vgn2Jf1xiA4zGXs8mDirCvmxRvGsKnJm+3sgVMF2PAT4Kc5bxlPYWEHOlR8BCmsJl8
4tudvMFsOz6i70Tex1ynC1FRSa96FiJYV3mnsUTmHKiyZ8o/w66yPRaupSUq0mCQo61tBAbofZpt
7TLtmmSfLkuj2ovo0HRTuTAn2rS88N4zJGOrSuvvOQ9ARqlwneHmXdrtc9l7AqQl8is5BTtrnk4Q
Q/MSC3NpjeTWTKN2DFJ1Y2nZDS3Bdz4OdyJAmVAYtXFwmrvzfBEYen8cY9B/MVOeZCw/JKUlYwVt
UbRQxy30Smthlj8hiHUH6z6DMYDDhgQQNRYbg3TpRdIOGzcQBy8j7tyg7Qj95DttxDJuEzZ08kNv
wJgZxtvg6R9pgwdCjeQsoTgKsKBooKfHXKzruDuI5IPifUOUF90ubPM0zG5cv7qzHyMz09aW3/w4
bcA6s3gWxvBsl9FDE3efNvwoFANka7G7tVhbRdV4kHPyvO51R8B+bLj04dTb9WPj4FRpa/VaBjO8
3I+eE2FsRh26SNZxj/kD8k8y+ZYxuEu3HoBQFLq76RpWVy3RN2njQH/sxhWmC96HneZzPBCB1WOv
9e7L0vru7Ii0+Zg1Rx3mS9TpYh9oeI9Uwsyh7Ek2YtDAgyg+d4nzhdPF6+NkTVP4BLov2NLXzhkR
Dd4HMsAWceiTb5u9WrPRq2t/dJEV9ED1ifgR0NnKYsFaNFuvpclOnDZdyRRThRlf/Lo55aW3D/ps
MTWM04hI2rG5hwbKo6lmkbdwZ/WW5kMdM9VW8KyFcoMEKTZgUrAQZWF5N/Q19H6CD0kqmmMLfJBg
FhthC+V8Gd96ktFrnpO911OWtzwJCJ7NZsZGnl3oBYYDmUhHf8BkxAXlU72t4UK/WAFpFxkezRrh
gqO9Cc9pr0GEroJ4vP2sIF2IFkW7Yxb1OnGN75aITHr9jRUj/3QsUrF1CXc80weEDnbyKWyWpeNg
n8rgypSARUOevduWrYigDL5QNZbgonyoD/0FAh70kHg3si7jyMSoNwHjmcZ315JkNKGHW7p83wUp
Xu2S/yDNJw2+UzyaPo4b5odo6gORIOpet1zT58loGF/o1gpn5LoqyYTyJF09WzdsMrNXAJNY5d0x
3edxeU96SLJxIhPgzlAjWrfCVYVYbeO2AMtcoKBhlw3IcscrpcRp6KKOg8Jvsf9XZ7SX5rbzbOMg
xaMHbBO6GAunKW4IEexqMu9JIk2mVdZYyHCdQC0R2agtC7gVCTMq0dcstuXem/DHgwY/cXORhWLU
DT2zjzmK8TPQoRqjLQoN0DQeRovJD3cmDw2iiajKAxdqgxlfi8Zi0g+yc6mC4b4jY2sEcLZVftVt
Ysw3C7+u6wuo9Hzd5v6Xb/K8NKVLN+z5j2Y27KDxGTkRQqXqrE0lPZCfMI6mloQbUBDxStUE8oZe
Ii4Yo7h50zev7K5oGp5x0mB9srPntveGdeEZq6rJsF64oJ/MNjA3AIPhOJm2WuWT7S6kpb2MMkfq
KbAQk0x5xEoJVpt9OTHN+K1QAYNKRojjaOppysunWFlXC5TrLhYk4/0KlmcuunNRri5JOSCAOUJD
EUtmUw4ijht65g/oFhY5GY7PzFI9xc3UbQjK+tZGYzqNtTgSNwvo2g+3kZbZJ4j1Nz1Wp1b3xSpH
D0Ygknk38mS/Y18Q7FQ4o84zQuuFshgPujtSotUazSpVXH376w+VY6htvXJVRsOlI3FvYXdolgKn
/HJd2IlJey1dMM/9RwMocGQSmrXzD9Tu/MzyQK3Dh53vydZjW5tWI9VIY+0n+m7ZVdtGywGmDx+V
jzUo06NLNfyMLBVseYDYdjJ1OBR9/CTwmqEr2+aemx8r7zgqjUxpH0A3KHqjnR4iH99e4VzQnW37
jI2RSapwz6J22Y3ipWJRyaIQToJejju3coeFKLmlRte8hxYo7VanZvXvWbLHHANA7UuDYnKhhhJr
69gxQCjsKxaS6OoxJhuSdZ4z+bIaczEMSPYQ6wcWuaVlCpLcCM/TxBc70rZXsQyvCl3ypvB68s/y
Sa6FSC8Yj1dm7hLIng7v2pB6UAmTq12Z2NNSbeUAi0ghx8zj05eYNZrr/kgZpAfVfhMMTwKFzRUw
eQkYqDQkzM2UDyRl5gMu1vLZjORTM9SHnvtu70/OJ8TJ0zCQhNCYtccuMSZ0BuOEM9Fw9PUP43Ba
40ufdbvO5aFqTACNC+SxpouaNNfOuQujdbB6BlXEeq7GNLiyZQroQjh67LG6RV50H0VK7FzUgUsi
4naEkmoXdwAXm/YEmxoZYK9eoQskhn6TNyh5YBOU4TCekAZ9NGVGHauRWkw8XUhKm1XcF0UMFZU8
sqBp7nARfLgoJAsw5qdijjli8HcgDwjcaATPvAPBey3P5ZwqZo+2hvPHWSd17REg4r1H+kDOmvVG
+J84uzpJqz1i83WHvHtpYxxnaMQuh6yNDQyrnJm5b86p4zc+UG6e0+i1UL8B/I34iUJLR0ftA48P
I3s+0IhI7xCvKWL6VhG/ldl7ZUbqXmtJT89q99XQvW1F7N/Wce0tvX4Bd3xCHxeiyUxEI1aZ9BuU
FysTWFc+YGDII3cELEIGBKGhOBsz3qC6XyVkKI18pVnP4WvCpwgLiOv14SeFNXarIenfu5A1Xswp
wLX7yaFvIXPUeRKzlTL97mUoYVP9+t/S1r9CjW1DEV8QfCjyGyw5iz8/FLnUdt6lD5k//AQMPyrT
INeCgjxKDrlnawvCpYrFpBjGdyrXsOt5zdq27rKA9O22yDn+a3WrJT5lojbl6yZ5GHMrpGfDqEYu
CMjevrNWflhPa9XjoU9bcD1aFH8aDQxbEhgtN1+6TnIoStt9BmuCdpUYwRz+YSeMiIxe31/qoQfg
CMhyN9XO1kW+GEbJGlYne6yqPUbgr8E7R98Efu56NmeA+Hx35RA72+mujwC4cTb0oUvL4fegcSx2
9sgnLZzJPuLmPND9gSyt36SjATwqwnVC4uP6l6tMsbsp+CyahEM3kaTWZlLtlS8R5wAG73zpbyXM
X2wgj9VMk6v9fa0F5YoEVDadjOmhnl0GVY+sL2FKFeWqKCJrOaLEjkLJW5BlO+HLJyDanGYWQCz9
HCifSFvwWtCS0scwG+gT4ELt6xpQtxU5TylrfaAXYEIFBuUyf/XKMr2pBnpegWinBD67MQJYcFrc
qPsx/CFvAiA/a2GrvuhoB3Ibt/VgCB453Zvb6/3WZKtRdNEzj2lgPxkcoTE9wKZ9KLjhlkNegrct
2Qf4TjaceQDGB1RfzjYds+kaECLFrsr8NIwC+xb1r4gmlOHvcUk1TlTZD55S8i9C7daZJWWAY9ch
e6hzlTI8JtoEpmqEsjQhq4DNJ0o6ApXJnix/mgIkiS2TR2uiyB1aF0NjF5+boshWRo3IzdwVSYbH
wcDXyz41XvplNSxb4BxLjxTOrRUcMjcaX4h8utOs7CI1p16H9cBOksOWN9Q9VGgBA9a3C6ogXrUS
j3mDiZgoFcYu/opJR7doMFhgkpgZ6R1tP4fcuA4eOVVJmdXmCk52LUu4e0t1b0AUVvXgiG1tqB+B
TtfTUJ4g32RU8hphwxgL/KG0LCcxzsklTbbhlnltiYlEaVTnS6cxGsSFYu8UUINhgR+gksqTy5Gf
2/p6ljGREY6zOelQTlYbFsKUXPnzkBoYoovskosAuyCbmLNgU77I+hWXG0jbQHtjgYbiPgrABbrj
1tMUjYZP0488t1rimdy5LCcJNqqhkBCDHkqtWWHiKDcTm/EcfwRzD9alZnLkkvjWHHdlThytvVnR
yZN27ev804DxieGzQavoBgXS2FnHtiKRPFNRc6vm69KzElq9fs1g5klR62it/YQihDfSnRB62XiB
Q1HAbGVN5ETxbYCbdsnhhFJZ3aq0N8CzqxX12cQuNEIM5uOb4kykvmCx1xqMOpSGK3noLToNoCcY
vdIFLBODDl9+MQy52kCxZSKbtRVOIPxtAYYAeXDXWytKuBtYb8hXw/Q82T7PQT97Yu6Fh0X2MHsp
OnIZoiiTaHs6jUEHdNO3pvF+0iyFekjxms1hCFX36GbaJaaQpRRKL5MWr72pgDwNHTZFHaBl0FA8
p9/VEYt3eJlvuZk9ZTiIltj1mWB5pFHFbbSvpAvHWxEokTE2Z60YY1ti1Z3kBfKANBInPWg/fAmd
AK3RquV5Cetq/G50xNqDMzgbJePdIOC9q3rYejE7Pjxph3ZdghsbiyOuIzhYiHM85mWdhYiV4TkJ
PgcrRr7k8Dg0Emc9NdwHIWzRxp7VrS0lBMn1ULHyytoA199K0934nMOLqPPdRaXZECVNbYfWsroi
OwHkYSUXZxLDTnjYOoIvIPYoi3kSIymDdqJt4pxRkAUkeKJq2XYGokevN3+K0s8XgYG6y5QCehdS
rK6H4uPFGFGqbMlmmZFTVALXg4+MUK4j7usDN9mX5cJYEFSUgZ4jT0cH4Gu8b0T7kP1yUqgxEKfc
83TqHhpA9fi9FnnsPoSd+NCS0l5Yae5tbbO/d63wyLgUw31F6GrlGne5ka50ViSEyHkfBEpwHXgm
ITsYegl9CI5+LQkDFzd4wYJFA3t6xdOd5zQ4sWWWWdD0PTJdrDFPVjrZUMvKGK5XCN7eybBtFIM9
14FqBSnEqiV0CtUWnI80jNhSDB5+CvjoYYnnU9O6h3QKy50lxUkN0YMV7kLGM8ssV8Yy8eVrnzX5
DvIvUoKmwuJAqb8MEAiObO6XaWJMAEYrrGWnKHCeCqvI4T0ABdBkcBhaC5gb5BIO9Z9sYM0N6/nZ
ITFhG5XZs9EYu8lo96qzj5ZDC6DH1dFPweQ1fYNnFX/WcnLFUSicI2qF83Ej/clb477ndnLGH80+
tpG6bQYd0gKKnCWCqBAJf7WpiDFeRwmTwxZJ4dBhBRgLg5oxHVY4yiAKtUyDPcGjvRCWWg01KKXk
Yteod7QSJWxDNucojUuZACFo1Kox7OdQrD2H2tjm/QfeM7xjsMI3TLAFbSL9m3DMi06UOX7yB19Y
b16ao3UK7WetlAvnf7N3JstxM2mWfZV+AZS5O0bfxjxzDA7awCRKwjzPePo+YHeVZWaVVVnve5FM
/Zk/yVAEAHe/373nDgFsoj6knCqkE8tiG7qUhY6Em1MwKg0lDzkTt/XsHDXIl1Xr6LvjJM/M6cCZ
2pvaxvyLN2jPZ77DHE5sBOwM+KqPyGN31VLbxH3324F/7LHsdKzbpQnNWPFZZIpPOiNsnMzmo4iI
JndkZ0ZM3Pu8VxvTyNJblBkmyRZWUYd6Q3N4ryTKT2vn45YGCjYkxnTCeVN59ddk5E/CINlrtuZf
qzMfVNX8ZCGXl4rMPxbGZ1vTIY2SsG6yXm0H+qB5VNE/6OGv5qCHp+yPcsel1WSE0UJqAhvPw1Ah
JmZUqJoNWljg2A5lauG5Dkr7IQRAoo0fLrVsj4G7WGx5BKT1vQ7Z/CuDI7eJVEoPXyLPmamnF8oz
GRXojaiFuRlnHmX9oBYx2TqytT/nCxt9VimNQy6VlLOmsMpGVUyYB8eN9bMaKN8Q8Z32YrwSufdV
pO6PbJJ/fFJaFLXmv9yEEPNrL2m9BpNsDCANcmzf/szF05kzaqnv0LLARH9TB5+oInB+y+nkkSuA
as0aFnce6R5iL40Nq8uv6zebPaaf+9k+SOeZDbVWT23216OWZnLtbKVGxM3RXjrVA32YfchPDUDF
iUMFC3TH8dOmbUA2xFK0eqid1DjlgGPF3N/90TbA863H2MPeLEy0yzF86BhpILcjilkNPu/ovc20
s6YpBGsEDbzckScMZQhUkLHtpF8FbbWnGFlSbzGGm568ijUye8qFBn1QBx++o25ktLDcKuSTaKlh
SKiOpH+QVsCvbFIcK1tng0rXn5wOP5BhFniyuud+GMCnVbgrHCV+jR6bpSHOKfcllVhMN6lGGAMO
d2qwzb2cgud5elVW9TSrJDiMAqBzW3qEGONok2H5JXiSXINvIzUo0NzUB5ctimrd5jzrpW2OUpNW
OXtA1r+6hQudmu1D4u7NMnxC7J7XfZ8S3WFzGFm1dQ5w/l0zXS3h1pvuEGh6zQPcIWrWZ9ktpYDz
hmq7HUlYLtlXDlJd9RPnEdYXyD35nHOgBVdeK/UQC7fcug7uuXH2djrFea3sFlsWxo9uNs91FIb7
eIFMhFPzty8RUiaAIpUqsGK5rM6dRTjOVWQFRhv2+GA+mG1q3vwuiFkz8eN3ISWxwfw1uRjtcSv9
VENWPbATYixI16To//K09UB6r+HT2PjtLUggTVXvumpAGqToO8D7OJ77xPjq7TlEzUc8Wbg4LG/l
ccCMadWCvmzDxl9JPXlpniUFZ/Da/feuugQxHkS3sC4Bkc1Vlk/XUoF8Sm2j2TADUYTA5pd5br/i
Ai/QGLZH+k7vbfdtdDrIjkICwHYPXjxpzsLpS2g4CDpg9mZqRrqk+Qrnhc5LSoktDW0vbXCMUqxn
Hh9Z3DZLTdl7wuxBMk5io5huPWS8ld2NT0vCGMoWDGvd/GaMhbloNoZ9vTRCJw3KPgmGOcUCHNoK
03ChSNOYPoYVHklNhR0owxBnFPDqZo+jkpbsRCdFgMUtS3oZpu43D4gCTsmAjMHJz8/ry5Tnz4Ba
TA7C4IAbq+sJTRf7QtDPDXhUHwhXf1XeyFDQsaeDOVpfTmvIkxjUVnQmVKMoetH4xVYS/7UufouU
HVLGTmRE3F8njvXmH+iLpMIKAZNrfPgKHlGd5NnIC2DOBmubJg7EzjMtt44X3wZneK0o+8Zhhz3N
oFGiDCALGan51rjU4zSDcTJTyoPnFSCM5xBKxAaF+tmsc3/ty98FeRwCOnRQ2kR/0mRg/Gc+qYZd
LlS3Teh07q5/qxyY1G+J0XF4mK04otPTIeCVgG/tuP3O9I5xT0NEXcs4NM+Na6pzJIz+VIOYzgPH
PQU5lbXrylT6Abatfggwovc6q6+Qf4tDr65OhNgAfmx8LWKhHxNB8L0NpldNNOnRD9PLgF7TGN1w
nyvDfShiamPCen4PeGquZ96PFYqPsXOzpvgcU3p5Snv6iSnZ32ShCKnDC+QzqLQvQpCGK5nzFSVb
91xcHQsIjd1GI1gW7FfoIvWvvPuF+fsh7K3+qRib6REcwBdUD/cDk7K1DR2M++WSPYG7VV1GcbD8
zP20e2faI9IVuF2q8B672SmllgSXwS+Ko9ONS7b5asusujGmEOvSzYqDMGpnL6LnJHebv8qG7wGn
8N2XCaUNpm/RB1PSsib8g6zy6mgNkb5qPofFJBu+VqGLebOyqXNwpuDCJIX44jirtxbnvBtY70in
1sNQ0IzkGy6Qd+ZqvauHXdx1NqlGKzskPVbYKAJ97ivaxb3eyN/NumXGkBCkLFT6Ww1BdafxZdoY
6cBTlVTTXYytAMk0QJSKs01iD5r+j6R8NrN9a3mY4fI62vJwNLau5cfbjNHTzrPt4iVjYdyTVcDq
XKdfMJ3rg5UZD7pBK2eadkGoe4B9DoU5jE7d5PUn+sxpHfDp3IadFkh483MPFX42zaOEasZGmM6u
xPvRJfw3E+vjwDb/qSEQs1h285Y6sObF9v5Kw6Ypvg2dXW/HT4XptQsL5KfH7gdJSER7O2NCE9Ku
sPL4UFc91V247N/NOeTGNJK/aPp65RTL4JRzN2GIcj87mDI9rAMASF/kwPkBjMqxE0TJGXy2S+aO
aht4kGEUPTboxJkyxHFuefgkbeRsDUt64Kq9ZTfbvXSajWwp441g23NMcn/eGnb2M3A4d4HSo8ym
TG4i/Kxxqb2Sm8HtZ3qv2CWNbQg67KGxSZ4I317bYxvcdFjcuWqLfdLb6Ntc5Ksgbdpz0uHaSzpx
HeF5Em4E0c7J6ULH77Qh+XaKW7MERI8Sgid4CmEfK0JEDCvt/BFy0u+qCc5Nyfox4MTbVZWBdJS7
Rxfi0gVen9WBsYzbpbSTh2rqbSPMBdcEyt82qL177TXPQxxVVzI6F+L2pO/K8U5cXO5c6RI5cqwP
G3Kbw4lun1nzXfvmtJfzdHc5za4HHel9m6T5VqUaSlnKacrRdfzJObuos1sTe8bX5P2wBHISba7x
EQ7K3ezy7ADPJVz3LmnuVhKz8zvOiGwJ4F3rlwGPoC3q3WQ2RKPSpt/U7vQyI2nXJRTnEJrhnhDq
a1njla+V/8McZHPjccDYKnWwL1c6uaS0FeF21902DXrz7FRxQ4DvxInjEzJEd7Qqle8B3j6qobpE
kdTQyCHmmJlzcd2U6Qt9rDocOAp2MBobrGhMKiTvBLZTKlPj7YAoyhGhREdx0G3s1jRPmUQVS6lX
S6KCcsjGwIvd5yYCjsFchp0Ox6cV5POKFBzFEsIBoT072PeXIT35rmGreN+2lO+gABQ+G7Z4S+8W
7CYVHQQQ2L3RjA+5ZCfrdOI5zmhwIyfzEOUhJN14YMSXLkPGHgcFOyxGvM8EJZEEx+4zHUtzk2bi
kUey2jL0JUcKGbpDcLSbzjtA34NYzc7xmuUs/WaJC7v3U7Q46MTd8gWmH9CvyqOHTVrNMzNEPsKA
BxbFviVFMwH8aSs0CDI1l2r5p9gzQVkvXyTT34QtFHefoYY7oeer4wUMllo5kHbzXTKeBscejU1X
0q3jErjg7m2rY704cgLxx5QZiXWT0WLiQwWBzzKPUFmCqKbdyaDdExHSPkXzbJ9cgmbg0Liau8qu
TzbDIwb+U/imEieki6xZTO3L7/3+5VR91Cfh9XuP+Ta3SZ/tJRgdyy7cE3Pynxr34q60f7WOydY/
H47WrA+NqrPDOEE1g33KtWAs/agZPfPR4MpzmrnnzJ/5C7PGgPyhIVkICXKpJI/V9ekNEEZx9Jm5
Bl0ZXhOX3rFSVNeuLbs9bbDRkzIHSK0T+Cce1RQhD9u6E29Ci/Ik21Jvl5IbsvpotFgFAtxeGaxS
mo3Dde2q4dB5GX5u+1qxeUHdw2kaLjHDhNQXL3VnVdKCghCXl8hggKvJ0O4cKf+2Po9C1GqL9g3/
vczUSxHUBvyWtH/TjOj76G5LIzs0DgkjejijII0uiQD/bMBCLuL5KihxWAZazy6B2FUbSLTybNnO
BveZwjUKFhyC2Zn75nqQH41puEc2DRF+gVpErA5nCZ4yqrW8neMwv6kTjNZVTq6znj+L3uZgJ6uK
4HbTMsNLcbXGZFeUXdlbZR2BfVq49vto31l2QouN7R1pWHmGuFDCud0ywvtlF8muJ0d+a/18TzXO
uHFyUlQ9EYOrW4q/usQFOHgX04D+rxOGmJwCeH03ujfabWLF7PKNFpxuTjOhyynMFprmp2p47Uwz
3lhJYh2HMHy0asWSjq6eujWEL/gpmjDejn0HiJUp3JNWwxKLqLO3p8zcdiA4Nop2kZxCvYthRMy3
TJ4bMJtWsm7qc8/UY0cVn9y0kzR2MbZkQhlej+0mOPS2Ox+dzCQO6WPYkabRIwvkHt1tzkgMVfon
x+SM1rHhzidGvr7U+8nXPPyeLVJDe+bdf0rqhtaNGyMFhU1I7N8iRa5Sc0PMHZkZnOlGw8RcVa2E
YNRF1tZyzk5Y/pnMzN73dcuKxhYkZ+TxRCPXJUjT6tZzbWHaNw46FMicTvQUj8ajTAZ7F6hYPqTe
pYrjwwRk/iQ6BOu4KYjUxsk9wkN2ahH6FlsVGDtuLEx+2A6V4Qt0Nw9gtm+hPjX9SZqsTkntPEfo
jOspC48e7/hOtU5xHSqbvih0iYkVtew783HC5ERed6IT2h0fs9IA+AXiSPYeHoPSHdfAhDhGLuNG
QQ+GjkC9xIm5c0csZUuFwdiX9972KBsK/MMQ2OCRbBtpx3P8k+Qsjop1qzDVoMr6nOItkgSSwrjE
K99UN7x6aZFem+jul0+9dIBieOLmP+YL1sq+qREAtl4EL6+ub1NKVMQSBJjcgE2gV6hw32YkRtrK
fWtSkqQNpEOGBMomseaVBBjifG2l8Y+lI4l8jKQLhwrYVRk+tGHA2VXaEcUjLGuhAZNB9CGLJCV7
Ltkvxh5etBOj3hiRCX7BZfa9mB9NgqM8PkECS3W2hJPtwuaGW6E+5eFMQM2fCff41tkpntxU/LIy
i7adMdhr4eG1C0exYwgNz9S197E5PafUaa2yWKS7WDb5NSeRDpfhveCt3wj/N1Cy8aBNBBEm8MW1
aGFmB0X70HMK3g1YDvd2FE1bOXU77Sl1Kzs2CY1WO/Dkf1MHOkaU+8C6K2+vyphtPQgrmlQt8rYk
vAjAd4eMsaR2m3ldxAVzeDCYIaE5E+8+R1qsPJpPng0jPpompEBNyE2k5g4BHMZwIzVxbhVkWDvb
m7T4mTHGEIAFrntH4UYAcvN708MLH5RYzvvQj7qB+GQXNGs3FsalkfaCKIMXnnEqMT2PIpviqa9I
aZAXYQDOgA6UFG4V3oZjJamm1fk1Gcfw7RkqVIZhZgmnCLSjqE/tlTtLgkvhV0Jd53b2Oz5pZJ4G
GxiROoaJYwB4avzVq7unIfXYngCUadCMzDmD06cKv0Kl418BoGYAegUol8p6BWjk8JgQ5Zls7WtE
X5vyBs3i0PibtKgAbzC3GdrJJ+DbR2uguLR8B6Ck2LYzShpXIHK7NzNvL3PQ7R27ZjG24h+uASRO
D/inAjTaiu7ecXK3bGLXhhMx2WdrcvLL/J5p/28xw4aLAxZCSqwXlYczgge4UjAm3/eR9R6ZzJYU
mKu4iBiQJd5H01ryZewQOGv2qZAkUAV8iuummmNdrIsn3dkPECzsvSDD+zBNbcmjIv6wW5Ieol40
J5Z/C8j/qy5bzLag+6xwyS6k9LdMcp1YKbpHyAdrG/BpM2x2TsTyOnRPkdnIY98YPy3ymBvXqSPi
weU+HwuaiRuOdgF3C6zHQx0zK5v94q2ii+Qae+EtzxhXOaNrg6mlIimKBC4L9GgWDdHYQKyhwgSz
ewua+cN1VXGKEvMFOgpZsxZbVSyfak8Uh3aKfo/GRYQLu8zhydIuL4JH8EwBecwURqqjm2ZYypYv
M06Y8fD9R6pMtzQKUmHM8RC5M6X0jt3MIQ34XQ4v9ZRHNdwKHu3hcgit19L46HNOE5gb6Jr98r0K
1FNtVOz2HB+HpftohLBW4vK9r3GSOr+isf70G3M62aL7v19wnRC0AfLP896rQb3wGdTeEB982iO3
cAoBsErNxmL5UtCAeILphxrrwBZQ4D/KbV67tL+Y4QOq/Suo9HBfVTDBU4MZrCHq0/eX729HBVhG
XwPVpMv/YUBiOnn/8a98/2NRUJVRRgE5y6BggqKfcZ0xx0JrMvS79PFmFkGKGaXBWFSO2Y/OwGgF
tYwa0flCC9pPN/aZP/rZXWdTw/QhpXwPTAOZNUbLii1F9AWqAOcmLiDgcWqMTk1lvXkdRwqvPZt5
2p8yPI+Ej1aGouXPjICqABg9ev2jCQVhl6ZDzWakrLB3pOgzeZ1eTIuMKELXQZgelDEGe9AtWbYm
+udVIA+Th6cCuaLduQPrpdekxdY3awZYTfVqaPqq7KVmHXLgrTeGHgZRNezMjgagoqB+OTNHzE08
z6n2FjsKkLt93n365sCO30kg2PfoPS5Bc2cw2Pn49pUp6WNT9Tsn+1uaI7PiptgB/CDHPkAQ9/r4
GGZd/adnAqEJXcycGfa57J9CYa86rqgTiLluUzj5HmeP3ksF+xFacHIrXflXu1lwAOR1Kc3GpBxK
G6e6fOw1BxVf2fGepxs7uJlHhVRKcjKYrB1zNirPA/tm1xxeKdFoxk5v4iyYN2aMD7DR2MEXQIO/
noC0eJ9V6RT3WFaUAC0rgLSTi4vZ7u4XC1atSmxkhpGoviz9Z0pGOgbYtGO05yacaL5Lyo88YsNH
n+N49KJyP0WldbUXKlSc7THq3PMI8TIhS5L2GhpHQG2dUbh3P1UfU/9IhJE5aUnQ3NIxhUrAO5aT
/094K80z/RvWuitPxVAG+zoZnkOz9bdLNxvdYZQ1G8ZnmMbTalQ8HBXm/CM1VX8XwYTh3bIITt0m
527gxJl06yDO2003zI+ghNh7uTx4kryvLnlh4IqwurVYfDRwAQAn6xYiX18+1ryeGzH5ja0PpWPj
fJ4FDzgLLJVssl1Q46KfkuFmKNZTuwQhHhjiEHD/YRv+oNiM998CA+YM01vbGeYp6vQljK3kONF6
kYN1RfnUMgIVwirjWhaul6LaggXwVm0TU9LulfwVMmNtF828C0YOd0k40ZZKf2AUoTxOSUBaImKF
HYqAHYtLwIVyI11RT1/2SNs9ZnY8iXxWJWU4RWfs08mb92U9AcWkwo4jNz9q+QvnDoJwblViZXOr
rLzk2ao5vcc9flThtg4N7tknsK1Vk0zvZBWAJEwonKu4RZPCihqfeifH7YsdBMyycUXyDvfaHH8z
16Sgwf8N32vasBMHKBm15OHUKZWjvUPP5+eoh44CnxNZqyesxL+cak4eTMBFRSqwK4fGoyq9T0yF
MwmB7Gehy+SUAdJYpIWkyNWB3nEsa073nuFL4JAa/Eo7t+B5JcmE0Kq6Lp3kSbCjW2E6zK9uOOu1
Mfzoe/JDomPdw/XuGLrYko09hKgcG7zDpImH5QTrYaEys0sJB+ooZ+Mlw/5g9DE+mLFi+KTdR1Mg
4CZpU52LySUL3IkNe83PmZHMqo5GRk7Spo0C3oM5oNFp+ZABWGbIVF1Cm8jFZIBY4H6JT8zfLs7I
hdXN04G+nRE3bFrukKdJFo3tE5SOq0aC4nzZ0oaSUqvqUe1O9oxuRI5rkcYhBoBH7HKAVQOTwF7/
9C14K3mHCSWiZTKtUxxjs/lT04/jJz7+o17/sTru6F6MZ8nOBS1qsG4eezPCGunfMZqjPVMGcxMY
+D/sjINnZKOJFDG0eo5CcKYzMhXkR2uIgQunmUcZ65zvjDs/kflNQxxdvkuF/I3SbwYAaclUcpRy
I2LAeL82jRzY8cXzg5nnP4yZNFOh2I+zY7GY8CEUt11mIDR0II8kLc/kzHdw33AO9ZZEih0RmHx8
uM4HIajqlNiQUNy+CDbNHHZr4lhHp6L6iZQFmK8se69gnq9TI/shrbZfY5Ax1oY4FYZhXfajyYKF
Xx8WMXW1LXTjhLMpvDE848ESUUj8MbgU4bPd17w1vPPrUbULUd18MfrgOR+iP5D7kx3exX5EAsIr
euiwDWyLDlGDEuatSc39alBYk8eYJSib1dFn8gbAwYp2LpXfRWE+FRjeN0DG/b1n5dBKWzAzHYeC
gV4cOX2EBlSHiikv2BG8zj6cZpBZFNCrPNlatFXFTalXQ3WqDYNqwoFUPTTF5zJ4mdqOykjWdx/g
5DMaVxkPydm99LKqwQn6x1qqd9OEtotonCMl/SlS+lvHiWyVhl62aoQIjylD3H5ICCy3wO6rmkyn
7/t7BmpfXi249cAA7jrSpkyI4qdyHgSz5pCMd4V500MrD0PzJZrMqynUI7+LcvDxUnaAFMQwfUQN
qHycasVZS+8J51J97AJoLszqnlVFHMFDJYJDQtNotTgxoyCQx5C+gM1CsLNnEudRHP+2iIBzLvV3
30pkGIJsCBvzSWTLmTplvOuXkj1eBJsURq5ZO48d+uhZJ/G2mzpAdJ39MqiQeWmd7RHzx2ujmqvK
rHcLc/KhEGptlGoi/yAflrCX40g4C2QIBeg1TDjJPQCkyPGMpaYysM4GyrsUA+doGZOYyBJRbjN4
LBaj6XQSyYYf+wiBQ+/AE/dcV3hTK8N+NS2Xck9fU6WJdUrQ5/xIyVgIW8W8VCZrHK8xAIQCYV/b
t1RwTbYmbTZDiMwIJbbifaSuwa9z89ESgv2O+hmko4OpF4/aSHM0fVjI5360U4QuNlyzBRI0/SGu
foH5bR/mft5xC7mbJuHamozwXhPlOCHiognA010Hx5G3tOMiLvGh8MA0z3jO6S91eGQmMYqNy0Gc
C4jRius0HELEJI/aAspVVDNwMJqrBoufAdd2H/Z/pSeLS9tFNC2E0Quukk+/LLqDLLZTn00bnsxI
fI4LvGFFzowEAAaGemsG7MlSn2ohPyUCJpeFZ6oWPDJNoRwFESPjJLgQ3yITym6LyTe6Ysm6HJf0
LwMgwKIXUvhOA8WM+cu1S/YAYtAc7R1uIY2bay6R70YMrZxtK28rQE1huJchdwJ3lu1jurQWhWJm
gV35wvsh66EHdvQEWCPaWREPPmuULbt36ADpMH+2hgXUUKaPKh7UZogK4PY3Ksyyi64vnCviY47F
KW+DBnLCeJ+IW24gYkenuE7enInJbUNGnp6sunxtxbUExy/D4iqwViBum8muapJbPw4zCi96G7tb
6MFYGLYzDQ2Ml4AlK5teC/ptNiXt62VleBz9rFXRRvO1yGdFXDSPaQ/qoZU6P4QHPqvNqs8aS8o5
J68CKgdCqT7agwTFXP1wm7Hdzq79J9UA2wrqjzdEPa0DAyTCCXlxwWOEIk+MGrdnkm0oZqo2Tgw5
AyNduxhaH4rAQDRS9auDJaLvmMbVZ8DrcHTGHh8jGVNdJ/GxEgrulHNKTdIjZdlSsTSxf03M6YNY
X/3UG/YDqHt/3al58TDG53bZbWBKYqYXcFd2M/4SVtU12jkFNoHtbkA+YbaHT7QLLfgaIKX2hYn9
J6LGbjvUgMnJUksbYsMsQAuNkw15xDJb3mNrG4ByBrTTN/uQITOO0peModC+AQ6WMZ4+CjOYT0Ne
HBBuArQSeHO572/noP0wOjKOTksZkJPxPrVhTtSEjsLI2kOfxefd0Cbl5vIcBOEHqfR4Fcwav2Tr
Eqxgg8MSn6VnSaXq+ftPpoVJm5UHjBfXVdWwqYkAWfPsB4iAUllGGVT3ihYm/meqo8NnK9SPcXuq
ZDTs/eZC6InV0WnP2K2cO8lIKg9BFdlmrQ/DrOHuUkG/CfI/SUooYXawRerAfQ9AgC+9dgdLzMnO
lvnr8LdhdL0fp/4+sYZuaO+aNk6nv4qoSpnEN9aljB6d3v5lZ0iDBYNlRJDwqbHlI6o19H/DD5/s
thY055qfZWDu54oSQSd00RXK4Ux1rmCrjLkQpoU8pS5ibusZx9AM/ItI0rfKLJ+GgQjjbBkbIHQe
PJvmV25DVCkZLTg0EUKsbNLrhIMavwG6E3EfxKoQ6hYjXIrghL6a8tJB6HokvfvGDpbGndT7iNBU
sBvi7o0D4zEezXqnhfng+Nb8gAcfoQxgKXHvjuI5XT+HM41xU+t/1MlyIzTgaxiG3hNYzoIi7LVw
G/aMVnQz2vqNZYzL7zi74tUOIGMHjnUbhkUDxQu5h63LX1hGDuYSnrlVVNCHY2l6I+d3QT3LFUUX
jzQxIleGbGuSttz2DF2pzqlxsSZU8y1cbWa05wHx5OQF/nWRoA1Whc+8le6mqlncVcWBPmyV8TIq
FaGI8wjHx7/jWzZT7772+KIoj3T2sKqyE/kBetsT+8YkD9v5GNLSYb4LmyQH4YOLy43U2nxDmtmf
jTmSNfbsN7q3ORS0kzr1GboIR0aodrM5HlMGdImj1AmkzItTmrfGeQqm+m8xeC8LAY27vs9DdZhH
Q4PZCzySwiwd67kuP/oOZJFofn6PACObrsk+8qkCGQbiDuM8M9hMEUi//5/vL74iNhW343uyaEJj
Q7FszUoGqGj5Y5yk2cYKCV6ooUVBSlOCB2PDQzZ2f9pVdh+wlp66mA031k+IXss3ff+k7y/R8jNz
gwj85DHdj9rPOg/JGGX+aVTT0wICxskeI2YadX0oZ3XQsfVcDaNG0+AzpGvaJXLgUPIQxxUFMlTT
+yrvGHIv77in6zO+Aog/HPwOU/Nzgtk7t6lN0te653iRxZZwKNdo7xzyRWj6/jK4HT/6+4+0NDG2
K84ZlyTD9z6Yz99fgFTyRMYnUKQWSphTf4QOxqYG+tJ5qknQ8CTiGYOD6SzMksRb3B6LECJkksYr
v8cuWGGqstyabQX6/yCwztEJtzY7uiYsPMlry50bFO2aFs/yVJXuveung5WP4a6CDufPMAuoD1c7
IPX7RM8RdVH+pUxIuRsxpeCCstSVQWqQq+gDh8DjyIl3beiGdnOHyEtj7RoR7ZqU/Uc/eIeENRWW
LQ9MxxMKSa4HmUSwENHpj7RYcYQFWt+mKKsmF+mR/mEGBpAoP0wRZj0724wK4XTqFIuIJBjIZpQz
F+UgANHnJVpalxGoRgZRSUk0oa9KggqDe9bVaqyeAXZhu2be3fTGkaL7dF1yF64jSVPA2AX3OmV2
E5N/4zx3n10PD13ymkXpZ1Ii7UU53Ioo3gx9SDxkiM+8tlcePiTQqIVsSbVO9M1v0uXUqFP+Pclh
VuN1dfH3hrQiMr6evW3ZcyIw53Lb2cAnRnt+cCvzw5IkUdqov9gstbtK2OJgWOItNHqqR+iK3lZI
zGVIvow50RPAO9y21sfo1T9rt6aS0GXLNKficZ79+8jsERRteeBEBtRxgJifxRi/sDp8MALvmbYF
e2i8Yhe5MzYBTHtWlUEoZiZhDd1KF9lb3AfIW155p9TiixDHb8tuSday4tfkCKQdVqsWfEGDJWFb
0wSIKsjwW3nF0R7zV3twim3hBaDTveg1qINmx4Qfi0yZtthR11PC/IyCqeCYYc2QZCQwv6BvdyOT
fYZKBsR3ySh4t9h69nUQnChDRJbuHd4MSF0cP2HPe7XT3FswSAdDVWSrNakFk+asmZVyouybVg7z
txEa+mD1CTkVv72Irq6Po9/sK1WzPaEvhjInQNbOUx54/lFk1aND9cEStU8Pdo1ZA9f1ugTJRt3b
Jgji26gG3t2BqfQ3kuX/436UBC3zH/Sv/4z7IZ9X//xflz+k6P+Z+cO3/TvzR/yb8ixlatfxtCe1
CXTq35k/JvQeS3hCCG3xeLDg7fw78wfMUFN8M36cf9NKCdg+pHs0rhfT+39i/Cz4sX9k/NDEDELI
lrwejKLa+hesV+XbYa2kd1RIuy99gUJrctE7PrUwMzxdoJnlDoOGydbbOCaA6cf2l0tKc9M3ksO4
+1x7uAUP//C2/RdMn+Vt/ddXpXgbbJe0hyMta4Gq/QPRx5ZornU2HN2xyY4mfgpKznDQGu0DpcFo
rUIMq8gbERf8KVopQvPrKcDhnvjTB7C16v9c0ICo/msSkpL/8npsXgokJKHgNVn8518gbtIzen9O
Qe0CZoBpU9N0AhAhsPMXZwx2FoTZ9Yyor5Yuz5mj3M5QF54pemsFMRjo3nrGXvbdWLZ4dRoyeqC7
WYSozhTjPVLyf3rBXB//9AbawrFMQtzATG2p+HT/+Q1kHEnBwkxKfjnFZ459jaA5b/224tCbBtfK
DcmIpSRH8AWuVVawx29HHmxg89oaXQyPMmyw+RplGrshgSaEqOQroucBK5rx+N9/3AtH6h+vweXF
kkzER8mFL3mX//nFUuZVMJ4ij52wysQcGZOEiC3o4ZMpcUAHUeBvxvHjv/+lcvmp/+m3OkqClZM2
a/S/XGNyHrg9bXnwOpfBIX7DqqIxo4D7zjhxsalX7c9SIDeC6luaVLwHNg8M4/X/gKGT5r9e7TYD
fam0EtoGn4Fd8J///vNkKqOe80OVgk3so3k45hppse+To22Eeq8aoJC5Y1y+v/S4TQTVW6s87sJN
E4h+38A55gdvmXxLhFU97kOqo7EJeUemL0QpmIx72Jdcx8GzKwlbNqCn6bZnNEBBWATUwLkN01jc
ssVURHkYiIZha5g0a3ZDrfazYTwnsDGaZvLetIFFGwB2gTtiT455vtXGY6Y7B6A9aWydeVuPLbyi
hOMivPA3Kej6EuH+a5aRQtYPFMDOTrLnCPLD5xh4YOB/G6y6O7EXWsA/3g/PdPu91Iui6rU7hJad
5He5vfjqk77AKh8cUzGGuH4MknTi/L/ZO5PlxpWuuz4RvkDfTMWeFCmKVD9BqKlK9EAmugSe/l/U
9W87rgcOzz0oRZBSUZQEZJ48Z++1I3s272lc1jTjUVWPNn5G+mpEvRHt7TmuvTCR9iwwoaJXCk30
7P6gb1raZG/Y3U8efLdRMV78kgrPsv0z3/pvpuSDYzUXI73Fw9f9sNPZIkot/LtivMC3AXHsinKB
TYHocsd+I/0O5bxFvht9K4xhiIMoHEzz2AMZL0UePxRxz4fOojOtXebhDYhgmEFIQ2TvnhnGOJvJ
RuVAca/O1s0ZGNeX0dbu2pi7dMlQLGaoBjR6EPn82Odq1VD/ctAb/L2tjHKJvgseoWys+8ZCVg8T
9GGgVqCVFIHy4Mbe/19uIt7uv28jC0EeyAY2D4Bxkf+v28iNfdd1u2JjQdfhzFcd4F32twRREjft
6ObM684yF3qD4xjRVUZ4n/0D1AoPo9fQHfJAioAhPWRquMRG2pBBiQNShc2VifDxBkzzUIHSnMt+
gFDPm9C/4ZuiRT18xi2GAhvO6UaWNOvIe+iLtN/rBEt1gAqhOLCs70mrGNdmPVyzZv4bJEsO8Dfz
Yb3Ew/mS9xLzes/vnA0nXqXN+EYuAJCp9jTUFRe/ieqF1LKhad+qKurxCuhTVcXMIjEudf1dE5BK
1ph0sAxId26VY4aNwj/HzI/EKiTkxxo9RqoOgfGmx8Enar9tE1hcVM0M9oC5Aps8MULH3wnNEfPE
d+mb1975ILHnI1VPmn0Zf2760OtxawBMciz4bg2vMBbuxpe3yUOv0UI+8UbQlzIuDKv82Wsbpogl
peJs+tfSsI/cvvOdHsnBKLXxx8HmUgbRD3E0gNk8YnYcNGoAZ7FjEt9ELjVuTUFm8jjT4zWvoYkz
M2TMafjHlmghSG1Y9NDAoELl8ISlcmtjwUjM4VlKmuqen6c4XyVkLwBp89SsFDF7KzKtLqWHU6bz
CWu45TWnYbTjbGRXJnab2tx6vdpb6qgU+X3xZL3NOZne/rwDl9quwpxtS6fJNpvtzWjc4r/nol2H
jfvlzSBv7IQpewJLDaY9MvSjMxMFgGL21BkmTlLSkdQQ3Cf26O9sr2XWmT1JWXwMAWtXVE9vuUXA
mBNUf+OQlOXaS8H1zmZwR4d9L/sazkuIypjWg51fabrlYFjET4ZQravsXZpn8Mk0boVUModH1uuA
2Jj8DZHnBOzVDFthCU8uAyfX5BKcBSM7Eb5Aoa7yW4NusggWAdNADwYXU2hAtrL5O9cTy8MkNtNk
/GGAfHWS+c6oTdbsrMbUa754DgDoLiIBsgAep1rE7YzWmpgxPCXc3kjUe9vD+vAF3wDpHaby+zA0
+eZ2yQAsrfcFas+p55IKlL22Aye9U2StsYIyuqeNik/TDGlUO6RAedRcnsWfbWAU6czgOXTP8Jjr
ZvQCVL8ms/q0QNxVwOAoHlqXhkmkyB7leILgzEVxH6NqX0o/5jTkGmvLtX4QgXG+l8nZM7Dul6XL
St1Om6aqvLcW1xMyK/8FlZ+8D4VelilGqb5XyH4md1pzsufCKASRCiq8L6Jj4tR/HTM20VNtk7h9
yOqIhkZRGhs7n15qn1yv3mLlKMFnsR2tOzt7TQDV3HkATJDk6k/LpOgZrZq4LYrcvjevJJ6+E06s
r0lcNYvGucfTa28YK21TVOwrZaUf8/Rzq7C3fksFA4blJoW7AS9y/LVsjcAdMc5fte/Pd342PThu
kR7MDCBTk4/veTfaMDn6YaVnRdjsXOsbtH68L4L0b+a6YjN7wQ7JS7DJjRE9epIetcP7z8P4pfAG
7rwwWnWB3gX5yCpH6no84QgJgJh7EcoEUdGKyAMkkFXlHH1lrtBmYQzUBKWp2hqWrjWYGFT9Y9Zj
ZfXGEB1w6ywgmYcra+5h4RozBkUH8piVnNzMeSRQRAN2MpC5yJvttK8O6IevY8AzRkmMiqjsnlap
CNZ5jB4dFs17NqPq96r0w2fivbCJHUC2A9lSUBdP+VdEqigu/5uWWL8VwjM3hpkeRYqLl62beZfR
rGfTIQwM70ohOfciHaPVhlIHPC5q9kVZki+vMPzgmubnG9HKx7V97QntWLSIZFiicZt0zrGo+IXR
Hri4Ne2mOGB1zGk9i9IO7qHXAYCbo7PT1fdRCehkYIO+C2z7J+zFmiqTeUWOTiNqE2hdYC0a2bAy
R0Q1Cu0s0pkInoZ7QE1vN7YGHGAyJcO/PtsAYz6S3+HCuMlfh2up0Ld10XaYKcsQSZZZnMiwXyop
bJhAah/5xZdt1huMH5jb+3vXIhMO/g79oIdSyOdeWmdPzEBLvE8fFuddoR3MksiZ76hwiUuyhxff
6r4m5b01iOuGWsEvd8e9cIcGlcAHAPxC2oC+igtsQGftrnSfYmm3zwh5wP1Tzk1D3izpUd0KiZvt
FPZEnLXEBPjgWtjG75z25qWIngsXlzc9v2hTym9t2vjmvZFkDV3TCLFuQEu1LVXz5cTyT6b8BX3k
lVPSKTJQJZqCgHukQNSJ3jpU8r3CJ5mi1V241sj4qiIYmF0WhRgqJJfG2Z3oXdpR7as92CbXnyzI
3QqOQ+OR7Y40gmoE9tRwAn/TLS0t9SqYcDiGEnYDXhOxaUtmeYaJITzPNaq8EqoAjmchCDT2+woP
zvymZvSlUYrgsSEQKxYeenolaN45b1Uzpht/moh6TDJ7BUIYCGXUrGSvq4Wnin7RDYKRK3Fn9TAV
EAHRdsiufo7Q5aLLrC+WQC6TiICOXl+tYDE7G9KkaRVPYDLpUfXutYyKi9FhWmzUA06bryll6cob
LCto7jZuhYXZH61LitRGQ0pgpV5CySVaILOX/QTAzqG4ACbXPJokjeL+Cg++PbnHKcAWDvVxWJcl
tQJBnre8qAkQilu+ESZVHBiJ3C5HY9Hllrir0hwzazC8V2ZH5p1zFo0eSVwkPjZnhWboGgMRgKVn
v+EqlQs7Y/o0jMV7Khy97ohjGdqVVrG1Kmv9KMf+yeW0vnZAX/mmQICvobshIi+aod7GDe5YZK7t
PTv9Y9oOf9MMq2cZznKtYuaWpOqiMGGEB+8NLTAZiixUR2NcA69oFoOfhZsJoOPCKO23QY1iZZQw
RQbd7T1rIkI7EXthTsdgRCTMaIiEDjp01awXXPvHrBN/obsZyw6pFt03cHAV80W6I8t2DM6QX9h+
HizJ5SWS/K+0SOcYwn4zNQQAVOrH7akR6PlT5Ynx0x/djoTHP9Hg1dtUZX9xLe/p7hBnbjGv7iKH
48Vc/nSClfYm/rId88qqO+5l98PQaBsOXOrM5t11yJssgbgsNN+vevA7961j26aDWR5Fg8bVE+R+
Iii3I8u+qyGG7RxLvlRgb2ybwsEFqZTPC9X1TGQD1C+GepFlkqymIxo+615LMu7TOByWHnmTpT4q
7R/6gNGtb9pkMg4QL52Z6rwkfKJQTHqRGxwTMv0mtyYsW/RywwpABWMWLYEjCDgmAr8rA0ABBr+7
qXWaC++8oxPPMmI0P0jnh6sLRX3ZYlQCwjgfvEm4ezUF6d43GmSTNb3wVBjN0zx2p6c5LLbBHLiX
dDbkUVX5d9Hme6O16E6RDo8S0zi4+HvpUtecQLJ+S8GT7gIKMfS4ZBv4nlGvHINgTJuSBhjsKotb
d2PHHomJRCKgySWWZz9IDyntqDhEm80O1CPUCZmCpacfAteqJnejUYBrlNvIve+Nzc5r/3SNM+zN
qR/2XIHfBbNFvChi2ZuVuScz0bzJbF/DeoJZbKqncozPfYQLLMDMBAhOsAjTgdznLfpi6ioiE30C
iNTtgywI9otyxQnCIo1J9XJvmR5seJlSWjjoY2hK703Pg3gV4ceDE5qsfh9CDcp2btof6ipNlwId
6MKOMZW5CgljgsFnYwfzpitihh2amIWU80Zhzp8xFxs2yEZvYUZZ7AX4FlpS4dvboxKUBmVu6NJ/
AFVjWJ7epmPF7Sb/uqFMl0HknqOh23R27Z5ZROY1dBF86QagF0iVdRZOWHZLJL8Vf4k2QlKqMxib
LbmnBw+3xDKzyiejTVANjBW7LrYuRHKLfCDasE/4XRDIc/r9IKboKfHI4mF6aXSd3mijLk+/H2Y7
vQ5FopaUuwLPzbOfucERQRzJqsvSKZ1DaRjTdihA2BgO13Ybw4BNL4HLkpUX6qe3LAzIqd4jh8hj
w3jk6J5b5THR4fswql1nOGfQfxcHOCZr+hFjXLeAOv4D14NXwfmeypT6nkibAYn8eg6SU6ynfKnD
nth6vYszWvIzua0qS06YZh98DjrIIrEtzjlZ8C1v1XK2KcZapCkaCzK5vwMBGqIiJUM+FEPONI9V
RLcf6HUPWEMYwE3DusmLaT370ZYdaxEH8AeiGClaWCmbxBigGuawaku5xuK+cylDzMh6FSm1Szzc
JPk31sKt/1GxiPmU1UFinSkT18ZgPebSPmtdXucwfHAVO5jvyK9mSj4SE6Fx130TJjIsekzZTUkG
uVUQzBvRp4l0sO0ATN+FpDiqUGX0i+xgPU+U857tsYuW4gjd7MZGu8eiBfMxfNCVfIokOl70U6Ua
vwpdeQB1emRs9b20zOdAmhArupMPwOjOqQkFavt6DTTszelmrhOWVnJegMZ1k/8c2W9hUO36dIT2
BoYk8I9keYtbbNuWVi3jUYOKZmzkrsd3zh9PXx03esPd+mZm1osVwkWU6OEBmQL/oTUIZdIz0S4j
K78LLEZzJc0HNPZ46iLzSt8TobFprTmS9xwQuXoydEDLRDTvykmeXD+LFn0JZSPNrJ/YlF+JY/xh
WPZmRRUQ644kyTSimdMElHXtoyu5e9WEHM1CNX3Dmc+3yTN46RnJryfNeytkECt0llAw486erQzm
r3UchuaC6wO8bKw+Gv+tNojYcbrgoic4RkM/AlbEdhs2WL0iWOd0jY+hse4Ga9XxGjuEk6Ra2fGl
jYPHOtRr0222yDvjwzgpbsN0vktzSnurNTSpF8N9TA8IUW/9mMIydNwcW5uNXHhO7PI+VvW46cvw
04aL22jRLd0sJzpwtICQ4K8wsmA3wlQHaUdrocQntqSqwlPJ0ewuHPvwWHYeDk0aNbVUXzSBwjua
ohMSTfdjuBHkwzhT1IPpviznD92mqPoGzFOiGynr3UdgxagrOtFRByDv9MBYcpe7H3OVsw7Mtftc
y2dLFuY+GG21ihV3kAsR2XWZw0pF9FMduM9tz0w9dxcoM4kATAx3KbrgKkb71LU9TCLOxX31nhWI
qCzbeO5yFlZDER6VzTfIn1gFTWpRtvjmUs7VBUe4tyzaW+nPrj0qsvMabyWrAYeGwyyf3KEXjprT
sm2MaFUqt2aFauSt5bS4rdAwISh7oYmEd6aasMT68qICIzs3Q4ajlIvHMbgq6MqunM4e78sDKBng
AZmiWB6hTM0OGIGoqtpt23t/lNlWuzb3CLzETRwJVKoZuJ1t1GL7skcXQn48iS3hs/tEOSj+FHeA
WzFprytFlBuoEafrH2SqolUt8p+2xeP+XNsgCuWA1qqOiXrp9TKQRNTZsbyQ/rnhx3c2Pr+pTZKh
DE1qlvQywRXUOGa5YkSl7phN5zv6Sfo810wLLNDXK9K47rqbs59F7daY874DIZzVYNjiJjhGfcrR
wXE1u2o6fxNQtsqsluwTYseWiMCI3GWCbG1yExKDMyDiGvuHrNOXophL/BjNPXpADgOojWyVpce0
9Vd919WHcDz3VKsng+OCHskxLsHG9gGYGEjT3Uh+Xl7ERB/hb7nLOFyuZRzrrTWDuBv9YJt1YCJn
+P3bQRHl7uQiO0ZZ/ScnDNO5qbrtkaUDvTIGHplfoo6zAijYDePzehlM3MAIfMcZRY/b969VAOta
xBEbGBHiQg/E5HUFyNt4eBJWWK6i1n4ri8FD/t0dS9l+Nx0/q4hvqmMO5LRm6KdXOVAAIDgc9JBp
VFJ7UFbjrdFYl6k1i2sXl1+45/KVntAPNuZEELVdXCcj1Hum6a/JQKoSreBiq6CRAaDc5ZoEe5dp
xFxa9aH3ww+7UC/2iCs1rFy9yiEWrFIXNYPfmtM6GPRrB4N8ZYbZsLc5P931ZnhOTMyuXVy8C3gB
m8CQkFTZnNdG2/D2JUnKRh1uQDw5+9GuH4XtwVzhxl5NBQkCRp9/Go5D7F2eB1vHsIcd0sXkzsKc
SFpCf/JcsDHw5B+T2KBrqO7Dcfa23riPkoLwV69Z4wT85Raw3UzrntrZdoro4HuCM3SYREeaIu1h
Ih9V5fP70KCzy5ZF2pibEV7oA9AaJMlgGGHZ6Hpn2wzUSBXjSHgrronVTRakru5Dv1PbwsQ/pXr7
RboqpEhKJ3zWyXLS/GyVZ4tj9HeQJ52GPAwk3It85fW3q8XAY8/L30LFJLJqN0MqZ23LxpVnus4G
doiVZoIaCroCrT+E68FE60875MWgxt7goKHYqGx767vcmLJTwwan8NoUOto3WnUXOdA1RPzfEsc5
Aba8KWiLW9gCDfYssfGsh/Mf0fbxpmqmjtBMjqAZB46NbjigweEmbMI2gX7gi2HvBRcZpaA4dOj6
jwlQK8YHzaMic285A8+UlX6wkM64kJLWQRLKncwcwDVB8pO7tviYUT3etRqkuAmEyYxxDgQtJxFo
g3t6ij0clMOfWLbhMuiFf8gHg2ZUD2RVldbZlaj53Thamz2+HkKdaA2zP4UOQSx6GOhUYnjdlPn7
lCB8rwgX1M4QsBkj2uzZWZChL0ZQcvzWRn+d4HnUY28zlFCSKXmNJr0yD55C4ybn8DRA47r7Hf6k
3anKunmVj/G8tkLOKWAh8CAh+NttS3ejfdWsf+0AbcrcAGEPBztU/7e8ljUB1guaZ/thJENwSJ2T
GelyG+Dh5Ebtnl3jPJG+taB/llxMVadrshgWdOmA2RgO8c9ho7aRaxxxdHPe+hyq2rnv5XBwpmR8
aNsL5o6LzKqPEBL/UnXU9jXbcpmAT+mRG7ts8m3OnDT0dyCm9dIeLH+rxfj+jwcuMZ0NRNTuLjJW
OSCgLZxdjI3WwMC+cq3lLXH92lf2vGgSpGbSDC9tU/wRrA47k6IBV7fTrf021cvISPxtn8humZsm
B4newCD5Nxvn7kI5D/r1NzS6iRgD4s7tQw3QLgyAyGlMLLo+NGagT10R5RsWO4gv4Mf8ARB44gn3
SbR6aSrkWig1WYlvcEa0ibCgKgxx5swfoND3kZfMu8CZvkefkQmMQxM5j7GcWOZ32m/oNGGSOUDo
iG47FJFmw0RbkTzZ0knN6/DMDw0yG5xWiUdijgJr04eUwGV7dpu0fQdqiskULGs8VQ2GwKanBSSC
bW9E3TUvxcEz4o0Og/bBbfV9oFFNDR7pk3464+2iS8XN+MzhCCLBpylp+Al3Gu/NQYJpQmvuwzfp
B/8ntvGgNB4BODUBATu8B4xVkWubTDvoonTOfWuvjNrOlrkfFMilocEU0bYy8IQXA0OJCiHyqRz+
tHbZPgtP0czKinvYdGD6oYyWtfETunNK0vUMKyznNvAhzwJVZhO6t8wal0mh5GMfuT9alUC3rFGu
8NPTudEjUIqZjUFlZvYE9YVB0oW6x7hrnXk12kKyGThXBY66I3BkMRTwSxxTdNuhhPHsHLg+kHsT
5TBWaGx1PBl3sMqNVWVW+64PmxUNMmNHs5LFsx+CvSx9wmk4/Pkg4skubNnBSY6iSgP6lW2rOeAn
tRF1qmlaVmVOd4NXlXDs47wDv9YRx2zWh6we0jU5SnE+wXMvw+4+n7wCR2NYnKWCNjpl+lAUcbhx
KUA2E4SgtJy7jS2qV4fj3V3TVTkjc3PlIiRlzcuDhSPNjxbG47Oid0gZJf+mecnQOnRgXdCGm3XH
hlc1TL8GFVNxtd8QPAYyFl0qqtnYuAiLd0mYN+vet+yNoSumHS55nYF765Pagw80ikZmms7lGU24
DY+wt49gvtnlubLuvW78ysCqgWkGQZoDyGhh5sOqYBdpMNdistkZffOQ45RctjXxc07C0EdCUrsf
mV5ycDJ2KXgLuFr+RdbmC+FJ+UMe7/tyFyeesYEacClmG3gCgabZFCNbVqN8mLCgLlvLnpdxIfC5
mm64yb3cO9e54ZzsdlyUDe0Aq1XVOsRgctGZHC8TPjRCCtRDoxyCLwYm/15iiP3oBrfmUm5d5O2D
kWvknWXK3nF7yJCM6IwMqEU0E7YQi2letQnLa0K1c0xmdUrbcry227lv6cGFuXW1brOgKAU0+Ptc
b4MxmCYQJMz/ebe+o5/yPK3O5jgBSlL6iXQVYxdbdrOIloVwhlfH84fTcKOMirkZXi0v8tEN865/
P1veJDWhqimSUqBcQ5zaWxFF19gAvd1yjmul+eqOJSqQW3NU1uVjiVZ4ArulYBY4U+E+op3g5OBm
rGz11qkNQhVbyUprzoffcf//F/ahAvrfhA//p7CvLj+L9F+aPv7HP5o+z/qPazm+Hfi2izKNY/5/
S/pc8z8RA1U7dMLg91NokP5b0WfxKboQEaMdm0acz8v9D4WfYf3H93kOFRuinZscJfh/kfg5jn2T
p/0vqVNoYXHBWQTs1qLRRVDev4IuwfFZYe8iHih8xtOTN2ewudvmYxABrfvQCB/MoWsfvA5dw+8n
eNdMyuK6PnVOncGCwKj7+wmvMieacLF9r4giuASDeu47v/mAu49+KjXuBnSC+zkYw2ekhWs7LY13
HxDRGgM2ADMib96ZshQMdN49YdjbRiKS+306F9PO8Yf5SgA3w2N4nLzjfOOOY/rcmsZHJqr4mzy/
h7z0ktcU++t6UOhvix7ZQzDn8XNdUPqOE6aD1nJXNr3jipnyai77/GL2Wt/nqn5Xfrey8qn6ICLO
WtJpHIBGxd6q7pCGkOVnLOjrtvRnJ/8ht5xxnzkwfTzqp5fKiK+51WU/nsye3AjXVsGPvqctjc2r
pRmOhijYDxXKB1qUCdzauaRLSBehx13lRFZ+dCp9MMvM+c6sW/fCEd2V5DG1VWNHvo1bxldrQPfm
hrn93STixAbRvBoqLdehtIZ9w9TtPDglzDGxiXs/+IKCrEjP+kOYF52e1EmecazeLLQYfAIoQUdU
OwBYsM2+hNX8+vu1Iu5XoALGTy+ENZK25njOMyo5QzjsrY5OH9XUn6zCI8vMmsTeIbN1N4wADN2w
K1YlfOFNn8XTy1xZIHRQ5+2NsHwJOzUdIuX3S6QX9qOZV/1qBnHzoFOSnIwGAGSlDXeThkXJHpDn
ZJdH095Xw8w5j4e/n2A9czezaUfHzs30uhrhQEq8yoQbNZx2MwveQWZ41xZ2x0KPKnmpnTa4G3Wo
3rwRSD35hb7pja+0t02SsIP24jeev6oK5kNDY0D6Lud8nxpueQ9SwljbXt+eO5Tsy4Zf1TN/W3bU
zLU/ijZ4HJs6/Bsbr9zisKL9gRwlyw+++yn4O06+eCNRZGBznvwLx0hCvKpV7SQFWHMfb1Gf2QdE
8dl+xoy/A97sYwEfw7UrZUSKw4TVOBrU1WXjJ7U8Kzj3CgV0ZpKfAxYfDMX+n9EolhkRGCknu/sC
smly1xMIYXvj8B1oMrzaMH/nUENRCIfk2VbVTfFfT4/WQLVY0+E94QZg84W12PpczrXu+nXqTd2j
jByq6hYRVDGSjim93PmK1LxrPQfwbhRsg9rj+OXn3bmIRfQhJ/h3jRmmz/lN/1trh1Axz282hLfZ
ByIUnD1H6WyrnJ44Rk7Uqwlsz8nUqJEywBp168nvrkz3eCrjV9ju+dqu8Vl7ye2Ku8npBin5CtNd
l8Yo3kMFwgrf1+1Ho/uIgD/c5xaoaESM8tTntrOqRq++QE/xFk5euy9+I2nPF57zWTvOCUMmQOaq
eyNbBcM1gT5s8753IR3vpj2LvopMBq+j8IOFHJ3i0TYKOhZ1bB7AAzaHHBDCBoGTc47dMFk61Cqv
jBf+duQn/Sn7G0k3YKgwV+EumxzqfncmlKSU5hMIVO4STw0nH9Pg1gkJdpAuohq3raKz7+JJV55E
ctjc6PTR+DkGjiSxQU5HIPkuJjao5bFlyY/IsvB1B/63VzKWptbwHyk1650g0Wcz2E3yHDbWh4kb
5p7BSMckM8AsMyXiEQZ1eISvUXAL2NPHrACsJtgLHkU2BHR/UF796xMWjYB//kdm5vM//8Nu6vcO
o/G+znjnQ6O+UsvI3q1A9Csh8hBOcJe/+yTG1WEqXj0nYQUwW7AbfZC/G2oMKFDI8DAst3lymnn3
+zzCCZI7yZNa/76anvQxEp9VFlUnM2zda9WIECWjntYWErQr5tro3hXO++8n7dtXNEDTaIxEp98v
kGGAl6PjQjGa7u8UkATaMSuiNxB6D0Tq1pcp6PjH81ohcLbcQaIM5aGj1X0n8v5KOFe/0170EpnI
rggiM149ZGLcKI6xbmKY4knOFtj0dv2QijR/bmhHtW5YcVjRFOq//wMeKgeSuAJCfnuBEd63p010
h0rbZ1c3r79P92MTb/KOWPPfhyXtCkxgY3nsAwn39uX3u9ECpSlZcaEWVWktpKA73cv+FXOwceFw
DCtNCjRmt+fLojnnzICeAlAtQ6wCMsDa6IhHjcO0WZVnj4CnFWw1k34wIlg7NptnnZAXiYFynUci
fxfmg8ly9WOWzELwhXpn8ju9XYL4cJ3punnuwu6jB6L6LsV0eUsm3b30td9eihxSGcrdF+YJ7glx
42M9eQePaPV9bmjrDPsbhMEYkeDAUOgOpaJ4EZzQl6EorAeA0AQwsDbwxeGIskW1a1na1WWK6Pnm
Tp2+Z1n6QjuKVnqq56fOPDuGmf0hfByjZT3kz1VYjyuT5GuUojTEakbwG4oh4zG0jXLhDQSttaW7
nTH2gnVpdjbqwU+0LTXASx8EJBKjHRZqKE6N7z1lArZyHg/eS9+4FtmsXvDmBcx6h8EUn9Lx3jq/
bb7pRZ2SdoJVX4XeASvPkpaIBgYyzGwibPMCgvvRw8iInTVqP0Jmz7gljO/kxml2Rs0wZjZA9rEF
tIGKyJro9G5S2tiVodsdMAhUW4HC7DhG9HOlq90HbN9yVY9VeamJyyVjWAQY+l3IwENnvRa/Owd/
3o+2YB90m/Cbkx4pjzVkGXTaCJ7QlRB7skJX1KR3MxuqjftnQfMlv3i+vTWI8foDAJApd9f+QVl1
AOoR/NgoBVBwtj/EdT1UNq875fqxIqD1eyrN6xyV0VfsG8/kbHZfvjFA5SnjT7I6PydrGj4Hz/ou
RSk+wXL8tfJWf1QRd6bUdvpRZaQPhM04HxoccYsRY/gy1bK7j0JveoiVpB2dz/pLRubO85V6ZSEi
+MumYvN7C9i4Uz0wU8KMmsvkaktTM8Ts6tfcRUyIJTX+hA52cgAIC8J6bs3eME+ZwDgozdhZm9a+
BmXvfcCLRyzm9tUL527C08hRurgT0Ebhd+B7/CzZdg4kkJgqKA/adk9IK2nXuorv4QeF67KJvAcT
PgVcad+4MFAjoUe14iIyeiI3+a6Ttf0frR5LMaY/fY5GC7GNurDiEsaVcwJPRq9f8ZcYXuO5Grny
s1/2+fBqhiWQN9e6KHKKLsqVu9+vUnmfH1oT5ejvw95k6kYj09v8PuT6KJHmann6fUjomOT39DpU
vYF0mYQXygUSvprhOqIcWnMBiU3lD+pNoxQNvAnhV+VNF8fOTr9PJz5dRly3NCyoS96APSN8K/IJ
DGVx6lDPHKWSwzIjm+U9t8VOsMr/wMt4Q9mev5j+YBCm5uH//p9fSrEjV2CZzF3S1Otx1slPZ2AX
HdrUYJHy5bY22Oil1xf0f0iz+P2SUIZrc3Lmd9zorHTCnO8Dib1G03ME1xtANwbE8/ulQiOSLSz6
oKPijyUIwtgMZZs/jcUN0wcVNqiilyyN8P4PtISpK6MXC6bJKgpukCqIDgv4btWHmRzZv4v3uZym
rQH2d/37NEp/dvhoehFC5fu4SsXqn+dnCuee72PFMjj0lWv88zKw4j8dbQWPc53TdWmRTdNDqz4C
kZGRg/jwYa5hGEGp6dhQnPXUGP5F+LazzeSklrT96xdejdrRhrkD+q15QaYN9sNC8WvDPHjRHLwW
hOC2pLaIn9YMymNKrbBKO1cTFNhCJhxC6l5ckohTi/YJQb149KN87cTWtCdORNFISuV5wrJxMolj
/n2EdrKmde7f93FQ3Ufo7HYK7fGY5/1JjX1/ahGFnzIiq1Ba0gm6PR817SJkGnVuinRYu6MEHsaf
/vL7oaa7S1xXdc5cUAqpGmd+fTYpspJKt9Iqv4aDkV1vKi7Ll/H595HlubDxJICrSNjJWhC7sNYl
pCWzIUXPkkn0ium4WOTSMQ4x++CrJnTKbOf0pU7GKxrSaTs3KMq93gjfgQLZd1Zj6VOsSlwgRv1V
qv9i70yWG2eyLP0qab1HGeZh0RtSnCdRs7SBSYoQZsAdkwN4o1r0U9SL9QdGZv1Z2WVt1vuOBYwA
GRJFAnD3e8/5DoKOFNfFHY23kCmp0W+7gVluQidfV3n6XkRauyXBDoY+oaXvntm+5YnWXpMChtvo
BQBV5pelquM+AFVoA4lza8tOe9BmPGivhe4vX75MeSu+YVcibIwz/b5uuwrxQGduqhDNuFN29jbU
+8Pt/SBeclYqz70tyLD+nUbR7XDf2c0WjU2Odi7132nAbPGql8+yQX7Q1BHNEqNGkz2v0Aw96Xa1
CQMIN/4I1dmbgEwYAEUdUW2AB5OBy4i978ltBd8xzrCiGdeY2kQ5h651roa4+kCidimSJHgMYi88
1FRkCXMkoQWTEhoh2yc+Ihx67jm2VCffzutV49f9StOJOOXtl4fa6c54dN0LzCnrWLX5KbFZhog2
dw+DNIIDSCmG/rKvHt2U2yNdRgKYgCkjEw++BIFkb4Hm5EvEgja0eT9ZuUFcX3IZTxtF18u0yc/A
v929OzaoWWm/uXRCdyPPQTUBHpLruX12iXkKwVFDYOoeIugNP5QxH5AE1TsFfG2lQuWeEyNaBXYi
OeHZw8LZ71oXZ0eQmqzvbNbqEGJQ9UptVwWB+Wgkn9xS4xO0WJcCX+S892afIltVGi8HeVA4ZA+4
CBJPXUqAgUVCzKW32keyAggQzbimbzdZcyAH3BCKsPaJKOyJZGeqQz/BjB+RWvbZaxNprV4DsZpT
bN1M0c6ydON7YMlBOwRdcB/04Pjj/JC26jnWEFySHCFOU9kfPeTesTmmeztUMXt0c8ycXPFJOAa3
frKXK9se35oRkKukEZ745qc9ELU3P2gZzP2ysC6CRSe1n2TlqHD80kyiW4jlVeeS7tXaK72vKmYI
spnU771IDYeI0v8Gh3x6X5UoJCUa3lHXaWiRZnbRdVxoveuCPwEcM5T+Xo9VetAT8ZmSlAN0Isjv
S9x4f+pOY0Q+ac0vOg0C6TqzMHrGOsN+ZIpdRSEexpuPNFRr1m6mxlfDR4AgAHsdb7sqHRZllaCc
9qLwIsLq43a4k86E/y/SaH+0L3YO/8fw3fIhjLpon7ujyraV6d55jgpIsErpUDIbd0EqI6/A3n8c
4r4/5kzTj7fdvzaktPBsMXwBek02mlf/clEAw+dy9Ws2uh4UlvBkuJ1+xfitXyNEEfswhY6Q+E56
llbBeYKSGWGud4qDD0E23fG2Y6mmX2sjcPQ8KN2rvnId07reHkdjJpGyMdkToxlfzbKOr5mR5ku3
lgyytZueG7hhZ6t3vI1wcuD8WnM1Da157LPSOgZIpZewuKIPMbtV4BMVmxRh0QK3inPvqDjjfkne
XyOdewzKFOgVyJImx8eRFdWETt6HlNnWxKO4w3T8c4wx+85CZIuPIGtPOic/1EKayF3rYc5S3rG0
pHdFwppz6ZIUriHeAj5gmtGhHsPX0HYaQM9xgzcyde48v7NefA/Vixd6OaBxn+a8hX/fDM01De/8
RfOTxxhodMGs6YFK6BrCd/NQ1FCNrSkQ8OrZDeagWtAvZEcFhCK1aaPeIOYrSh6K3lHXBx+BGpMT
urgPvX4vE1pbGI6MsJm9sJF5Ma0K0rAfP5OQnC/Qfs0AIsLPZuFooMuGmqCBEo6M7Zzu18JrCC3s
FKi6wFw6kKjOmV1VFzgi5UWDILFLJ/Upau3ki+YwRKO5ZkXi0S+t1LEJh2FF/3UL+RBHztAZO2/S
UHQN8lnTomPp++ORWG73BHyGiy9O6c2mIkO3AiSkd6IjzdNTTQ95e9v7a2PLoVxFIBWYjWLdwIbA
prbKA7ykCJMHw6Xp1MGlnRp1JvUcULAZXJIhfmLZ455G2yMpWPOaO4Mz7VmJSd+zUECGBlh0XdEF
XTiGYLY1b1CpiAPuapKsWnyJfZu0D+5Emx04dbgpyq59yCR+NyJFNxWQ2EOieS1UKemrlUrTZgko
H7pDxkRh0A37iUj1eEsBYGWb+Fdub1PM784pi7+PSgTugjM1gEGlSIze9TZ6HWwU99JBgulUkY/P
hOMRU7dlB69jlw+oOzH+ncMGexuXkPllYPMRHmu9WPvJHZtoTbAsRDD0pNC2CD+aFP/PGOKG6UjG
nCHMTzl91mWA8hf9f8PgiHJjDSgku+AXhxlcNCd8CNnaDmPvrtJTeI39aNzptILgJ3FTKyLUC6Vr
wrGZN5MDKTMGZ7R3aH6vcwoQa1kH02vFiLeYhqE5WT1eU5/rDhRGM52yhBhXn4UmWgd2bxtgu6wU
4NxtjfnFeotqBA3D9OrDKy5yt91GBhhB3Pi87aEdd41etM+95eO1wNtOrqLTPGto5lc+va0mRy6q
xTaDCGYIzDLE+d4p5gfrKfKORPDFH64PSVqmWrktDeudnkN4vm0mQfaorM2vhgn0XSHN8nkYZqSr
17My5VM7yEELl7TcXpp+Mr/bgaKn7DHKYG4eC5k9xiZNYAfwLAlV3nkYpuKlK7IDRRR5ve3JPgAe
10eoxV28TFV3sfz+VFcVtcDK/k3/PuQabp1N0xc6eXZas2spgbpSS5FKxUg1jShwgbbgHIz1nvg7
2Y9LYRooaGb4YhWv1XxxOn5XFWyjDKRqg3ZyTJln4DP87EkJO9Fwal/N7yTQs1c5WeG5y8OfCKva
oTKDH+lIorUym4wph/7wHkUDYVItanC7uveA7yeGdQiH4qW2cOBhVbQPSbeJpY84qTdYYpTGeJz1
1i5eq7M7N2kJ6enX6PJ/aleNpGKjc5OuwkcQfAeDOcD8mPoXcyDaVsdFebzt9rb5QnZAs7Irrpad
hUT5tczQ8yBbPbme3iwE3+SpRRF5SnA6VqHJH9rbqD1vFpLbE0EILgyo7ep2yMSKgM8qcNZ6iVx6
quqGc8MrgMhO2lWAd9uMqYT42+kuUGyX6AtdNC+wVOrnMuqHexd2UNRG9XPg0jxXjk5QkQAbzvee
EVaVI4iYN6mpmkudwdu6PREmSJmrAZ6OaGXOFCk3SEscMakorJ0YzQ1CkLvkGE9ZQhh7Zm/SAmWZ
Fzbp65SoH0cgV7hpxOuiOurSwQLr9n/fRPMxUd4bIzTdtKKcMK+8/WomE70X7hzL2qhxNeUJNqop
/5kEkC4nSA1SUwxSZ4zW3mpenF4izZnuiPRQLxYhWKxPmfd7I5AY4KAQLAzWU9zvs+6Iuy1ZYOsx
122RPaeYGzaZR9wOvWX9bopoNelK+6nb2ji05W+7oDIRQjhYIoajU++LcN0h4zjg5AwOtd6Srklp
4XYIKvZGUtFajgS/rjq8rsly7Ol6IQqjE6ZHzC4Ijr/zPRf8FbKJnQkk8Pm2O/hPUZ+Yezp5yaM0
ujew/ckn7TWxxNLsn8xepPcKx5Gf6odwGh7roQo3dQcJ57axqWV2uJSy13xCMGErCmtkYQb7Ioj8
B2Ii5NEY9bdJuICyDQ97v8MlguSleYpE1HxU4afZ/DEpAlwHSvVoph8yNjqkzY79OA3OhaXw1rJE
8IlODh0W3kgNHffGC8BZB61HnC/jCLEiw3S+bdzY8I9T7S0aRdYySSXjQY70vby4c+8xbdfw/UCr
FaavyBVR01OYgEb2QoSzipvZYTQZYGJ5FqmAmafrzhaQExW24Llw0u5RA58rLb16MetQwaCTl9Si
ak0n/91pLBjkRTqH/7Xliz9QOreQ6C1o5JYvrkM92jVZVtsmqYyFZSEmUCG0ao3sj0M5DMu8tNTJ
o+23rrHuIMmN5LPedVuPseh62+O0f6jdocGYZcFzJqCEWzzmiwFpsrwzMszpYPnJRMGltXKHoDxR
3hGHlPh5ZLBo/GR0IImjfmlCWqNNJ17d/lU4aIxyI61PheXIkxzN8tSsb49vR+vU2LgqSdEm2hGB
8bDU+qTL+P9BztI8WxKSxl9KqgESO3x4qCOMbeAFkB710H4Ts/q8cZDNWy32rt4MKRNnVbKa+ITW
IkBA6bfTJxTgeGUHSDP0UODMCyeYJlp57ALsHFXUrimMJIdCj1dizNAxl3Z91ZOqXNejTWxkHqD4
96Onqg4BFKhDXdTJJXIhaYcOm9qyNgjx3YNNxmILtwkWsKdf+hb6Qo0ROpoN42vYENGSDou79BqX
cnXhVq/BAD+j0YNiPQa4RsomhmKc/9lOjECymYaF5/f9QdZCoRscusfcEsbCyyr9mwuPSMUg/9Hk
yI2ZuAcvoVRnNTQ4Y773vQNa4An+inELd9yU3p0g7eRCWda9hFnOJFH3NnVRvDlxE7yj3TJxadHo
pDBdPYlYP5KN8yX8oN/GxUAI8US7xiirl1YnHCBo+gd39rhGB21w40MumRrKJiEAJY/yaGeIqSRj
2y8PVKu/CnqRW+qEDhkfTtLsW9O/b11ZwJv4x8YAh95Q1tfNiSTQ9p83Yt5twvEoWygdNm5j8HUE
2U82AHudqY1fe8m2HmrnkZKBua9YaIHl0uzHFLbuVu+JOvGt8bOxjPq3Mxt6Z/LkYvD9dSNU/W3B
wSM9TDNekpBcOupn+l6Y1inrzPBKVmSHRwIRcOEGCXlziD9y0uDw2mWfg+CuLg19XDWUzHdj3j5x
B7A+TEoBs8FAHnsK5w/Szz66NjQ/fIdrMc2M5OQP3nQda/2HCR7VNtU8u7DGMq8fP7wETn0RN+17
NFPS424Qb9QLke+lVv7KvS1axtqYvoRtUS/d2CeJbQzzrYiKT5uE0V8GWW5dUzUfWk5akxG1xhmT
oLmnxT2sJxYhTyrhzwdUk3xJeLBWEK3NaaxfRyeU2ykwkaiOVUXU4KHNx+qTOJ8ZOYvxr+BWTo4k
Zp4uS7dQ00cMw0b+2KcTXTkAdP3UjLs8IE9q8DDExK3/GtSacXAqzLn6lOgb4mqa5a08mAWYOWa+
u7NCN+Dj50nGe5ZDsJS9ZDzWXqWdMkxO2HRoZjQlE0+DaG3hOf1LSm3tzhwIlA+k4W5GzVwZBUnt
ICrtB2y+xq7SvXotUrN7A6WzpggtDga1tWVT2c5RdzPnKE0o4p3jjc9uou7q0dTexikdtoKS5Yp2
kvbWTPWXP4DT0ZnE3VuT+3E7zGzfWrl8z1u7zaJ3/oxVKhMdaUvi4MDXsyVQSQ2edDAuh56eT932
4Ysd46iffyp9l2IXl3W2uv1OKiA0HyWBkAGC/2to/+g6SWC5IKybid+mTIbkrlSNtQl88pNniQzS
vM1Ef3ZJY7k5TSy+9kGW/1Aq4HZh6sV7MejzgvgT5G93sTNTW7EMaQ8K9dsiTWx/FQpnJ3wmevj4
3KAdj5SAJd541CSGQxlqoLS8S0QiUYqWKSQRQpI4uaNNHdCZzgQRy2Ps7+3czZfKwW1jRrb2GDff
BFXYWyrlPp41O3/XLBcGSabSe1ZualEaxBvQ1i52c4knGcJpYyawnKmWV7/MvmQABdFz1yJyhT4f
XsvYOouxcCDBNO7d4J7LeqTuaZOw3AG/AwSNA1rUu6gPL+SBHvNuCldOLiaCqUV7idpRX0o7+ahE
0eN1lhv0cuZD1wmxJf8Ygm1kd+sQTszdhIz/EmIb5l5ppgjexx0Qv/bhtkmV1ZB7EIAp96CLjb0l
zm3LyY+9TB4M2YlFanC6pZP1i2Uyvc9SblWIby4eLOTnUnvV4lYn/wi3YIu2b63tHNjK5zzt1KYJ
ffuovpJ0KvaKu5eWUDho/CuLvhI7ReXyARGobMVGsUEv8hp6hvPQkW7+EE4aJg5O2m3KF/owDUCA
hNFJYC/GMY6yn9thf369qX/TiHo0lLqbYmS9DhWjFZOrhAZj+dtqgRyj2NqmkfGsDGeVFSAo7SD8
5ZjdNZITnAURkG2vZjuP05tgX8i7R1aVngi6GUnC9ZAbdpnxMhEWwgKRt+pOzakqsP7oZfxZOrw3
PHf1qo0SArUzk5RlxtiVlZT2yZk3t0fcnfB9Y2RkWUAQ3tAI8y6a9PYcZyMJCEwalhRMWY0H+mbo
tJ8CyQskjvTTTyntZ4a5TgYGOmXEaCHFQC+o4rOLQtBTkWjOdaAP1HPDncjL4c7mBCEAVp4n00zJ
2fMW0kJ5noO4W4luyB7D/l7BlCcHDTK6Xpj3MbXj1yxYuzZkgaQW08X1xS+M9++KOeS+GHu1Y9lT
LwN/Jtf2x6ifvA1NQsiqGZ5nr4LY79y3cFehW4G1j6iRNbMPmIk+LAR07Rs7qz8nh2wxm2TNjoRS
NdJBc0ooCjJmmSk9/7HHBM10LGBZGIBFV41c1mVSvTRAq2EwJOLcxMMbocBt1nnLTHnxEw5dY+kS
83r0u2KmVnoluW/h9FILPMIdmThv9ZDB8nCifGfjHVuzpGAIBJQO9Mo9QvhMF+TflblkDqXdlzEA
4wXaZAq6pJBGRA9QManfaP98lmW/FaySQBVBmIITV91Lg+Q1+6RCj4iLftxrrSAZBYTyneGpB1YS
/i7K8v6azJsceZpXViS8+ExD68qNg0Vb1afSGl4Tv4HgtA00MjYHz3jStcy/FhoBSioyxnXvB4D6
bdz9ltnfh/QwNqELLoTeFf5t5V9tamBX4UIs5Pz4oEciFxEJg1cVxemVFRjrCOWKRaH4PiaFej1k
jet1tr3mFTrBr+5lpNh/5wYpDOfBes4sqzk0vSgBf+vGSuf33t12Yc9b95LSc8tk1GnG9m6WI3Bz
aScbYmoVrC3zcbSlvgZvA4skI+ETO8+129Jbcha6GWVb0/b80xx2BFs5v0Zihp1aSc1qpcuufSqH
TW3NSCnhwgtsdQVCG+6cVBm9KU/CndDM82QPv2TY53taRxPpOr4iVMOpr64FOd2QLf8p0ogzBAJ1
HSoo9arnBq9MwlwIQgRDzdr+6nUzvDWoGwIAxBa+uCJ6BuNajMWYNzJpALKIqBR0M8pBiYtuZ/Iq
HFuu6CK4d7fd22u71EOotUs9sohEoeRVswIX3RepcblK72IjLheeRZJJ1WYNXqxarSdaSDgl9XMp
/PBsj9MSnWJ+dSXB7ap3L3SXhhMgvFMqCqQsxE1T8fseROrucvxAZ6+GTudVxjXG3Xr1K9c+KNTt
XT0c3dtHEnOv2um2/NQbvuu+YsWLIyXZthGmPJor6Lb49gTBGOjG05fG78ZDrEy1pZiCtanNNHpz
bKCvlMd2qM8qqcMjos+ttLPffQmwIBwg9XpB5c53vAob8LpOw7Nv5QYGHntchFVUXeOiSC7xBKTL
18vrHz9C+Bv6QLtxq/Qgsqw9dvBnehs0HisQmAxZ5VzLQZf8qGSZhr+NPurvXT9Axhny4VupalCg
zzehkUQhRLfXZOYqN1rn726E8zr76mvTYZoAl52pLmoHY2szs5kpJ2/kFHGVeuUGOV549TAB4Vqq
yo3d6yaqxF1QWNORrI4jhmfSO8dR7RV4q1XjhN9uZiPLg3eAIeKUDKZ7zVKfjrPZYO/KEu96OybN
EKiC32zq3rYWXt18dbo097drdXKcOSoKI8Nt15wv3UJuqEiSD9uhjC/5fvogue8VK5S26oPtON8J
ip6LoGdd+eCogegkkOuRFHRWH3PkkFoVVB95aP+KsI9/+kMASrdT34BXzuRwFr8dnDVtUoU/Frkv
BJaYMQJAyj9WhWDUfvND4acLx7zWQm84bBAJr8sR8WBGClWPWKSAYGgGYfKrTNLHYHS6L26GGKgc
98NQJRaS0aneGc8IBHFq+zWbeizJoS9erFAjm9vP/adUK2AkWa16TAaK5inn0AMEBa6yBNBQJVx9
NY3KvBBMUK/RCiiCAGa9SxG3J8Kn/I0vsVoEBZoAk0irg0YY1o4lmdwHUBnp9Tng8oN+OIT6pLZ1
Kqej7dnGpoURerLH0F+7TuaeHcTIayTr2iVi1sDJ75dXV6GvtMtAPbQkbjKIZt5j7STW0lNV+RyU
+M3LpDFQECO1Nm09e9NSRjD0h8Z7QBduIWRbfvYKZSA2oq8wKq96LYdfQ0tXT/fLn97N1m4bxfS3
cgrvoqDbnPjbNHD53ONpxafCUFSEQAdAHWHDK/WVU8r+hyynvdUM9q++EvdirJPvLNNeQed1n+7M
eKxb3Xt3sdDxFmKkKRrVYQ9L8Au19Jxato4rDsURXyerfTCzc5R9bz7UVFTv2thvrhDimlU7Dvk9
Hspkjf1CO5spsVItMpSTg5N6o9VzFdrWmq3GzeQAQKHaYU40aQoVyKW63MYfWOWHgd+7nYgtOsJ/
0zaK8OjTZKFHGzWnPsu47FD+dsMlLVlsxHhW7zNhJauOAI8HDMo9YMJaPjYx/KrWNMwny8pbku+0
5KWQQF4aNx5fLRvkFvfb+L2b1VMeys8PIacvPceXW7Xpk7SQaImG1FS7Gn8r+rEiFpSXvZDENs9N
0V6Nr38+d4KFmCegF0UoxfnArB5a+MCdkvomnN8+99vfVmSdYjtBr256T4krky/FdUUCWf8xarQG
5aiCN3ui6FUZXvtqR6a2yLwgfO4E6C9DaMOTGqm4N/pYPJp9hq20T4OriVVsBS5bv29g065KACaX
DprSugOdcNbxHGwa4ConXZI3U6VhcpQ5SyUYdcmhYfDZ0apP99h7nT0l72I3JpFzkKiQtlWByrqW
qdpI+kGnWpssZlxWcgm4Ha8V2Y/3KJ7lqhCuutLTN4mJQBMcqAa2z5TlTyjsJrpSUHkhQKRLCgba
i82qcyF9q38zfbKtpNNHHyOndeQb02ca5a9AQctvV5suVQNT0ZYm6HpH/9GnchVi+kB7Vs6EpapK
6S8v/3z8gUvZKZzFcAajvdd6qNQYGZUVJj8sKw6dq5pfdRtcseSbX5Udvntorz9rjWyVMTbUe23C
aVN+E1HtQTOBh1y9FAHKxlaJ9BkqBWgCgDSPDlqPO24++Dtr8p3igUxNhp1hZSukCJ5PAlifZ/s+
1uJDn7bxoUvMvz9y2pbaLiBjQi7/cez2yG38olr89epmfvqfnvnr5cQK4j3765X/8msaijTryTau
f37iX//v9rrbblgQxUqHiJiILIsPshyjA0aLv2+8/3xUpKSxwzZCMCkYlAerOucd5SfIJAeL3vIl
143mGCl7fdtDX+ySxtIW5SH3pyMouu4yIck95yMrmsC75F2FWSHl3O7S0SOmLEHOLPDmzpWcaHM7
6CdHwoVYCxPztW/j8FfMLJY8mFTLz3IAJkhRe1HWesGwWolr7mcWw3LFIr0WW9cC/OXkmne1CQYd
UBivzNZBc8ICLS7Fs+6V7lEJjCK3XUSE7hmy1NOtpguVvzlyZofnwq9foaP4z5ntAccZ1C8glynh
8FNzaKF67lqpgJDVsn71BdYRHR12a2TFzog6/U32JNfYJpZrpbvbRnFduWVGjt1IKItVS2vP0LEy
Y2f8KSBt0UJvLBRywsQMgBFvWmGbX7ht7CHl5P5N6/NtQI7dkMbc+unGk0N9cBmSzvKeyDrswGSp
LZr59VXd063xnlFRQUtg9rg1WAyxcGwPfZP+ihAt2B3yXBIDOnwAOE80BTPGlwGz4MHMVqETy6VR
FgmCq/wMvyc42/Nt3xyjclvV3GyYaxI9GxGO23uJtkpMEAlVb9B2FpmzrCBJaAC3kGXAkCEvaejg
htb9mK5MqA97K5+xn31PytjQINAvzwkE/nXnfBlaf85U9BjlMVjdMcCbSQ1MjwuC6xH4rQzj6lA/
eEi8r5J5zEqQd7Wi3mc8RNCY6MVFr5Nblks67a/orwAEuU7MhVa9UXGigqZKedcMoDstpqtJP2Jw
EuVE5EQKHhKzu5GLahn1IELipDmOhvfmho2zIai7yEyf2hK9k7r01LEPlLeSqKIX5ZBLEHEiWpVd
UW4zqjTdGBeHfpLFwfBfRZaKvYMKFnoWtLxhBCEg7dZiLd6DxwvHaZvO4ScFJfzOacneC+gWg+tj
FtXwM4lLspWD9i0jVtGS6kMMGb5M2b8ZigSL7NlLXPU7n8BOx436yKamXUewN5Yxrh2g30DNYuq9
pGD0q2lQj5Z41BsjuOAhmdbKAVlQAHZ2dUiYVVfYwCJ2btR9lJOigt5YT7n4CRP7w2sh4lje5G5k
2e3Rnq6yqdyJrqtebavv7wq9AoImxwckNAahZGKluQ1ytS57b+vaxwtNPILeSU4zcAGFFxVcj4R6
RI5TfXWZt7ZwYhbOVDxwgTR7zZ4dGk/6FFqvA5F0Cl2oR3Pky3aJdvDHKjqLGEWPpdNERgFUf5lR
sILM2rzlChps2JYblZjdViVoGEOYmX07+R+RhL4NNGa6wz5eLMJS1x9ciOyCdKwgddrPCtbpQqAk
vrdZyB79kklDF47ejmKLsRp0ba8LW3u2al1DKB3KtWqQxwp3MTDpobICpUrvmgv4w36X4LF5hrF+
vj2XkJ26LGspTpDUyvuupcAo66eKOO73KmeNJb3euVp1hvk9aOWdOYJJL4t6k0GiJemPCZeTfyNg
mz5yi2D1LiNTXoX++6R1u9immSayxH4e3e8IFT/rMGed8s3gb2L2YVKs+eHsP8SGEX77aP+bKG+Z
4EkGABKx5DzgtrF48Xt3/J4nJ02nVZQG2/reC5LL5DI7CabseSA88Csqi6+g8Z2PaGCa7+QUwHwb
dlGhoJOjpin2t0fKQfXuk/NFiX5+5q/Nv7zmX/7fP/2X24/462mjzqINgs9T68mIxTMIOIopZFHP
G2V3wHD/2r89srqo2t8ewTsbzXaV+cAtAsgCBfZ4Oe5NKzq4I3R0aeXjvp9xKxl5BXeEhNdwcmDV
tZ2s9WXbt4Ca9Che9g91bukHPYSqNDoCWEtOUWp8tPOJObU7wa6LxoQtmF65F2n7DSG6hetSgSWp
Z2yv09U1sMD5YakZpBjNj/71mc5x/pvX/9PRPw/NUXsUpiHXodcPe4KMh33kEz2p8yeJzuY+6/Zi
f3tEsDHv57859tdLmPauWP7JrZg/m6YGzjeNsll0OeIJvWesYGI0wk5zKgiq1rz5s68Heg34Ma33
Wp7NVJ4RRIwdqS86fXKvkKXnC+P22dwOlIbJ8soitTIKd0YZtdQDrWbvp058p6dxwSWd7WyFoTxW
Ha4Vfvjtl03jHMY9QU/1wtY53U4PMQP6bo8q5mwEFC0IjhYHvoG7ss+sdYNONrC5Tjwn/fMp3T4q
Y/6o2quikMeARExSYBCSWK3ibCAly66m/QTCDuWVB8vHG8clBKB27zceUw4gOZC3AgAHmlp5TXYd
4NstPSI0IFXQbTN7+m4uMqgtMFRWQTI/VI2pVolHDyxJ9WBfeRvfG6iUxjokMlBKOHXY3B61Q8mi
MRrB2HOrjSPV7Yn7s3NSmnl4O9hGY7iV1dUjqdRG5f0L6yam0q7/6hwtWRma9JhEEIsTVEWxNaWH
Jt8X28EOpk8r9d4n3XiGw4gCq1LJcdSyfKWTePPeW97aQTn3DcW1oaefDg/GLBwY3G2k++7KiDPv
WlsUvmoyfMkYoCEI48x1gGbiyEFbrAjhS+x0fLOMfDcNRXEnRk0/AiBh7a8R/MRpC05eFuEpY01B
xoAVfXcIDNrQ/nQMEnmpPC4yzY1OXZHAalb00JN8IA8v83ArkXNE35e4cbu5852ifpc+wJFMM+Up
wC5wMWBVLif8BpGSw3suojv/Bsj0++CCdXBTJwCDvCRZIehrwLeolyzFkTLY4TYf61OLEH+pvFR+
1w4UGNp+AQEMzHdMTCmIeVZ60RPzNZ+xt9OWPr//J7bi/7MAzDmf4/8S8vNZttXfnqriP/79b+Pf
7uv/+F/ldyJ+/5e8n/kn/GEDeP9mu1ZAvdN1PdvXbfc/2QAuz5iGH3Ac9ZptG5jy/8EG+DcP7z8I
ft/0AodmDj/uH2wA/d90gypuwD9GQ8vzrf/HACB9Tvj5Cw7gWfwix/Z92zSsOXtofof/nLVj+S5z
UQp4pcfiAGrx3nLQYU8U+Nvh2ce425LRurMHpo/0su9dvEQLt4yfRvyvi5HxaJEZ+tWygexmsbsx
G/LsUmSxoi4FHqqyXJlZ/21XxUnLY1DpE0byIXWWXcSMpiv9B0Ebh+bXtAI7soiNAM21brPScla+
Cq5IH5uw3GkQL1fM9h7KYKf1xK/16qNgsnKHNhIuLcCWCaMTi7iBOqJPQju9Bh1tqZNO1HNNZrNu
5L3mJVnYlS0WmXJ4mwCpygjjluYAaqLPGq39uH6+xaKgOUOH19/xHT6StoD3QIe9ZwXnInDvWQS2
SD+420ouQWnD6Rqa7Kfr5NqaBTd1SbsJU+LCH2e8O8Rcurm/AaG3d7UT7IaOfl1UI3C1ayahUj6j
nNqHCvqiiyUznKqLi6o/MPVNpWZQrZt9OrK0KB7QYfJr/rwpZEZMU53JWRNdwhLcTyZ3eUahCJnr
ItEslmdq3COvMFb/dLrf/zkz/sYi4L5iqdX8z/9heP/HGWMbpsNJywlIpRD0/389Y5j4/m/2zmRJ
biTdzu+iPdrcAce00CaAmMecM7mBFSfM84xH01Yvpg+U7Fp1X1lf016btCJZZEZGAHD3/5zznaKy
mLvl6ftMMhjG0ZD5MemobZ4ZOxRV8tXh/LuEoedHMxSrxjY9J5h5l9JKwynTYZ+btfdK44SI/xQp
ZOTP1je1SXXlucyXtoPTYpamuT1TzqWrDVhveh1hYu7esgVXOVjHI1FInTQThdW97LvtSIX0uB3m
n26Vf6R2dTHNUduFQQ2WaOoPZSsNb+ZzAhCkQY8HqVMMBV7EYPbigiZ4ZROLbBhqKoW/OWvcfQJX
wtedz1LR7Upvng3u0q/7QeewFu66tmt4iGenHGF3k1EATY2oQVTEJtGZHbBlZUDQeNBT2ZGoy1zA
sScjfZlFz8Y4tAFTTWBhjLHSvVVjCqbgVz5U91JClaJKJ/H4+I51O9OYK7kEsY0QkudmCszpR59X
5wJHTiS6o9XU39g20TDBZdO1bbCJ6vUf7ux7lDlXJ2ATrjuh5kVG+Fc1lmiVsfHNSOffFf1Ue7vf
WYtunKKee7yvW1xsqtqBzp79Ieqf+UiqjexnxsYwBYzqJ9sI90xwOVnx25TDUxbaOQDIHYNq9WgO
sfbG8W81ZhPxb/ltaOEsVrb2rWHi4GFUZKxJ1V5ZGdyC6Xjjtfaeg2ThpfrwQwhuA9pnaRek88s3
YvkpLW5t+KI1HLGSIwzXCZtdGIgMphLcK14XE81gX/OsWvrNnbY+au18dvKiOYRa66JX5x8QLvID
DZjtBpTdL53qRD8r1vsa+6K1mtD6nOpESwjCc7SLqohRcmpWji/b/nnoNJxS2SpaMY5JtGFFiJff
XD2pdjXJpE0URBQy6QDQnVD/tMbivyra+ecGMkfYOmZN27BMZbqsGs76539rRDMGZ8hC52vKC9SA
rts4mg1NyiZSYfjGXCLVZtoLD4p+g0j5+8/N8//ZP/Px53//bzzF/vYA/E/sn9f/+T+KX8s/L+/8
hf+9vEv5Dyq7KDNnLTcdIgD/sbzb/zB15RACsZQp6BEz+MD+z/Ju8GdK2AYLuy7ctcPvP5Z3Q/wD
/URhJgMlZAlT/T+Rf9YtxN+XdlZ0w7ENHSYRUCksiv9y0TTUqWDroNkEtjaDBuXMZyGtzwiEAS4T
QsOFCQ5rCDn+NuTKqYD/05AVafq7GafGEUJF6f/tzfu/rR7/3Bdl85r4gXUqz3SLlcOS/1L2prfx
IqLeAH/HrEBqBtAJPUq2zKuzfYnEtXcwamxCZ5qelinU972FfvDvX8O/rF+6ROlBWnIsKZQh/tO9
tEQplI+OR3YYxeCzmUkIR6pzioC/H9bceZu29rZV9s9//33lnzf8b3stvrPFz863N23DBKn9L01v
eOoLiDIg6BgEv1IayuwxoXKnl7i2hB3T5dDVv7NgyK/wiOB7kjTYdDUsptwV8tRaYfmmsRbRMQvV
R9XWlTSjC/3Gow7jHtJRAHExuE56O937NLth3E12WK4enI5nb8Fi8x61mNRVlnxjea9PrfqZttjT
s9VdW2uAxFXEPNd2KuNgOXl7T4m9+i0MxrRJcmLcvQsiBX+mO3b1wRqMhsW9yQH1SfN9dozAqyGa
HuV7M2Y2Xta+OmkFHycAn9KPKvGNs8++j8T0mN0+4e8OZ3YS0yOmDS2Xy4H+Ww1i+TdJF4TbVyCx
g2RvRuFZLVbynDgGeZtiYsL7HmMYOAFKeRaJBq+6NJYjuUoYNZu4F8uui5A5LWiBm6VdfrS9bF/A
35e4RhiP2jiT0dnCq66Fw4Zz7qMroohyavD3IOoPai0/D9llbuu1pUYtSfRUGyUeGWC68FDn6pVY
eX9aJPq26+bh/d9fJ+7amfb3y0S3aAc1+WmUUjxC9H/ZkiNpR6RyIwb/sXWvelHebM25JDhufKCm
UyTwJAzyQ2rNh8G+ihBy9iQbltMyDuebHVEiAcgGducA10YWa/dUrn1jDwF8p51rTEPAaod2BHZR
RWDa8aHjXkIOEaGR+FqXlRcnXzKgckDYs7CnWq+nODBpLUpqIPmwZ0NSxGyrkq2RWcYTs88f4HSo
ax5eHcCR+F0C3OWBS7NwqUdHKd0947rf06KZ6ESRfZJd+t0Rs32x4Q/sG4KKbFwsTcMbGh+KVYDF
RHEGifw8zE8UTSUH0icbSwO7bBc5dSFDe4XjuqCvfwGQdD0GV9lBM0M0XVniEklqr5Pl+CTK9KuU
1VNcp+2+p0R5oT1nr0RyEmGO8zEzME/OsqRO0QzOVSGeYN6nu7TojOcOqAKwssr5itOeGhI8A4qM
ju+QItxZRAXoGLPDynf1F4Dc7X/xqNTZVP/rhWDb0EpMx+IxblA+uoLd/rbql3iMpl5ZPyKbFhTm
H34P9cC3MBXuezcnKWWll1wa8zPnyzt7buuu9l3Q006+jJJnmYTci9drYxjdN+6lnTWJgC3DagGI
aKjCnT8xTjfv4GfP2eLkxyFZaWr0SvZDvxxHp2o2wh6flNsecCpqW2zH2jleGCUlFBLqsvu5pATw
iMZ+9bHcpX2ybK1wFidFg7hHZEz3x6HU9s0cvwHzkcjKEOiYOLJbag8Q9w9V0HElCyjoMwmOU5a9
zRw8XhxzMTa48OJYD+4Gh0p6kwCixMF0XKrcQKh2x7PsQWqG/dlmUIS2kYxPsFwnqci3EjXY6XQj
Nq4+v7A7ZaupMTy2MAxHoKdNMttfdpjpuCJoax34F+uyfyU/aJGGekcxfsqNQIdhzwybQ6yfzZl7
ZMw+ezIbpjt1ui+lQDBIa7vamx1z9G6ZcbWU+fiMYwC4Oip/ZqldBMJsoxfcDoVeMI7Bwe3NYxh6
QmdWRjJK72GPRw6cy078NTZoxK4CSaxEcyRRQkpXiOGuT9ZvHhbLrm2Wv4hLljtKtkEUoF3J58Sy
NGo/bJDMk7bP9cqfmsJ5SMDXWedSeG5SnDG1X05SXkPZacfJcJU3oO4eq5l2J/di5aZ5J4QsHoqO
2Gs+yJNJbgK2vDzoS4mDLmjjJ9UCjqOHE2jCWFG/YObkpRP9QXBvQuKI0wNBCz9MIPBnvNZX+j3S
G4CXt7ZogffQZ0qFZf1dJ0C5sgJONYdbPiCTRq2UOR0ZbzAQ6dMYMe8HpDoeUodWpoI2hqoiigCR
l48iI1GVdX7kWGezYuk0u+gx4pvbtEGCCS45IKcUV9aDmxEIDJGMJZoBkUDG+AU5siOPjNMeRa7x
SpMIXT1T5WGwKLaD262V3Yc6oJGMDpnoFClxpjMdAHdLbiIayrd2WmvnxozYepjdHQH0Wpi7UJHj
6XFNnktJ4C3uychnA+lHKy0+qtoErh8U2a5w6AQosvRMkAGzNKfUTeMyUc/Se+cu8r5AM8S32Cwl
0Ynes6GWTtSBDQvk+QUvBywwtTIjgq9s7mmzJ8mHxQ5ZI40b3MzN+zwI57CoX7Is1Z32HBT6pIdw
Atg7MFMEdICIO4xom0oO74PC39B3GFSIcdDToOWA7FsYz8ZrLvQKjhi4gnJeq3d70FpxyruWgck1
KoRC2/pZqq/MADShEsg7ZcVznUakDS94p8M3QLbVj3kUXlapfhdWPeRYumoa7hLP7QwNw7Dw9VGP
j1Hwi8oaZtaz82ALNtEBE8CrSlYjju0QXsJBlVIYwOEVMp+yskvVFr81zQrOIgP/MUTFggYgxItq
53djCX8Yia4eyhovsTRJtM7w+0LLK2oMeGujxLT05hPly3/1juPswSaseXQb28goP1b+e9jCnSwH
UHZkTVhYcvemYWnbTWaSPBJjeLea5oWRB20hbphtexpMN3J2l73srJfKXurLYiJzERweqbGjhqnt
bkTjpVTN1lD8/JF2Il5U4VnKqOvRq5FAMjHJwHG3WWa+FzMx8ZlPh6C6Xt81NXE/a74mMJGohKLM
Lp7yx4i18EHidtjR/Nh5dR9pwDp/dpaOtdrE1Wtb8dEKrDdtGD/aQfmDGWMTI4a+ZSjZ4bLvfqeK
EK0kujy31tlwUn/gR9tPCTsJMPx5Twy8xVFm9I3tCUOT+6oD9WAtLsqn6BHeZD57XSbrM4Sh/LMz
f8G3id/G9kcRluJatVxOXV0Un5NrftGdQMaSbGGSVNmRnAEOm8XZZWvxCE7qbce1z95GSz0V8OAu
WaE2xlD129qSFOaWBl3DBAeaoWjPCdabAz6E1iuED437G4QLoCQL2cw8l599gc4xRMm4saoquJgM
zBpwUVvDgMBf2JV9KNS6lif6e8GTnFM/QdxCV9fhmBgzu+qq3QC2Af9fhBQUulXz1AvCd/2sGf6y
FIhmATed6DYaEPkj7En9qCcGHALGEg/8cgPIb8PxGY+UGytbrJ07MAujERg3M+tlE1nANOtgYuKh
1WfUYf5FlJUdvO6vLBbIHAKGk1Gx/GnuJxCJXYzb9ab1UCKCCi9dSXMIL3LRJm3nqizaEdzf6UXr
wTeyZlwTTKPHLYsenuZHTKIIgNgNf8i84zU1vpaI4r2SxpvJI+nulMreyWyh5YB5HBiFbwEPxP2k
LHZ42gK/rKmvg2wdboG4QxVpxNVV7gvpR/uql+I3LCHtLW6UfnEIRYSRfE5hRT/y9Us0iJ9TGcck
nU3dj8ao2lf18Nq72tfc2+5V4zjs23X0K6Ttxh8Ibr2Msv2+QAbamXTv7Q0zl7swbTWvGfRj5mAD
AIAXH7t8F4RjtbPrbMCwgTOe3fo+SI2P0HD2gZbSZr2Y5a1E0gmWxb2llQo2DnOg7/NIZ1BbBb/C
0Xpf0vZ3CaLusDj2fP7zZV7anTYO7amKaGu0+voKp2A5qdEi2NM6R4pBqN0arXtLGpuAqnrL6il6
kQm1jINR0HkcGTw/R/Ixo1O+pWZ9NCqyOekStneMOKB2iTpdBVCJ5GY2GD6blQded05xYwPv9FBC
hzhzd1h97K0oXN1XegM+lMdJYghx4SL4HvHpLDM+qEYLLnW9ViNjzYc+M9AzUgAYH4YDaT4MrlVY
gLPEZcym2+VQLyDJKhdlOtvBDzcP8/JNzvCqljhQ3qQE/qDQAS0aZ095obUnI+XjYxWbDk5mtwe7
yd5dxabnL6dmE6cLrbqQtveBr2TvSd1eQZdHBD3YQDaam9/6oTtykmUXsJYIOSktklbJgq6n83hg
Zvj0J8oqpChYzUOY67y0ReXztgjMgR+VRLhN/N02qhogmW35fddEO8Z51qmSGqCqZBw+24iMTcnN
fM5BCG3BoIRb3cJDD0VpeNODhEa4qaoudqrT1GTUH0kfz589wswujcdwn0Rq4Fvk496C4M7p6Zdm
0p5MglO+yaCaqCwDMU5w5u40ptgYuGB/8sBGrxDTX2URABuOg4Q71AC9pKhMwZ18B7tcvKnIyp8b
Wr0CN9W9gRE97Qhzec1gn117IOw22b8DXK8elFzzOx26+axk9SDDqO2lFUNh77rFs63mR4xSfBij
sKUkmzecQiRfdLDQDLsv+Rn7v8xSYMEKtZc5dYsnRZPG3ITSd1Ub3S01nwNzLj6SiMbfTrZXPSiR
kjvwJhYIh3lRxt7p6k83MxG6XYhe52wiq69nZvzhRFx6QSHflL72OnbirBskkUuuaF9JOrbaQCRP
UQ8OxHUuUZUke80J8b27Mn5KYxj0TWw+Wcu1pf1RW7LhMNAvy3nCsbxAqO+dhXslyKJgF4xp+Iaj
5EcY5sya52kHAWueZPHCTT75/VJhueE2u+BT2k2j5Rws6m3OdMCcJ7hPwBcUXLcXOsm9VGXPpmbr
xwBA46YhSXEqhMYz2IgPpjYbew6ZPGZRt1d4wHIQNSy4JaTbg0JmdePAQM0rQE1pW61PfU115bT+
MIYiODtN5i0ZZiBL0uVczC/6CqswS/aXwToLF5kEjZnEBiOFMOVHsNvNgLPOU/lEHdXyYeVBfUbI
ytkb7RMNgI1mh4JnXJTvMRV/B/GankQsLsY4m9T0YNGLuaB9krSk43sOoLyW1oubun+O5uylxV+M
IW7cMt5aNrptGied9KfXEXkhU+lqflXl/YUxIcHpnmIq7iIWohHY1wixVdNT/V5V2bLBOnCPRpbx
hSK4LoquNMKFvnSy1A/hdx4LPfwxijQ6LhJemsuT2xhm67myKT5q2QEmswWuOk3DQxUPeJbm5BnV
xz2hY8y7mJIF4XTVKwUKGhkH3bGja56l7zl1LRi/FvC3iPsBQsVOaBYtXqZ2IIhcvESGcSWB+AEQ
jtYS+jPOAUwgOuxUesh74WwHGeNuHzE7p/WbRuvJedBtSoMmPXngzfabMnhxtO7dJNCIhmOG5DZo
mprc6qscJrFvMUBuJtA0HvVuyW6I5vThZJwXQa9s27KzYGNZ8aMWU+tJo83gBuXXFL/1TR/gGkRt
Oe6dJMkvFoOmzaR7vAFlNJ0GE1JomkPUG2Vf4VW0zWMYLi+4SE9R4CqCUzP+Lye814seXvJi+Wwg
9910mf+Qgnr62rYXH7wwNYaTYd/nrEi3M2VxiIXRD73F5aRp4O6SlhIhK1fHeEicJ+TFy2iT/Sbf
+caur/Zp6Tn98c1WHHaY08oLdGh9WzswpdMUYOu6OOUwTzaNkYWnpYlOdqhnD1Ic81NJ4pT4wM8M
jgWBDbpOqhYrB+AxtLfFkfs6Qkrh2Qq7naFt1/H7mCcCvw9oNDPxveyLBncRB9LvEAsaaZCB7IdX
HcDeNolxUEwIshQrxE+EUm0vTH7VS0W1i0uXIctWcna72+Dq+hGU2kDGtJq3eB3BGLSp8ZBJFR1D
x/iKl3I8FU7OXc0JcNPUANDctK/uMOvmLaVj0iNdzhtTRDcxR5RVq+UnVuP4whSLOkzVU8Fll59w
7QJKzADYKyPfd4rMXl9IE3MHAeMylhetr7VTaPRfWRFOIHNtOLDLtYIefgxAMnfh+KzMNr0R5l5z
+M2lHHhs9jPFO1IlXKzAMq8WWFDsPTFRoPowJ4vlGSPFGgO1w5cOaa/HBXwc15eSt9OTrGFzhGzj
4C4ChUnhLeEikJ4btMOpjEXxMXKuMQq8dFxWI4yFEvKe6lxmOcL8i6HnRrb6UbLuvOZtbO87DVK9
Hajqs08J/n+ydokfBAGkZxK3uRGrM8+2qSzP6etDlqjg1qWDCQmeYDG74a8SEtd7S93HJslGec5W
9Q/SW7AzHlXkOgdJY/grXFFeYqZFt8KO9ksLDku0fXKOhlbx90ygJh14yTL5bVUWHYx6dIMkhX6v
aMPgs8YKxgBrN0pTgKpf2W8tTuAlgFe0NjdVeufPtC8+Vxm9QpY2xycnDOgbLsLgWraYt3W6jXIq
Os4RP+WO66baUMfinjWrcjGTk0yJzPSq57p1s1QnfOUYLPakNjlbuRD9mPjoXa5jQeq+AmFgEp87
pJS+ubZM5gnQGfmn0YChbWVbbwI1QRN1KchubWh5cPPoYrVmCFx9MewoTqu31LET1IqZK+UmLi0e
UheL8NrRbeFJjFlY3gu7hg5Gu8+g6bSULL22x9Z3NZ1Ku1LyfKQyDnICI9iSmNsj1pDMMThke4gN
y4nubNEWq1laIF1r6t2xBi4e+EKPZfoWNgxU4Rqfbdt6mzlgXxOiB1cRpYC7a3Fw0lGdu9w+DjQF
PhrHmi/UK46wFMb6ZaDQJR7TjGmGFX9YBWOluUTVh29BGzuEEFC8zYOCIOwZlTm/NkvhrYXCbZb8
4nSJB0zkdxqgLQ8jqPMhUF41I2CCHEd+xJiJhDnzVLZdgDHS+qUR+ugbWD69CG4dk9rR/uhJk2Kq
i9NN1khBlJOUaa9n4S4NDdwTrnxrSchvhEyzM4F70igN3roocjmnS+rsS319qf2k70g55ltMdN9y
CWu1jD5zywgulZa954FibbCY/pbuJUyCrcBVaMxN9IFk/2Yspeklq9E34Wo+jeQM6k0aWFB7I3UU
wTONZ9Rs91H93LcMoTWCJwdLb2l0r8KP0W2eXL710eXmPs/oxWKmSaxo43fRjb+Har7N0RpTulaa
ET+a9csUlz8w+su9q2nRBdTAkqfBNY4slx1c2p8nGe0VyclDPmmjV+vVp9HjLWkS0zzY506Y5rVW
iXWtll/1Wr2sYRo0uc2pPpznjem2j0TULtkPYoGmcV3owymbhWEA6bhDgwt547RARu00LO41sADy
4cZxaXN5yvX2ox6U66cTr3lIy/Kdar59VeDyNhgln3mSTc+laT3KuY5vbEW/oXRV5141z3pG7omA
GpmZfrk39vQG5rt76EumyDWlyPRF+WIu5g81OZyOrdi92EuX8CQoo23WX1iCsT024pk8tHNgqkpl
feo+2/Z0h18vX62MdAAtmYRqEesXO9kbmiLBkDrLOXLRkDKk/WFh9KYN0wWbZXvLmSNDpWECju8l
OiQtBqeWwLMXG3X9Yujsyys3fh7DDPNtEt+0wYwIrz4S5vEbnOP2nmI78RgVxJnBovkWaIQPqG3e
mrGI2dhANe/XyV1hM+lWMwVUXVWRkxoreAOBaq4ArDFVZMScnF7YT21frJXI1FYNpqEuZaW/QO2x
3mz4/XvBLtQAs8SCkqvXYp7dnbQHxsh4jqgvBNERch4MpX2mJVvtMLWbbOASdtCdEpe4dVoSFHPu
JaZDLFpkb3gScYPn0Xs2R8izagJtxJFuQxc7MFi333P0vRYmbdKjE3B3CaaCxVjsVpraIDUTvHt6
M0F64nZqfZ3H/JXwP9kIzTy6FN5tAFNXm6VuUIaikGY82u9cPFpH1Q69L5qeLZ/9FoIi82XcQPNO
g6+RE882bHqXccumIwJwCRYQr8XSekZTPduB3vtSht8cRwuBJPBAjoOReF5+I7p9Ic5eN8a9LPB/
Y9iZtrY4jZmLUU3XxCavQqLPIt1Vaoq8kDHCGYrKr2G7ftXDgX5gh/ciu6RYib2+Kn/QtXlx230Y
Ys620+pCKA3kINlJV/zI0khetVwkMEEYEJmj0iiTwzodRM+VBRm4rOJdHz4Pgct+nM2QXxUdxJWC
I4nL9iD/GWQj+x2ErijGlpsR4bFppHCMgkFonJ0b86zD7/GIe+SetcRsTDG4OoUJVBg5JSMYv4lL
nFbmyPkjdNr8OBblyRKjwvlv0H8NRtOwFQG9Md+jn+qelvT3PqjGc1Q+xnLEP0bdN3yPEcz/29JU
+H/k2Oy6OfRFGZB7j3iDNWLCiA/7icsL/NK1ByxL2LljuLm2deamPLqThk2KwltKwdnpIYzcGWkI
YAltziG6feIhQIsYfXpYWsye4mBGVGujxjhfWjhdG55t6c4dT1nMx063kLaTKvjQamqHUuMnZvTJ
y2vKYJVGLieDmNoAedDYuvMcueX1GJzpF9uMAgvVNBfjkcQHTYKXpvmrd0ec1yG8KWVrcpdZ3H8s
J7w7LPkypRuFc+zOGdrqEOl0/si4PJoO83XSnCIpTSCUwXimsqHSIjIPPXgFIRq/1zuDcGvGLH2V
YVtG6yb1hBukWgh1cqEqqEOLs+XvGhkiqnR5hUiZDxANuW52VdPpQM77WyUEMk7LwF5aBGv1KkEc
Kfis5+Cek53twX4/R+18H+kacECGTlZevYbxTnXmSx8tz6R8eFoOxQ/GW8KzauurW83FpZns3Zn5
ctIxUFs2pVmjCjr6u3IThrm5De6R5TEv0IuQFfi35w5PekbBD3j1b3NPaYBsXHuv5dTi2XB1o+aX
1WGkT2puQc0tqfocAHqaHGBByX7LYWCc01zcJ5S9GMjNvY7ofCqaPW17dHAs8Rc9cOoUtOGt7DV1
gBW3pdtTHAzs8ZvecMLdkEReniDZliLyF+oKqEycIX9PwsvATUZN7JzDOqRPql6Z01oSPNwS5NoA
LKpsS8QAqrDA7OmIAIzi/S58Sdwo32bVcLWmvvMLKy99GdjleioItlNFjw32gaPkgjjXYeJTArIc
iDB+Rv06cJMTYdIAlbtJcNf1jYNXvObDa8Dw5f0eyQc2ZTZtzYnE3wBdikeWthzjXv0mMD3SzZaF
bwOjXwHkWcpZ7uPCE2G8Vmb0C/Pb+kvLSyJ3aeBsKAWA7xXVGZjm8OFSTZlXW2Xmz/ShNjdJvvUp
LWrPNKoDzbUdeDIXFmcjjpjJAm6ahIGXjrEQ8gBGgOjaE0HejWkAwKoXPmO1LccBpOuMOj/29hh1
Fbck0T/i1VQsyLUTqHmdO9t9Wrf9srTlWXPSt94wX80MdxDLGcRLgySeqJsHtr3+6IxkJEW4PLVL
VFziJo+8MoQW2c5Q4fXgOrd2/BIH+5j2wV1L3WNMl6LV+G07hQgQIVaEEH7IxE05uUZ1hCD4owrD
i7ImOMZLGFLr9+TW9D7bhfPSpflnrroXFnexqVSI3AnAPJ4zA4/p+EUTbEO1CvurUGkTd+xwzUyI
RcQcq9FB1y9J+maxv9BPvll4OgLM4EybbOEz/ebuM7bAqm4N9wU3LKyFvMsflByEG7CO4Q4JleSk
LTjQwwCyEsA9EmJ42TTs25m6bwIsM35eRsx1e7CbZtmFW2oQzO0EH48NS/SpTAIAC6y/fQKN70D7
0WOWSBEVPR3Q5LdFUaensuRCnTIdCSRubLbIRe5jc3ZpWWXtHy3xivn80mXwZReXc5xQlJ9EPe8y
6VLRuA3M6ogKgbY46ZHNBkjlfilJ2fFAh0BXk/vJrdHXbC95t0c5P0qt/jlmSAjJMO6I4627g4EH
XIsQEhxt+koPq1O5CnjXVLuYPFxy3XeEdoRkFKj3MTSWUzjXJFkcfBF27gd6nfyFHM5kz/LEIGwP
U1C/WfLsygKeo+513/jc1+RF2F3b0CT2nk8XzmQ80IMuvknOuPAZEn07DQRqc3e6gV9KqTFNKWkt
8EWMrHme1i71Fe0VHfK7E07iUHZETMPKvANyUBw09aOdZh/FIIyH1XfyVI3xd1L2p3wIuo3FY8+z
w+V7mEIfMFy6IDr93ZFdx5VZos2I7Dt0y+6cBvQoZMGqzurapVy/AKSDdkKNq9eR0j5o6DmwT6RH
81lN3LBtvSSKMwpR1byNcLVByqpeQJcz8sj1BW6LF+jLrjeGBfmaUpfZVgRfHRD2gbS5QVzGsynl
rFEv6DyST3Ua2EDVTP1ELugna3S2BXzLNSGsN4qppd/jDNxo6zMndZA8kyHdIAUkT9Ms2Ni3yYpW
LXYl4OltZhO2XRuyHJ0hT5otD9JA/tBgjgn05DU2HOLjy8nt65dcS+hYDTLz0s/Vj7xkn5NrTXJx
ajaA0zu9bHRqmldH0hUyOPPEGkiesi0RWCBw77AovNilGi+2a70C5/ByHRKHLUW3c3nObLQhHH2K
wHADhwadBEJj2quCV2qID3qc/1Xbef1kV2K61yXLO67g+r2I4q1OdoqNtUlc0W1hO6UgxMM4eFhN
Kd4au/8E7Jf9xB98z0p2OXkX4bEoA2aTOBFOf/7rz5dxxTvPSYTwWI25vrUnrBRY3rqzRWj4IGcr
vWbwjfd152q32SrtrcEkgPOky0icAQl6RO5nwI2OVZkHpyHGdhI0RXTs82554//g7FfO9z+/IvH5
NnfqSGAJjpuTize+3YcNXuIGhifc5aXeeRHQIsyCyiKoUGrwMDuZH9AN5n3ghsN7lkRXMVnT9zKw
1Areq4lBalh5JhzedeB4qFLDdzochu8xjhhfLZN+rnQ1PPR6JIilW+pY5hoykF7cw3a036YqjA6Y
IIB4Dmn0EszTufoTXBsa8pEcU4tTJKlBQdaFR2NztFpwWvpana2NspDerDQBs2QDZL/qMAKvdj+c
NHwkp8mI4eeo8VG0mX0ktlj5eACDj55TlNdNGfZzqlg/NARf3AnWaQiRWdDRzHstzB9lloWfSbVg
D23xG3bGHH7yeEFm7yUTo87NPQUo4jSb35zejj67cVLnwGF9/PPL2DYoe5zj+miJxnpOY9ieAUew
pqFqxErUQ7OmD6PTkk/lUm/CRIXOGmtKPrX1e4CL/x5xfjpoHTqnzeBKDEkOwVEGp9IJady2ZfYJ
ywRLuQFKIafwBKc6v6N7o52Pb5NddLeusTnz4CX6jO3O2bZhG/hVCQ3dTubJ7wBZuUKHtpUGj8SR
0XNBt+sTdZPvHNX1E2Vg9Wbimjib4ygJsJgxHg2qnT6LGW6d0FkxQs40VtQAjrH1bTnxOEMINx+E
f6qtXncw8bTZfERauatp+TnXvWMioJT0D3WuSWyvmvfpNN2APT4U+JI9brGrbFvUh9ha319loBeW
tTcQNaBETLvZvWge7vqFIouBzfySs2ihr8HMucYk21AU5HTnwkR2p3gGG42+LwBP7pzRSD0tdO+T
hGwYQTnvXaFdZoNWzEmHtao3k0WfW68dMcx8aHoj7g0Zq81SddE+0kkDEjg5h8P/Yu9MlhxHtu36
KzLN8QytA5A9acC+J4PBaDImsMgOfeuO9uu1EFemeyuf9Mo01wSWzMqsZJCA+/Fz9l7b1qmR6DPH
Zlrc/nGRrncdQf02M9cXDdAKIReNWOtQJ565Y6zK0CL3r1Htx0erdE8W1FXfvbea0I8g3Dpc5nmx
sXt6A5AisOPr0zdSITYtB4tlRJ2Ugq2j89ywJ4cNeQxuaBnXr4vpRuZVE/UzytB2P9QA4NkLloDP
4m0Tjv2F0MWWzoxES8O8MfWt8pTp6Ls8DkyGn+eXvhTODjqMZOCKHKvbNjP1tyiRfumDZV6ziXDq
wOCMO5Y3JMN3ldjW9esyteKlT3SYNHmyLcI3Pofs4iRBeQWZW16zymhWitzJBelDvZv+YJVW1/4R
usFvKJkhdWOiDmKa7mCRvIWNgHnT5GJlloonrGI4opUh9EpW3P2X3vX/WwlNC+Xu/91K+PgsEOv9
kSs8/5V/mAtID7Zt7KoeVivkwLMZ4L/0v6TCsuD/m2W6uAAZIFtwLcQ/zQWa/m++r1Me0Po3EfOb
vsAVICkSo//+XzX8Ci7GApyF3izBn5OA/8e//xj+W/ir/F/affnH6784wf4qTyVXmIVt9hdgS9GF
Iaw/5Km+Hnl2B8KbRgfnGd/FyAZlrKu68sJ5KlrXUomdLlTHOUj/VKU/rIoSJjGZIddgxFP5vz+7
/5Oz4D+kHPNuPNObXZGu5QCe+qtYti4jjSEwW6Wo4nCV4ihYhn7n3CstAZfpuw/CQRzmYeylXk5C
Dw4iRrn5nZlfth5xw63aHqeTVSsMwl7bbv/z92fNzoZ/qrr5tHzTxmCue/MX6tBf+ev7q+DOa0mH
W76iubfWDUAo7mib9NfM99pkT3cYCSSuBb/DQ/eGlBBxudduSgp51MXWVbCBrYfIqZeUsePZS/33
LmzxQGm+geHdYuUqG/fEuDbahaK91iMJMFZCgmwX/KIWxt2A7H0hW53A2XRylw2sYEE76W9+UpPb
6D/+qNhKPX5ael+mPf/3f9Et93qY2DlTgQU7GXhpcziTFGhfdcJm0CfgofOpNpaZAw1br7XuRolc
7zzUyOtBTq9jDAetE8b3wpSf7WT0t69LPno548qY7Td09/Hows0OdLIYwwZXFxoVd1NNzrCsTNNd
xWGBX3OAB7MYWhcNFGZsvPvqTGMCwHtB1v0lTCx7acuHCtg+PcSCD0YtEILq6glRdLa2anu4mVL8
CuDntm17sUH6Ie7TvJ0sWRlbuOw7vPXekebbkRzi6B+XqDGwFQy6s7IbNF5RJdbIh8r1AHB2a0Zj
RXwzIp4gqqGkk2IGx5Uhkyg3YxSUP7tc+x7zd94N2UNM93buVIidMhGehp1/EajEb25WkUDJvKIQ
oQFf9lfRgzOEAeBtvIEaq2yMaCM9pnLlQHeuRTV1hSQ6bV1R47VJy1VbpqANHKsHjqqwJdakOOvW
snbhxxA9Mm01togFsAmQxCjwZRBHl5ySd+HU+YoIsq0T5yuGlNW+Tt3PjBjcQ9BScpuEC4nJUATS
lpuwdXXuQvHmDI65yZqEAYmNRbEMfeNp1Pu9onhlEidGhL3WXFcX9sXcIScOzonHqahCBoeyxE6u
rDLJtSoBx+mVDay4sN9QzNFUF528VIHlHVTN6D8YMwy0dpxvDd7aOBbmNk0RmHFkj5+q+FWEyZrm
pXrgzbL2EIAwdcQ26oK8+0xSDMk6HOeFE6YafSiy/2xnq4GKOGcCPyXBExtZTxS0GakSr0mnkOIl
DZiliEkBbcqll5hbqgxwi1J1nLkJm6QB7V1yyV8g5hx4t6DEm1BBkHGRrGu/rrAMBzn8WWw8Ys7q
ikGlMrZVOCdOfqPlnOb9AE/sqslXyOiHby3uUI5o4xqvkr+d6L9UzFFwlcb7xGySB4diIMBGUW8I
bjlXWTQ8oiSuL3bS2NcCJhuBygrtgQFupjUKOqEIoAiX5lbQ2xehmKE1ZvhCk2+lgwtdSxmrLeyw
B33HfI6fIQFrbKa7Et53jqdYaTBP6VOCDyLi9N1GlcXPVHgssWRiW21NKq4+RU8Ndd1/vqQaf3Vy
eexwCLSE5xu+hSmSWeAf60wNgA67ScpCmcXLqMgmslTgbNuAcFEhDlY/4TvhDdfR4JLf6ARru5qq
jxh/V7bBjg4X2+bNzy04AQAaqE5vWX9nmP5zYzJZIAU2QNP1ZrP9ny6OShQl6A4OyzxpmLXZ0w9I
pAG9MF7KcQIAJB0ZQ1aoSb1FWA+7ISG0ElMKUaDCNfZdbH6LMd2epiF5+ZtPcC4V/rIrmaYF38sV
tm44rgtx/K8fYYLANE+nlpgvWwuv2kxVjNvAf8cOSNNKH9WrgRRyqbOiPEy9XCf4TQ4tsrQlR1yH
1JegoaFJYv1Ja5qd1k/3PLKNixd5zcuYbvUgyk9Tl75/ZSclvQ2GmxAgfFXZGSnTcEx4KGQNDS/J
S2THUItfXD9+D1Adwd8cQfM0hly4A8T4NCNHHbDwhkddXqOu8pfAhPTdHJR8KpTRnwZBH6vPW8rU
yrOeGUa+wWc0PvXJnfmiEkxrY7erpJyae29G2T5RdPzqSGvuseWX18DlCJeQmvJ1aWFyH0Pos7Rr
qM9DEcon4TxXtNxvBb+huyp5GjnzLzNW3tdoHtkjJ4KD7aCeckR/7kQ7nEubRcykAoIWbYsPZzLQ
kWDLHulYnGko1kylfw9EN9yHEJF+paOT4rhJZFMNHBHNfnzBOv4d/ZL5PCF3t8pjr9L6H5c2h6qp
aHDs4/mHMuU0rb3IiNfEeHLySCrtMdG9Ooyola6QrZa1AYMymCRAZL8lnhMhPHsYWuJSefouUECp
nXQ4I5/XF0jmxyP4B3HuYAoSc7DF2yE/61wcWzwCCBCM775fu79E0X/mmZILlaJs7v3Bvhgc+JeD
6Lp9lPKRO0MarsacNFxkWxdn8pxXITFdO8745BSw4I1MgjTUYLtGRv7En37oPSyunJJlYcoMpm7o
XDQ1hAvbHIiCq2iHRJDMqtCqXicjQ2NaTQs/COubTM3FpD4cuxs3EwrKddP7+cNhQVtkHIHhLUvn
YOWN2hV+053/5on6syjGxgWbA/cuBboO4eOPMhQbWWRaARNUlC8QSoX0HwjeboEeRXuP3WNTSFKB
HJLhtpiDSxI6DIAuVpQ80v7mTv7737wfczaV/mvdaZoCx6vu8X6+VqJ5Ef2XYixRNdkrYqi4+9xt
kA9EWI5+vYlaI/+o4JepBjEnsI5PLaZU1BVMSifbwD4D9JE3xna2DD50y362tMFb+x3NvYzozceE
CXTlNibBRq1BYlbaXMJUvIRYw3B2RuplSGmKl1B9N1U8hacYPAFwhGx6jDwqfAv5GYYd3oFJnEjo
ozClH/jCvvUR2OSCA0UnqaEk+gAPrJPcY07FD0iI9QN043IaUn/GJNaPIABFmBb9u+v35TqIgpap
UVZ9D5BwHuw6Hs9DC4/YNKLj1wUMX3T0837WNXX5dshpRdNW05dFa3QPH2uPSgfKk7mDOrg2T0cO
QqTS/P4jVvFLHCH2p2lcrRtiRZaOylw0Gd7wZGZofZCzHSv432SXymvtKApJSgw6GthotDdX1uYm
oei5FvNM3UOovzKjJrnmdnenMIkmgh+tpkaeWKrloHF3lISYHkKDfr8XK3xEOuDZKa+Te8RkeoHc
Dc0Rs4QdIkX72uTMncaCzIei5eFLvOjYdL3Y9K1f3A3jPZNqeE7mC1CSamljh+CcNJCU891IAXGn
DqQM9Kr3MGRZhH0xncNZCVojtX93ifp5HifCp1Bd65u/uUv/anllJ+cm9ZiZ4I3G62j8uUe2o91a
tYEtPAN1O1jJd5Tgghkb7FdRlQ0sJPEEQO/TddpfKd2gY20xWTHd4SN2Ag8xsv6jSRd/86b+w95o
WcJ3dXavr837z2NM7WJudmryJd2ZxzKYFvx0YBR7B1PSyqhz55ts6ckMOnApwMzaHNrOxNnrhv/n
EsKyYBRbjmvCXrGN+Uz/r8+wcBEr9PDfF8BzQpy7e3uymxnLWJ7jphw2ZTSzMP1ev5SeBW8VfhTN
QcH2NL4SgQS+FJEFESf+M6mSq7/5mOYS4S8LjOXqYBDoJth0heyvEuNfFhiK9kD3IxPhe+wVmyKR
Dz6WtTeOTHz86jud061gMPhGgzbEmcln55kIW8y8XYk8xHDnuNXaLeikExoqSTMo0xeznraF0zd/
80Hahv/n2dTi3brQu+ig8F4t949jOApEXDnlnKkxhvs8iNELVf5Tw2C5oYwjANhjoiuzU+CBo9Qb
J1o7Yl8bplwDf6tXWbaxJfO/WpeXqTXcpausq1ESYFYpiDORcW6MGCYSmSicIyAXuV4Tr3OZxwcW
3HgdGGfPr96wxuDH62uf4ykztJaJUWX29g9lQWES1dSuywL8t4PFx3mrmp1DVCMGyXzZYHikTdBd
MRl8N4fe4cyD8LmV91ojO4vVzFrhtH1tMwr9yo5wzCR0iiWu4IUlAcg7XsucQgS7Cb2i3/sPkhRD
zPntuxD6c8f+bcOPDGmF7NGGYJuFN+BmxOlmsyqBoGBIBVIns6Ve6PzzZNo04RGMknPwmxqCNwdt
cO4nYBjTgcTjF4gDRJBNE+fYOT8Vik7KkGwXd9HbaJgpVYUfnRrSw1d++61zt1HmtKuIeeWiVr/N
WYYaryjks2U03hTf96J0U1ZI/FnLXoGowfuQ3HJ6qoxF82SVdoWPhwDoclFykmpryz2kephd+jq6
26gNS3dYBAkQXrxONNQXFfTrNSLJ9lizaft7xZn9NIYW6uY+o22aTeYhEDS7ya2Ney4lRga6Dcwm
sY/7RnVISAfa5CzMWCoDTiExNNlU/5z0gdyzkAEOg+H+NVanKm36N0+AlcqE26wTBCJ9whxTCgc5
aw99Zwy/oYIbGavLFIt3vIkJ0VmqSmLvUA9/EOvM64PtoPqFLdCLRri17lYbjQu4jeCMmu863tKl
ZfQSmyyyoObEL+VpoNp59jI8jUWMZ1OGEzCH0dyPNtAkkpeXXeiFe5NezIqVGgJGBzS6Rn9RaZgD
sIa5i9ELGauE8UpqTL6DrLaW0kUCyvj8zkQ2PjuJ9oyWQu5D+QOW4G9aPz/8JvqVZOV0tLMRsBM6
6UVLShNal2VgPfiHD72hm6smIG+l+WSLwVgu/NVs1qsimtgolsrkwQRDIZl2r/ZgkFTjRoR24Mqt
vIbEXtUuy0HLl92kd89SZMe0iW5YwJgTZ6G/HKf4ahlhcao5p5CPTWqWM1xzsySBxe4fRRQs3yuU
5btumuOkiRlI1XBKk5i20O8eOsUKUMkrabp3oy7qO+2XjakYzdUOibYCpQUy8uHAwQO3KBKcyScK
IZAmMqdpwPxt/27Mrt7UcHEXuF5z6gEYuj1a2I6IQmWGZ1PgFtVr2a9aXfs5aBKJFejhdVOyRQuV
xksDFREa8zQ/tf2HpRM4Nk5Zuc0R+/mcCDWnrV6qUiPFmpgxU4bxhagsxl1hsuy7GmlhBhUTlucK
FcuHX5IT5FBsIwUhKn4SDwuvK2Sl6bUP0rXV+OWaczKGnKJA0cTdGX0FCmTtqkhpoCSk+TpBiLzL
hRQZLwvDjxYJ0+fl1GAJpWsSLFsY6jKKhyVNYEwJrEvLAQNCkXzAUAIZQiNuW41vSN55hGi3glec
4xaISCk07jYnVe9T1+7aimAetw2f9RRbIxTrBCEXEUwySlauYZYrIdqfU4OrTMs8a9XY8XD2ZFVi
rURQqVJo05YxPie2Xq6kY70lJdh5GkavhtFPu74jnSCy3xwrRop8d1PEGH2YppRMw8ZvKbuQznJc
qSbFaSho1gydU8zDOXqmYQSukQdIPsoeCNacRJDX26LO5WEU/YXNOt5JvTqFGLH3HeGjZofkA80R
aDhln0QjznlO+1LvPKZZbR5eRkKTGxxA1yl+DdCFHF0GvNQ/a9PBz4pPETecu8oqxGxx1SD384Kt
8iFZhHzW2CudFZm6fFrZHC9JtpdjS30L9ZdeUj9Fxyog75sbpfyow+qpQbm/i0bP3Q0kBFhqfO/R
Gm7CPEQTNZ9TvUbCRfPLctOwry9d0kasloRM34hK/KYKXGb9AB3tfudz1Rj6V+XGsWbMtDf2JyXj
lwo+/jDY003XmopG8y+v/GmpLroENcD5PsrsXRrKbmmZvYY+zHk3ypB7ptN47jP0EQoztJNnJKxg
kdmSK3anMbMtyKXBV0bHQNDDzAp0o6a8g//TzpyB13ke9i9dC7MlG5EhukUAcJ9c1mWsQ/MizYI8
qC4MNsmYv0ZOQLyKKNGgePojibGWWmyIiRLWRrfJzy6NEb9McZOzzT7NAYbLmPVohNBwt+XdGhTL
76Q3DEahGDQOc0KyRZk3coPzYXI7sS2RSWV4v2C8a6TIE7NKH2GOy6iL5xpFnUyIGyGnoPhGXoyL
QH0BMHtCe6GlxzoZnoIxITMOE/kha4GzOGDdmyC0nyK9Wk8e5h06vt+Guja25sQXZqQmEeGi8g5V
Ln3KlPYX681D6s2GYnoVBA6wwnx6U3i/P4ERkEvQETfEeeTekEG1tNPxVbZVsFZNLlnmSR63dM78
oowXvpcQbyf4Gly64QW3ATrOa+VlTD9nih9QwAUbt7/IwDdboB42CoDe2u0B/k398Es18ZbhDUBT
jx0Tml6bEB2ZSSE2ZZxVBwNkhiVRjVIe7inElmZUaDe4ItU2qT1mzqMTY/RLSCuXpoMUfkqQZnTi
6PbkWWWcmrYeopcteprhXQ4VFjkONwmxgBQYbf+QyGs4jCbRamTq8JkEJEJNk7pDnPoRZrm51ckD
gFcXtHJHXJu2BozwGRTMnw0782nL6fh8iFbdjLUWP/qAxTFo6mCPQuHYyGjcGr2Z4xQNgzWpYHgC
Wg6JGnrCwM53I4pbiE7THFRvGVspunue9f58RJuiPenfP8LAXYd6L96h4QzrvBwCiHgElIahAPtb
7/WXyp9WoaXKa5VGzjErg4wNYI8zv76pOQSIdNn4aXKdAz5E/6RrQfQ0ujUNX05IverPjj8dlD1l
xM5Z5TuqDzLrHKPfEt4HYzEaCGKRzz69cnKa2hUIHIqnDh6PU2HlwuTir2JMjMe8CL5NPKKHSSEH
MLBkI+t2QupE27SWWsnX3JeOe6bSqZY9Y6ulMXKWtbOK0GZ/klenHZ+4RfPbGOrWk4LGi78m7rca
ppdjEVfEEk500xsE+VuLk9TVRgS4jVmtoKg00VPsMUkp9fQ2xjQWYovg5xYCw7oZcJsQ/G2eIfcx
BFLae49a/8J6FhwaxRQk0qziHNDNvgIWzKhpaUGZPHj8sWbtU4uvBiPF7dFl1j5HkE3NjCqFgGZk
nkXI9q1SJIEyKRehImGYTpRZTt0TCO7g7na6sSHQEins10tdgxEDNyUZvGiNTCZaGvKNOD3tCS+R
+dIb4bZ27OApDeyr6TVMTy3752hFzqveU19TlYswRBUGzB4I0DXVYcUo91WklUfrLZE7ZI0E5Xp9
9ihN0md7lanXiqcZp5V/sFH0nRKRDKevX/3z8vV7hBZ800o0W6Ze/ADDgYaNoLUrMWw/G3ghM5Uj
31RWMh5Ns96ZOVuKLIx3P8fuPBFk/ZJgYQKe6hiH2CjjFx1uYtqCBvGQTx5mDeUB3QZCAT/8iBuH
MPWJ7dZtRiJZ4UwS/TjFDyOxdFIiYmdZIJo/E6iTrgAcejvdTbE7OaX/HPlYwGI1UhglET7S0GTd
GM1DHSU6tNQhv0XKDR899LulPfb5TpO8hAXy2uqtcycywV71c8iPqg21DmAX3KghUwIhbIhYpl1h
uLaeEYcgiwjj8kyTrFyleWbshJu1Z0gA6kxF/chyG774vBVN7XjWIpczl7DilWME9iIQrvsN+dJ2
GC31s+zpWaaM5BdCDyYSnPPyQsSSjZDbrIEYPNfms14BDPu6BI2J/LdGRtJHlroNsoezS1IR/r1G
3TAxhidPULtwOAyea1J1MBy2h8KvikdA8bqhL+Iz2VDNKWnphfearq2x0PYbaRovTW9m9yi3TJIx
BsasTtp901F2LayBWWsJKP5SyQo/jeXh3NQccSWMmGep9ndhqJiPO0b8maOuq0pL/EzsiZhMoGfr
zEFeq2gFXOWYOFf5ocmcU3OcRtf062LXA/Agy9rHhs+0ZQNf3nqy0rS+FwQe7QvnU9K+I2iJQFgQ
7rRmn9vMCU7CktqpV59xTuk+2ri4pEKt/HVxp/wtGuGMTFl4MVIZnDM5+fdE7zBI+jSqGwP9G4LA
b8QhjhSSKrx6hWSs2OjhQfZMK+K2trccZJKnuAziJxVgXrY1VKlK/PKcvl1jTe1xquqoi6m8fyu/
hltXci5Pc+dnPdXqEZtJ8cjvBg4lhHmUSZn/aMrIeBFW8qYw4v+gt/BMq6h5pcrrCBqo80Ni2Ixx
HdSALZJew7DCS1eaxh6MSA1zNEqW0yiiQxNTpkyVcLZfY4axG6rd5JA75GJFuGH8BQiQtjZJQnRk
HVIQzwLAyGi0+XFiwYdDgNLUz9gaADe9GKLVnwis7Hz+YXZaF68v2yVkAYyZ1tFQT1iTxlUIrG8D
gc54MBl3d/bs1ew887OnEHwmB+WOvCD+hDDbLWzf+cXDNx6sKEPL5otuNdrjA6uxvvGTEhmT5hCv
0UYts89KkjD0JCsDUkuTxM/kxQU7yschSexbRoDumvSMGtNqkF/NsmOvq/p2qY3aRvpRdVLKLk+6
D2GqYlfY1Fmc0HZB0+jgc777wURdUSYbzR+jdWPp4qbmi50Mwc5FvYxsPV90xRhRZ5fiorxRXJr5
wnGhW/S9X2yz3uqPsRW8aGnv7X2i1FeDg8eQnqL50plMEXs/fNIJxTKsQVtqceKXi1YPMN7YibPJ
6tw9zXNesEoCMF+Q0zctjAvRCt4Vl777j0vkoUstGPAFTYwtuSuyq+9rZBSlUv8kCXhZSmn+9CbC
rMfS+aAaVHcND8SCAru8krmzbkM68U5UZq9jTW+WCts+YoRTJvTBGE7sS6JZa6YNzRMHQQgPQ3Ih
wTa5JLFBryLpT1+vmkpOS2rj6IBR/WaFtfGoK2vbd+wwuezdO0IjvJBaMF69L3mruFU4P1ZWNBKG
O1/CnGaXRFHtFIgX5h3JmS9yaOWV+msdkTZ00BusrB1onpOD/1QRL7ezPQbCqnanD1GB9hub/Ece
pQy84ChfGc6K49T/hsf2VPtq23kufIKiN7eTa6aLTprWSxJgdmoyk3E1jKKDkzHtcmRoHFlU9KNq
MKC41OFFO80Eq/EIxMK5OY3iwpEUrcmHq0XNobO65h2MJDEnDdgZmP+jQwffrgakSdGASnpsiBZL
aZ+q0PlIva6E28QsLLaM4OwXhCI70Wh/yMj8PRZQGPif1mho6vLSDRnd9Pm5I6ptObZFuQu6OL0X
dq+OqCbYM7Oyu0amJzjn6O+6Ph7TWJPPIcDG56rZj97IgSNwrppeievXr5Sv3on6flEiJhahGOKX
YOhwxSI1XxuwPPamRvRKD79uZRLWcGzMuFmHScrwrA/CXVPazQZHn703TdhyKiVlxqYvgOPMQyIr
jGoZk4RsS9+/GWF0dGLjLKGU76YxXwmkFedurNOj24CJqvIKNSsxxys/dpunQp7tZdBZw1WwM1/b
avRXRgXvaIDsdjUZQgAzTfyFTa+T3qVKU5RgMKmLHECfUXRns2GNGYck2qSigdA1XzSPIRS085PB
TJdTVtpve6F9aH0VbHrNGw5FT8qx0fH0giYYD5AKl6b/Sp2pfZYa7bxIZOPNSfviFJlgGNFuI6aq
zWgX+K9dDWwcj+e69yKIDAV+ND9JWNqL/URVt9HEGHwIjMKt033kFqKrVmno8ic4pnU7cGwcmwa1
5fC7qJzuM0jocTpYQG+x5xXn2sdik7qMP42kPSVDOT1HtrUwLaTGvXD8Na7i6LMuP1VjtGxOgdqW
Ge8uorb8BhqD1mCHmqJzXwJlg7khG1r2YuLW8vW14MNZC6+U2Nqcm+/BAvFj8THAKVpUZGJfSZ+1
LxFOVswLU3PWOLIt8RP/jPpJY5gMqM23a6Z1QdF82t3ab7Loe5Q+RieEI6IGf293pXipbLkfbDLu
x0S5K1YHsrs1d2XS33j1dUXIhzV885S+ofn3c+yYp/nFiFS3Mgg0NejLFdfYnqoflVY9KWrK14J0
PmQ1RbasrVEjIJ7VTGvFpzvUBwPWxoURYc0yEjxZQf3JoSo9O4QzX+GmpHS84hL4CW28yTHJcUzd
pR/Zr9mUz+wC019GtXwWvTet9Hw6hfOQMlJKvwdupy2oY42rl9jqpGNHwk0Ut9+z9mIxGfy0Y0xi
iiVok0TZdxn8Dqv0Qa+pPZQpjV+0wfnnoLlqMXGYvmn8ZGK+B+LAwFwRdMUaGIZ12Oeu137URj2X
2iInnZfbBl4d2sMHadnxLYqk+TyvDmGVtU9fr1qyqVeZqdP0chLrRCTpO/3VCLdGjLm132Ef0NdW
oeGbw5foe2X4kOjdF7ZrvtnMSpdanaYrzeifoywgE8qOn8GX11dfO6VxVa1oDaebghzw2m8WhV//
SqaTpK26SIAY0iBpPsapJtKNKOmdVWHDHK1fuipfmsEEtGf9KIIpPDPZ8OiGq1occJMtnHnsaqce
U3+PyDI9fB8NkhYpCKJVohV7I/nMPON7llTIw23czQozHdANouYSWGV8MdwMPrC7ZOjT26QgtuZt
8ytCChhQYq0wpE6bkclw64Vn5TT9mXCn8Diw2+b+OtSq9BQW8ZqcTQ0GWfG9yWE3wgBokaQnsqIJ
Zly/XuGQMw6Dit7ILutWVTK8j2AVHp0X/mOBiLXWQBZg3EImtXscw6M4klW19hNF0JUxmKSvCHoX
Im+uRBIRgz3Vv3JLM78FLS6K0q1WeBSRMDXiNXJzl2iDRkfdJsmCbaLLlAPQJwpIrTNsTzlQhHsn
rZh4MHJ/ksp6g4JBOGMeSxwxyTPLOFWjP753HjeP2Se/rZ7TQtQG0VudawWcTic/BukQvQ1VfGsr
M35iKJit+lbIbapsItqpGDEf3xyjunjkKCc5b6OUzt3HQP/WGiHLvl1kK12kH1mvgZW0mbjVQSN3
QVF7W7QC8QwKfjS+NyvW1q2LjUSjO/lWBKs5HoreGF9l7vfXhHUnjITaKXa+Ras5L36k8h3xD/VK
lXSq+ql8M+CbLQmhzY6dsIs3aXdE9ZjBkymrK8BrlhR2Ek7Z3g9JxNSrPwbDobGmdvn1su6GZBsk
WDYrM0J5kKv+W6rqZxlZ3V4QfombnINnmulkf3cgJtCWjMlFIj7dJH00rZDRlDd3zF48Kx9Wk2K1
BgbR7wCwV2vHCuASjvOYZzSMvUVpB/R5eA0BTaX91Ox7s6Rn1dnJU+9U75X5IsegerSe/6vA14BP
wa+XhemP99bRr6OWIX6UVrivBg/vUckbq4dJHQsYJ044vNBjH5Nup+AUTRgzeQDreu/qXb8Ht52B
DpySNz8guI8dxN+CZk/eclH3Cy/iKY/TOlyXU+ld3CH8nMJvKGxwkPa1OgKoDW/8k59fEIxaEJQc
u/Txv16GOeIm0bhvBAlDLQhqC4RK+8LMYz2EoLtEZFdnDCnkGM63WVk0ztKSxQc6FmsjAJMsnaKX
h7vf9axaLKNIKUFVxFp/rwA43HJVxUcNsONytuVovPusFySdBMOtFKWFWd98mgh4hXLg2px8+Maz
CVeqO79EA8iNU0l0s6hpF1raamfL20RmGa9H7BuLpuJ0mhSJ9RRZLgFMTQzHxofRQBeZSjlzjzH4
HfKYQG+X9kASu5HelYSrmY86JDHmDlpKXFXjDPhRfgGJoyMrtZCkqnmiUPQwzMMHiEPtXAJgY5qh
LBgYhsHWSwZVNABlHFv6AWUMTizP2teJcyq3i7haVKX7GOkZ6YjGs1fo7q2m03jIQ/58xrbHngEJ
AjhijEK3wep+Mt0K8l/mtW+dIAi8nGMzyo7qmhZVyH05OzRWthvoh8J2T1pIoxl5lr71blXuyLex
Dq0LhGm4DaKRb1NdBcsgcqhL7AKGpPNc0H0+M2leFj5uo4YEgoPDulj1wVNVDacsDYwj6G6EWbr9
IqchulZ9wZgyY/yO6xV2CmNGPMF+tLa5x2kpI3rLdNywfmEcWCiSd4ePtCaQ+CURlXOJCto2uKPv
fTsiPnbXXg9jB8prvdJNq370kwv+Nu2XZgPVu83y8k0JFqYinSgGzOlBNCysjQHFU947jA3Yxt2Y
ubLZ8Ce1Sb15wCyXVWXqBy8FqlbK2Di2rCFmK5K7VzbDc8nD+rW4VVNPALNkaJzKqH0Lw3EGv/TF
tizlj3Kyutv8XUu3m5HRVG6Sd5mAzd5VEpw8tjAnbjkT2ZO2YDoNoyIDJGg2/5O981huXdm27K9U
vD5ewCRcozok6ClRlNnSVgchC+9dIr/+DfDcuLeqWf1qHAQpcetIJJDItdacY2b7sI6c3ZwKutlp
772RCvM61tZjO/qKHBT3jj9nr0sYkeX4wh4a85Ag5ESEYqelCZYBa4/IskPiE8Rh+T67rbat1Kbv
wX/OjGmDxjG/igS1/bDEp8kZ6kOmZnSrJJcJrZAHB43VkXewOfZ+0u2xIwb5qDMF0GZ9XXtpBy1N
usGIW3RVmTFgU8iMQZvOLab4xvqIcomYV7kP6ZAaiER89mUGwMje6w+jmN68DPq33b9EaTUflDbg
+bfNZDu38/soTLGjNfCR+S1tLtkgAiTazs3CK4F/tB1nWq+uuuoZ17r4NgojOYZGUZK6Ppa4Jznc
HsU29o4cI/OqN2uExVN7ZB7Z6euxIZ5w1sCdRU5H00S3QCQb5OjdDqohpOw/T9NRwacmmaLte2bD
pN7dDiaSzU1t+99lZJj7SAF+jqLp2CAdAVCeEp6d0eMP52arOzbSHH5mFwEVvj3CMoZ4Q49/acsT
pTjF85GMNHaLLrgyAE5f05DSdIPkuJm7Hp3Fcpj+/aj0UmLw0mRX0+M5dNUVnWxfW+ORU2Q86vMw
HtFkMLtkeQ/q1r5gNjZ3Lb41fKzAgqqJVMmYJsHRW96229OIyjBQ9rUtE38VJuZHyGZWykgGjjGh
u3XdJPjnnBA14k23h+pwe347zDSTLTHUW8UkB0k5qLOuI5B73SwbOVEm+xQvnU27yE+iAnIwn6yT
J7xV9nXqpiwofLyC1Ips+iKzIiOurI+eQmKi7sOi7k4inT6nXJ1RJBnBbM1XSngG417C/CC5HZkJ
P8YDcxzNQ4cWLwFbEUCT4HYOt8svfftNSUbKg8YdLLITqvhUurgJq6ZK6Ts4+K6XQ5mkwz+PLFGD
L+8gcgI9ObYjmZi3R6KDyIz7jAvVnKttiuvg2A91AGLop4x8saFdAi3bp/GtKUxHbUVekjy0Btlk
qYQZpvG1I6HanJEmHYP/HG5fa7glrJvIuEtcbhm3U3tOs32UTfO+LZR+IoZXP1kCQECjewfRmq9e
ZO86z+rWnerxH0NXWtEN1YNI1A6pjBxCiwMe3MfW7acznY07raKbPyFIWtli/mrhfizCkWceBEDT
InJ+p2e9YHbZCfMByxKOc89DX23j2wyz+rgJa++AzgcXTyET0Dw18p02HGHlIW9cQED40TEtl/dO
BBiGfCJye03/3Wa2ycipv0NAwGkZ+X8zWb/bdV7t80xnSNPhzkFEi/aE0Y97RrPT4L+Ek25Y870c
f3p/KYqQDXPG0O3TKF3X5MQzs9iouk2Y5IlT2Zg6bgGwGPN4P+fqEWD3c+lhicDFenCGds9ujEZC
yGBetlXJyc1OP/LLNwktCpDZpdJ9AmBYNmhQX2kxudsxS56kxRlrhAREk8EMbrD8iSesqCx+G93F
7ZstGoOSTlBFXqJZtK+F6LKtDt+Nxvye9YdVuk22ucn1U+rDa0mUG9ug+sRomjGSMx5Ca5gA89rj
bvLyh4ik2r6wHzsbviqOXcj8lfu39Mz7stLB1HjTMUnLmrlT26Hh7ZI90pRsbTkIq0Bgc5FCVYA1
f984KIWiocDvNJlyn2X2a+Hj9IZwSmsrtA8K1fNlUtG+smxWobpgYkqRpvs2/F5lMdxhsTpbhsun
2PVqTzxccZBhK7ZJ4lMXCndfo988YaSKqE+RxDqR1dxJnTgVCprvsfjTDg67XK18HLz5AZL1roD4
b8IZB4HPj41H9WRWLQYUKFC0t75sLRR3fjRdO429S1QBp9HFCfTjMv9uEC9P8EYHj1yNsd+YxDYz
7UfBZDrhps0S/B7IeoNO+FsNqDyFabVrG1Z5y/5i5PpJ7MZm8Jb2S6MxIwyPmW+uYNoZq3sdUM+B
EMwKwcYdReNL3k3mOk7TLKg/iAM4+1oBoB95F/goRLdainyH3Dg1qNchQ/mGlS/TrcOUd3dWjS49
8wHyV3W5VRWcdWvu37XsD2kTFF+Za/5p3IScX/wX4FPB2guot1tloj8ck244V+JjjBXW2PaVPqqk
f7fRK49r2E/XWeZU+zijtk7C8bXQaUpD+z4zUbqEZBrOZm0caNUOq3lyXqVXlPhzbDIEEqaJLgmk
KXmKqCjdzcR9MsHqhVvvW0PsFWTNAPSk93dlIXbWlMHTzivQSdAFO/HQEWxWSj/ZKIR5ED2qneGR
LWx1SU3PMQIMH1XFprOh1w0rI3buoHYu0H+m78Uye7ZStPH9X3wTT3rC0ChSXIcoR+jJ7VFlvJtt
8VJTiBaJXj9pHnw3pSMd7BZptZ29Db7cjJV1BqgwI+Vvfmvfi4OwoPVZhh/UXLDw4w7xgHgDvon0
3dTMTZ1av+34MzfFkzty8lpuTxiqqp6tUBgnkD3H2rV/JCmna8CI8oLvgrsrZDEauaztsRWwD3m3
pTqS51oR4giWwq1nWurQFuFSz6siopTJCPGwGq04OqC2gEHLbMcwAftIyRo43odwW7Mxf+PqYzIP
2y0Jk/Lc0lyiLWg+JTazwMLxwv3o9N7ZrfNXBN7cx2DYBVXhbqXv2tdBIxgQQMgDmCMbSVNpetOh
CgFNak2jgsbWjL0OIu3JlRb+MkhFQ+uhenTmJqjC9H1qL0zYE36rAY8+Qn3AiUGoOyWbI50KgN1n
jZZFKPOUpO60l4LgJ716YDMYvlT5sZVE2s+waAFFctPpzJcICZ6irI3s8kjaFSj+IeIV9rNv168U
g0CgOgeismula35GosNrwCyVbbTUv7gzFKHe242uaSMoRZbfL/u8iv4UFzQNOQIEy1+f3ebe6Znq
A3wNcuGNgafJ93Q8ex6aL73Awm+wxK5nK/xtQhf5HvdlYi1WblP/SXz5lhZHJMEfYc6F1w3xpS9i
Z+0Ug3ZfKlBhM3Mgk5vOHJU0S42rab1PMaqUwtbalWFrr6wjjO0zxVDDPYJ4WVU23eemmlZph1yI
Hflv1AFb5KPba231XFgpY0TyF5jHDsqChR1Xa/Nk9Vx+1uDcd2bq7ZIiCteF+Igm9XfSjX7bpt51
qgAbGhCNd+3Zlpiz+rptnuKh/yXuBWZ+5D5bZnVpD5rroef3UZt52sGcy7e4FfGdUzobNdUDzgpA
495Q/4X7Hj8iqlerQtr2um65P6kQYJLvYH9puwfmGedeZO9FmL/6JWoDO61+oErTvIt2dNQe+I1O
EXU4/bugWBKObKeedg0A2AycRm3L8uJR4ichnDnh/SrJPFuiJ4RAcTfQTd9jDcVMhGNypuUAM4Dw
t1FDVCqOOiMn+u9ltNKGjRAKlUEtEXIY3GOrjGu+Apq+btjZt2EybbK4fGlsRgxiSJOVY2gYohBZ
0ze1nXUtF1DMRLhCzkfqOLmzTvz5YRzRCTp3LkrEFwvQoVs2UFWBsgvHH7Y+13yHVhPv81tqMp11
DeqagRxtOvArfbrHpBs+uWZ7opmLm1CENPnRVaV2e5kcc0foFNa9NO6DSD11rZVsMKP9KcDyTRrB
Dlb6m2gtWr0uuRP+fEgrJ8jpFa3RJeCW7YcXyzhmUv9L3MCJBlSyQ9K588fRvLQJuUN5DtcNExMi
qK8+9q/uULy3A3f3Jr43OgJXeAEIOJVBkXfSreX64xqxm7NhTtSqGlVAiBZutLxXhkLtZqb5tq4n
Iq6sMcsOjoFOMi/6VelMGJ4l04aK+eeKKSpz1rZ7L4sO3KmHIKVL5HPdsIMlbeQ3KTijATI9wjm6
g0XRfeOyXmkUnveecr4g0Rh0iqEIe1F69WA15pnQMYLbCC0ChqPjag7nfldm8YPkf2eG0adXTOU+
bS1mbPRvfCTngSmmP2Fmzus5/fJQRvsm0wZkOneWm+MLcf5Gnn9P0sqwAhxRHcaapgBi457JUOvJ
eTuT+SW66GlMoaXNbgIdE8Ru0jgHdHMNbqhtboxvGBKPkWKEHoLdYz/KpW3iYMD+Hq10B7RtRz8b
WvLfwitevK+KwtpH9x4O5Y4Tj3XhYprtSw0mzRM4h0hzAkiIA6FvPaJNBAJt0Z4t5MVzVOX38VR3
x3bI32Fcl+QUxGTTTeZGdEW9iqL0nobBR+rkLyLtzqhi4bkDZvSP+hT+ZD6nVor12iBP2B7edDJ2
VwxKfsm8Sje1B6IjFN+uVj/nWr6DmbGuHQQl+N7UOo8cgCFI/FLi4xlnS7il031Cp9MlVQ9guGQ2
2u8zhl2HCEV3VI06UlHrmOhDfQgLbS/7bN5qJZvmXLZro/HdLR5cY1WYIgaTpjv70XQec2iDZETY
O4Op8vBt2C1xbu4U7+h+sa1PI2s7m+GJG9+L20ZiM9UuTSLnr6Z19a5xxa+PF9om9RzdhiTvpDBo
2TDneCwo1DDL8ZHI8pF8kw2cdXHJmC9uYX1XnBKaHigPyVWk6a+4rtd6T7xNk09U3+NZJ1cEmbqJ
iKxl3dYRnhsNzWcXVmpgtILoRRptLnH0aAr2uq3/cfrmuy9DbLhJz71l2iNW09eZ35wG3XiqI3kd
vCX3STFXQzCtlfJByxOfbSPcTfJjdliqngcSFV1r/qPSgp6K0e9Me4Ll6ZJ6BiOH1+GDRxayre2B
iy7tT74VCdbHYedVJOyJrarJaNIXDqyM5os+Tc8jwDr2M1KsYxs5q0TXtkUIc9Ii1gFzTsHsoWpU
zXAhyJ4Pqy8ukIP+oK6eV6nNzE8nZGiJ/uI01wBdFvWuK7IrSmOCeaHEDEPOYCn/zKcEcwxFfFgR
EBUypnKXbUweYZPAAdG6xVm6VrdKR9tG/hpkrniMBXsjMAIvZVg/tmpjKs/fEyj9pInorUQVvMvb
+poCZOocArt0GX2q/gNtCencrnxtRwvQX+38wdNGcHSnnEA5sloXmkaFDaXBaZYo7TrO1rZivRnY
vQRAv7m0/EQeb4/ceIEgcbNaS1hd+Fzo/SQug/79YGjFqmnwLYRxmZ56zsFTGb/C6p/vEEXSwo8S
CpwCglxsupyaCrJN5fpPWRZrO8kZvzbYsD65SR4fCbAEjqcU98th3E+hT45FRIVWu3nBzVvII7D5
V6upGBn1YQ0i2+sZPYONMws7Og7K2yRZUd7PNvj8VdlPkFU5E10PfckoXLwCjmOhKyT4ETxqEoAt
ijdYz51AqtF6YEhQ7VuyzVd4oAkNVN1bgtCVCUCXPTRT85AS/nau3Szdma2wqPVxnPQmgvk8mb9Q
nQHnc7qWJdOOAA5g3WozJDxdt6XkoaU7EIvd0T8B7Wzcyw62Fl5JceoswNNG2p4lc8RjpGHr4V0i
1ayXfyYwhevON6YrPS55Fbn+3PZ6F4SQw9lumAB2bYgftkKGoGvrmtjDO2U/6UqWXJ0NBRQNLB2+
j3Kt+D63bdoepfmTImm+MAQgmGcAzUT/6wKqVJ1gQM6n2yOSYiIkb/nbhN4ePNwIk8QiZsZrYS7K
lk6aNFR1NjqHSyOOFA0/jcnJ3J71OffuzeXQyxnRD8xCVHo6uyPHANK69EfrCIk3QU4TqNRMH2Ak
Tsl3YSbimPLzt6km3mBLETZUDFRalQcC3rWskyRlL6CtjmYqTA4IpeKrngwL5iPdkHKS7Sm3nkuR
fDqVQwR1lodbvTarJ6MH1YtusmCfwN9d8N74aWltYrQmlfKTnR8lX5HuN1eyvHcZVe6fEpDZAeql
DsxRM98nxeRRiZHZF7YhulXOijZWvc8Jl2PGDSStRjVQGUa6dnVp703dfLejfjck6fiDeQ7ytGts
7JofanMnQx9hGNc8TLWdmtP2IN0GHopo6NJX3aas/OQvam+mfdlXVxkxfZfZpDVFFA56WXfrUcgF
XdteWgbuX8rHFwkK6rdPJ+045SXhY9KINkj2jQ/HpHBznLfBMrTDTBjIxtMzRoyT+eto+dUSTE3a
EpAcHfFrr8fqd/Gj1HWXUE2HD0orkJ6ag2Kk41QPmcm2wuHmyCYChZvkqlnH5HYRZw3lTNM7SiPX
vxQ5Qh4dwH4Zhq9sV1KCJ49pRkeCVHrjT9cN2jaEbYGKWnz4jluxOytTKKXeeOZNmKkIOv3PIIS/
N9GPBFbfeQ9IL06Gj4U/TSLGIYXAc1DNG/QDB+Z91hXnNbEUS+BgpTzrOub3c2PBKuB6Xmlhapz6
0Ah3Id2/ANmLG5CHQmplShcln5S19mGNZykZ8pHWPvNWA8QYMw3RV7k3x9R+wRw17f0yboLbU2wd
9X7I8k+t1d+HRcxK4rNB7wUdhlAQkh4TZ0ofHacvnlL8FHRTPGMDKrw5hQNNyFFv/Ksu+Bdj6N05
lelfk0j6Fx/I6e17t4OmIeDCaN1AINTf4erVcFfZquBauJ8XWFimqxc0rf3Q5h9T6VxzP77EUTms
a81J9xq5LVsHq/Qmrlk4yrTFJxEj088svMha6N1PRsmuxJhQIs53Our9Y9UXYoMcyGaeMs33ZuO+
Ydh+TZinAuD962V5/FR3SNVyD7mZa0ENgNrmbRGfbQ3dSx9vB2ibc1l8+MncXAEmOzuEMRxsj+TN
Obubkrb9JNMWVSNBEptaVdTjUXLJG4+1gNHiTjm6d9KnFts54+rUb4cHinl/XWaniPL1wXIN7hTV
vDUWtEAzJBBJC8dY5cVA2R8N+HVcmElaHWZfRNkEsmyISvIqJu6dwswQEvxgyWWRxsLYUL6FMySX
OHtyPYQgGOqK3WAaVN0xXEFMHs4pYXeqVWgcC8ao67aez+EwV1c8IbQCId+5KL/qwQ76BE1niYya
QutY0rsIiDpAeZ479+im0NelySZzCniSBP3pnYl+rZCrcaggPGmB7/uomZLxz6jFWCBLQqCLpMdd
Wj9Kz0teKoMKiKWDCeo6GmjW98RXVBVn1Nx6EDNBYpG6tLaQAaButvi8SYvAjII779HV1AX4/slK
632WcsVGiOYo0CDayIQoyxx+g148+G73R7k5A+2M4CnBZE1MqU8qilmSuvUsmxIXfG48hZOdr0yK
4pUzhuO+cLM93qdonYfIuHi1w4rVNTsxEtvVmD9hl+r3SywqM7kPX4dHwq2V4lmJhzpVpF5Z+TVt
um8nRVMZSi2Hc08Ip6K3muY58hdR2ttugqHcJ9fUwjZWYl5S6st2Z8hGOk1J5lNrhP8tYTzlZubH
B3IyHlU6JmCVGUJPc9XuFl9Rz8+bzQhPgV1xwtYo05OWMo/e+aZjs7ExYSTQK3Qzqr0GwWuKBDks
rTzg0nsoacWtXH9gr1jwXszAtPVexnsyGO87HA4RtlzLPM9xfc9CsspiuUHaNge1027GJmy2IgoV
SiaaSEU7gulA40SVQj6cynrirQsmOr0+P7XcbKDMflCfteteZ3OjcaNek2gTo46j518jHORvbfwg
jwuSlNq6Ogyo1B9JlXwoCpJFhtpZ9NXL/r4OwVYm6I764m6p2NqOUg6DFVx0VzEaRU/N9eiHhB+B
KOQegiN/MDehOBRly/jdJI0ubJi9z/IcGunFzu1nmnnWOsrZtPkWHsHa+2Bc4B3C3iL3SZoHUfkX
DWtZnXvxnm4S/LJC/1RW+5f3l+SWdkh2wnZBSPfqHIsHy/TQ6y1LwmCNr+wUUYxgoq594tPQ5e7y
CLuVNsmv0Uq7Q6fHMyg1xk9MlLnC/bNPaY43utyEvmEwsGb7T/A3MnRXOzZmSt6wqn1IyNY1m125
gy5c7UkXJcKwgtTj22LjuXSlx4ZKEGLLEtoAaU2Nct5VstwPYYB7ImzH4aqq+cMn7muluQV/8Cat
XzAsDVe/NvIgboYGTUzl7ec4/vUAVkWOcC5jKfNDxLR4Z1RztVcGyUh1Zz5DzHEB6KyLyGXDrzW7
LK1lEJOytbbrd1nqTNTM+lvvaN/q3KS2AkYE/VHStVAv2rr7YDHbX3doWtZy9KlsehLUOtdENFKr
kzlM8uB56YE+/TfYKipqB+16H897R3zIRCuPwzCelRhWebm4N5Yu/JwenUUQYuuwkn2q6wDQ6M4Y
VLyy+D0edGRORJETH+LWDA9qagXL25uDlq8iTT5qbdNuRQH5pqUrvkUguzY/J50m5FARE+BMDa1G
f36mZntDf7BVfVWcvIqdL47gPyYzt10e0j0qDbBaVp6+1tzjN1lmMYTNcMMh2nlHrvE5pwSm9+WF
nTDKKtNmj60njx4dIC4O8cAu+kHQktP0xD5IfBogdBGFEbJ0qiOmPWlsICju3np9eIttGxoz9DBd
dx/57+wxuB3a5qeLIQewhvbEX2CI0cUO/Nxe01Aj+lnybQ7yfex0jIVsQiXXol/Sx8xp3nOJFwez
YG5nxy5D8wKxhaKWE9GY7wdneBSQ1uhpjCvN9+VWuMkplP1fmdP3wAxC5yTekWTz48x4qnTmsnP/
Qjfl26CPaGRkvZBprbtzxzad8QezT5wi/Sp5RMG5Mkv9O87eJ+7XawXhwJeLSlTBxYrvU/Z85Ei/
OfIbkhjkT0wfPRk7OGHby1xl9F1rG9UGWfARV37qoK0ljoJFPZ3o/Ga8EXn+bujdi8QavHbJHUR0
k35oqSc3jdUHYUozwldTHIzE8iZmTAHhE2OTauM27pMzNFUQ53N2TB01b1xWAaY+GGwsPTxXw7Cd
Km9jh/GBzFmWw4HyH7UtJ7z5yfLxPeTqVbfIL+u7RwtBg2E+5XQFMF+bD5aunE00eGqT6bjnZm8v
XPLEResFUmDMTCb/yTHYQDpddAILjDDJHkkeH5rzOITHPiecGy3GL/uut7mkYzwa0ubWx62iSJ6Z
mFyGqFS7XrJzEmCgBs3dxhp9LQm2cgMFGBC07dCytUMUld1h6lHFK9pUayC+B1R94Y7rct3HU0dL
gBmVLRiHgtCioqExJlq/O5RVymJkCnByITP2kilqg8wF6l+OH8z5YfkJfpMJXUiLEQCJvQiq2Hyr
w4JdXHTnGN07nZZ7dgEY8fsAaPAnKqUtUh2up9Zl+8hnwE5cXOvWempmshH84j0lmGYFO06spla+
TfySms5JnZQHhz+b4bsaH43oWHih9xmHmKMyO+/vpogCPE3m+ky3cxjH+UmLHe/JLoWPmw6hYpzw
NBzDaY9GmM7R8lTankDXhbl2eabHrvsYYZWEcbSu7Wp4MTnXnr3irmY0IdfuvBsy03pO+F+9EI6x
zks7fbo9wwKyI/Yh5oZTU9T8GxAcmSX6zSw8Id8oHwSezYfuSYLnPbuwi/MlM9Zf0mOXzaxBMcs3
FPDi29fChhzfZsjZRyXSPVmkK5xuj6JUUfk2veOeiAp0T26n6NmULeWJlbOPur3o9p3ba25PXYxO
TgiJWS00ND2uISGHeEoKwPi3L90e2YbHUPz23JsMxmoVedNDaP/rNf98+z//RvcAzdXCsLe31zRw
RP/1r43l/9JXcXqXb/7z+turnJLi2gpZy5c/PI2wAMTYiZYnw0Jzpa1jbzVFP6HXEpdKlRmlNiEK
1jkbXJnLhxiN5BOMkX2TJvGbxcbyEBkjScPLq8h71dea8hJczXzXhVSaCZfPK4oB+Tst9xPHOsa1
tAiobuVKJiW3IcPaCZQtMmcr1QHnWxNSpaN3KCNmWoYZcVllgn1+n3g/JRj0TVE302EACRLOJHHA
dEi3QK3bYPQLD4kBsdsg2EPW6Hg8ojTBTIj/3HcZkWJ7CWzI6TTF540WC3kmuQIvX8eTomScLCk8
BkVHBujPsctH+9hqUMh8co5X4LDHA8qaylsSDPT2aHL7wvf5NyK1ITA9rJ4M+I63gwVvGzIP06B9
Yk/QTPmG3YOPp8TbSdAgDNiT91Fr0CTgAtmJPIRX/2OHaHFzCB8stG8gwT2mXCBm8j3iISQALXA8
K3Q/hQLnBbs2vyfkOd01jvqrOTawe8KwKB/O+ajhOLDgLOArgliZiRBsxsC+njetd2UP0mQR002/
tj99EpqXBm270fzm2GX585SyLueoJFj23NMwo5q2G85yNHrPdRZBeO8xmo/NcZzsX6nAVUoHi2UR
Bu4C/eww80VE46FjGT4zVTwrrH/rIfOPecPerBju+DDPZjF+a5odhDLcMOwklNk5lvEAN6jWf4Gy
YHCIzes8/Ko8N1YmwoeN1KPPsYFoplvy0eyetNZo1hDH0PYKMq7mDxvfQKBJ9zo47i8TxhWJyMys
HN5PDKx3dNznzZTqKT0h8zLRWAi6NE3XOVaPtaqmlwLxShKfo/aMJviFbGAk9xBr8WVGxKLMDtbB
vERJfTcOvC/unBwcIgoa8TmMScDaQ/5QTGO5sH2gE5RStM7/GKK6WLxrq1RZ/iaT4RujV5BcVXiY
NX0iPUTvj8B1Hxo2EnKJnaiYdnVNYh+TsEMDT/YA80Y+XiNoSI1uYXQVHvliCrknIj4PGgWN4kFl
T5HPPZvxN1Sy2sR4XyDCs7pCQveWMkjjbNzSP37go+n3k8OmM8tKUnFq4krSPmQHbh4RqxA5OUvx
6ri0erXe2jPCE3uL/2uTaVuQ00E5Tqh9fKPiOn3IK+RCPVQEbCQGa6fk9mE14GPlcvZ1jX+ENr7Y
sRAaIj5eSW8iJ2QgbWBu39qpWvw4JienAbDf0A+aT8Or4kZQ8bZFDF6iXuK/0mV14QZud1VFd90j
fckhW9fMd/AVEfT1F89f5DOu75ODvCJDhquqtNVWet1vwmCXkIQY5W8Uv/j0/Py+DHzWoIBRGX29
z4ainz4FYtFhMn5bGLqnvGhPrFywCkg7o7IDhLlUaqAEelQibg0zMW9BWynDPthj+Dyr0T9F4lJz
2hsV/Bdrhos6mUy0Z32RqeTu2irn4eQ7B43u1N6fcixgO1fFexT5Z10x/eSax9xIPGKK7SSQbR5g
2oOOoijRcUApHDITcIE9+6JqfUN7/X8yuynAMv6bLh589B//64fOQD/ffxQ///u/XqKP8vsDEPvt
a4dvkOvLP/iHy27Z/61bDjN1ZA4gHg0b3uv08y8uuw0PXfieAZRW2BZAOThXC3pd/LeJsYJIZtu2
BC0vH0rjv6ns/y08wbXMTzMdF0Ls/wuU3YS//l//N49NX36QbTmebi5UXGMBQv4fPDYX64HI0/DR
GRSa/2lsUfMYaHeKH40krU0nknob5qBGi8H/ci1QgY5Zv5reCBBBecglkADRBLJV89eM7BPW2Ytr
eZ9Kt/YSJOrK0DzEPD7FpcXtj+yEZ3SwiapfGkwW63wuPqZe7NFCBTn4YqR3z3kPwUi4g8BEhV66
9T5ih0jOsmXR1s3fTJnjmibeCdslzNavvEj+UKAVQWyMDohF426ChLJyrPp7HAGaNaT2FJ+0VCHz
pRpiaJ1iVrnTV9niwSSLjH5+rz9OTAAYkPjoBkGEKPaiblo9mkSbI+uCGmXKxxL42daqtmLoP6sO
vRkmrzu/Ex5/VnRlgCjeLLSGMNlIaLE3Gj7sbc1wohqY68eJ1qCwQVfAEJ954MvUtm+N12/1XKP8
agSNaONsdox2C8r8ex8NaWCR25vr1GA+2/BNKuod/LSSnEn0hD3TyazyliBbH5JElC9CacRZg/oy
GlbocSZxz/FeC1nDMJv665D1bRC32Gswccerse++EaOWK7ItGA+X/trJxmct/RSycxeESbdNZ30z
SMjssVc+uCK/0PvdJa7+Y5fWWw5sjZdV1IL5U95QtpU1VBkSRcqQzCbraaYJC0mLuo587PrYLcrQ
afzB+TDf0xDdJIt2tHTP8qbqQVNa5epO9gIci99Ve8S48If8v6QVmIxqxzuxaFNTRKr9olYlsDIh
Sv3eAfMPp82WgSiibewuPJ9ySTTNzSTwPeUz0fUPmFT7GjWmpgJOyg3yu2brWeIBkTVDS2N+dj1o
L5aPc07pz6PsYkTDxldluni4Fi2uiyi3cVHn5iCmTFz4R/HvgxdW5JAtut52Ufii/+sgNdCjRvwL
W+fQZgWZTho7dgts7qnyrXlPINY+XOTwiUVACjrFu3pRFrO3JCVv0R3/53D7Wrh8gyAovH8WzQyX
LKt60S6TL82Qh/wgMnvp+qBvVmXxI8GCMoWGlIME2nXmbM9sCll0t8ikraSujrdH5gyfbNFRg9ZB
YL1oq2+PbodyUV4rVGKUTTI+zTM3uHxRaNuL/aARqLabxYOgVSi5o0XTHS7qbl/hB1CL4Psm/U5v
x3pRhEOVvnKyGwHBlGdhzZ9mM3cneXEXLbm+qMqzRV+ujSjNzSlDEdsjycVMYC9qdKiR7dFbFOqY
71GywLIEor6vmX/TfkTOri/Kdq0Y+yCtjXorkb3fftPbQd5E8bdf+vZcLJp5e1HPT4uO3kdQz5L8
MWYMvcv8UZD5HTC0QoW/fEb+IsW/Pc0E04xmUeuni27fr9xLqwkViEXTrxZ1/0CheOyWQxhd6OJh
fMQHwAa7oOG6k4tRYFwOt0e3Q7R4CSpAHzCGnK9x8RlQf9DcXgwIZIwxTeqzX4JVuo2+eBXaxatw
e0QcHDQ8fAxVOz93GajAevE49IvbQQMzuISqsUuIfsJ8UBvuPf3xdkhjE7eDtUkW/0Rs4K64HTAU
9f88uj1FJNsF7O9HlkykuWoxZeh6iEljaDBp2ENDGBvKVBzSc5AuKvx4Odwe3U5tiQP5aH2rxQtC
yROPJrMN4L0rB7tIqPJivUih90xkjj2WEjjmYgfa7D28uU1uvpMEB4rhvHixG24HrClwp/uD6rxz
Q2Nokyz+lR4jS6QZHn0F66O5mVzsxe9CChS1rE1+Zbi4YarFF8M5rP/T17RRCXWLe+Z2Dt/OCWvx
1nSieKpjasv/Ye88diNHwmz9KvcFOKALMrhNb6WUl2pDqKQSvY2gffr5WN2YwQxwF3d/N4KqqluQ
lMyI35zzHdcXzunvZ5HMy62mL2DM0nprtERyXZoXbxbdvvXcS4boBVrN349TmQFvyEP+wiopmg1L
HXjhRrIe+0GeIhvbS4BZbsXvseZ/gvp/wqAjl3V4KeryjJlTYIU5eJ0B0cflMfTzSxywB3LGpN9l
bIOPRtpcITgRbhDnTPcjpMSRlTNA4YNPWB59KN0B84o7rUGS2D4NbsmCcIMPVBOa4COKE1HnwDVg
x85TZh6dyTy7ur4RtiKPtTYhi4+cn7EzazRKIZKhqtxaYlxCCjsCM3JePKlKCXKSMW6AQOTo8ek9
E6tXZq/GP3+iKZQHNGEsJfv0Ybacn6jMU6ZtT3nKjWHIcNOaLiotjLaobBC+VX7U7URtuVthsfp2
6uCzdwZky9UZOT2/IyDw8Twf+7+ZwLFRbo2KF4b9efIROsSN5qU7H0t059LAqsCYCwKPvRnmeqNq
ad0ZLhukkZsRdfEY96wup3LcK8t/dWZWe5XrabTiIl/XM5VQFo03q9LGGQUCQg7LeKg4wddVYJCN
XiA6sqdsAwxnTpLxmHvZdxvmL84Ie69tOlKRrJYncDbxIuR+y2U9MZw0F7xuRgQJmp+L7sXGaJKT
zvJNZS0UG7bwW+Qr866MI4RVglkkyeyjtb02upE7N0e3JhKR3A+lf2DZ3BDjIr5N5GR262wnjaU6
nn3jYDmGfKNCWnThsPemZ5hLMb1h1J3xKI9efCYpg5QKlEiJY7/2hTOgug0YFARVQmP+CAzJ3jZL
u1JkBxdVDt4DDiC3IQezgFG/hEyahWKjhuDDV351toN3Ew3iakBzsK0QokLcoewb3W1i9tXGjxqC
u8akgReGvoOXOHJ7hSUivraCnnsW1pcdGuNVE6lXMhuFH7sytbfohNhotGbORB+J8tkvNNwFVE2M
266Jbopn2wgOqaOPRV82dxy9TMldBR0q777rflhNiVMd4RzuzZRYPzs0nV3daw56GHkbbwgW0fIy
jOEZKTWJh21fHWMtEHaEJ9k1/os5JPlOIdpcdTybDN3tn0QS/eBEFWbXRq5wa6NC9CU6zoUobobT
jrSu7uK2w7TOJArNpvHinSZsixYuFEyJg/uw8ZyVZ6eMlKISqKo5cMtNUEjHls50qheh5QxPN44f
AyX/EIaeretY4PCX7VcWVn+8eP72S+Hs/rb85PoA1M1UtHfQwZ6Swj9wAjorpHhHgETeQTQfbcB7
rHShCZeUOAi4UKwpmLH40gycIyuXBefKq6prajgv9QRxYIx88wO/4AtNcv1oo1uIaCXLumNK0JGO
ZnuzC5gjRuc2I2IZw+LHNaCd+cvC0Qzzq9tO94zoXqu4ZQcXiwuZdQOPwBgS7L3Wrn1EfRtuUJNe
MmYK4EJevQHegeNlX2nrn2tfstOhrId10aNCd93mprGGrGy0xKTkkMDS9D59uVl8wFe/GEH8x1fJ
sGLL07MjjS9CO2dW4O3WdxkLl9JqtpL5gdElTxnJ0SqsTx3u1N2Uie/OjJ+b5J1fgbgfdXVpOzm8
trWGY9zkb65iZhxhydgMJU1In2Ih+fshSvp/P/v7xzAN+uPgO5f//nvHLykK7SV6OmH1YWnjd4Rx
b9sX6meK8u6xGMD+zALCYpex11YPlG7JkQvjPe3bZwTy0zVs6pO9DHOYy99Ghg5DGocAscWjnS1P
/8I7+Is5sGso3x1TMtBTKJBPRaA40Bc5qxVB49+3gw+mLyIqyreNLynnhYKFDjTTX503OITlqD/9
hCMfG8W7ktWzmY3ONZdM/YWHktyVX5h0sWmlfr8NMcdyCrt3ReKGK8caL4I34EBq+tp3I4AcBlmk
VWa7m9iDVtAg7CniYwbIcVVySK9wHvwGIPfbsvCp5PmjOYZvo5feE/8KWgs9NYtbxjmwyPrR/tX4
dBkTV+GNXO7srjOYI8kstX+FBemITrpkJOMuWTMMGZGu88Hw+/FUm8EPt3S/6zJodyJ9Jniz2QmV
OuzYCGXHJQHamiWl0/TfQyMfwlSbhEyuedpfIlOVDF00uiD/Ps6mj0G3xkHaM4iZumWUrHADGXax
z+qlE5OgrGUaHkcjeiVcNJkYgqJGvMWsbK5pBF676+DiL2NzL+2vRVrqi8U72eUS9IpiOxXz55y3
6i7zc3XsovyxxgG6qYyQlWRhvgdzJvcz9zfuRbFIlELuCXNv5sNDn9EC9UyolECV0AYDHN38z+BY
H4Yt05Po2akW08h4LOva9WzT2rVbFMv3foo2KrAEcuMM53Vvsll1aIKQiLPFaZzxVCnnK01xgmdk
b49BHvJvLq8ztdbatpR7l6ZGSmmL7CVq53t46qs2qQIeD/DEg/LwdkmEBS3bmbmNE3wJyZZizT00
bX3m0f2yq9Hf49ahzMozJvpj9WINVrLO0QzyC2Pf7xbOCT0OG30Z7iwbbLHKooNnzL9d4O3gP/Sl
IfgmGDhg7aWQwISz08BLzm3DuB7RidxgLAdm7YgDA8/43JjWPstFc7Qa2V4SIGlJkg97kj42bMdz
tJP5ZcbuTamipoOBqfvcuNE5ZtGVxcuKddjaMobUqszwmJHjsWaV1pUzek7FpC0KsGlNhry66GzX
KbIHpusbM6lO/5ilG1yZInTQXCLFIT2HiawPkS4RmF4Yqtwgq65QAAKCSa6eMo/HdjBH3nrusY7Y
7vmIxTDFZDwb3cSYYULwtaRumGj8VuBXx3U5B8fGj/4MJnEDrfvQOf6urXmy7OgJxsY6l2Z5NEbq
w6p0qGyd5KCc9s6OOMGjEDufURNORkonYWkERYym/QAp/xdbYLmHDMIAcyp3dswPSQE4oc6mVfEJ
9pgeo6I+RhJ/huRkR7MLPp/s1sMoRYTgj9z6Pp2ueWtwZmvzMC1KGJtM7RHUflWBSQLHiwGWf4qU
IrUizmt8HPojpLnl53c2dg3YO2Dk31Wk/5Z4i8ssFSvfjL4CF+aeOaOFd6d6K5HerhkLiy3vdTxq
28pvxDmYnArEMaa+yEH+yaLEx6P4yf9A2VY+jl3RvXZxzqlPXJoZAHBjNMYXDe9y/6s+Zo0X4tVp
xEVAMl3pxSrmsA4NDf9Vh1g03bSrNsLetn1rH+Z6hmvSmhtD+L8s8A+nJkRBWVmU8JwXIesjyQqI
Z9ZdgaMDxmuoF9PjW228n6TEXdj3QBC8iBMua9COJRATT0NsvFp99m10g/cKAeilYjZyHCm1ViSc
GUgau+LFrkcKcDzFRpBcIE7LTTvYEOQaHDt2M5ztjF1DnLByrOvphxy8B1HZ2ac5mIz9XW948SZW
6BgDGWyKB8ln21Gr4Jp7qj+UwhtPsyqGE/Yres140+UQg+bQRD9EcLsVZg/k0YktvmtSDZyRyRPB
eDIdiPjBHzn6KCUbd1BHGGrjmbTu8QBSvDtPIL2nDAqQAXA+6Ee5IeZoPHTe9Et4iYv3RB+sYYoP
1Huktkd4lzosYzCJcRWUmqqqt4MTse8kw0S0atEMGK4ayGhhLfFZjv2MZnvo9uNwmSMlzn8/wLL6
9zPRCHfT9KZgDlihz0NuuRbspcu8+CnnuIMAuqrMVu37XH/pQSXnJNrqzMSuj95LDjNYjeWDX3Ka
1zHHR2BCHfHpTTB1ZldkqjVepRJnJWKYxjGLQ1LRDIouf5lZccUpwxG8/pwWcjDuJ065SxHMABXK
avo9rpoJEoXBRPDsLLJHd3iap/LghVV69mtfPTSZeGXZJt7hZhJClzQ4wcZcvGOmulDcilXW14CF
2wkFb5Xh8gMydd9Zm6AH1QZqeronghahSBm+k84dbnGuHePRBTnffxADI45+j46wrXjBp5JafI6p
n/GAfI7gnkn2gwBdc/xtLV33x2SudnogbCIb4ExA/cMKyhB83WdcPkOWW9vJt/tzb+v+jBpoeVjG
n8DP+9MNoh2TXjkWm474LYaLtdw4VameUPJtyiaNXuoyMe7AXWerlnfru9UvVgtGKfu6MTq44I19
jN3ukxzb8tayQyVGvTyS2pu/m+g0jvOA07YJgKyYgPAmKosy5iAdFqQRDNIvXy21fYM5O9XffuvV
V5iESewZl4TLiprTecDPhDRKyAvWmlLqy9Dbd7VZtdeZamePFOVTdx6Z6F30U1ThnW2/VZlc6Pgu
ysSdU2bmyS4TpPBspRjj0c6lOKE9/0GM2FAQFaBiwoIIiqw9xvmDxjGy61LY+1PcHQfpptsgTD7q
zuNdTO/aZa2xHoLyk0a/Pg39m0f+FRf9sCP56ADESe2S/BtRU7phlhiu8Tak7Afb9Irw7XscQ+8o
wValqiCz2JfPQaadbelnxVufNg+Jrsz3IfMus9dcGjB7XY0LLV5YlW5TkajMvj3xxedUuQ8y+kPE
XXC1nEMRGa+Fodl6Amia22Be7I+PJegIA+N8ChA/K4ynsUoA8mP5pvYzrPLLRbYkhIK72IWrLjCm
S1/hfSe2aD0m4jYFvb5l3YCfnqxy8ChnS7y7C3Gs9zicg+VqdMnU0MSObvxwjNZB0B5TQVZKgYBS
Ol9WEL2ICm8P2UXYS2X1EGeaQVVVbwj6cXB0hB9TRqh96fd7K6CKaJmwVTWmxRELumYHug9igIVZ
AJWgJF7q5DoBZPTEm1/YKnSJE72OwnbYepotMwifBhCGzRwn3VoDCSXNS3An4c5tAffhva76g+3C
papdvz2KSYk3wyBLxJPyIbEN8Wgq96R8RNPCFleyL4i6E563Fb1bn+plIPv3s78fAmk/hlN7gHDA
2LdAUmmEhGvn3KPjgBFLFuJYMdm6VYPg9udLVbZAbsi6aj+b+Pya+bVtvBUyan1MTXWyZgjpPduB
3nszfVqzskBokeUn3VsH3vFNiHPYSQ/CropDkS1VOqjfLFPV3k/916T4qM0WDUI/RycR6weIW0Ba
/Oo6NSSfMReDcCYKXm7DDhBUByxW1TpfMkYs6f72mFJvGVvep668ScYqrNPpEWdd71v7GibF8MiE
66lw6m0yFXpfsDrbYGK4+kGdruy+Sc/DkEpyAXiYPEDUW0WfIwNqzFoeRtIFjqrBri67+LFIrWrr
DsOTwnEJXAfJZExI5ohPZMTjtDUF8HBYBGSayAmOozLks1dxiftSbbOyMICSK358fKhPBNN/R9ad
y49NfnvP8hVuv1ngsw1QcN3MneUrpq/YufYYiOTKQESw5InyDifofvZw2AQbrxnBNxGFw8G/iUIL
iJJDdKHIS7LcqXbRgKMLjoMGfx3lVQta6+xCoA+Cor064FPBwEsXjkNirU035u3t6RerGI0jUyk0
AYpeOl+y028aJOKVM/VVaAqxB1NzS8uwabn0P3IdfwPMWpjwEb0Cp+Fu7LDpuPOFS6tfQfvD6hv3
r2ZYfxhWaz3Q3SimnUm9wf11lVCp2sizL3ic37yCJQaQlnBbL3V4kn9aOpMEtUU8AR3DBRr2u4py
l/bgWcBthyKMlCiN4TBh6gAEMcHItZArIuPMmmy4N5xsy/uA349qHgqrPKPI7ajYDLHjK/u3vx/a
iSJmNqlPPM/c6EWVO7ItPHsGc3/w7an1Xiuu/DyBBhNPPGd6MJF2A3vCp5r221STHty59pM12/Ut
VtHOnprlLGU5EubKWnl51+3zEU4CBqQCLaV/RF/8yfd5Smf7T2eKW6F8djfgE+iJ74O635dLglTr
Br+g6rjbEtHspaLUXA8p4gsOEViPM8xpPXcM90r7ubQQMs2Bzf2E3H/w+4CVp6DdnsLn2ksekFye
2P4fgmYY13ncEJ8yACJjXOI4sWaanO2V7p5DQAT72XDXwjdd9kfBedToRtOs/IgT+9kCPPtqeFBF
eacWdKgDgsC8uameAYWy0JSCBsWrsTGQia0WYjrDr0Qy6aI2bYu7Wrbq4LEWAXHd77AHXHGLG9vS
1cOeUedGdEl2snhUQYWVXnYcGuMzCGmYUHIeYmIdDTM9VEarTo3Hxphp1JogJCpkFGRrw0NiidC8
OPDeP+g2bbahPZMKga8pVxGaWp2l7z5D2DBt+19ojdWuXzQwNQkjd3lvnVMUhFR3JxSwiMaNwtsS
stXdp7aP6dN1p/eyyzE0C6c8JI6r7/66XVs//Z1x6gcTRqog7neWaVprbTfJuhJkgaSYG2/AsqNt
Nnn5U6Mw9kZGaL4qUgtWLGceSPMY3z58I6+/EVQjaDHH7tYajjjqzjXIs+zEs3T877RK228Qt0dV
sggTShLODYLSJPoBCLXpiuQJb3a3aszE+Y74nhHRjYwuC+poCygbfjReV8e9cFDpi+OwgWZ5Vr1J
VT9p1YTfjeUAyyMEh66jW4W9/dlK1uZA/w04ywFqfewgTG/ZqfWAEZy6Lr7xxBO/8V1j9CNMytO3
pJkI15YiIHGz1s9IitzlgMvSvnsWEIOZ/HrtJTdJh8WthZogsHDj5kX5ZrXiYZbu9N2iBzQjr1/r
1rGIRJtQMPHkraRSyXFyImLNEiWPmWlIUgcCeDmKSKYOO9hqQicw4AL/M6XxBxy98DXxW3/tCvPU
keCUyt3guS81p+M6svCrmLSjLh7TgzWNBrZ7781wLbXWxcz6vOZtG7CKnXss2GFbPDqFe1E27nJG
+fKQVbxYE5xY3v3etGkSyO8MSbm5VHOEuDGsO/nDFHEzNsxtPc/F301OJtfiNK5EFb+72KkaXBbU
6+Q6dil+7aw/RnmsjizLRjYG30AriP9CUNuAOd/2QBs2ue7/cEBob74UvIKInXZU3BnPQK3pNrtd
vXzJDNv/xjWG32kafFZucUfOUrHkpSBDs2++R/oftBCGc6zNrQiZVWp/4W+MiDw3/zC2fjSt7oB3
lTRf4CnbuJ1eVfVLeYSyGj7FNQgdAh5jOvBSEP06obrudv2nGycl9yi/sHiY/9CVH6ZiePVk8eDR
oFg+9aif0JdOlEeSFyFUJL24oXH14uRodKO3geS4+Imdb235l7nIH2Xh/MG0fHVE/4uLaTtWktyL
gJVy3Vq/+F52lWAdNFbqiUwstTJirvcG6NPaf2AJ+KQlQms7m7ZQ2hFr1fMPObv3TvreGvIDQHqN
z35ACQ9UxM/fVXLpDbEyFv9cp8+DULvKs3aO4hKKsl/M3yg22CWZhOB5Hmt6X0YnssmWcObmffYy
FpM5h3/yrUMC5PuWKVVrq1dssbccnWBppl8sY06TRXOamKPagO6u2HsEZxeiBtgGK9/V7XeYRtUt
6h1YrX26E2nwm9P40lo6PJvdDPa2Uvdk3a9wpZMfI+SOda9M7WIDxJR7K3SQMc7Wqa8Tsi0iCAeB
+aGjgCEjiKQOa9TjEKbvRY/2tafXz7jK73llGNy1hNgVcM27OWofDcIrDq1Tu/vUCu7rJQ21BGF5
mHX0YibNXnq1ecezcwnx1p0CL5ru/Iyaf1RRtk0QdK59q0KwJ9NfbUtlAuMX+7Kxa3Ra3c+1gwM5
ic829w+uzJCS0eKE8X1K/ShScEXh9gxNGDKZvk9iO1q3HcLKhKDufQGll2KrXdkmERf14JIGpAeu
Fsuc1l38GyR9wxcIzU0WDIe01nDT6nPcyreuTVi/dcphj4r/r3HPRXybIaSvoA6pNeLf3wOZqBsV
gwKzpoH5JtlFczB9RghnNgj1ipLHFxZ3d8hC7wmDn8smj4QXwExiZYs6PLNbmDchiK5lc5MSnT78
+0HW7PLl2Iv9P/+gAOhtBkH9IWqFxfm//uu//zyW0YT5fOBnHrORsLr6BR5kCbDTJZNxtFqPYooR
KjkQPzO7wgHWxK4h72MlAasriUyIjDwqxK74IFgGR1jpszu042PaTXvDNvd+kHzi3qEyRvhBLYBv
mowhJoNk4QYepV60mW027X6ZIK4tUWc6sXqyGZxsCkIMNyCnGwYdRwYS2Tp3qZ7ieVsGHXLF7ATy
ruGmgrvsWl/pDBHJ5wBZoXzbChkcBeMY0khxc4a6+S1bl41r8FDjCeJED27444oNqW0wwXxyxewY
YpxbfteLMKqzCQrNnBKAnv9QJZjJM7QvEGikBHNBAxZ2rLdGh7WuzBGKmfix0UMDkxzkwrbH75l0
Z3cyNl1sAr3W+ac5yvJU2gVz2vZRJOXTgHhjj47kYLNnPcV51ezqtGYhHTnBscD0i9+DQ5aYXCAD
xZBfCAaUxxHxdmSi1hHQ/elNm2qHhQ5EMyvCTV5Y72ND75pZH4FVfs9jcC0S9Aixg+C05I8r+GJc
0yjItiqJcUq1zV2Y35ex/WqlyZcjsvo6mRyRZZI8kegxrrymSxfg6iNuEDJIJ3UNRbpTeJbWk3Lc
ddFQSQoWsXHx6cjpWtf1s+hZ1SaVsg6ofHDOp58sUn5MMpnWLDPs+9jIH+0g+i4hsQDd41krgBkX
KN/mhoVZVhHgE8ZBjlo5/6lxMe9qUhKSOAw2rsA1F5nzrofef86DiPliXH7OAbN5Blgx018iogov
yE6NXtWFDrZm7xf7tuAYCqmxLeWEa0+Mj5GvH4H7vPjO9G7RY66DIs+2XllTWqZOfgeJ3Q2fqmHG
cGj/IYCQLBqNBqWyz+x7mBDFJGqllXkybfujlyiI0cY/tg2oD1WTUojm9pQi04RGm3zMbrcZ2o58
z/nZLBP9mPnOSllGcisrkuMLsXGGiDwm9CUEKfHI/n+h7PSP7pWk5v+7UBaLW5aUn/9n96mq/ymX
5X/7Ry5r/4drCtc0Tcf3PUGQMvHB/8hlDfEfuFMCbPkcrJ5D/jNK2n/1shYiW2lzilhuwKlrBqSW
/6uXDfiClsVdg+PSwf9pOv8velkClJYA9P/OLxa+kL4lGOMEfHO2I/3/pZdNbXwRWWavOxF8jfDi
GWoJtG0FXCpdSxqd1gVD5vccDJV5KfU26yzrRWoKMuVgJ3BCD+Nh7MH5hchDWg7j4CQ8mqN7xrCD
lCXhbY4X4Zth9m86X2aPsp2AVuBKjAwY35Cn5LoJxuzst3+/+qlrnd92UPjHRqE06JRtbSLRvbnZ
Ype2Gm9NqYtHPIiMG0j5F6dE+4DuJtoj1/qeUkusheMfirZhAgs6rrfFU00z5fv4G4mwYCPTUuaU
VvKMaXJB08SMPNuRnG2uxvXopLushlsxYYU/z9NZxMZ0Vz9bNYINd+RgcpnijyGZW71maKPyQEEg
+j2Sa8ZZHKRL7zjuCQC1csz/Dc3HQU6n3oTSD3Nuy2iMBL78NfH4Kb3+riJZiSNU3cfKukZFCdh3
DOsrPI/HVEI1m1txl2CuX/WZB000e0VNtLb6xHrp44TiMCdgFHsJFaUhg9VUG2fYGdmG0E69Mkl2
WXc5WO1hHBbsEXqdybuCWGIzN30oq9mz04PrUU+7uBqDPR3p0WSHsqJkl3uALcz0Herb3kMLBAM/
fAySUm0yPCEQ6K6JZH5SDBlTHrK/LA/6eVor1CBDv4+7pLpkfvmHES88VYkH1gx1tRJEDhyG6MeT
k4mWswMIEj/X81NR6ukUxfwyEkPGd7bK3zDdzBu6bt0Tc9rjdrE1COjAs38HnnXVrsHeEBRXkxAN
xeOwjqhlwjT3Dkkqvkew69oq6o3vO8/dZCZ74dS/k8GcDpAtyAxOkcwxj7tlxkyRoXO0FHCLAQYC
Zq9cXUPYD35CODCFxMkdsNqYTZ4gvMfwWsraxie4RJC19sfM0ryk4jrFuB4wZuysufZ2bazgFAAl
R86VFWvL7bJ3r1niRcWaQEW0B3n56tvFQSgGjkDepryPHzAzXJlebWEW+OAnSQP0dPvuDNSPdUFs
ShEy3ozlV+DUM/DA8aUDCgArQr6lhNlZPcHxPqXLin0QFWT5WQaqOGZOcULKXW/TKmlQPfc7P3B/
bNFTbQrW1EMeB+taNXprLIbDGsVU7IxAW9xNge5uVwHRY3OBHRL7GRIj3OrCiTeukz8OSLzZ91rP
ptVufNG2+3oYNJEL6Rq/PdCvxgQ/gcqLTuFDpM3HAKlug/X8ZQYitppHh4QIoUB+j/nTqEN4a6H5
ZoXWxa2zPx2mta0/q89Q8U5AjmrMZ+008clrG/Iu3eatN0ooQIu8VlVormWidlGZtQfgCQm0SUoA
VeW7MijXbJzujaBw9rVob6ORJPt+RGO3wmLHWylqdwl2e9NDvBqFSMwLCHt7XXV3RhXtFcq1XR0a
b2VSkbFcPLc+PplA7asit09/PyjBhrNz1Qf7xNc690NcuZopqZvSNnKnY6/rydpuQOv67OPtPmL0
WFZkkA3Rw1zQ5PcuZlgoCvYS/Hfwm/K54dDeEFyzm4buswurDolo8GaQkmdlsb/1ibk182DYWgm+
9HG6dbpJL50zqUOQiTvlWcPJvYaLCtmxCZxXivX337/VoY8ujSCakflaGk+Xjuvo5Ag0nVUq1alw
jinRUJt5oMdOXHZZFOjgwmCb0V9vmpRNE7GH2N2IljsJW0cseQmbaMEG6ankO2pVt26yEjPaIu/t
eJFqIeJN7lPKgMh6cyYvpd5M9h18eX4Hmb9CCX4zrIz5kSSAK7Aj4lSgituKjIDR5iu3SPw7q36u
84BfS0WpxS74N1FI09o1+QYxyJEy9TlL8xXY9v1fFexfjXRaiasJTGfjlfItTvAwtEMvSJvxv5Rh
UjdRELOdwmvZOh6rxK78xbXWM0LrmwvD/2BrezzeXgFzu4qjHW8tmPBLszx1NXtaGioSGfZTpC9o
W0zaxPSnDIChabclYmcRolduqXd5Gb7EfpReLFGgNHL1RZsQ351IHDP/GTUZQkPHhuHkmT6ATZSz
ZfuTRoS4TGqYjoFftRsAk8PKHvSw1ar84y2716En2SNAvmt6H8Q7R4fG6gQ7y7rZQo1Exq+ajdsV
8lCnHmEdGXsAG8yrmWLD6kcQ8K1nHoST308zlKbchQ4zAfpfA7+bC02bk2Z/IAg8VAV2OLucHkFU
oZ9uTuXclvtoZIDAaJd5qRO4+1I5e6NHMhIV8m3JVgQ+cEisFi1FeTKx0XcTpwHZM5Af8WRE4O+2
guUnZgNSAGUDmcXTabT1kDbLuXwzi3Vk9/cMxiG6SOc2kDYG4yEDv4CLezyGavw1KavGj+1sKXOe
i7CCDEHjy0gp9+ZhNTgXoG6gWmN9HFRF2GzC+rprNVhjpMLSZOLkzufMXi5w4nihiTg55Yk25IGc
vTvS/fagKULSXIFl2d1UnItaf81m+JTPiA68CFvP7GQVE+6GI7+NcP8lr8EorD02h1+JocXGy4YC
VADJ5UU8rkGNONBo51s/xvNBeO6VGvFXU7FE81DyAyjWzaKqjiFys+sa+2qJKEJwahBRxoSmX/lT
V+xs3utb+DzwUyH5ek0775FLfeVB7a1cP453Y2HvaG58S2K/q97HkIkAa5fdrCe5zZAdxQM73yqH
pbOIjGveIlPZZtc6630CNco75h0Xz3T26BsLAiW7D6O0Xoue4c04AA3RFkCH0EUs5xkJLAkEQ9Vs
7LOo+OTJ2cezvMzKv+GZ37Rd+4LcBzuovUsWHih0XL2tAiBO3VMhxPtcWO26oDs0G+mBiVIofSck
zoW9hcCA7IRHCCXJTbcQDaO4mjaeXsQjrfpuxHi2eArx5DxVfvhpeZoLqrqMwz4LpjNDDqDbSH+n
qaJeEMJY1ZbDtTE9yqZob0HGUTctuahNQqqccBCyMI3eu8mzzSwWeqMV7ETndgfZ0xf7jmev0Es8
+SP2EdZnLIGH6eIVKDW4kRkpjoDE0qzSewI4cCBbrYaCUIIvc8m0qccvrCjV2pLF784adqPXlIyo
LevOzLn4VaYCrvCBYXw/DitREuCYpeM2VQtcyOigy5gfFpKJrcdUlz11dDCI8xjaCVCLBRO+dxp3
ixoG13EOs9Uz++wgWzjkOqwQzkQb4KTplV05SCBp17i4vPRSVTH5f8uHhCrJd8r+MPccFiyNGZa0
jINB/HA7ameDNviM1WU+GWNc3U2VU95Z0GeOneuvDfe56pJXJxmtW/qoQV+sfMtO1xFYwSn5IAFn
ecGcWyiDFz251qFh5Q/sOURFGQKnwVw1Xkcu86yBfDu3j07u6Du6inPsJfKOA/t95nDct7V9Qe2I
CAalgOM6/jbQnomVhBhr4hWbe4qmXZX7zxXZ5Yhxna21JF901VBuppjMODBD/jbzI5j9nblIxVDC
DotFw49RElYSNbzTG5QeD8zVMPZzDqAnZEIbLjHxi0HJY+Kxrmo0z33Sc7+uq4nZ4ZAi1Apc8lXN
IFyDP+hugvgWKhECa6gzjN66Zzm3GXAYjzHnTE3eif1dtugECw3QvIf9XrY2k2DmGR1QpzBgWx97
C4SDlBP1liF22pa2RecUo0E1SIabeRvUnvyi4Ci2vghbwP0UfkilgvwEY6kBKgAeXA/pr//k6Mya
G0XSKPqLiCDZeZXQZtmyLXmtF8JLFSQ7CSTLr+9Dv3hiomtq3BJkfsu958ZBV+CTEY+K8nfjBvyX
rPpTed3BTAdqzcomToTRvIPMAMFbKyJDqWPKCmNbkMW1rR2npwsaP9pujlhJJHhQsl/PdW7skyNn
oumAGlQw3BQgX6yro6tbHFeoAdgxbSuXQzw37GiN09RDctY23M1cST5EAD+z595gZFDg9v7NbSGc
rYwwaEFXp1yH1AR0b4b2Nxynw2h021Ixw86o/fZMHqsduT6nzEjO0phOZSzEHfB1YuZjskbl6O4W
ab6yic3287LuMGGhZY5/TvkUCtO41SKJ+lQ/Y09nXwGgGzg5k8gw0KesKr5zGQPbyVfarls+Cr45
5DBXAD/pbmF7apUm9G7o/g7Ltxl/vUGtun5gFWwPvqSJME2dNftRLQHcgOPEe+K5tDrTEEyRNMLn
uEvu09h9V1N1as3wiYHj72CVfHH5hSMM7Tn3B7vIhFc5fnSXEqNGVr8DJTsz8/J4IbqWkdl4p7ns
SmZeacj4ktS58ICBbeMH1dUqgnLjsJG3EMrEklhuSE8ryXm4DlQplmRHVipyAPrxj7T5SGYeq4SZ
AMJwhTd94hxlhDpyd5J3dhwMkwHf/Ip77Lha+AEo/g39GCRLzDqpgp2co/MR43jW6lXr6dvImBuY
yc7oKSk6M3nmjALnjGvDa9vtUuiLahqWbQiBKQDuNbuDrau4E5K4ILLi7yK7gxA51cj8bYD2irp1
trdYCol/UT+AoAcVDWXPReJBet+b0XwSxjYvRJuIc+rgwpt1/Y0KzqmWbyZkNy+0SxIpKfedD0PI
d9Q2h7qBiShADimCSTPWhkbVuSvLHkDCkF44DW/wuXhkCb1vvK+BXjAUr/bY/g41SLTMnvZdLruj
SC7LHGClD8OVe0dkPJ79wkSqnC3Oqx/Mf5IRmV9SJztYWbtBODd/HO44uv+hBr+4gXnMevuHddAr
iZOIAJFl2jNGHjsjQnZJQOIBgyUFcbHuzeJG2uavt04iVwkJKJsSLcMUIMcEzWTwMJeDvjUFq0S0
ucq5ClR/u5JQDfTDf0ynRp1Log9K1AxEwtl0HOYHI8vmeXrSxvKHk5pjO3BvUhAm3tQV+WFc974x
nb2aflQV/TWduM2Jx5sYNW9yC3AAQuiHvMyMjVrhCEhOCJ+Wm8SpV/jtsg9n69gZ8y4b+UUzPt8i
cySiYn2VMfJXK79j6vTJkYsvKI3vndoh3FjOqEgYIoRBfFNxgkihBWjEwQsX+bGqpzvmZj8CjKJM
W6K7eutP2IursyCgSsS5GB3KX4F+PStBmC7DuzKgHWYFw52higLl/bEcQGbxgFRz/jcl8nVKghPa
Dw4fuvkN8uLN+ht6LnkBcRtHpjddUy8etnYQ+1tg4memq0g+IbD45WUyYnmnGULr5DZXpjyO5vIl
6umQm639OE8/qo/te/pMoPr/eKKbc2/BYhk+S1/jKsvnYx6MF6U9LgmBf2CwuT6V67wOoaatm/RD
PUBsJ91EbPQ4YugAtDqDl5+FSPaeEuYe5SPkxyD7gDcM3EYhuy1MhMmFdF4NIFtbq5fDhZLoY2xC
XCQ9hhlHQIu2U/vJcbjsrLBCqheH0O06+bDM/lMo5PO6eAhGNR4d69mptXcZpmkFoNjqcayHx55M
Lva5dPIL39RkqysGc+MIn+7QWv5bXv0ITUph6h8GrJhFPzzERcs2e4ZeWHfVkVzlfDs2HPppHKOO
UiCfWKUuPYQK3wnI3XP/6lGUO9LblpHieLbtixenF4Kbzsqvu82YoZhkrrEROKvPk2DKQINcsg7u
pvbWquG7J5IAbnb/Txnlg9f4F2niWUVw8s48fZ8F8xVE11Mv1GPdW/8s+tayomuyknA6GKNBtEqy
83N898kIPF2fxbC+E+5gb/GaILqcNyGOY2mZfwluevMSC8yquo89+LNND3nXo9rVrn0NzI+6WhPt
E+xHg2kea4RPsV1hJl/pgibQRqBt9s5RY3z0iu7OJqgXeedIkiJKccg/c34GWpw8miaTKmd2nW+z
vho8LRzfWD0qI6c+yOA76Tx0nxaZIH/ri2LPTtXimVFnVcM+a1auZljwfxkA0X9pS8uN6EgvbdKh
lx70L7q3BqeiBmzLXU/i7akSZvVdh9SrarrMmGeP48oc1YmPqTaor92QpCfk9gu0Xy9gKfmXAeO9
WBOGq+/Vvt8PhCvPwrtmg//seJemD/8tkFCMfsJ9202kmIRPdWjuvRFuZTWemcHc+ryJyNOT92FC
HnJj7SYacLNMN0Oi/uGBRrOj6i3amylyffELevgxRMK5E66DFWmq8k2IricTivTPZQ2xDCTV58+Q
+3+mgJNuYGJbp9jLE2t8xnOWnxrjGnjnKhbffu9S+5uaUCO86UzCVsxhgDfE01fcCZCe8i7CXt1A
9u1Prj2weqdTJxx3x4yGCYFHjMFiPldmY27RMTobp5g+a5EtlzbX2AsGxoeDNTZHHs/HzgMon5d3
wN/KoMfJqvU+Iyby6NXJid8CDAwUtk2tCbXEnHbsC8o3a555MMCi9es9gOrF4U0NxalIkDRB8AzA
m7dbMc1MuzoDY71U5LKEHRkYkGyPs0dLt06ulmYEKSTzd/IOJHY4Zu5ux/RwtF+HCXpRmCZswRde
mUUdxEwAm7T6QwzJwq+gN9F3dMzQx3DVSqDLGx30wXG7Dvtg2JonpFSEwKcNN6JNEa8Jb2IprPko
x/QJWk62jXPaJdnkqMmNf+j8njyTxXackWqJ+oLpxWMrOyKCyhEpR+lMeyPouwcvWU4iBpnHYrwV
5WcydH4EV9pQeXIozeQBn5M+BA4SOzcHamV7DTsNefKzJD8KnBlI7tiE/58NB5r8lORTt12yft4g
Rtx1fB9kdIBFQHRxnfs4OxjrLjHUmFegl1H/tCrkhba/l9p5yUIyaIVuwZ4uGIGBckS8P2hqu7Zh
prTGhBVfsNWDx6ACvNx2pniIAzs9B8WIXJj0KGbpztVmWNICkQdJsGpwm/BzACGQ7ouwba6+x+vt
YnrYLmlho1Pggy4ah7zvsnGPObPxqWVa/m1WDLyN/Jn9/fzs9/5JuwXxNMlHb4XLW4iLwzbwEmn5
JwhUFo2YKy9VEPxzVJfuipknOTAh9csZPEDdwdon5pSt5t+6mMTdyn/BOswAZyBGJhvk38AazkNs
5p+DCkawB2FzZtoZWaq9xYvBN0Coxb5Hg3FiBEcAyoJVRfBIDZrF9myBSTAHCMT13B3oGOntK/ev
rEYCMGaoZbnZ8cdRTe1KR31kKzmd8MzqLnZq9wAf7lBaNfSGuiJhzl4oVRETYlNC1X+MGdR4FiRa
34bmH7PWpjgDEmrkJumRkwYVD5Bkw5hKkV4yMYVoew6QAQE1XXvsEFoUtDej8dS+cWgWdcJ+I4mC
hX8Ktxwiy5pN5FnMAPJZADDBXR2Yz1lF0ksF5IyyfkYmMp4CF36fUz5mJniLUKqRr42MXUclxJJ0
b24YnsPN2IicTURtbwtB6T4h6hUJNkVgzihfkvKKNus39aaPzsgin4TITZNiym8ZPhaslTezPQJW
lxDKwC21VfmCu6/Y2RNRQ6if3GtrDl/jHLzLvFH4F/INDtguSv3J3JrSpBxkCqtdbkjcfj6wNPMx
MPvmziX8U2D+dBIK4GbFjsu43CFLRIZaAgiOkdNBTRHHoAAwGQy8znVSbHNvwhuLtnVDrvq4K4w1
CYzYhOcOK8awzJ8hDjE6+aNemguA6fzYcnIqVAKPI9RQDdI6KlyEbL33L2OxWHUjA/S6qtmXAD5D
ob8VvmpOsIGeBUM9tnzEFjQEElSsxDV+jl1uwW4eJWWa7Q1ECvVcMnVO1itxRrwBRyd0X+NAxw9L
Of4NCzEeJJspVJxALVmURjpo9rhmggPGo0NbodZf4u4zd3acAPTYpSSDxkGa4bn/ejIijzqvmZyu
s+8AxqCcEa+5WV9vU5vAuirHTKZwKpMemG9gwdOCh+oZWTe6yFixr5PdeQwfiMQyTowwnoclBBTq
5vWddDHrm4VDumSLgYzyinS1YjoU0nMOSeNslixo78zC/i7XEyEmgNVvgFXbKfvDJUkubpKpZ7tP
e2TKjKXsQkS+9j8U5wxEDGoHEmQGrf8Jr7yJnq95mkiSIogpWvpOR0MnXpNOuluZdRc3ZtoxZvic
iXYQGBqMH6xnzwLBVkR4PW36DPvUN9S26J1ynwt9SLS4IojaDNg1DnFtb8jJYQQwTc0jnWTmrE0u
N0JZe/xuParnluHoOOuDXeOipPqx4Gy+YBQjxgbkz9Zt43EbwmzvZWfu4NWrXZJTKRIqwC3Jf6bM
HL3O+UtENVukuo5DFjj6JxbdvRvjBmDl9QMisTjT5//FETjzIoe4iCpg2bJf7J02S2AJdvLkCT9/
4DjFQgz/E8KOG80jwx9kxuaGQuUn7UF8p21fnCXDqmaieksobRmQp5EMjPqQj8Mv1RebBIXgW5bL
XY9qjxGG6UUG5mbwU/ath8bJtnxBxVcMr6iDxP1qjtUgwS8EyjyUhsCGjlwpj6GSQIvYeuDe7kZm
NV4WMS9XR2ikdaT7v3y2mI7TCYEzK60j8bo/qSqfhsILdy5sAxCOGuNjf2ihf3xPJSJd39f9C9ut
lwY9AvgpbgNiNdfnls/Ysd12p2f35qRoBNNyQB2ly7U7QIMlm+5xlHdzk3ZbhTRtBy6dqwR2CLo8
BHW1mdWbhHgkVC6o3AOoFmM85PdqfQqwPoCGtJwZsSo/hlbG+yCMfydy1nOLGgh2A+kItvr2hEkk
+HwuVGJtXU27tfIPKjqQevKcPcHOR9tC4ecU7714suZwhMTRUdqZKiFgGNtB15Gj585i3HE2zdtO
/5E5o0ZKSn7QEp/Dgeqy90lo0ik9JcyArZVxdFgJoc9IKI+uj37KT+OvRgJL8AZ3YGUGkrwIkAM3
A6I2En0I6VWwYYom3BI3Uu9Rpn7rFTnTZSAE4FZFLGn+jvny0RPlsx0rA1lSjMvO8Yi2GIZoII+G
3QfSSjM/zLa2TyGJoZuqJX3Rzcx37c/BNTNtatFKvyvXlntj60BXJVuwKw98DVaXvwz1HO9M99kB
IGnnthmlRccL7bPrJHCFa6fZ9n4iH8Zymq/KVfXeaNmo2qN8sG2GPpjRV/Vf0EaLLlE81qROm+49
eOrygak3uLR42wwEnTZjM1NAs3PzR4rG//1pLkFJI/b3HbGMfN3IyRZZMBemLrgQRrZNTJuGHnyj
IUEexg06KBJl3nuTvOuZu26X2jG8yJ7wPLsgg13+KJTCd5pzyQB4igMVezTUr6PPvvGQTs3ZN1fE
Tb6SoOZfK8DMDeQ0xSed7gV2iFObBJsGikNkBf5JKTGsSmCKZmpxAEGAhGPbyh+rMP9XpQSvL+bw
3Af5e4I5n6FjwLZxtvojCglzjMuDP2BwsUnZ2YQdWr9sXZ+PgbmaDdiPW8gUhrVBJwd01WHl6YmY
EWBQ+HG3S7d072wQeDrtTyXT7rhYNkPDjiIXKsuRTPkaccec3I2UvnPT68fay1hPmdwbVdcO/FGg
6K4FOw0sw3IIzRfhi+UQ+MmRXMY9nrkWBGi5ip7HvUf8/IH4xZ+2m9IHvZVNGtw7nh/et4H7Xg1Q
mXObQauL4CWabBI3wWogLBQmNx2ryp1jo5cxzBouE1N4eZ+2EGEzeVorWELQ0WFoT7dQEazqmPTe
zUyNdUjKRdERETE1Pc9mUDY7M2ZzUa7uawvCd8H8pGqHdN/UT5oYodv/P1Q7hxuLvbCbdE60pNm9
WfYgikb77JmZtU+W4lfPOTNTPmdk21P/bBWut3fJx2BeKw6VM+asI7GI51CZsrSGuMHGlkWb2IvR
Ya/Bmrevlu4s2/gwZKmJ8xP9v+W3xXNmtvrSdmHk6jZ/qP30lC78j9vMGVcJb34C7qY34Z9GIDJt
gqBhYZmWOHL4YZjs6cSdvaTmmYQ6ZlQ4T/HFDyxEjLNVjXprGpKc48GoNoWs1dYbY8a8pX6qVWif
UIng/UoVEU/hjMIbXZDtEoICxfYmbZCymUgGcMADEHO7bDCom7ScunxOvPEld9gSzjIBxTKpHGk5
PMCJ3tHOJ8Ds9ptYBBqcdZpmm3l48WRxH1CJkUBm37CqDq8IZ3Y4Nj7lPAbnYnKbKNDDHakXHj6w
9uKV3YrKxZDU8ywo9PRQ/hcTtHrvHpYGJFbIwNG0JWzrkdWu0wclTfSAmMfQF9HaybMxZtBzkWEc
LEE+WIx0PTEkE6LwJzdkd+eawmX40rKjcviuBkX/lJcm8qt5YiQg4gDhRv8jA5iiPnnQz47wD25G
0GW2KHuF1OgDDw5S8RIPRWf7NN8hAmtwfOOEJGZh6bAdTP7qYNoHAol9WWT2znKS74Zf6H4YFoAW
hXXVwOceSW07T3OCT18KZ+/a/TVeUnw200y3kNvzdVKjQYqvPIb++DSJyXtsBYVVY5LTkYg1igLA
vmPlTP9JUxuziQFBIcHoetyPWYiXSU7eFCW4H/lshoGYQqb6ZBfsO1/ICGv6vFYPxCdjxuGMI58T
9PCrap9ajXjVmwIyi8UnlDh7MynpRZKF8sknScLMWavrio36XCUHE2780c8hN9iI9LcQAq8OCcsR
od/ermvv+jrIHzjZNg0hV9t6wMjiafOt8dii1EZBrt/MI59Q+0KUIHS6U6yrSmrQIF+V2nW3j5Ox
fzBYakYd3cqmpIfXRXhmmgNVgZi5VZAwq5WN1eh7/FKkxtCobirHJhAFn8TWHcVHu9RfdTrPkZNB
QgubLjgHiMXXoJFvMyOvprCK8cJKcjOG7Mm7OXsvmelG+UJUjekUUeD08abyjZcBX3nEAQZWZ84+
em8Q+5HdJuuvrWkrrpqCvtYb7FveVkho3O/OH9/QuQc7sMU+HQVgaMfyNi7Bo5u6oxRIHf9fKdtP
yd2KSS6uIjqqrZNjjYuzGjICoLTFWuojTtSznWbZnuQw+Gk+ikA1pQddGVfhN8yMrYC3NG6ZRLua
gnQ5lQiunSJ9dEqQAqLi+VB0PbUb2A+lX+19EHa7cmEHEhSpsRcYOzdW1qxjTDOg8BTw/Za/dmB1
J9l4eRSOiOBztRPIf+H1WSTO1QwSqP42duELnBnU6yAe4d6h9LR69dRlytrmU/0hZjc8JBi4TCc+
Ox68caMx8caZfnsWVLlzvhrtUSIz+kuYX8dAwivTOE/gu/ad4EUn0Lls0jMAlAty+rc4DhzgIGmz
aQG9OKU6LnxjlLcF1PIqfpDDrSjYxDYKNQ+4hTXji4cEEJoPd6d+zquaujB9qjI81PTa72LK925Z
f0vPYnTnkqxJyeTb8XcRzt1xRFxxRLFK965a62hm2Rcl/Ks3zdMjlpKHphIRMAD6W89nZmKKN/YQ
SKXzvUUj8eKEb2Wy9JGP0umprgoKqgpyDFtiFhaZdXQQvrAO85A6FoD87YRxFsP3JulC1muCyR8f
H7XjYLTJJ5qxFdE0631lsf8c179uDoOTMrvyWvDShfyFWRXs9JLGiFMHmKrIFbZ+uc5t20QfZc6c
LqYX2lW4qh9bbhHceuj2Bjsax7Hb9R4jQBx3h14Q45p09ZZ1ZwUjibQnnvV9JrOL3ecMK0J0qwl2
bGUCBZDqmsbOW6cwmi41J2zKeUTdMmCjscprmcxH7YAWBbPbo7Mca9bTuEzmzNsTJYNMLYYMzlq6
aPWVOpBwRzvDogmKCR5KX2x97X5twzEnP722LvwBWjFXTCfyQxjh9B9l3AOpCwrcV+obaFjJWFXe
qd5/CyQ5lxnDUDgo/LBz94s6nBamK065RWrg6PzKLqyPAB14ZUuB2WPaut4aqLfeneo01+xv4fom
+wIH9MEi6Co0XpkrfPkSm0NYen8nBxMmJJsiRTTmUD71WZXB0ebLR4pBAmN4jKcG6QC4t7AbsiMv
1Xugu4bpuwnhzp6zl9CfD5RQ5yDWL1XBbzZN/VdtBy91Bkkh63gDuVDZ56Pk5Ggcka+i1VX+BtYJ
VMCKr1L37q5BC35Owe6qQatzgdMLi0oxRGFMRoqoHbEx7bfcYbYQWiwWZkDYbs7709LM80I/zoaf
30AcchJ/BnJN1qzn8M7Iij/E79mbpmGYL7GObEsfWnbcYPkWoCh2XV+5W57dXTA5+gfaA7FujoxM
MJxX4zNtk48uW6r9AJAWG2TFuCgreVi5V/Df8ofd/pMsm/KMgC5qSklou6WbFVd3JIsJ7yK0Tqh7
BY+1wJCUxZ4PXsNzI4dakLgkL9uhk6migdX+rl6sWyj1ya6s+hjkBHFrIDhrw7yvZKCPyQAGhuJo
5F6CnVxiygDS9gQICBCYfBlbTPqpkLixpOW9SjxRDLUiPRBlkkKjIrRy2budQhbK9cTEn0kd1s2z
0cBd8/MespXlbxfvBVYesTdQ1HptRb0dw/Sqq2+C+7yQN1OXd+irXrp8OpupYog/cjiqmigf3MQE
iPOaMO9v4BgHxduE4g8TeYt2jNwWUaxQAP9PXSbn1oOvopLC4lJJYR4zLcRO4mzhT+rjHGwYh67r
IIxYYUieGFvpISOlBQQEWp+AxcDSk69tF23HDkud5TIdlqJDROIQlNwwzXnEMI4AYPzpEspPNkUx
8guDC0K2T44fvuLW5d8/q+6paxhX1bUTideuQbupUqQGdoVUYggGlm+GUZwxjHEWARoprJAaPmmP
hX1dmvjSSAne0BUInFe4IjEOf7GGgtQ0cVqrCZxvm5nMIusUrXpvHvoE+XmN9LUM9sIGd4OdJwHq
PuWcLWVyWHifZ7/8f4AbIdJdEVDE1euxxcY2ptcwyNtd2KwcBZfM1dkfoa6mlO+6Bkg4NcNzVeHJ
7RfW0i4TYM9t2FXxtjJp+efNyT9G8lQGqNtRHmZ7PcJlbL61lUFAVu4mrdMCBMlQoxAzDgShseUT
ABW7/jcfABpgzSmTwUVg09nbuhofHVb3mzItTk6ZxZxpaKhdqGYAlok4Ja/oUH1Z9gJ1x82A8HjF
HWA8pH8Bj2HLXpBMa1nvAd99elL8NF42EilF4ryF9ooJWb9r1XiqzIeupIJo2MvTK5bqddKgRm37
zVLpvHe98RLOPkFgLl+kUP4hIGtOFvVj7BFp0DkVW0Qbf/mEu6EKUCL77OljNlFD4aBDC+mVR7Gu
82n9ZmAis3Tv57b47ae83RAh227E84RHlrw2vRzQK2+dYRohCFcObQgtPktaBqwhOUzlcLdkBN4E
Ma7L0b0RzRCQj8WdobAel6L5w1SZwIJanFoJtsOn8KaACValx6nue703K+dqzhCmMVeihUq9OzSG
19gsX12qfwGFG0TqXuZfjZG/DylrVuHJG6OXJQKLAd9Gr7fjHJyxvnRb0sMQFBK0WWjMkwWRd2F1
M0mXTiAzUfjNT0jIIs/mzTVcC6UHAiLdxIij89d5zKc9CKbN14heI3XGJ2C0FtYzLq1RsYioPCy/
l8SynirhjluidlA/+SR7cWiTo90bvJuhQURJDZx7VaC71QGX384qy18oFMdJsyyntzaIbdh2XoGi
V3yhGcMJQIKjV7x7zQyPut12NdKTyXymJD5UCl+za6gTMPBLkIK/CM0FZAhVUFd32wApvmZ/HwBA
zZniujq9c7kBbKfdzQE12ND3DkXbkO1hYqz0+b+z224APjACqhMMFHP4lxetIDOXU2CRNxIoj4xG
+m2ugRZRIaez8zNPyzN11Btk3ns6KaLHko9l4UUPQASktfxHnu4p8JgfcXQAQUA36XHPxM+JP7yp
icfloW+6VxMGEOiFIrfumdtfLc/9DkeBSCVbNoHRvkjFwIXFgpfkv74/Ucwx5XfS8qGOgVk0pvcm
wRL1C8tCEjCFywpkMSDz5Y81+6YJeCbk4YaRFuY+U55IXryXRd7wXWNGn/7SFOdRZsxHCvB0V2nF
8s5rt5SMyTb/TbX7zNiRp4Qzl0Qsi0FzEmHMO6HahR5Xws4wca+iqA7FxU29D4SkLH5C0FIt6j1X
yiM4/vuxcddQ7+AJ6YPY+fP8l2XZixyr5L4lhdQvvGEdrt1cot+2raG41XHJ5/QLSkxvnjGfYtE+
2Vy4e6KfPFAMZC0SU+fE1rnFag8F6U1XjDI1C02CCFEh1jl5Ld68Axr920OO3xepc5pK+73OnAfX
Tq6MblY1qUX2bNQU45MdEtKbuUzHQ3hqTEEqbvNdx5BiUe0ONhn3tEwgdk3FmnN8FypG9yzXGoaT
DVRg3CiRnPg379jgxgA2OGl8f0ua+s4r2+DoEjB5nifY4QH3KWbvd08NJvB9hgP1aGAaIfpTEmAw
WsKPXOgHEVyB9kmU0Fzm9lSVrjzYvWXuq8S5WDFruWkmTzD08VTHAxHaxoKa1BmYM7Pfyjxy9zwX
QLnxBCchfGHNB5ImwZtuERfXVOmT2WbhXZwr9diY5UijR1vVp/gz+w5FFfMPd3TxwEnnvW1qUsdH
FxqE1MW5G9EDZsGfbhp6akBT7M1UYP80nOuQOn8kkFdIvDeKjP6ogWIH+YuYvYueMuJvxAeQ4yJS
LqY2wxkxvOmScPFAmLg9kXZYA2DhZtlT/GV736geUI8+8iDt04LWsRnM2zQsjEX7T9zbfcTfdRir
4MFkQuq1c7A1MjiDjtc+ODBSsUOPZvTZtf73iqBVplfslc10ph/s+7TGrxLD8VkszKtITx9mQepE
orp3PGIjkwK7PP//A58TQRQZcXl1TzeTZZRZJmmlUzFTwby7dne0BPVLCJc0c//0U80/M4oX+Ko7
KNiaNqB7UPX8TkghqJUc6SoLNrZEFEmsm1Ei2/diztSjU9H2xRooQV8vOyVLmqXZfMja8Y+qTJRs
LluxND3mEg6wsJq7ycvx5MvhN7ang6cOOuMOKkMmDJIxMyjpmICmAawcrQOF7m/NBh97wGY25O8o
V3V1znbB6jvogdadAUzg4CXJTWu3Qvc0/tpOwSyavobD+JfwhM9mLPehXC7U7XsGFmyK2YYLUVyJ
IQer436xGY+oR44GsMVAiVuB22ObdCWRrUt/V4zhvSSKAtFxfGtaa4tDZ93aLUcS1Dre35bHEtF1
TONXGQnS1JD1Fngl2Ee9ODQdTsOxoN1fjXSWYt3eABlYViYdmEBwj8VVZ5jku5rviCjHXRJ49wHU
4hq0SqOS/ewuu9Cc1lBsmP9evGo5XQauFnLHuPQOjM1wI8Sf+K8IpBX3PdrBwPNBF3DbD9egb+6D
mh1z0iTvsdd+GIF8o+1tDPMQWNOzvXQv/dKe6lS/jCbwBSYroMsKlL+i5rz2qEhHlR9NVd1XAD4Q
ErFXaQkDg5mfl8gDPZJE/IweVHwTUnvUKFeAtPyYpv+nZ2OA1BBSrQxBdzAjNYHyRjZQzLSzLqrI
vqQkj9LIR039kdMaWzYTVTYIbjs7j3Fa/hhA/8FZvS8t0o/WJAM7RViJjTw2rYF8Fj73SRQwnZmC
o3jnAEwQCaFcQ0qBJ0FmKBTBRUqrS5iqFHiwMbzXNWfQUKqPXldjBPt3WxSrUC913K1StCF5j19C
Q2jiJfZ3bOS/eX6OljW8Djp8H3QA9M0z9sOiSet1PhR7UMszKGWaam+UuBHcYEZb4M8Ppi+iLlRw
UGjsdV6hhSboJC3RIjiieZZIm4tyZjwTlHrDpu8NMLpDHjPQxrOjZLZRPOf1IthjVfjHUJrqWLEe
YkvPxT+fCPRkw3UL6/qjb9oHl0RULH+sRpr6FyL5bui9x/VRj4fM2eJAAdPuineuxzg0vgKNeB1V
/GYIASBI+QRy/YuS5iEmYntjCvko+WX7DI5GpfqPLBz5n4wVjNn7lssFaaghI4sjgghIZH6s8asY
QMusOb5iziIRkCww5d/t2X5MtBMly5GO82fyxk80x+mAMn1qwySKG7jRSgR0LhynJBAQfEXYYKdY
UbWfFWvenHg8nMmcnXWN+z98CjrrlmbTq0Jex9ThUsb5VqTz+OijXUmm84hNhoeCyWXSMOGLGpcT
3zYyc++Uy5s70m8n020h/AR9KD6NAk12lDjLjiBoNPMdjdEMIVwF/dUP11xjtZIuGbqVzaBpn6Au
SY/zOuUu7ZKLY2Y7zwC16uGroJL5TWBWUhpQIpZGdrLL5Nn1k8vESMzw9KtuUK3B0XntG3VXddPX
6vesc+xbJHoRslV820XXb0NFflGzkFQQzsuHobgSJKxr3ObFzqMBjHov2MY4Cbty9QhPKFWyv96y
evgQSCAmOZS4ncjlINUW5/TOwzmXYSjB2glLaEnoS70jT8hJURYETdzvOjFi8aRQoLJGX/XsYNeD
h0fGqI9kyUVyKVfj1wjapffehVtTCmYTVFy1i6mTPYoyavqN36kFYlF+LKv2RrDKyW8xYiWVwqec
pl/FyPzMEExQ8zt36t8Hjz2yannlmqtjEXeoEGvSTE8jfyzfZeiEISwC/4618RXb/mfMVCyyTPsT
d+iROJbmaJj6vljsL4hVf7wUDw8rOzAQyUNYYeW1LFaXgTlvHAnRLJ7kSwnH8T5wWLLHwXjwVfVG
jHWrg39eaDA7DqqDs5btqWk//sfeme1GjmRb9lcK/c4AjZORjdsXaJ8HuWsMhRQvhEIpcR6Nxunr
ezEyqyqyLrrQ+djAfShlRYQkd6fTzY6ds/fanZ5ubG1ifUBJOLXPKdQ5D1UXTKRDDV4/sk1AlCPS
nTCIryVXsRgYYLj94zhmNzTkj3bcf5p9Mq/YOpHd4sEf4oMc06ubYwVLq/BcihQBOO7wNI6ujUwO
IVENdBsvVi4eqcc+AqN6KtDFuikNGS/sDpgcUJ7wXGNtAFsmwinKHo2OLChhPbtm/zoA+0sImdxL
s4sOZnxpIZ3gY2JA3Pa3jU1Ee8zBLrXohxuu+yhpFDPkEmtHACdLcY4mUfMZE2iDxiN5oE3xyVrt
Fb25ZUDzjleE9AaIwFvDqrPdTFVNaKlY6eXWpr76LeKTUfOYq7LEcz6nSJNkj+ZbdBiCJyZFEO+C
pVlP7vYPAQ5lPcS0t2Nk8Ou4HcZd2P7AHntjSMXUyra+Scr9lRmQq+wZINfjLehB66ZzkXeoYD4A
ryG5isbramCulcFA7s3U49HR6QR58N1kuKbM7/3M/W872cmOpk2i9I8oyz8dyz5aGpkzju11SPjh
OG7n6IP4L+8VvwpMGM944EN8cVmqTlkuOAi74dJSHdhQGL50FiXdpF6dFtWSKnvM8oijmbGsu5aT
fZLMJIigHQVmsPbaOqZYmb5xx7croacXQ7YHq80+SMN66yML1ZZCvR+xHvU7VdQ2jYeeUZk1ndxE
rxg2HRx3fnIiZ+eXv4VDcs7SbymQ5pz30x/qHyxRX1G6fvPp5emwf4yK4bMqKSOxe1M+IKEFvZ/v
vQTUmm7zu9lvXoNA7yW5u0fhNOD3EFsMNQNvyF8TNmSSk116mXKSb/H4LZyzD6ZNybnriVqiI2g3
89mWsADTpjQ3DnrFbWdg1rffJKdaNx+eRJzeVSQrreHkNTdsVUTcW81xQtMqq7wnG4izNxsCAqJI
cIVzunuVGjYJIreRdJeV7TXP7XLPeBZC3zRBdR0GB3sajtmwjUZSGUVzyqr4IovkaCoQD908H0z9
fR4n4Nn+KYwB9egadNkAs1rJXeVEW2uxMRNUgECGicPKCTLo56nEaCVGhbe+2PgYONdp78HG8ugX
VTUVR0AxtraN+bOfVbWpxtFaYwIv1+mIyc8RXb1WCJEhNJIW7s7x2TLBF3YhxTU2V50iIPLrWh4h
L6Sri6xImXczcpdTwAjsfEGCIxtQJnnCfT+4e4JJAesYjWLeG6ew9qroZhiCWy2T22ZCYhpUH32K
m0jCBqVLh8OR2dNaq2ncO5nzzDiSPn9ERR2MHrho7u8Wr3CnLBo9xYh52R6glzcI3sB99NDBaFNn
NqkkaMDNNZ11HFLhxFh0QS0zvXV8ylpHEJpRNKhSJzqIxL1yK6dxQZAevlYytVcECEi6bj1CPR0f
Bk+TQUJMzMoYUKe2fvteeNG9xccTg0ucneg77Sx72NWMR6nN2GXIEDGwDa0arOLY9u076K1OwxoZ
9p9J5n4zQptJz6ebgjkvnmvMwOsiF3R6As0NoDKeInj7ioy32JMdeVm5wTGuW0cddD/aai+ezRA/
pJmJJu97VGRvjWehT/P7/eS+euFM5xC0Eos2v0VPHEpywLfNc9NmYms15VcFhWsrpI+eWwZ4sziD
2S0Ahp7WO6z4h9ZDjVbMrM7Vm6ZOy202qph7OYytBzB0wS4sjRO8iYeh7Pot4cOrgbhWQEDsqsTf
HLySTypr877QprUdmByAK7mAIgZ2UKZUro797ll5tqHx9RswrgNFZrYfaBVAH6MjmmNT2Nn1BCma
ES2v8LUFGU1lkwX7Kp2+djQ0j8o2ruPs39adem8C/wkm5XDOpK6JXMJH0M8oBrV2vzHztThKz19j
XGsPSBx0+eKHRfSShxZOjDneQzfZ0mQWtBIh1Ynma5XxTBCQYX8nKBEfh8j2vS6bHeclvG5UWm1Y
cILqMpN08QGUbhyd/BBFHwxod8c+vTKcluSbmlGeT9bWdiBz/j7J2NhsZseCadpo9OXW9Jpvjizp
rE7xO6K/rd81336Sgv47XNRynZ9X4n38n9FH9V/CRYkYTX4kf04XXX7iD1yS+8XybApOi4OMa9vW
32lJQnwBoCwlDhYTBLRj/hOWZAjvS+A5nsmEzBPkgXv8OlXpJXiUFBD+LYDjBgch8Hz5l9JF/4xK
8pcn5CyPYlGyLCDUf0ElRUEYx34IaqzPL2gr0E+Q+BK9UR9ubZ/dILPC4y/X5u53DNPfSl3cVWiI
1f/6H7yqX+BMPKK/MKIC17Utz0H8sDyjX8JMx2mIWhLlP6npOSLmGY50m6pzcp4mPiD//rEIxfz3
j+Zx9X99tDnHeYXTD5udtht8jG2YBbvWnzg8qaJBzxOYaD/iGP0XktOm1/sYPPqIVRC3FjBT18wu
PomK4qyrsc+BjnUS/C1SgOlYNSILkFlGhbOdwniynmTsDtFTn6vKO7e8d+psp8RINWoXN77d4VBJ
KgfYBWPtuZ3N7RKTkT2W2Fbq5NKbTXybyr5xnuAmGikwXpN56BMqnCW5NbacnmAegt0Lsz+rbgzc
G92pJuHshm/Hzn8joM4CYBE2Vem8jpFnKJfUK28sLwZwdTSJFtMNEqn7Kd8lzMDRJAySCpoaFUsp
zYHRSR8nMD9Lcchn4i5tW+sp9Ds4PQyQc/Pr0AcS70FjFmCbkWTKdRwUnGFmXyKic0ky6lfUDYG9
150Rl5uWiQszGs6/1o8G6QfCbg584W7EDY7ZN2kqDFSd2X+OzB2CY5Z69hsQBCx4IOxK9PFOSBYZ
/iscgUqrGat0Z+tyN9V2/SLDUL+msct9tLK1ALRok46Iw6koMu/SEJfWY29YNPKeEUU9DaamU8+G
IAuRhVOQtBCiCE7j2dYfphYKx1MR2RTgK3ssMd4HgXqN7OopgtOc7EKVJ92znoEgEqpuamItGYSO
VzOsKvmEcI7meNSV4sMIQ3Ac8bwYbmMuD7v3aC8mtijCiLUh+MuL92Mm4+yGXTZzL74HQPQ6JLqQ
P3waMP1v7YBe4gOKQxE/mvWECHHlNujp1mlZK9Pj7IBiHvsMMjCmmRnprpTIt9pMAUr37XLwS5sc
cw/rvtngdJh1LcBkJsK4t+uC5hChHlrfjFAPUJxJxzS2cN7KGnBpHjl4bHCvUMKBKgNAgwfSo7th
mqg5OG430nvsNUL5TaKrDigjYTzERUQoxk6p4XVqXxpJ5LxLS7bdd6ibNmWmckUDzXUS1XfCSmPG
pmPhaAiLECWl8bWJCDQ5RhHv1ohRmedzVgC8p+bQdkgjf0ADV8VWwStC9qytyrtLMYgPj4STu8XR
xJ63AIO7pliONbNQ0w63X4FZdo7RqatVR6O3XE+NnSQfTdMzB1t5ojXozBtUrdBlA7TDPuLKWfXN
szcNeYSyj9yNV2dw8OhFaZrRdM5jqzSRiwxB2txmBZ9DSpRexDcISpnMUEOSL7nSNuO1I0Jqf76V
Of5TJQpAyGJCdLCSvWnlR4TmIniIaTiQ6hM00ppvWq8asWPHvRFQuSfykEoPkKeXuc0l0JhXl6gC
FOkRfDNKtmYshP/aapoQx5p8JwYeCVeBUm4YYERpt6n1TMJN1BE+FsBu3XVt6XEe9HHC15wyzVmd
DLpgHhzwplbknzdFuEjXUhi1nO3Nc0qvUr8yKyKBkcmDIx+xgHYllpCp93adNDXjp2qcg0Nh48dD
QdWAVjZ1i6grTwnfOEV9H+fvfmigF8WrVIc9JjYbYmtXW81ItmNoeE9WTldrOzTk160w3jTlXswZ
kxLOvXXxQXiBUreUMpm8UZ6qHAj+QVmTUdE6rViOqURVdDSbBpdmklvXyoDUY02KNSzwdeL8MIw6
3rcu48hNRkfDu+19w/aOYdvgNY0To0RKC0GclkeGj4VDp0zag8kg60fNhMpYk4DMWTo1gxkpDUDR
ErxUTxiFVdci3YAccHpGCEGi98XQ990RHausvhsZVdlWRQmy21o2bgbHG07QZ1sNogQoX5jiBo88
xn3T9vXXqKq8+pQyDo2/toYXOffNFBrIGEixzb+xa3tkhrmVnV3nwknlE7JTpzjUVliJpyieNbA6
b54ZwoUm7UHi8hh5o9ORaOz+eol3fcNc0fzHUha+VzW0vSju/vM//vSn/Ue15K6rf/2mP/2M+s+f
//xHRfWnP2x/xrTf6492evhQOv/99//xnf+v//hH2PvTVBMA/16BBVh+W5RU5a9gS8/+paT4L6Xd
piqSMnn/U223/MTvpZ3hiS+WY/qO7zrCcgPp/SM5fvknFCfLX7mO6Vpg3H9FYWItsUFg+rbgvZP8
1B/FHZRMykTH4p9c30NA7v8VFKYrQXH+UmwhyBMuFaS//DqAMYH7L+VdCWU6lN6Ml5zUu7EyzwAf
99qczn1QXAJm5NGQnnKEJ1E3naOIE5zBlCymw6XlFT3mtxLb2bSPzOxTEKok0jdjbE+z7RLpZuK4
Uls7G3CidrsGzdjyy1wA3U0SrBvnJS5wFE3D3i06tIHOwUUJ2DXmWTbjfpqmszVMgHcZTWM+98f0
5AnzznNQQip5Xf67PGemdzp6CS3FJAoevHM/6kUx128I/Lo6Ul79aN4jODvbuOyQm9whlzuVAxRq
T4GNceh5vfcBT0lCKnP5SI7InbgOdE62nX2X+JzeSTSx4D2j+yyX3pGAxMIzAtS4Xn6KTXAZhoIW
0puKLLCAjtTy0zZAzDLudpBM9jaTJSYKutBkwna7Kuq2pDhg6eF7YpqnIPWhbgKuZxgQWD+Aoh38
mAs+dXjY9IZj3qcup3PcUB6MN306IiDvGIzDI+DlmRPBwRYMZt4BJpan1M5OBk8XBGDZExHRrKDT
7SOAucvzszQv2vCvCBPIi5nOWM/3g5ddMvKgmvlpwKriGQRww1g30/G9M5zDLIlkQhGzvMyC4zye
nPU8w7KnsUm6EMWiye7JTcINsrxcQqq3qfwkVnC1XGo4Cjsfl9AYj3uG44fWwWfJrSG02i1XgMxL
ZGVcQV9to4Bs4RDOBO+WYR/qoN8wn9iJErtMTnIP7+zyROOJK8TLX97B5RJY8vfbN1REw6jfX+jy
BilTXmucC0uJbTbm3djmp+UWXt40yfzUijp08iflBauc3sPyYgHbrpdv+/lrdLcbErVdfpz+2I7C
+bDc0EOvYAglyDWe+xiwFm2i5duWN0W0aMKJAE/VzqWhs7zeDhNAyeFd9npHNXVdLtkwySv9up2t
+LyFDYlOzOaYlkXG1azSU9PjvQBtWkSI7bIfNJU3lJzrmLZaVrwtTw3dwUEgJVuuznK7/Xzl8Piy
cDyjub8MC4OTEVzudxvEVSDqSIChdxnDKlWILLOh27WkwrgC+JFxoEnJyEEgoexxfqjN9+V7q5qr
yW2yvLft+END6e70z08NdJQDcuL1cqcUqXlX8p1ZrTcAlTbg+08AvbYydy9MUtbA7u5chXyVjrHn
uD/fj+Uii0Cs+6rdJk2zC3gvcQNv4V9eUqirP5+h38OJKbZBoJ9s6TABHx86a9jPbQQahyYzjf8u
wMCl+/OW4ntjGfHbclmSxCRmhAhIntRQcwHxMbcFXn2e1PI+LO+edE+kH7NC3eS5BHI47T30CqZM
TsuFWV5wOHa7Ik5Py8sU0KGYbl2Xi1yK7BTWalv5xFgTN9wnH8srSXnAdoDUyTNMCart2/xNT/Od
EdgHQ07P7tTu5MDH0EpOsYHGJHqo8uQNH+sBCeMn8dv3dfSEtAXra/80k+JMvbDp+VgvP4nngHxW
Y7X8V3PNhPutQ/Aap8614eYjBfFskIm7fKqWK7HcIIWpMLNx2Za3hU9ay1VgxHfhhAAUhhhHNGA5
aa/0WfckVp591qBTXXd7B8l8Gh0FH6kU9jrQYowR9C797I2Qi3MRXQvmwo5KIGaml4hPIp6hLRis
rYidA16S5U6d626T8bn2c0Vb73EaGPYBySnz9xprBs1mclBYvbktDBY4VBXngutKBOdKsbrhQkPe
oXY1/fIsP0Pg2Tms27lMT/j0twYLyrJZ4JHYNtzDOrKZqnNqZo20mPjkvG2IFbcdcRYc008tjegx
12uL4WR9nzfhrmKFtVgHDHA+Ph9u0ilOy5PhJIGZWtN2X/KSWsLT73vuluXbPNK06pgdiP8uD2BV
LqkKalu4t5NTYLEaSAccH3RevFWuc11+S1sXp2ZSO80H3crBg0TZZXnZpjuf4955QcT8BIfwIkp7
36HZW34OrcASa/LSG+O74Ncvl8OJ4k8HDHXa24eYmUG9z3jjYLajLpIvjaDZaBaX5QplwaH2p4PX
2i+upIXBD+PLOXSOd11epmUGayM0NiO43zE+kUF5MMFaNjy/5U5b/ry8HbUYnxzVP/Xpxm+qwzyO
T6qd7gSRO+U4PgM/2EdtebF6ZBjZyfdSVJ/ceB2fgLF7clhRllef4+sUBDFUaHZK0guWJ9Au6y6z
rgKitcVnuguHh58Xt3DhKpwQ0K8jN70s921IpnpksWOwKxN/sQYLKTJEQuzGywpBWXUwfJdbe4my
ne8sI7/4Qj9YFBR/vab9vxWsf6pqN4//++lvn1X7t8vj7un/g9LW8sx/V9s+6jfUJW/lb//Sulx+
6vf61ra+CFvya6gdIbRL8Q/Su21+gaZMU9N2HMe3HIu+2h+gd8Nyv/Cdnmtanu8y8lrw7P/oXcov
+CqofLGT0wGUQvyl+tYCQv9LfesL3+J/ErWOZfFbXXOpf39pJsrBneEtmAZbIU7FOprhYA20UXey
xD1ljd1pJF4nR2Je3xujvjc53BOfPAGqTZOrJ4FqoCZYgDUm0RZjkZ1buCV56wDK1JY8EH5Nb6Mj
8MVofxT5TJAIoZBdA615Sh45Vhona57tc4cBZ8QUrX26ccPgna152A0Kal9YZ9ZRNcVWCOQtQRl8
rygB8IyvM85yN0RDuJuwb2cYXsi9mEYc4vxhmoQ8wwQpz0v5MYJKPbq9vnc9eQkVMEaCj0GNYvMg
c4bGM1BbFhUZMNqvtvm6GUd1KefweQaqHIzzeF3086OdOGuiIaxNGFcMBhQU9aEnE6RBPDbb+Ays
Ct3EwDF8sE7N6LwBD8ZtQody29qLLG75QrLYdGJSlm7zXn2Y1rARPaE4soL+YE5UdZ3bQfMIUoKX
vXAvbTFAKlyGmmUENQkd94i7/xSYC52vRBKsXBKf/ZSWkIgHdAACNkKS0eSqpjrieNapgzaEAaJ8
6m/qGdxP6o3mE6rnPrXFPcGzW1M5bJVEVjYmyaD5ey6WnswSbkuv5NCGCgtvhnc2DCxrE8Qc6rGr
5lRUaXlrEESGo0nV7LUhqSlK3Lr43bLOitFY1OTUwNjK/WuNQMmvXWD0ecegTDToyNz4ZFn4gKiB
n+iwNXvhwqPqGvTpeVxXF4Kyq8s4ZI/2jAelxmnZ0S/ADNV95LNDmS0XsnqzShjv7qVhEsub+cne
J3cY+MsmFBx3fE9tlOx3S9vyYmOP3tE64GKiyk7jLD+6HcAVM8G6iLVuJWwbQTW8mJUw9A+P0Ld9
mz9K9LCL3WarSgsfS4ZUsR7y1ySptngovW3N/C2h84dabl55Xq0ffd6+oiqhOmHURzWzm0taHsPc
TxdpgWRK8o+YVuCLIClyldb+V9yeHgEro3p2w2Sr28F7jehnmctvbaUkfMEXNZ7k4oHAQxpAJN/0
LlS7srhMoeffMOtPr/XYMhVLLX0MsfhugbTtNXdOIaqHBnc80+XOYP6KYaDt7KtSTggyN+C4wT5v
RWxnJceYOPU5ut1lGbZNm9ik19pq9zme+mssxWmYx0ebFQzhQ/ebMMevvdFeYhfWfWdzaTFqVROJ
ZSPautUUuN/GefA3rj9THhnmPbkCID0Urvi4U+fARK7FE8ROo4pzVRZs8FO6RUrf3nppIo+DbZ9Q
EkDh4VTj2uZ0iWimYSrwkDg1CS9DOvZbHzMKzfqEbBcAJ07pHqNJyUNtmy8oBMPDnHV02MKGnrHY
Gdq9K9ia0boUdzkLC1l5cMyQgBJWNe0aH2zcaN/PirSFpPxKzgWAPzKn8NnS1gpS72PqERIZ3gK9
5rD7M60t63DpTr75zOTwXRAsQ/VsgDxwB8jOSfWZzPOiy5nkM6DMJfI2mcQ+KeTOGgPvax1AiZDz
d2hJCyANo3aVoXtTMr2LUs4qgETQtzOGkt8qSlmLAcAmHAbrse0WatkQviBYs8+4uWpEV+WDLWE0
wsP5VmAvbmCYrrq8IBdJQPHTYOIPcRxxXNHFMfabTwtVwW1gw6d1o5y62A8PPDIH4hlEJYPkTW/q
b3YebpNQeTuYK6QD5FDMTL/kKGxuZe2gigKxclqSMYSB5QEJerEtp9bYeSYHLEKwIMNnZ8YdB/rA
tBH64BA4NfN7X0z9oW4c1Oo2GmrxTeo4PKXqrsCodq672D5qG2GRT6ZClNqS0yI0WtVerEKnp87X
j2hBs6NnzBeMa5eITXgzdRn3WObuuxpMaF2RajRNEDjtyWdtk24KkGjbe61BTCvuIAAZL8YA4prV
Aj6KT9C8bKzXNKuZ8LrqkY/B5zyClbMm9igRYc7PUHI0VgVGNEO82ebrOvbijcB7iq0yiQ4q3RW7
2csECafJj7gIFp6CT2i3j+m4TjCGUUtL8vYis7VogzRsvHNy409wuP06QbmRB7xzjthVGroA8V23
ZtW3m1Sm9b2XTvGiTsbjPBRnmEE9oRVOtgPez5kpgzTuMr4mt/5FcUDYeNBoDsMAwxzxOFb8JXxE
uTYK89R+rP1GLqrLWyX1jqhUY+skOCYy9PLMNDDaGcGBvNO5ib1d1aaQJBwMIxEb1DaMdzFi0cA3
3mMxuztJB+X+55cQdV+A5cCtZtRlLRlkdbfUDwJubDHe2NB4D3bu39fdTBFhRRgoWrBjKQLi0Rm+
mpWB805f+HBZN1ZdHVhB+nuYxHhnwj4/Mh3az2EUcat91qyOcJrGfJdV4i0Dhinzmv50SLuDzEOC
bX44JtttHdgviLXinRvKZlM6nIunBescQ7rhCEf6mBh3yexhPe1b4HgRbS6LKQDkK+w5xHZiSF7Z
kFegKlXR4vrcuCXjF0CjimaeW96phO4PYlLiUPzYPXk9Tt3/LrJ/z1P69w3k72/Fv0oD/tk/tu0v
EFuY5QeWyXmG2cLftQGW+MLf2p7PjN+DX2BT2P69vva/WBRdbuAKy2bgbYp/to8N4X8xKcw9Zssm
ZTH7/V+qr4Mly+lPBbaF1IBSntoaXbljO8t8/ZcCO58ZFU6CcrMb8Fm1eUEVRYh2iQC9j31zF0Xx
favm/miKhXvlgqmwZw8RIgM6FrabNm2qTTmhLGabfgg9+kdN0bC0pt+CqmSRqwlelwxynH74ZEwL
NgiuEPRAmlk4rPeeJz7dTHYnp4JwPmfZxWOKuJ1NFNA9Ik9wNxQttoEYkfiQmyFovmcGCiPfZ6xf
mPoDxCQrQF9cnqM8HjdGxX1f++2TtOddpzz73DfWG+GfePNny4JfFxrbsejGLcOZ+7K+5Yhz63QD
Zpp8QnsMYnJLPBkiVdXdtLh1TulIcd+GUoA6y1aOi0renonpbogF2Zuy6h8naGB42+MP1DjhznDU
B+ejn4K5LVws6HQwNtZ+x7E6Z9ADiwHOeNgMzsKhn/djVQ87uyp+mI4fnzNAkqbtJZsOn/d+7Nnm
rCb9LTZxi+Namq/tYH4tzah9kFa6q1O2MsyZa+Xzs0XeYTQMSBrwcexeFZ6OdZ0+RJycLHOKabTK
AY9yjeFNDP5dohHoE16D/PTNM4txa5FjgCto/F5HyJBm652jjcYY50fXjrpcwhI9DdqbSWKI3mGD
+RdtunitG2T7JsK4hoXbANrdzWTQUeJe8b+or3Hhc87a+y0PjmgcW2wIwjcwoKRr+QgtxVqVppnv
c3/kUNAk1R5jNeyfVNMuCwp5sn1nhyDP3dD50PhjyvYSEZHH9kcwQun5xDRkLtbLOTnoZNQ3gjrf
NowddD+f/V+SY1J5JFkyF74tOB1cisDT63nCqw3Z1bodFBHMWW7eEh/yHqHL3DtVK9Z2B511CMJy
68ThkcKuXJmJ9+GNKQjZkrO3PaeMjAlz5oyXkp/ggBzWnVhZTX3XNxBtREKWK4RqMjzWPuEp+znY
i6SRG5V5+mmRDpw16vMwVHd1QBY3xxxxNhPQxQJX/NrB5h0Z2GTT9tkOzOJJdR6Avzi51U1cPslb
ATcSyyxqilr2IFqlCk5uedtaFfN+HdZbFAmvaTOg0W6CrzCg1M3UVr9ZrjVho+hKAs9GsgVnP7kn
Grmh9ZwYJybXzU1U0tMlet590AM+xTpIkhebPMzYesbU497//JJUS+6rbYLGQ9zsNve2CtJ73Bgp
LsvBuo5FCj2XPxW2gbe3yE5FYrd3zfJXP/8eBM6hy3R7+f0bAid+g74iTj//0cQJshYt7OMelTll
QITpOS2c21o6Cw4nkmfIS/kL0EMnib9b0ZweU2ENqLkBZoOMbbBu39CzdHdAsxlSONGjR47FFdzc
EQb+R2BRhZchoabfG0BEKxYxC0hXRuVLrwACpGBNxPuauWS0zhCrzAnzVBdde6hxuxkiAIwYeWvX
ZCpPgwuGAiW6Lsv3RKp3uP4+6x7JqBTYDnJoUIKp3W4GM3sijvjNa03c6O6z7CV9b6/ZWp1dElkA
HCKZ01esfPYm/MS5hW3ZFjPsdnTNHJRwt9t6DYlv44ruasdJSDui5IxWWje+nlrcBqDDREeMmtfN
2x9lj0Yo82NxHAiDIEPDWjm1Do4wMT/8kuTQtgeqVqTQjdNzbEI/yDsfs7647SPsvG6SQiAI7nui
LOGjA9531DGjuCrz+DkzOVdavvuBUr7kREwhZ8Gv00ssmNfq26mt76A4k1jTQLjC5Q51sKOJG096
jdt1x+3qHVINTLdwSQAZpxfoZc/wT/Db5b3cjFG2g4YIa1cZr8VEnE9Uka7kY3Z1XX0HZWuJ5Kl4
msI4aAmRIQwYLYEULLVFKyRsXlsyGDBeklCBaIX2cezsEh/CXVoiZq5dtoquDLzbORluTYGrTlfG
90ST0DCW7vNccmzJDMJnRpQqQybup7RD+tthrYMz9czKxfna+za4sdpzgAaTmATIP50xX8M0Iiy+
rh/bQns7ixDTDlDAtYWvZAos622VeKthIAyDXTa6GosJl6yOmzomC96gU7Iq9fAE3PoZ4Ro4phh0
OT2Ynl4RG6MsIByl0FM4dR8IImxmi/jXEbRFBFRiPKP6w84VD89pgOmoZjyDBht/TzKBmaWj08Az
dFp0DZG/3OnpvPEDoHJg8t4Bu4uTdln1vKCw1tBGgP074Tciq28oVfQ6mqMRQz+UxIGJbDeBinSN
6BTc0fQGTYryYVWlM5ADV7lMbVjTOYd4O+By8V1AGCyI0K1TjRH7YyQZYKbevnKVdclc6xmtEADW
sTkaGcSq1CyPzKJQnuTkUsQIFcu6vWndJSRWz9tZavtor3J2gd1s6AKHg1ft3YCQU6eEj+bdOIO8
GRzJXdJjrWh3Y1c9wB86VdIsz13SV2TfBd+dLjlP8YSLNNGQN9wJOh/r1U724iYJMuypBTaPzkZ6
HOd9tR3M16kyCBqxbW/bJB3ibeU7GyOnEGrEUzGH9Lt7vPnx5At8L9W2Q77sNAUPN1Tz2oRNQUvL
krRCGDXHGC6YScXnOQgIk+D8Z9lY4YuM43LeSuurN1W/mXH1iPBm3AUtbqUAB6RJzNCq8tm5gDlw
EhZozoz0Dh5CuMXeEK7IkEJdnpHebTEbLV2YtcJFVYy/L3PaFJ+Huug0gewXjumOTKiTV5kgXxLr
w5B9dady884JMC4O924n9IudujRcz03jN2SRDyBKOV56HUB4GKvpqQVBewDPMG4Uh/GsG6BpoJ9c
OUX1tZKyvo9r7HGhiVXe608FHNJIYItUCNxbNyGO6jgn3Mwl7UdoCLW3R9Op4LU4d/ZM48ujbTkM
bXjs8uCUl8Qq+COJDmU9P+swqy+UT7GGSWI3LB4FPl9TR9xYpGgw/g+SV1tpVvJ9NvbiK5vKHvT5
wPp7OxYtgkJaEPQ4VRINHE8nvgx4didgOaGNpKnJf5DDnayQxtKna/unLIyofKqj4n9jUs0nPT/p
TF1lrjD5AecgifFb58nmQHRm3JDOUBbyrFrBOpS+uT0VwAySkw6ZNa8zTgmbshw1GS+cacOk38Rz
ZJ+6sieqSltqT3z2Fi3kdFOpCiwAJsYekdDKbBZzW3osJj0fA49mrWNv7QaF0tzW+5H4tBgv5qMa
AaMwko6OdoT0vp1JO+qXbdis9lLBVYf/PqpseKAoKZ+QsaJ0p5wFtGsAnkkvKU7Au5J9cp2rFtC5
injoGWkcbA8dVRsIVj2wsM0YKhI2XJEeeGjQ92K6k37v7/qOCOLZMS7AUBi0W9HDzy9VaRTUA93r
jD1q9of08ecX1E3JCv9pCzDa7BGTivhWLV+EDxcinQDkmY66dyjOTmYkYXlgZF2m9An+Ckr23/9f
Q91/m0k5XxaIKQmfx7iL3K1q6WQl5qU2ieojGcru0hCRar9zO+TC+CXmXZz16p7Upu4Go97tMHnq
XiYLN7Blvt4C76SUL1g32aMQlD7oKJC3njf5t2ieARrVVDkePpvG3/TgDC+98pLdzHgQOERvX5vZ
tUFaKf+Sl7c//6DIOcB+50z7FJoCAwusdD00/5Qi0KicBwK5BZlo+AO09eDV9s4jKQDX04FK0zky
rVvScaKSE0z6Y+yE8UxpeBfEXHLbA0cyp45cOX4QPUckueWQXDdCg4R0I8N8LDMS2Sr8wH7tXVDG
BleiBehhwUVe4yQBWvsMAKy8DqgGr4nTMAguWVVEyx2Q5dA7LZauPV6j8YIHDnvU2MTPGJnTmxJE
xP8h7MyW41S6bf1ERABJe1tF9ep764awZJueJCFJmqffX/k/cdY5K3bsfaOwZFlWUZA5c84xvvGf
T0XPuYDEvWCfW9YNTt+OQu0BaslvjsfOMeiW5a60hX3iOdyF7Bgxk9zLghwIHMHwQpgv2Iw/s4xf
xyF2yOkmS2FfEmTIBv1Sg9QrYWsZFSMwT8sOcmhhCDELo4c4vuWcaLYRsRA8tK6++/thmRnhm9Ro
0vP2BYlHUKMo1BzQJyVc6D15yGhxkYTd5B7EOFuyec62be7KOGLszns/C3ejrvV7WufjS9tb90T8
RndhWPaMxJtyu3ToN4em8Q9dYaUQ2qV4jsgefgQ3t6GTd5evJZci8KbHnvw0aN3ePhfeuIHB+mX7
cQuqqPntrFP6qHzN8Nh30bhMvMkTBm5i5sVT61Puo2N8Sy0fBAi2pcdJSX3yfCIFp2oAfTxSDjer
nz91TSsejHzh7P2LPmEwCQsuXHOskbIT8qL7nU2+4BOSgBuTdsut42XyqYuVuOW8dPP3szYHvlJw
vzFfJnyAy7vNLQL5NHcJXfuR4IiOPCyk68XZCvLpMYcHfkXh5BiCcQaVkpuj8rLzEiikS/TRyfjK
D37UXfyiuukg3nRZ/jHG1HKlz322gqW/CPuoImideYOcd3HdfOdcG18ZXsZQ2cG5w2OMxVT9GH23
QtnaPLUYyHLXyU9T6d7VbCWQxlIf3YqqkyJd91mAwD+1x4NDVjIgLwthKQqFdA4j7HFm3Ka8nJYj
IfoGHAV1ntk732S3RGgixZL9slVUQ1L183ZizjMjAd9E+jOOmosuvVe4XNZ5XiW8AAVCAAQUS7Bb
X1rEpmALfMxS5rMZnEsRz8TqFOZnuqDNiAtSoBveQ/qL2cQR6yucfNY/Z/ymaXMJZ7Y/hAe7ERb4
ucl8jxe9fmRqHA7Iu7d91e6gGcaboSfXpyo2NeR7hNHmtWkCxGjRR9+PuM3qP3AL7BtjM5ppXYyf
ga+rk5sNby+8N+RXtuVP8nfdHZFPRpFRNd97MZQwgaKLriHDrQ7KTUJqHr5wZOXswcSGASq4dMOJ
duMmN8vzCi1rx4qcMU4Z6esW4A/BAW/KLGVDF2iwJMEH9zMNXwG+/KddQXAJU+pAB868a9ZqB6vN
3/Cs3xYziLQ4T6fERoVvB6hMRir+ij7wxihO5DqAQ1aE0GPCq9aDaLeYKELbqe/jNbgPZk0IgMio
Pwf16YkJcjc9a7agwD/2SiQmIOWo1u5vr8lfhDNfTfcFJ4uVc4zTffv5fFw6okXtKHtJCfYO/InE
hzK0IerI7rJoBjO4IUfFbBHCT0vXG2pT3S2JHNIaqVfM24AFpnGjh7EYp93UKdQxRQb0LIISNXMm
zgz/Bs4hwKvQ3M3Z9MtMgOClGH4w0frTxPPTcJ5a8Cgj/p6tEdNTHHQcM1MX+hToQdWAJR8a0Kvr
mAb3RLX6dfVR1ZhIl3EpdhlZjSS89GdSBn7E3uidMrZK5mXeW9R3r2vIiuaJ4DP1mJvbYt7a/frO
eqBO+AXgv6NHoQ65VB61Qg8aUEQ3lcVz54zO7WJxo1UKxbTy8gfidHd2xegMFwfzMzwDUnvufk3N
q3+lhxh/goxh/4pTHHAY2PcMvZ/FmBeILPnAFXYRQx4dJl7HNZ/FoYqzjyrDCdrngjAwSYOe7lxS
UeEeMxcn//QaVJl98nsQMuzKR8IFoHq1mF8yNnGPVCYrRDtpnMA6cX6/1Sb7Vcn4CohiqFcZhhJd
9kMKH4qFOCxd7ZxjkV3KWn9CpanOBbJMQmSswf0SlIw2BR3WffujHrN7JKakzkfjtcacTzOnSxyf
jfOcQc6Ic5BmdvnmxZHe4+w587QdrYDYwT51ObF68fk/H2rgUCGtLKrP9pbmrITKAVSrqegz5Bbc
KrrKNAKpEE+YSBk+VuWdxKkL9Qz9aTD/XGTEL96m8zbQ8Nd67e6W1fsy/fTegy3pY9jbqVXiBxgm
ncQ6h93AwkWKsb+14prRKa/PNBw5NcuOgTdKfV6t3Yly52oexirLnJbeWH/n+sWvnnmUSlcgTvb6
IiNMM50CAxPYN/akHkdfLKe8ZQixwuzITHMoUjfp3NZsnUn/Uaixejb3O6955zR+9EIAZ5D7I5Qa
9UudYTYnR6BLgzNgLY6vnrETN00py8GsP2RKf7WFfze64+/YDn/OQw6+wa6BoKRYdXubfpkoQECl
WUMaBOk5OHCcbe5VL3OVzPZ6vawWogGhDyVbKi0Tv6/Qo+JOccP4y1i1ZrDKONbym8egcp9iwHU4
ghmmlhJHsElP84RzXRWBczs6wdMw9kOSOTjKJwIFdYlOwZnSFycOv8ALnvISPvCcT6+ZZxNYv0Yt
AkQapbRBX4E2tKX3hzf7aSlRtElWCrESmdvCyUp8Murzpr1D4LCNs5yncAbITA5CS3wn9trSpg6z
4sSLGrwnXcHcytL0OKn5ujo/j2IsSC3Wp3oseKxLgvfSMj9U7U0sZhxhxYj51hlgUg+QTbvZCQiT
G+FaMhrcOzMNgZUY0qCLYGNmeC5aK72JwIPsx24iytcBbjLUV923Xi/11XvNdFId6qU6O+gaSwhA
HJQmcWJHFFvffgqgeKE+GGk56Phn0TGS51jCEJa4nqUixKpS0BAVjEd/ADh6BXcV3h223RanugV+
V3PKFj5RnspvklbNX8CYyJ3v++GAtKNyh/44FAQPLfGb/9UTaUBoaZrvsv6mlKpGjkZPpoqY+zoe
/WC7u8je1o9FW/0OQme5Df6Q27TBn2f2WQPmOvZBpoqgvUyCx59uO8lTcEiiiVRTP/hczLUWYPbA
KC+4n+ZpD1BY7Hwc2hvjwVeoywAdiAoudkZ6GBHDf8TA7gx6CaYRQxKku1ZI88cReNCDVLxbbrL0
o6Kadu+NhWo3hg9UVfez9hBozLnc+CvhkBw3usTpOQevbKZg7Mt7SwVW0s5IMzP3M2ghidBOtM4B
gEkLIaXVkaR1DemTKbpkG5adnMOW4uQ1prEHksCCVcS6yZb1mFLTedT1U9Q/wjb92TTht6LnAilg
EzUIrFLfflmxuu65T29T7G7HiWeViAnEPtYKF9j3wN5e799ZiM9BpOBXxY98JhB56kp5QGp2VdUj
XrLI/Ilm8avAk7129ZpIj3covGQjUxKTB98SvcVmHfr70qfV5qwyP0lVcgJ0D4gb5bYY6/eqndxt
34nHNlg/S+fiLiRPBfn3UoU/y3awb61shufgTizSsOk6Of0awiv9YdPZV7FDzomIaJqjbGMEOwVL
iGMTgjfhV8xteosRJSOloyg5aMcG5DIHPQJxXRZZi6NwCT9/XB506Gowr7Tt6vgthby22OuXTs1O
THHwqJCqm/b6EJDRxLQv3K9TW4JQR6DU0ajYkGT6Cvv80UMAsdNR/SvkXiLW4FLo0doGs7NrxvFJ
FIBLihhBTG3lyNTNKZSw3YrCZyoUfWQ9AIoOqYeZySw2rs9Buvsi4gfEFY6iXdXZjxhhORq5+2oE
4zumcAUb/zmw6/kB7+wPtwSOabXRqzMCGIewjxjDCrdVTS/Fg7uI5TenEQtt2cnEjoGeizYNBITf
0IAc+/7uVMSIAlgeQbYsT64cEJ35XlKusidasmWqF3wR0L6lWAN3bEFBcvp3qPfeaamHdt9VxUu3
VmByrfhzXtW7qSUxwvb8TvS72tKkIqPMeiOr990MobyxNYgdSVVMhlq29evyTnsAVzIixbZTgCre
BNW+Xdh3OjJisio/gqF4hkcOcNYzj+CO+yJ9sVWD1vZKA0VLIqBcJ7FK7Us7cITDwfM4uNDn+2B5
HianfjCIg8sarorB5xDl9bKZXRYhTT4uB7XmMMzBqSyJnC595yt3qCDw6m7K3j3VA1kJq7vMR+Jq
ji7UoYhzYL5iJ+0ILsTnMrzO7nBvuunLG7nh8fzSQrUJ5OU4ieI6xFVgai88WGPwTuf/xcma4i7W
0S2dFxr4MP25k4hPC6W9oesb7AftJW0ZvzbafUrLYL3vpvEM8Q5IkhOWOAhW/ypWcAkG+Bvn4Z7i
ogX06j52QyOp5pCSpSMcxVyqfOcHw0cfzf7tqpxTOOA+s4H4zpQyhK7LfT3TyZyHZ5Miq84A8te4
hGkEqZcsm+/ZXsqkCg1nP+stBFOLziO/jhQrGDMCuuhMuM1A5DAU1ZCmJtr9aoLhUYQ3aqi9R4/h
xnbsx11M6O6BMRRhrL1pE+0TT7cU9meXkys0j6Qo8ZUdGde08yoL+jvBNMEuwqd3FqS9RoHbvRFn
j4aNNdpTlYR5NsNk6N7zFuQfvK4iwVJKj8WCJxWFL0gWmZoW8fPse3ta5BPRzd2f1KuZ54q2TqYQ
YDAV3j3rQJehu8k94Z56nplizs0WvUl/KHI0cqlmbmIAMqCIgbtX+88wwYI3Mw+fqRluGqeV763f
PC3TD1pZiEC4rPsuzdz94tY3KkUA1kxnRd7H33EYj501bMlTWGaOqC0ZULY1PHEEQBPoefIRK9UW
8jQbt2KvsC3/Xi5t8TivlnNWbGCSQB8p8ue6Sd+cUQeHKQ+2Tjexetcs9v5o3Qe5D1K1wm6as6DD
42Nr6/03tkEom6k4F7FX7mMyCtlQuj+ujoH3jvZDSUuW7pB2cCdD/g0kFNkuoOnDOHkdijExTXtv
Q6tqVrMVrcouwZofCcjW9M0FcOhy2sx18IvYWJaJo8+tfKfkglWBEKDEW8vXqEXeAzPnvbky/vrc
ItCqc28zD4lQ6dUXs/QvFbKqQ+CxovJWo5wljKMcJeUeMmOsKutzn9avkPCtMwZ2aMKYxXeOrhjW
9N5jQ1ipjJ96biYag+pP7X04Nmt8Uz1Mq31/9eEKIxaonzSK7XU/q720LYXks/ruCwuyh9UTprQj
m+v3lDXUt7h38rBI8VDhjimjEkys36Ep9uG3uLe1TUxVj3AkIYsSVjjOZzUsiHPpTS7hno3sK4pr
WGSmY/w3gVaur+pin6tlrOES9NS1k40fIgOuflDLxGSNtIRav5ARnoP0bU7ChbZaLuNDtjQfFmmm
0hGcuXCiqVy++6SYKsLZBhZ87YULxwJKA+DEt6oMfzDXU7uqlPHGExYT0ln9ViQsl2Opk66lPLZo
JpCb9nsuWn+3gHpjbAV+zxCouKcTMl3kaBne5kN8DftYM+aW49uCdJrI5+Igs+EtlnSImPUisFya
/RKOH5WYXgp4SImR3HizjTqL/IxabgdSLvbZtScBhojc3sg8iRGazhqLiCLmPGBMACC0lEeHFqo3
BN4DLHIixFLSFacOsZldIQiURI0h3mS0eQ3H5dmkTQgPYb5ZMAufQ+/KqTkC76AtPPBaQBX9iiP4
deM0MzfGIISgHt5dRZCgsasL6IIYZPzVS2WHD4vYMBtSd5yeGcmNVbl3+D02aB9/La3Nftl96t5l
D/DKOYnc7tDE9KKN6UkOVic1uC82wRM7Vy7ymAc8OBPw2lMOSuSe+2C/5vmfPJS8XIPns+sDgj/t
cnysuleL57SJTqkJ0CnI5Seviq/z0JFd2DRH0+IhE4510Ig8HN/9o62WiT8xEmL1dpqUjk1Z1g9R
F7fHQdkYRCLxSPBAnCyWxVIfL9a5WwgBSunDWzHNCCdrmQ13XrK08U0/FE4ipzrRdr4kkyiHUzbP
303WzokIvJKAnXg5KjcvE3s6GWHeM5XHuxVX4r7wWED1euP7YP/6scC/eo2AEf2PsLGpZCoAw3WU
H0sVYFsJ7xkluyd3ce4c/LCn1vV/ztALZQ7EYFh8sXVS98Vyyvt1vrGU6rclPgaclGQEWx4pDrS4
wBMAkj2nKXBxuGiQ2bL7vCDxd0FJhNVgYROiO1DrBpl98VKZJYWrxZmxadbgJo0bfqZ6MIvQT3Pf
yVOTN8SnNSpOVDsXexEX7mH21pyqsQypZNZoRz1GMMj6E1UzW7y9PJdNxnGmhtnpRZ69g9MOkr0C
uphFUK6mq+ah9wWjWySNc0VXqbIMM9l0o9r2Tgn3RtJJ2gCSM97dEHc5OmJoxg1XIopHD34jpBdC
Xh8sAmcSn5C+zUAThLYjfAt05sVWo5HYkdtJGHNB2oZrd1UCV/VphY+0G2vm82yS8yL7g+/D67NL
U6BzAEYONyCh17nTbo+77BrIhIx5r/0whfvtfkdjK/eV2As84I96gjEGgQmaWYUOw52P7WLI9bIg
4ZUQuio1/JpF/UifoTq6q/tQxoRz0qOlS1P3P2cmeUio7LtOub99o7e9PaiDAYm9bVIglFYDTn+c
ymNIT/8Ish6C7OQTlQ4ycFFciwbVuHRbuMglT6lHqxl6O1yDEEZuOLytdvPQx6jSgiY/Xmm1lgtg
bygBVK1eeySp8iKK5d4rGI819fOivX0cavKqVXToiRFSkPwVE2gOGJx7R8Av+QijcXaIzcvU44Rm
CLBa8ep27ZMnscf2Q9vspmtmdWHeSEnQQIeTaZSEKFuw45zB/Zxae18H4NjoyBY7t4yPSx3cNZVS
Se9aTuKR/AZ2iKmzhUPUl+RS6OWDnWYT+Yr80VY+Wst0QzLOhMiJ+UBJCgIDxuBi5cLBkejEDPyG
5hBFYKPgjj0jSCF8KlaIiZrlnK9ifm45T5lhpVMpi4elJbwI9V2SqbT6HsKY40yG2aUh4+7KcXU2
PLUrdo8hSNiw917okLU3ahBC1SXWV8lu3I8P61q/OVPvIE2xo4sNfpu2dzReKQoMw6QGdMeSAKMs
Zk/p+69pqW49P5Jv3poGYHtEcEiLRT2ubfOT1j1ak/Lp74cW6Swu/Ggfia7cNlGWn6cZ5CmvLbxJ
PR3e/P3T3w+ZqsGZl4xa//UX//r07zfDFhMR7c9//vnfP/3rW7uGFJaCi5T86y/+9c1oovS5B176
z7ehVf4/v9w/X/v7r4zisEpXDcLx///7/+tnpqbSB0ePP/+7bxOT+H9felUAWg3oDP133/vP1ywk
zIltOAb987W//+u//uu/nxLEMbEi/o+/owRcC5FEpv/L9ekdOZ4mC7vn/33f/rk+/3ytdYfH2EUq
oLV/M7mlD8vfQA7++/mSanFKh+4/f3slvt78/bo7MzjdT3Wvtpz77QRFGjwoD+4/DI38VQcFue7a
yY5/P104SbkeQhVrVFcDlIyTLqqbG0RY19zS9E9aPBF3QD/ebj9cpsrHcCTx2Eyv4TDXD6MzEWCJ
+ewiOrOeJyQxHs6fXaDb/MOy+33vr9VXL4kIKaXv3OZRLe40+ZE4bRFSZcp6DXEHbGbq6DuYl+0z
gPQ78Os8hXOjTuFC9B+dkwiKHoU6HK63nDNU0i20S6se/kswlgxP5XDx5ucgLrJfJcMQwl9vppB8
SEm+IJRd5zgvgGzc/jNMAcSyqkfpgpvL+bJoil/CTOaU3j7JEN16ULYoTlDXg7ejr+kH0RM6eoa9
nmXt2tmpxze6tug71SYutbvVAezsonCf5pDIHeibrPXtdVdU+tA2+he1jziVipoA6Q1UdaQXc259
5IH8Xh1IwqSwkMlokYGOK40jV9merlBkbH+M1psCvxhDlA2JDnt3Ml+WIn+oJFbbcg/9ihj5WgT3
ZALFI8RI2/dpDtnVDt1nes0gXiA8uXTcems7hhO2iuDkifW3NuTEpLb9UXAEnHmo+6CA5I/5gNPX
lsyNjJ2TtMfcfsyhLSVgLMkQtNF7RC8EcIL3QpSw0t6gXYou77vEG7wtPVvs+9HZ2TN7cJj641FR
qO8U4gL2dIoSg51w9gJ+HKMfpGjrxk2njHBkWtzDNHyIYLwGLjM/WBaiqns/Q8+LyQXMMGnAU/xB
Fgkjy6FGL9HS1vsqhFtesqDlcEWOhlWcXBGeCmYGsArLjaHreqYsSwWaoNm7WHSejrnGjes6n6g+
8HxLLMQ+PZh8xXgyWo+qnBn5BMFJs9/uKyY19hS8L8Ty3gI19PeFb8D/6v5hCVGCjAuBuv2IW3yx
QdEGGd6IhV29jKmt2OnYZLa6zqa9k64fRe0epk73BxIQMHjJWw6KR/TgNSBkzEzdVb9RIGvLO5ya
OelPOIp6uQsyPV3i6Z6MsfYsHPeFrAWPHUvTnojJ0W1QC3nlNqgz50gtviEQGTqGCsEsDWggq8L/
E+IJ5cZFqNVK+J7tDFFoAXrCAAStFcm1YIi+O2+RJ4IDntaO10OAB2l9rndPBVG37KwkOrQpLyu1
HG83FI2TwHw5oIXGhTRL6lZmsrvCEY+qMtaephmCQfNHgyXdUuahoFAEOMR2V59di0emJe+rrGFN
kikAUQKmQmO9iCnFVN25MN1sTmlZ2744nYOcSzp3Qyk4RvSr2qGwKRPHog8GyireLwNPQCajTT80
+qEbrTvubbhNuTrqaWCCLuS7TRQS0VzdXe0TR9gHFD3Ec6rdOBL95MIPs+Heecyiwg7/WSvKL00Q
urGmnm7ZzJCdoyvgqERlgLlL2iVhTv0VBf1TZ9GGsXPOjgI+GcG57vagHMofg6AK9mb5NY79N4FJ
NIoET7eEnbXTJYRgj5VXxozpl0UPN234ESLLwJuWiuPK1Pzqpll2YKS/x1HbB4yEWRjekt+6UwGC
WxOFxEhjKb2k1VNwjXoY6dUktPqCbZU9wJ1PARt469F43i+j9Q9NYyCaKMFKILCsNHMyxr1/WHRx
qk0NWK6e5c4vbuFFqRPq0zc8xu8VybRpP4q9cay3SZhvDovftQlmlE9YuCIMgS6BItGEBD2aYEJb
GY3kNtoH8xjhpr+n/GZAuDbgRa2WQPDKnLzA4WBU2wnIMIvct530Q0HtD+l6BPC//XuXyWkZN2lg
yWSRw+/rrzIG7bvX481rM/hnM4O80WGs3NOfq9RTUZFo3dfwufmfF5rt4lsVBORERUo6F52+Po92
a1kkonvKo1Xu3Gx8bknpsTPA1TyDJKqk/ufof83178yeviwbHb1TszwiSyoIuQSGRX+4ZdTlVtzz
oUYbSpTlzmqLjJwOtdeqVMdMOO8LBmx0Xrh92wyZj+kIg5tKdNS5ps0dlC8mzp9MECBeVSyTMkBU
YA8PhjCZBYbcIbI9JrDFLaOX/KNSCG4ErmTX6FtfDh5TpB0cJH9r5/N46AJSU9VaPwuZIRFy3Hf8
T8HWQmSlxXc49Z+D1VxHypgGcHUfmCUQtWGyFyJWGAVVE6LYMfpmvkZ/yQ+O5tqbIj6wa9AfIHO4
rxbyUvJIkB8Gz3a3LcmipAE5X/omznZZW54ISRuPfT3u1CBeSREgYps9LnERkdb06PnMp8Swhz9u
T+Iis+/6xpPneUF3AXLqAnv6mnSjb6pMOUdnPtMEnjeDceiQkQKmIvKvR4czocu1jKyeBk0sd0r7
zxHGCiYuXXXqV05a6tqYLOVvThecvHskY5HJkzCPYWzAINaCh3QGKEHEbU1LsSwPOmxfnclEx6r0
bmKpDsUwQc4bkeQhRKXriJw26sb97IVc3/HUepzaO8Du0s6nbSW7XW9H4WFddLOtuv694QlPbME5
3F6nY0bDSOde/FAGhBgQf8kpBEL8zMmMsxqI256RHB4J3t/RJ5PZu0feyJG+SttLVOSvVvGml5RU
NS9nXZ76a2u2XRPrSoequ8oi8JhRCCqxz6jOxQE6PPO0jvZzZrwbMSC/HsoQ9Uxqkatif6naTS+U
78Omd/0KUR3YSw59SZG9yr54FLX/eV3jV7one5jT1hFp1qby9V0T+M9MVcy2hyvIUYyJd9HT4UgZ
sM1VKnfxQIDZZHlnCaP/CBP9zZoYBHSGJERLEUHtIjNS412GCn4LRDQxDNa2fiVh4rDHeN0OXp/Y
ar86+EFmU3OMMQNR/dam3pwQKlL0hGOAal/SIYO/MtPmNPS/KLNHkk/0SbXTXZX6rBVzNHNgfa8F
B/x5GdCgNvgI1vG6tPBLGLkc8Wuc2N8JSKzVjwb04EYZ/5torI8oI/SaptppDk+kiwqMlipGl3qU
PqL2KXd+ckugpgsfnWCY36lemP/GKAvrbPlVMqGjbRcvLyVK984TRdIrrXY6t08zB8OdD81o41rN
M43vnVVCQw4Z9x16m1FkG6i7uSrGS8kP2NKGntFdjSKn/WSlHQk6lIOT5v2AR/6AUeLDlpDCvcrF
Yz7TVag7QGM1XucRIiF2HBqIIbKXU/2cBwO3zEoeQjm6v13jPSC0AVzg1jvRG/+A7e6HpsVvrQGe
VX+I6euG2SGsG/QuQ4nL52CZ+A4hoJU19YOS8WMRmA+5CvdsGkqsQNN9juvmPA+puOKrLQydDYyE
2Hu4aFULYlxzaKTjHzecH6x+DW9s4cljqPXVIz3er62fHdzaXHhjrFNkHxY/6x9oNSKBJzQpJPuS
GNSyJRyV6ZRNdnzBQA2499rTQcJL5G3or+ttXtgb2jRq21JqbyvzsxtIenGy4M2tggeBCaLUhKWv
jUx3bVn9YGhBPr3V7zHGNseU3aDR5pQ3voNTm4XD67U8V1GML7Cv7uFVynNRdPL8908uoeyniOH1
9cvCCu4yHYl9mFlkH3hOqa+9drqBQ27OguFnTOXm1xFniVHm9GuZ+O6CgvRtdpKd9iS9ibagUpnA
dOQt/TXHVee/H9wOCm61+hl4hi1lbHNOzUaM7p9Wj92+VV0CrP3aNgFv5oegt81Qq7NHbXN2lqXf
te7626phAgRr/FkNk03za3ksC+TDdUEzOFoQ+Fz/SVfZ3X8+lDUBfW7AtFqj2z07fvgKSgPY9hhx
A15xGaUg+Xjld6emDmlB6XWxdxWy8zxL77kz9LVNwznkenHiVM7H1cKCwoFk2bZD0Z7pEyFKliyk
fl7a5y5ER15E7vdCZBgYypGSmdbKUkhQ/L5z7gFebEYyh0+kSNCfjZhj68gvkjS1WUorNJml1ExO
w5j8bYfJzAzDkjEEruY5BUMmr20hlDpf80QjHF5sgNJ4Ir5g4jyX+4S+pa6P5iFlHfOpdhLhTShM
hoDmkd8w/sRhVyE+KQOOwDUa9ryov8uGYa12gm871vdBYTCdwHDdZcY8x45B5xlAU5IeCyxCqpM7
z0wlKL2j8YhNVDNkOg3OegMNlieSNTGry5sS5uqxyEaAUf23K/InOlLfCBAtCt3+nWCcLXZNmzp1
vvJw67cGX+EylR/NSQvrAHR3oCJpvT0+0qSOx1+B4kDkWb9G7rXdBDduKEgaXKM4pKlfyqTUbPK4
pN+qGC8Dni70jCbaVEzdd3gAC4xS+Ml141O20r+349tFFeoSt0QH42PCX5WK+9SDA2Fzp2wHHJzM
iWNAplEyVd7TtLQDdvN5SDyrGbY1TXS5sO0UGifgyAM9rs1bOwXJALVvE8lFba9TRluXSIPG+iWH
vTu4N14OqPn6Ok2Iy2LtvbtCUjtDq2S3HetnKwrfHOKIic7NuMHcNyT+ctuK6SyniuaZhkSFeSJ1
jLWxItzhYVbcokXKPEmaAVLDCglhm5OyuhqEWr7NnFzx6rpe7HqJmpHFFM4ASkNwksjznbDe++H4
e0RgnDhTeShhruzWuEt3GaEhoWX6i1WParvo5dYc60WUu9C1v4nZRVSayuq0UuHJ2n3J0KG8YI+n
xgm2Qtq3gR+ELOXMNdphAqIKoKfoeJmg0z+0E7UbQdYQ/91+GiCfzXWI4I5AJ7slgz7YROpa4c31
k564HU3hcfUdNsrRIlQ8J3+F1siW87a16yJIVa67QvEYThgBuEoLzOiuwbkZ3Pihfp/diSlT76NX
uiJYRvqQMTJQcx13ep28s0gW2jhL7J5RGnVOYIiJgSaT0iID+NKeMlBoKguZuYTyQMmDWoiaax9V
ihvJod2yDkAee449iJ4DCpr8zdiE9EjrqZazT+RkeTNE/W/URs9hAC96Xf4wICPoD5gF6/ADKKRP
dPDMmQr/s7tG+2TERdB+CT6Y0OFRtJmCaNP4yRBVSFCD8t6NDd5Mkou3JmqQovRV4hWaO6mPiQ2j
x8JFwnLQ6GW7+hKFL7wLC39uMaYDhY97HPM2PXTzehic7j6P8TqVkV7IMU/vOGtFR4suHEjCAxMx
sY0Vp56yvqbTMe3lxk8EOcFEq8ofVxIiMlHSNCwQmS194qvUlf2DazoTkpuU+6Ua451QDhNQCnsW
3GY/B58hIeG7TDJv9wIOwSLqfg2OAChEQRVUYoS+gOhRBhCQhoqZSV0PKTZCKtEB1FM5Mz1Q6PmI
cB1dp7mMMaWu5yDHW2eLhIWcdLmonx/yvNqiKmKwvphLhCZvowWYOovSTzY4p4QmyAeVFS1ETgn3
Y5DH+44GyKlDRjX28RFM8mkVVneYxhrpdIMQhXPSQlSXV+9nnyLUnYrf2ZQSvGQIZhcw5Ok6qfB2
aFHQdxED/6Dvw320VuXBciBOhjHii7AnFj7w2dbcZ4cJR9xHyH7WJThQsM9z5Jw1F3MuCa9p8HtV
iPupuaS9r4blPq+aeAvsvtj1DyT9/aGiux8FS0XaGoDn7MdnaJRmDz/9K2V0vV9V9GqN0n6IXesp
15eOGm1rlQG6V9HLxJ2d6Oi488fVcV2MBvMkm7SVcV3iuM/Jlms/fE/clplB21yIE1kon4p9+5W+
DsEl2v4v7s6juW4szbZ/paLmqMY5OHARXTW43tGKfoIgRRLee/z6t0BlhZRUPqkretaDzCAp8uJe
mGO+b++1pwur72nTNsmKLukKDSLZMFpx52SgXfWSIOQZ8pPomHF0KE86S6g1Xp9LJ84fPG/a5cO9
BaF0D3iQpQW7non1KXOOiyIfZYqeM4NW2c7jyp+bA7ZchkoQtca06qf8PW4w+U9dck3poucxYu+H
K5Qc8mZvqJbRvbt0HXURz1wecqEKyhyBuZ4c75SkFBGxT0GFtHYIsnYYNLGWxhdNGaDsI5qkA0u5
xbqPaDXHX9BHEzGwIE4Q9PUrd2AczxvxaIZE7+aOWju8cENtb1+39hes/eftwFSoO2SBTvqIslr1
pPsxD/EH6BGbeGmHwUn20xeIK1skUcYq0u971MhLMn/0ZQRpEVI1zetSRqe+jViqFAVV3UF78SwU
lJpFL56KzTUlS95VmR4DzvmaWIKvbWHu2hYVqCHFpTTwIHs+E26F1AmAihZtzZoqt4ucuI3la1H6
T0gTCD7pyTyDuAQdgpUzXEhSlRalpRBpsW5DxeP5K8oMp3YAb1AN06urUdEO3AFLZOcX51Y+npXy
fowcb2WBMjCc8ygkVDsmDm0ZRsbrfMna0GaMTdhYwQfAM96E15Zr7qVUZIUWTO5w2ymgJgjNkdWi
7b2r0FCTPJWugeROm6gpztqU7CLTrvTVdgyJW/HFKHdsWACyP1kDqraKW3SZIFwdgyo8TxzupIIk
GuwX6laougKINInDYKT3eQYyzKlAI/mxIqZpiI7xkFz4ufEq25TPUY6vicV5ix0SmyBFs4kU/fPU
2FtBFsCmRfapkFEDSTe2mDOfG13l23yiTmaWjrNBxAfe3qZUXJezWiRAhTrBVCOUwO3YzwWFNWww
FSmaEnihHZ94UafnpqNub2wkecPLBnGlyLUJR7RbbaNKf+m73kbRqSEA0caLtCyHbcwZXUoU3myg
Ga87N3S2WXgBeio9621347gYQDFxVgjatnELHS0ZikWJynKT5klGzCsitLI7yHnB//E/zxz//e1I
ARPJ9Z5CB6Hz+fQ8pQOugUC8cNmjiyYU9TYcWLqPZBsswIky3XbMyj0lwkQrACS1b5ng8VOD/Wxq
3rlJ5PIu57FaovFDb8Gk4rClQHKzAe3mbPxs9sRt/a5JaVlkKbsyKqRWBQOUSITZUpMvOnYIFJXl
0W17tARWgCAl0i4bqyfoOXulxHxhxwby8V49VTrxHYpwxz7NipU3enAJnmtJgU/36nypWkhiLXoY
p9HWBHIEC9HL67LQ7jtpuaghtDmxpzqNAMYWehowGA/twUKKM5mRtu6YLKH/+XvCa8NVgi+Je/uM
lIWVXRjGKjBTguk18TYoGqE4Psq5uPKsleISwshZMKivohofQ3e6HUzf26goOUUO3q3wAxUmeeo6
Nc9SHmpismp2lLzArTAJSC/y1kSFWaeyRachqQ5NzbiHdBdgjcYQHpZyn+vgUzQvWjL73E02KzBB
896J9+BngGm1YY0JpLyCDPbeoKfckXV4W2c15WkZ37TucxYnpAqbCHViiu507q11yiZxSSH8LiB8
lkR6gtF5qA62PDg2XhkogKsJn+8ptYCgBoO2IYBCIcUsWy1HTHujeZSbUoJXgWiQGhcUMJED+mMZ
yZN6zUrfChogkj0gsQoc3IJ61KI3ByoUWrGRBLb5Wbt3FTukFF5INBPksMSg4C/cqwGZ+7rxO/oq
lNeDFuWhQyTCFtQJezXM3KC00bxk115A+1kvaTlhYx3QetqEDJs2SQujvcokXDyTODEc2WGyChgv
lpoqLoOqiA9+5W4oliXnQV3uzFnaGlTWwZIYA/Ku3ckZB2Zn/n3T4GBt6Y9trK6/L1T7GunPmcEI
j8fMYa69CnIyss34ytdnD3zCgJ4WT6NEt1RpxmOYNvqh7nqTPNoxJgw5Wwo0kyyTsrOokzFYtKXV
jwNT5Ycq7LrW+naP6eLkk8zLarVGI6Aa+M1S+kfNyFJWdsJeVKNlHwaMSaKO2gNxnVexyOptqlvH
0fE7nlmdGNc0WRFRhGtAym1pjXQXcRaF6UVJs21RDfBiA/IpQ8e7MaLS3PZdwdM8jv7Wz7DeJJpt
L8lXKLZRTtI7TxBCzD7cx6Z5bZiAneuCDXlLbA63eT9vD4cH5uPbyBNXqUTwOPmHHmUO698QF6dR
nLCFmOuTL+1noobDjRq1y8x4MrU02Ze2y/3OLqyENLwE4HRbZRRo3MQJVwpl0xLiDEMtC5D5CccY
CIPFkZjNBaaMAUsS5DWYg84suGitVwBdt2T45OjCvEVq9sZV7S+9kG5WKHu4M/6Ljqapj8g38cv+
nuxF2iBOsqYHqC2NngDAsuj3RlPco416Tzsv21feF+H13rIB6ya8WiNBlj20a5DYiXvOPfOChW7L
K7TK2IoUxl99oKimt0QpgtNL1+G6BprdYIVE3JmBNmX9RQ893PZSW9h1WWy60ALO7TEylAWx28ZI
lXTERpkZYh85FAj8wdiZfsPMPfZnbWGdS64frURA+3nOSsjs0JplLmGo+kCnzxyBc2d4ldIhugCN
xo6sgV/qq2ExWCai+Sle0SM2YDhQhEkyiUedMSaNEA1mSi4JWEeq5bDc1DOwk+bwdZw9or0398Dp
SYZ5TGO0QDmj+cGrraBc4I1a4ZOtlsS0Q1abM0RS6soCqlJJsrRXVU8DySi7EJJNRsrhhqSN226U
D6MXHlLbt5gT3YfGKFt4AGVyVCo5a7whPcL0wVuBSFGMtDgb7FML7IGPGOZ2SQ7QMe/cMwwt/ibn
cVnColrpZNTg59HWmii2LDEI9UM6w1ITh0GUdSezts3FZG0jGoysO1lbJS7qrsFnA4bPtLMIbc76
aYTP5T5Tk+R+x/NdDs49AlALLAetwcA4hQX51ylNt9BaNSG3EJDZV82rS2SmlG5Mhs5Sdk+Auq6j
Ua6zPDv3BNsE6lDnsb4jXZso44xhAyc0TYvoTJC1VMsx2ykx7LyMNkRr4g2Cn3oGrEke68BoQPGR
H4ulkxJWiox3Z2TAGpXZRDznrE81OuhaxxdNUK3xNPkMxwIXJ/ei1qBNV5NOZThCyyXH89KjUTiQ
Q77OYmz2vTjZKNrWtbRe6qqqtoQDl4HXHlrxBYc8xpLJO9SCXUwcosjS3PCUlsnajYNqJZ1gH7bO
9dg2PLthcDliImRUzbBR8DCoAdZHYjLxQozcRlQ75r0YE6FX3LFzM5YOBNm17Z6P9C0Xvc8/qbYU
m07Luf1AYyUaeaYj5a5evElMdwxqC/zH0K1MuPceekCkHTguom5Y03lDGNC2wyqnuk+zzh5Xc3dx
7KqTEQDHcXPnUk/htNT4dNHW46IUqLtDEV5ldf0UuwngLcvAC+MddbvVNx6B7MiiC1Tvbr0mxXPj
5B6iCdTMO4rlt4WY3A3YnXFPgseUXriZ92pSqqSMgBA/CrIvDehD9gYTuZvZeOFws601PX2wpi/e
IGqa5m9TFDyBkCRCTIfvWrBT0tOY7rCvrirHzuHYzBgFteplYO9HD1u6hVfJqikX2YHH3gE9SKCT
QD7BUlqVY/BsSqATlTG5SyG2wQSJa2ydE8yg16go7+YAhyTTx33HAq7s/C2SUawCDW7kQAGm7Z07
4M4YZ6UQSC9mn3QTVyCcxW1s93sgXNnRy2/GMCmPasqu6kbgOTB0IAvNhSSnj41ChfJjpHJZdtd0
j+88m+j1KhrZYYO7iCsFJCcl7axi7zA/UjdpWpFtUfn3LKGGM7CVPEawioboq6wG1JMZI443psaF
Ut7G2xrMKqwKdXdD3vadEVvx1tVLFvXFyJQRtd0LW4hyBVVpROgPcEqgTWeQTQ063bEe1bR/8109
havas9UybSpvDVufAMnQ2uINob3jJjTCUOXC7xk34IurnVbjxXKxJ0kdfiXFyRD5gnfVZM1ykpZJ
wXMvmrI4et489ZbRKrCaF1tzrkCAnmoUXzsR1sD+aDVSNjn2ljXtIxUu3Wm86EV/TZzpYZqjzqJW
10n003dmmJw7TQRzXtN2khUh+zwrXVk4E8cKj2FJ1tjO14pFPjXdrmxI3I1bBuhY4e9mCAiQ5rvV
ETHpIWJtjIXE3HYsEMmw5VCSYILG9qhCGGCrW2BOHzhrYgQ8dJADe1omFuJFSoSQwPKb7aRPS/bT
Glnutblhc7sMSllgK3kr4B6tkjrEFqfyd1eGHaIfnrBO+vvApPKZlky7Zk1DxsFpspQv9CZvCFqa
bRE0GG0FXbPmjcnJA/QNTJv8bgxrY7hzIV3l6NYXbrNyuG2/vYoek3uDDYHKaMrq3s9M4PfWgH9E
57z7FxlUkT07T9Tu2F6x63OagY2ltktBTwkeVtpPyK3NMn0QXinwpVhYr0O177rpS1hQhi8t78VV
eJbaskVchqK1DnQPtxYsINXR4s+E04DQcBDeGSPbG6qWaz1hTeDCtMFM4jEb+ujQ9dY6AsuaJbWP
NA70nW0xC9jhVBCqfkaVFb2b3l9UrnPRRvB5BJTZ3u7zSzlO3OnUscCeETm9qqYCbIlnsG5hnl6D
+V572kgC13QBkGJZ1nSjMH7eO3Rc+a5m3G5QsLvadihME8NjcE4RknpXCTWvKFi/gS6g1cfiLus9
aA4hqTe5Sd/mlc9BkpqGoTAm3XI5PPvlWU+ZjkWrSq4UtRCyBbttn/eU1wngWzaiwEeVoyM3ygKP
02SxeaUbUemQeQhHOEWxe6mhGsni9mUcPfKuawshKvHNVjJepQGILdr3+FprHr7E2/QQdA5R2Nxa
SXVDi68AOU9FhqnPIwEyvh9pJBUUVMguXFHTF6xiS4elXvzKFop7oAyRMaGcXFQ+WorBCUn+KJjk
kwyN+aigWbASLnraPvpOn22ZEg3NbojpZVdavm2I/kMOCwOJpvW2q5nUeh2JC/5MMrb9xFjDqWCH
2yQovIyeFkkJsGypd3IXOiGO8bo8x1BNfRCYcFGZx3TSTfJmk4vSr/T5XmiOcdruAj0mJgPsD2/M
JJ8vUtV2ovIHmlTtM4NlfQ56StQohBpGVl1nJFY6/sQJWJ1obXUwXdavEXn0RRjRTqB+yP1E6STQ
0d+aDb45RfV6tv7HAZkkk82CvDJiyiK1dyQjHCaKdyldSBiu+5bVrgvDQ//Kpu2Y6dOptsVbqlhR
+pV3cFyLP/O1gZ10fZGAgV/5yhoWfZLkayCI0PzKOx349QJoXs/Y2jz1lXzNSZTCzVOx2Imdr9hh
jxMORLPOs12BQF/ayBhzb1tnhM1AIcWv7JJsWaoRMQmEzmUyoY8p933JXr/tjAdkZ+/CI+bQGSn0
GilVx5omR+ytK7fBXUY600ijsAoQ10y4KgjvrekjlwPeAVoiJfKbZQMCaBNPBjmONZoohKGLok2f
bCeO9p45oSnE3gBVvi+OOeXQkTs+QAXE6fMHesyCSYV+gEhmpql/XhhNfXDj6j3i+i2CakwWZe1V
y5BU9tpiOnD7m6DukeFlybApk+4R3SK9T3ERDlq5NWAkYS+slxSBUG5KugmSclCMM3ljSUphk7jV
mqfQhrugTygHMgs/9TCNa00OL11qr608jqitkYQUv2uh3S0U9XoaFIsgJ+4vDgq6O9oxRm+1TH0S
7aQ576oydZI5s5dKmE3NIsMfXV1DvcdLV3MC9ZzmD2VKMmPSL/0o9qW7cQ22Q6VZHQY/r1gf9n98
Vc9fff/2+698/71Pv/LxD/+D3/v0Zx/H+PiZlntIGP/XL/PxAt9e6/97qO8f4vvhZss6Lejfn4u/
fMefDvX9ZcxspZLRIckTI8BCyzva1qaiwRw6RnbwE7qVCKmUKDfghDbT/O+6SLODypK5qj5/L3vk
SsePn3YNNaPFx5fU4keIfvMvfPvdzz/FQoe2dn6twMcWywz17++/vZTZJdXD9x/OCfXAYpL9R2u9
N5EIfHxV+RqH/Pjy8/cR/IPpWyv+Q1RKmZfvP77UEDT98Vcf34/W3CT4/AIf3xdzK//763/8+se3
MiLm7NvLf3u57//07eW+f//x+x/ffn/j33/2/cWzSW/Xjt+/CCcsDsDhKp1espUfIpLDs51f8KWw
SkTFHz9tYGX+8f0P//TxU3rJEWn1fX0YiLTfWlqTHxHMPyJbfvBDDWNub3cHj6pRA3MxGCcuw/y/
RsVADeevXNM5ABOhY+7E7C3cDks8+RKIDMFLWD3G50KdNM95znvWVXE7DgRn7IwKGlxUvKNZYhqk
YcAQi1N4zCin5x6N6Q5dgWbVr+NkUOGe+cRl2jZzlygjmsED459kr1M7fUGdeERjBESvotdOa2Rc
9EFONKGD1xQj1wtGJ31RNsvedyRuoeTKh/LK4dB8GJIWHryzsGgxKrFrX2UxeQs26IKwxvmXeOc4
igXi/4UTENVblkqxi7xIM/sJksMqqbL8okqSJw546Q7duNEaEvwkko84iDYAW/RbSkOQfyJYXfqq
ncvy+lizIixjso5jOgvahEh59ORFgJ57MIW5qQb/GjGXQcMtfIzEVK3yrG+wd9bdqujWIB5vMzIh
aI31KELGEJ9vjW9WmWf6hNxwmKJkWXv0wfN60JeGGN9Sk3y4OMZ8ZBkUQiJfu+kTe9uldfNICDQr
jZR1q9/bt8G8rM2WfcVCuDFCluDDa90Q24bcMdiVgiSW1tuPWIzwAqfvSIzzRdv2GLxZRXptcRaM
OIAQUYtl73mUPTyQIvXUg5Y6Q0ONaYAN1gF61QBnEONy2SKaL0Y8vWZOnxmBe/aYutq1XgkDOZ1A
i20PGKKqtiflOZYLuP75xkJAgSpFW9NreYTmmz4G5a1ZeeILrQr+SzA9x7AfaHguKGW9xK1ELG2G
xgoN/0SfUxkvIyG1a+J92bhV2jpQ9rnbGS+C9A2KMoK4W5mg0i2VvSIvxX/y6o6bGwu4pZlMuima
WUNXD02K7dezwzPK0LcOJK9iDq0F0ng2dhJCAxHcIw8Kza+jMIuHUJFV0xGQSIzrpWxsJDHFpJZW
lcX7QEsfXXRmdoHLUAZeevKDJAOtTSgdTWAUOhQQenbWvUU9GerZl5hkh7Vr5IjKMtr1gzurntJr
U2nvE/ETKw3Yx5LFBIFjvrwaE+8ytLd1hYCB/ddLJihSg6IeFhWg5xSm3aUeKk4pdcxO7xGn42Bs
qM6z8kuHS0QDYJ3u7DCBrViz3IiGWsNIM0MayQi9R1WFM7Rs30kAPyVaduUaQbKKo+5WVfcEJ0cr
l1W5ToD6RiW0i1O11/MKpRMCvBmtMSuDVE1PNt3FfvWc4Yxd5mJItg19kSVdeXr4XkN0JCQcpWjc
NAS3a7xAbIQ36CWo2BsUwj0yFwsBXzxF2zWTO+LSfNDk7EMKpaAWkGM4yMU197SxbDtagOZOb0CE
Tco66FWBSF1ypbUBI3AmiFvjQavBCJj8JfTLDPMx6i7nNnScbWyeZcJlSSc65CekCfb0fuCbsw+f
UhcxCa7FcmBr19DzEiLlPQ82HeIu1c/ZWpBbw4R2xES2q2c+vh+BWhtsZcmVCkDTxrhep49vay7t
+WjY08kj+7nJJ8xByrJQ+M1ffvyPwLsEIMIPP/74o4YxMY8FQShi1h1/+9n8R9pU7ZDkeweyyPNp
K1QLWrPs9x+/YbGZq1nen8YCu5CEz+AN2gNwH/Qvsj3WuoFxP4YGK9pTN6VXDuTnXS2NM79Weyo2
jJR+oK/g8U5e5qKDA1aZDFBgMf5BJglxBZ7HnXM0MuxIU06JkoohHWY3BnghJUez9mlR9StcOE9o
dq6QX4dbbdZIGkFlHJMUBKtRIooQWG1bJ8Gn4h46it3rIowvZU/GZM5mmEU1NJ7ARdsVfClGnQsr
bcqv3D8Lg3U6CkvL5r4aBlbGvX+I/fAJbBlJkQONbwvmvQ+mj80seiYecBBOBoorH9GW2OgCpYmk
lKzZECJG+gtsL/gHsHSLuLK2FBCGtSfEJfEJA4ATRfAzvSz4DmgfwTnz1OxLy3ojj2enWzmak3Lq
aWlUD6VM0d1ZzY4XbZHRmcgPXfYqd/i/5cqP0zPOwVPb2Te8n41vmG9SRF9cOzszO9Wv2xCM0Tg9
pGOyKyPeoFDuyi2SC3OSz+RcM+WMOTycwCaGdzqDGGQcuvbGKaGwWVCNSOOaw1+L9Zg3t3qdIoBA
dhz0Yi0Uol7lHY1q0rDAn7kttQ2zkpQDNOilIUVB1vtNTWBnFbjn9hyCQosSM5Bx3ZeEMeoKvKDT
chJVkFx5dP1I7E39ld1aEkc4GQseOUJZQw2gNXIwlg4FkrAD1oxGmJ2Ha4Dai98tYooR8OSGVuKO
Qt/ZsElpDNIitMC7Ln30OYOVnjrzprKdF9djmZqYwd6mOjIqBP+6wVshegK1sH8SbbvnyXnvc+g2
bR9/1aXYzFDARq+/5lbrQ85v76K0ulKZfnIS7xlpKNyqApWc7jknNkZLtsxIEKOcRCuCFyeaGPvO
z68aP+7WpSvvkE7lK8tLH0aLW0SyVFxX441ILOzI9Rls/JucdUFrkZgVPKFgOFS4ABeBrXDydMBI
EWA+NWl6HMKE5NpReEerGs6bxnJJrLDv+zBh12jWDmukuSpFtkPYPFd9dmuM4d42zPcsJd7ZIasy
aarjWHNxI2EdLRvoa/VgJRToNR1iDETadGrvgA12h25i9s/0+rXRdoklWY25LIX7BhI8uVZHPyxh
uMgsR1S+tWN4ip3zNMZfEiopC6Mr91MGpbl3ir0tQFNSCVTLcrDPnIF7WlCuWJNtjrw1y9RSFdHb
UILaEsqHxhtgSsN2gwYt8rlN2SQDAGLt1arVFGLT8sp7hiu5DzqnW6GgW3qBczsSxrxpW/VFU+Kk
BdfoacGVwAGhO4Z0vYj2tESQywXOwJafCtYoHTYsaTl7O85biCCbrlVnKlGY8MwDIE7k/s5YbWfH
lqFwbmfWPu4JzyKEJ1/lZGchqGth426K9op0up7ED1YVcDk7RTQRPuuYMQXdrdGFq7S3r9k5wKcT
Z7U/BljPszUfEjoCNIal5TjvrcDi4nHZszCSu4A0H7LFYJe7pyKn7p5HHrXqlOYP4Xv0biv/UoM/
mCVQa4VGRJGuzUskE1FRpUN1qs3+ME5fSTBcTug/wX6Ai2yDPFy4Aj5IEJJ/W7CoZK1Nq3EdkQCx
0LL2WpdkdYzMLB1+BgcJY1AJzoaSjLWWWqXuvdK8N9PzfJ7O4m7KW1rGbfFuxNVZOs2oZBafU4GN
MB2oSdf2NfkNtF4MsXVxEayt+t2HJKTTd6Eb0XWraBBnCBnhh9jFNqD7z+qeODAb5lfDPsIIw5Nq
8nCd29nXuvPXnPJ4jbPkfDSLdl2R+eiPh3hIkVBT+ycgoSagReLbNX3ckrVwSkJH85Or3G3rfnTH
ToHFctpXIcxLh1FA+WdDrSOraJ4V0z0MyWZLe5m1P6Ak8KfloTPoxUKH3DJoAB+sKdBnAQmDBnLn
whug2qdXzN4F4sHyjRYse1vsaMQi5hbLN9bc4aqvy/euxWnjmjMYlFVBCwRqCUgCBLmH0LvGLA+X
DElQPtxMgvK5zIv7fkIkM7Z3ta8eGU7dZVcx5PjxUSCXo+rqOTxCOSFYjjHR77/j458XEeieYQxe
Hdw2M0GH5HJIxzNInSDi9zZxiovKCHapri6nTn61aVQsh+BrKOXT1KFMop3MAFFRCG58d18lyCfp
CR5EScZjahbaNrPr63zSnkE40mSceQUMr0zhILY5s2loXfkFpLPJp4mLmWMdtugjQytehQqVe+a9
Vf0Qb4ySFpLeCEHT8Lno8ftq9kDpzksp9GQue6TsxGVINn//23/96yO01X/LL2Gx+3lW/+u/fwx4
/fTtv/5vhsKS1MqJ4HNzHlbPzfPf3ujaN+P5c/r2z78vnoPn9LkmAPbjh/vXf/5d8gff4mA1W/7D
Ml2DgRezjy5My/h3XpXm6P9QcEhInjIs3WADSigVyOMm4AXsf7D0ULorbGKpbCJc/0iDlfo/AMFA
czAMQ5rQWP6jsCpBWNYPUVWmqaPYM9Dh69JVGJN0xb//EFWlCquruXPyrTS6J6zx5iGA8byNU1Gf
x2k9HWjWqYVvgjNCv78s/ZZ2lJNre8U+aEH0Ar3aRFAW18O1Ke1gU6Wt9i0G7dvZ/OOu+lvWQq4I
s6b+59/nbK6f3iTbENtUNgletkPW7o9vsiHGthrnYMXKZGAl3c7eJGVprvC8gXcXIfYfFFa9nsVr
iikOsiDUejSC1kXWIar2WVuxx7hOJzLQhS/k/oer/Vfvjyv4+f2ZjmPbXCfDNC2Ti//j+8ujlBz0
QWRbrfD6JacI7niUzpgR41GLIaVQma7B6KE91Z1xboz66DSlms7Dtir3Ydaefv2O/uKqWtKgUzFn
obliDhP+8Q1lTY74uIyybUBu0dKJxpeU5AkPGRXtjZJFH8LdXx/xLy4RE43hKId0NUM6n+4jygyp
NuRA+yZd2Fvb3CeJt3BwQ0onN35zvv/yWKbD8zLHuenW50/nlUVZZVa6beuEAIKgPvdc/8KzRoxL
RCL+5pPNj+6nq+vaBgIGYUrHgXjy6XC9LCfRyGxmu9BdgsKpATDSb/WCgM2o63R2naBnojbGCQBa
MWPNcATEsJhGQt3pTUDGmht1Q2239EGmhJUpPbxYa5sjzRKXFAO1oy6anTs0985+fVnEHDX3bZye
h6H5+ebNw+oiy8pERqx/iqIbSF9v8TqmW990LutGG65zluSLbg4zkc2AP76AOR2kVzK8NSGG4Xqk
K/XrNzGfoD+9B0MXyhS2VMJUytY/nUBOau5oGfiOKRiLle7XuNXTy2BW9NjdHu8t8zTKr99ct5/u
kvmoaPWFcDn4Tw8lXKK4bag5bd2sALiAIWnVKIqxSa4DDGyC33zIvzicIaUjpLSQPOBO//zI0VIU
jk8m8TAjAvPbtitwP3nbsrZ/d1F/uiMN3RY2iA1cOpbJBPHnYxkmPos4qeNta42EtBYo/TTvOEXl
pcZqmyGOMCHRvJkNiKOmfqrc0F7EQFxWv76uYv5Mny4sU4ZFSoNhCCalTxfWCJumdoA3btPc2IiS
lJ3KXVvpcx8am8gP7kar2CUNCTFj+JiHwStVkEttUhfSCx9+/VZ+PvtMrqZU3GO6o2z1aYYgm6oi
zYGz7xglFK4K6GKpGenlAHGPbqv/9uvD/TngkacK/AsZeNgCdIOLbcwTwg+zZp+1qrXtASWWeSS8
VqXwpyChqop9ZLSJI/cmR6/+62P+/BRxTJdRnXWsy/T/6aKrvqpcMaH+isL4opqhnROInMT6Grf+
YxhbL0ZqvPz6kH/1MW1hfHxIbmv16Z6moZBZVV1G297O7objFLjvZZxeNHZyDdkXEVLVLvxJ+821
/Gny4uTaPLyOASva4XL++eROgfSHPMr4oAFlYkTeKiQaGY8Qxvwnt7z9jz+jLTkMewceJuPznaMV
Bhw3Nw/RE+Gy1xJuXh8JfoQruEOIMYZvYUGpOZkQhf/6yB9X7M+Pj3Rs2CXO/FkZpT7dtAIdWDTS
w93aBAUsDQPIWXZUsrJOSH2QduVnWDW04yBeqOonIDOEe+VUTwZ771VlaeV5DQms9tqNVjaoK5t2
PXSXfnt0QOwpdv3nNrqLVZoX+lZm1qunamr21N0uosQ6aWw0SSRNHVjbxtYtR+upGa3zNke1FKfO
aXIwF//6A/90O9kuqwML1gKaddCg87//8NSY5J5PbJ6qre8gvkWqDvq3T2YX5ixYyU6VSxgikV+X
vMZvDv3TPfXnQ39eQRay1tJAIw8cXoaELVlG2hL6kru8tOlv//pj/jQWcSxDoAPWHawehvo0KoJ2
qIFlOOWWbeGBYAeUvOgaqLWRK/jrIxk/ze4cysLZBaZbJ7j286G0EOe1rfUl11d/yJ3pQc0FDRZB
y1Slm9SzD6jDvmgzP6Cw6y+ONkDSBWUVjRpxK1P2kiJ3yusHpmdSQtGkKA3KQJ2wqTXH5rVsaBAx
sO7mPbPKCTMUPZJQs3sWKXWRAB7qTFRiPiU86Ncf7ec1//zR5vXWRzKvIz+dxWhI27RpQGX4I3zX
nBoydC2gAal9PTTllyifGcgBQd9d4V1UA6SNHvik203YS8Sz4QHRVw5GKz/hsfr1e/tp2uOtOVBi
DEnUPFuSTyPxSKaQlsR4DmvEtJsS4IpGntB/up7gIPO20HJ0y5CG/DQKto4JhwsV1DbzilfbI+/a
ArRTJ5FYq6F4/PUnEj/tYGzXZRQyDUFIsoHT/s+PJiZxKFhhwdEc5Fg4I5BS+UfLSj3wQhT3Msf2
j6afJTttGF7S3j+ZoQlsm8JuHf5u0foX44QrlWnoJmtFVoyfPrpp4DkQ3lBuUW+3NDu59FZDchw2
9ou2bp4y6BK47N29cNsvvz4RH6f1T2MyJ8IR7LDZXjNK6Z/GZGowApGixDo8zzwd3YbaKuhDJjYs
u8DZiNw5Awmgr2FIPypJJFFUgBgJ1SNAHvI2yjJYmV5I/EhEt9br2jvcRrs6pgQ1ZUZBHyRRu350
90bhOTStfvPYfFyoP71/liQUDqQ0+QzkXH96bOypRSzBQw8rhlyR2Eyu+t640XPSV3HikBoDHC0n
e2QjOlRKBc6XANmFAhW/QCpLvR07RCioradUiOs2BgUfrkKrfGbjutOhcgmzxs84jORUJxecCbh4
1ga4/I0NwSVjOjFFtpO9OCMvEts2OLaqB/dUmc2epiosfW/AlgnnXTPHYFXzJdkMLlGl6orbDYt8
8cHLvneIzzYC7x2l5bGn6CC6eNdq+u000UBtyxQpFCm1RQsITmuRhpGw9psn8OfRlYmZ2ggPBFtp
W7c/PedpZfZ1Y+ITVIXY5lKe3MpAJ0AQ54Jn4pQkWI7cOI6x6zicVVGvUntkLO6NBsDz9BA1bbh2
YcYHLoFsqY6Rr7Mu7BY/dWSC6KCMush7sgFTxPb0BiwIfcg5l0M7PISFbi+6OL5Jezgh5BHrm9/c
6fOd/OlOYbvCnpZoYuX+tInADJ8ViW1n28EdirWdziFn08Jqd1ha7I1oQNk0uXNreZV5SBNxNI2Q
7qlO8IyJZjLFEIplDzoHgOKFRAN4zEOJb1rS9e6N6jdz6k/zt6NLh0GQqoarhPV58WsggtdCQoO3
5vj/ODuz5TiRaIt+EREMCQmvNVGDVBpty3ohZMtmnkmmr78L35dWSSHFvW8d3W4XVEHmyXP2XtsT
awBZ55KB8YCpSNTWVYB14Ys1/v3BeflE+a/6tWnRmRcLgadb4Mumjqzi4CkbqmuXqRn9fmuT45tj
0qZt6OwwMZFij29ng2q2+n/cM3pcin7y2m1u++2abBPOyoSAK8AZQUREww8SDtptoke/C4mAr3Bj
94uC4v0+wF17zKBNz0L96Vze9ai3LgHYisZRzcOAcSddT1pyMh2eYeNpSQ2puhz3TJtuGwN3mkdB
0ffF97IK9p8/n4b5/vm0OFuy/tNb87iit7cv6SWoSE3FYlRL1pou/cgUhNhOazf4O7nMl8vupUiK
HTmte5HdMKq8/eIS3m1EHGx19kVHp8Ti6HWxK2IpVOyX5FVX1Bmi7v+YI5O7iT76ylTAMePuQbkj
oTYxw8El+cx7xo77lE78VPUyARxDcGGe99eLKJesgkSUrJ6/eFI/eDWWxo7g/GI4Jv2wt99T7xk4
OdKx8M2A6TLP4Tfy01Nk0hbJyBJ6tHP+/Gt5V9/yrfz3Ay+eSwA05InofKCs7uqo22MV2Oce6UOo
1/8/n2S5NnpHXadV/vbWMoKWRpuMJl/5FhCtVT5VD44T/s2+OAN++KzRCGdhEYZh0z55+0EOWGzZ
aLxqpJ299o13cjLsTvcEEXtbfBm+pmm3uonvsHHdlxkgKKjzr67hg/WYvikTAp2T4PJDvr2GEH9A
IQwtJzEeD4GIIl9PGlx35hm3pgArdvJwNfhBu9Wa6fXzL9r66MM5R1BvedK16GK9/XBY7CZ0IxrG
Xf8jCMlrT7yuWtued+vl5WsOSAxd2asynGO6eFynQH+q4hvXbBXzR+bKa2vkCDF23g+iV5CJzkZw
1Q53QwrqJtS+EfTzbSiR5DXGDMRifjIjRCXofTbgOX9oQ6ZOn9+QzfVebG504iVltyuxKV4+OV0Z
GTSJPb7MCieNLSKOEE3z4GHG/+L1+/DZsR1ySGh9G0K/fP8IBuI5JfHe7w2WzDy9BpZDUMcAnDXv
7W6P6n49iH9Zq1Dfh/nJBQU9ZWPx1YUsb8PlPTOCoInBIsCp6WIhoCZMJGQcWr2pE28j+1APWwJz
QzhyOPx1F9xDW7elrxXhFliPvlP9nwT1GOnfVrim02B8sYF9dEH0b0hBZEth37ioRSOFNaFETefT
ZoDYNrUvaU3t9PkvbSx/y8VtCwNRujTZrJkNXdx2YMsoDhm3+BzCzmNBEKth3pRBdAo5xbbe/Dr2
T46gulEu7tPogSa7uRm9mcGsF1l7xwLMOpMV5/V31jx/WUd88Ga9ubyL1TKIrN6tyTLwO/ueaJHr
f18B0CYIWsNdBRt5ktejSSL0V+Xr+6OMy6ZgSHYFh+6WeTkmafQJGSG8Bb/WUlKv9ZbNCiOzDcBw
FYvfWA2nFfj/E2Mz7FrotqbAPcbu/Go7CYqgeX6aDBOUawnQezCR/uiYuNduF+x7GgueST6eBJBm
2IxB6vyL8vSDrVcYy2iSxZ8j8OVcEhqbaKZQy/xSsz2aF2ZKHG56YOD/fcoOHsoRUgWuEyORX1T9
xoc/mG3wInG2F97lU6sN05R1pK5QdtEQIfJhXUkEymVh/arjgNBo+ZSrH+V8Pxep/OKN+aj+otRk
F2K0ZS+D4bfrcBPaimORzNjvugfLC24DKPCQnOzoOBWoR7nt2BW7f07YITN2BhTLBnGblqAp+PzF
st6voQQEsYguJ2Jdpxv79lrQBxi47qrMbxF/DIEJLA6hWTD2L/0EX3OcNwrh7Nomz5SACANlj93t
TA3Ae1neFuqmGF/cWv6G6LVLovuoGR4RIbyy+nDeHJJtGPAUcm5CJYaNcyRqpYZS4Tohyui+fQGH
9bAI54mBie50mrIAoaJvQ//387s035dP3CVtJlYQARBYXHzj84Taz4HV7quEC8skGiot4gnDhDam
5m3QyG3ZttmuT7Of+mw/8ytYRH65RyunyitM+U1C7VvV1uxnFH8rcCerUSdio2x4ZhkeFlsg9qk4
d60Jbgs3krYYHN3h6fMbeT+McVn+GEfwQ/EPdKje/lwOn56pcjHGIjPGN0p6yoytah2m5iPc9UV6
AtKxv1FGsS2J2wgIm8Cn95i4gh3c9JIvnh/hvH+TmDw7BFOwIzkkPF88QO7CFhj6vPJFd7U89YcF
GeaIBokPIvPKkKegBtffs/YdF6xA1NAZaSw8Ezbgrd5eeOngtcN02AcLHa9MfhguRnCZiQGQzdTt
9Ai/Y+QG4iQ79x48C2IYx872ePyiRwh5QPNfOgb+pyk5Wo2wj44CYlLFOgqvDcJWdcgD1++KYDjn
Uv7MOs/e2FbzGCVCXSlXfwbtgZomkndJo8Id5Wi7Fr0MGHh5v2GstBssw4KmiR4gfKenPIzmtK26
tkYcL91DD+tbAPVY2i7rQIva7YSImYNCyuGTwz5qZa6GCIen2TpHi4c+mLxfZTj8NcrwFWgZ8C4T
F0g5jx4QG/eFjYTpaX5vdBLVF8G4uzJq8k2S4RfEiYADGrEfNnStOdfu4HeoZLfUGoRD5gbxP1HX
fW/7HChZWO3qCJKYTO1gxwDxF3soqj180YfBRQoZNrF9J73OvptLi7z1HeufDxbCe3GGddZeK109
QuQvjiRKg9EcggNGyeY8WuOwBXRHSOT16PY/RU8GhBy6fifzLiBqpPthJNEtuOCUPvIYonfChJJH
yJll/ycIQPmAvfQLi+1mdqYrmBQeijpn5UTTWQrtvhWAioWJ9s50h3vZMdJwkvCgm0Qm5gRk0SC1
rgdgGVUN667W5Ib3ddh3jnmKhnjct31q8JSRYAWNipGdlH9zXRk7KTEETPCNN13QHBLyWsgQH2B4
NvWjQ/jUeiaacz31P4cpDwiBRM6f2gxf8/46jvKKmPZ5PRKRhZy+Ovdl688eEiwwGCjhSgmbYT8F
dIwtUTzEIeLEoSX1vHDGn71eUYDVz21Spn4pZHJI9OuoOublC/5imP8Jav7aba6k/XPWeCBwpu6B
u6zwK3YI6mwX2aTp7BDim3sQNpbo90YNJtLFYV00LqobwMJxD3Uo1+WNIjg3V6iAS8IJIWp+nzM6
k3oMUTC+xvoyIVLG3KQpzR9shBw8vURow+ORZuRrcbevTPHaLdbsGaCBO+7TuvvjlGAwtMT6EUbG
LyMyCGSOwwnHMF0T1I2rmEDQ77I3UH2DC9vyoudAISJ7z3eJKh1c/6iEn6IAfGR6NG7yiKXSAjWD
MD8/eoxXSXxA40/HFhIqnPzjIpxOHLz05De39KRzeSQREKBA5m7H7/XcDjvTtX2FGoln0Xl25ZBC
cB6vSp6dXTwsgVIoJIuI3bUMEhJo03BHXkZ6FTJy4EfrQ6ITpEPuvYrxKA0yC7YpfoJjXGTPWQd6
pDf4fj2sR2WUeBvHDEOiN6AMlU4ocfCsS6XmWy0fNrONErSvcTUEQyTXwKCsFdSZl8KIQMHSf9wC
bjeR693HQWmf2pgIIpzZmFFN3djEdvAcRIrBYBrH2L6jE/NvZIdkR9XO1mJw5xO51aDbFk9jh9Nf
N7GBjD05iYoFoDGa/UhG+abUoTO0RtGdB/pKYOkU6n5pErqd0a7V8/s2+xZlOY61LJqunN4W555m
5K5LAVhLF3M0Xu9tObG6NgvJIS/IslSoKQ41kfZApYeHCBfLFrUz0SSO2lVdgFerjUHMo3o5D8qQ
a0953hYsnNwNqTppuvaN0NPYT0PXga+PGhlt1z5nkEn/AfpeLIEUNHhsikJe980fzSXDIHwpPaBI
oWnlm2COjXU8NU94WPhjbXhdjJp36CHWVcCWtlX9O6h2mRLE5IQzhH21TZ2Q9l0Lsa+r6FfOxNCt
Qo9wgOSXG9RLFKGEw5oS/5c1+b2oWnfDDgIpK0RF4mjfPY4IQTz/baTFKgly3o9iGAOV3Vk/hwoV
CxWVOseOGPgpbA1Zb1ydiBl2tsqw6h9paNxk7pi/Apa988ChYpDb9Alx6UXNomb1GH50Y/BTpGYA
pgXvNS9n0wXJFrwtxTgt+ESUw3NGLga4UrqQIOdwDUDfTPOn3jHgBPWgZhIp6eRD/1EqOXlW0QJv
n+/bst2NTJbvtYbiFYzp42i19TUj6mbn0fPblA2LVduI3reXqFoUY9pGBCLcZaQWOgm0hjHTku+z
clctR8prXWFWcWVvk49ZQuQuXSI2hUlszMg6ZVjBYzvkJ5swdj9D831NdCGEJ6gruQm/64sSaCko
3h4FTTSMjrRp2tGuuxzMeQACrTrE2GSPNlRJVQzr0bTqm0nDLjFaw3yVxgCVOE1sLImgmjRqXl9F
EDigrJUntY0NqW5NLQ1YvzGcr67v/YGYQZ4hkIMu037nsssS64ntwpxK/ZgO+SonoKTnZJ7K9l5j
v5wNuESDokPhDcOTZoP7NGcCN4M/qg2vOmIFvqzQ3n9fjC8tbxFWov+8HHAUtYPKQNmJD6bpReIN
ubYJPtwUgdbvw7o6VLxEOI4LoN5Y+nvR/ogkNuE67c5NYq+62AvW4J0R6yfjdxCG4NlcktSzOtwT
w6ATx9IRUNdRMAt7XFUdjTNU4eG1UEGxcdGVSHgqK5HjwxvFLzvvCHyYmI8Z3rDphvyhNtPjYJaU
NgMTP69wix3tL3O4NUYSM0rsRWUzHbvIe03Muvk+g/z94iv6oKpGZMumw/RhmejryyHpP5oFwCZt
BUU48c0RklEzEOlNHMOfBkA64Gc8aTNCLPwUFKORcZhEfbACME2wmsCbLujPiFPTFy0P+33Lg7Y0
QiAuilw4TqpvL4puxiDbycC35YbxNgu6bS4ccYx1MqJ6wyFxL6DH48UAHEJBRm4fgc2IOlK+g6kk
pKIqryeLc10e/CVo9Nwop/K7xQOcNjZLc0tAQyH1fTQACM86kC1gT31+EO/R6bolFLs/uGpqzwAj
sSni4ZFauHbs9KBN7JWSdPjbxsDVyKz4T0IwAoR0bGDtOH9XTm9eNT25oeRDJA+yrf529pl4v/F5
gg+xK+v6Nh2hduBS6FYNaCf2kcFPYMJt+hjVCJNUKCduco9PFuZqVPmGyfH0i4XEevdioGWlYbYo
VejtobF+86uTHlOhCA1IBlcJvX5XefvMVPcwp+eDxzl0PxTzX8j8tx0ohZ2KSCNtSIrxG0+/DypE
f59fzwdHcQbzyL8sx3EEQ0nz7fVYbVPpDTENfgKg+j71+pLGcIPVOocUChHNOLWZpZ+cQewBLHbn
fnEQaU17p6pM3w+9HEkzrybO0rD9qqYXj1LE6TZPrmryuVcChDM9MAxAM8j7feEl7gN1NmWGp06A
MAEJDl7+SLhjfJeX+oJqaq7MpSgd0/QXjLuaMMBY7KyBFsXnt/5efYuWhiMkjl9UEMT8XDzrrhMk
nM/tyM/N8leNMdsvZjyPtYdHEUjuOm07k6Pc4hjM25Mjoup7H853FLD2dUcGBNsq26arxaz9JE0k
OudIUxS8GcZ9pEfFbQ/KMGvc5PHzC/+gL7zo8230/RzL6YFensdFauctabV+CjMJTF50h6KFGpTj
t2vBplY9vN9qfEoaeWw9epO5+43zyrfPL+N9E4erIAzWZqJgmYz03j45XWqbmhzy1A9orhitR1y5
lx7c2f3ic/7Nwt7uvchhiLmk8bCMai47V2LGThe07CV85Dm0yfJEDf3kloBM7OFpJpRiLQ0YJNBc
oW6X7mby0MwgZVilwwgRvE93DudgqH4IfWybjko97jBSb3XZP2rUrqhW6BsptBhoL0la0MOV4Wm4
cOKtouqA4EkD2zbK+/pf+YRGyeIbpgWabKoMWJYR4XSbvNv/+/crTUYnQiIGMi+bZHkm1cwvCDqc
vsDKGL1vtLGO09K4+vyDPhhI8wXz/rMCLOrPS5MBi0znEcuT+GE1dQ+EhO8JT2DacmOHB6kw/M9W
SQQ0Ypm45qi6cEu+2Hfe92QZUJHppxu02RE6L/2e/+yFWg9p1TBRoHpl82LP9RWn+F8VuvJqDtZa
SBvPTfBEC5QbX9z7+yYdn8wzZTIJpHy61NvmddCqf4D2fhCc0Oiu1ZIxlA0YbZumyEuS9KrhnLUt
At03LEoogFhakj94Q/Actd6LoTErDuPQd2T4lazR+OAdo6xblGoMRlGtXbT400hLW6Ezm2v15iGL
UNgEQJsgaD8CEbkrzclfxHfztFK4VpBP6FjzljjicWpoOTBa7qT2xWP5vtJEv0QljIwWwwwa07c/
FQd6FelVH4O1Gl6UZlzlrD+f/ygf/CZvPuJij6zqYg6ieogZFfqASxm5tK+hvQxoEaSKL56A95X9
2/tZ7vc/jx4dlCmWBU71NKzuqFZvKZx9SlfEsdqfz+/ro4+S0nGxQzmMQi/VZyPH9siuvNivnfka
HfKRYuC7AY+u0+uHzz/q3991sWguAiOk6y4bhHUpu5tapmOBsdwWlMjQThhHxX9buxW7sCzTWxBc
K93N6m3GurbxTBqnVn/Fvo8RnO6W1ux7sK9XVef9BbAhiUFcRZw8EEjwUNVpg2gr4rrPXQ2gshdM
gVT1k20J473gSdWDs5t7G+oKfYdvk5h7UV/HVnIWEzEIeYV/QaQzj+c8koNTzD1rdrlOAhcoemQA
DEiieI1wuN9+8bUsL8zF18KCyhgEQT89lstNq4EmSR4YXTIoL3AFjE3SWOtIyr3GJkn6Ditbq8FT
ARh946gsWEOjLteWU274HmEKaupF9ZwFSleeGJ7fW/nI2pwv3ZQm9kcZM7DIYVGULfqIMdw5SbdL
DFnfFHpEI8ydN6alPyWye0ma5GEc65AmHnMJy0R4uuzmuPwfWqmtF0GC7FmJkiHrdwGinM+/iY8W
fZvhpvFPBsSjcvEeL84y/Mo5D6OiF1J2PbVd1fws4HxsgFxHG9VrBDiK8iaZLG5IdD39cPgen18H
7pL3P8mi3AbK7FCEcbx++wLWpU2TO84jHx/NtreYrJt5YuyKOdt2Mnm255AnJoiiLWaoX5OeDKeZ
n8NrsCDXPMX9ZNj30XCbW4TFSgeNuUQamFTeY09KwolhIj4oEQ57r5S+7nT1jaEzN+cPLDaAadrO
xOuuyTE46cQNkuB2JYklJer6PCZY7rqelB10JEwMkCKU0EGIWB/XUbDUhm2zA6rcHTqN2LcZwmwu
vCvlDK0/YVhpnvD0TbvC5QbMlPg/PSO1qdKGk5W66baVOYQeNakDY5JxxwzGzycNJ3MNOIG6/6lQ
jPfBDqwlyQQYdDF7dwUWW1fn/EIzvOeOF1gSnfyseU7z+Vdo5Uerr/L1kNQBNDp87Yxpf4lgiUs2
TMZiBIbtguHFEAkO/kEn85UYv/WsIK42uXxuLSHWGgCAzbMyyB2h9ou3kL6vmOr3u6bLDlmsHsKR
4W2ZkHhlQrBF/rCGSWFQKvOvvQYIamaHd9H4WwdVslIY03c2kCPqM7UliPPV9MI7CKp34O+eulT+
cX4yP/uZzsMmnyTW0EGeEIJCgs12hSmuCAapVrB2iJ1xrGrXZM5PEWOQA/NKSC3kc95KDyjBCGu+
TBGZu9B0uS/zmFdDvdWq1q9qIi+6KQdEGwNMdplIzSUjBbjVmgh/dw7YGe3oijFbm4V3JJxRgrhB
L1mo8pc3WT/+dVNiMb7GcG3AZGUH4KAH3ply5QGwwyD0qsXtYWjdeyykyMm6/dhRFXaz9oo2NfYb
0ILbP+k4t5uW7xPwOvVsmjTHCefXqkvbhzgg2dNIu2tsCmCOS5IuQpH8QFeyQ4YfrDOqhF3JcGYx
boPGHEkURgPGA0qlEtlktRQMwEihoeeEoDSY2xhxfbqt3EAeukkQYmC7gE2FSeOQ3mKrIS/Lsqca
QtMmtOW5TmFmki3VrgYxxJA99O9dWvhu1ELFTOp5Yzv8awQfR0T8Frp5msV57V3bEzGXDhrezNRP
UoBHGmWrUO8DM2IK+Fcq+IEeUCOed3ldz8wEOwQjlZs8TMjt06YDzuGRMOj8oyCNR1XLZpdU2tWY
3WF1i141Iz5LhDCQKZzkfijLUzOJ9tS2JY8u3ectmavVNUFA43rsCOHRm9LyRwG/ipQT4deCgtaB
3tPmFjR/b/KhOdMpI0V7V89PhhP/yhvmEu0dVfivGkA4+iEFx30mdZkfE6fofkiWiMIZBAjsPPAQ
mOqJP/9mJxUqB8yogMGb2p9ssvscVq3t6FTfKp4tWlC4iXW7d4DrDi+NAj1hawh4aFV7K8Oyd4Ud
wKEfjpzO5aEa72VgVGvPeNTsAtEuEyMrTtIDeQHryAjo11qLtDc0HzgoufsEFtayW0vY+s7R7SLW
g8mvo5I3I6hfTUe/01GmXMcOMW1eau170ORW1V07DXCGtOh3HQmjK6U1akP4JtAaTI//e7KB4c/+
lK8rQpbArfVszzPNb1NxihpdvMiV+5NpIIJjnUZFV0HwdwwuDXLIGsXj2e2h+GTw++eM9jvjehCW
JTngplHu+9BeL3TV2rnV3O7YtU/E8B6pVfvtnJI/VOv0HiATQ86AJm3X1A8lXgsDOFyTMEc0LBJU
bLu/jesHLexnMhhQC+QpyT5xY27FUCZPRVvWG+mtck9/NnpC3FJWDxL7kk2cJK9g1ZAGwNXOaBgZ
/D8dnkq+U4gQE6jNTB0JfJ73pvdTAl3o3Fyd6oL6JwB4IhaHnDnBOssSdTNifLWs4alOOrhfkp+C
4HbwzGDeSihtdcrfZSTaSeW6zep4W7Spu4lhlwBPg4mSTCRZjs06yVOanW6/wFP474bNRnMSMOs2
cpn/gMT+XhnVJu2CrZqaHCFDerAGHYz0gJbPVMQ3mJ1NMF31SDjnvecNdO/GCMyKplYormnTQOfP
OgUnehKH2j4Y5JYMwasXW9dF2f3JTAhQQJozRjzerVuQD60WPYVDrnIKUJgw3ghOZFpvB9HRic9X
GoNcHEEVPAgIbU2JHakXp0DgE/VYB1YyyQ5Tp6GhJvZ9cSxVU0koD6sccxzdJKa26wKCrlvECwQ5
rupEuKgLCF3MFgZRYT14mAsWuavLGwlksBfo/CigzQ1ppTCwyuQcGbInoje2dyogw1NjGD+rOysq
jd2c0yKucvOHCtXP2WBwmk/s9HPFBhWredfX5XlOSWjna1trsruVhgcPizzWZUnSLG6+DF71qXoO
w/DOQRR4bLNfKrKfSxrwxAHa5zY3r+pE5/rdeNgYCfE987meAIbUSbVrFRt/LInBsh35zTJbElwL
oU6NJxHiZ+5G6dVDk3bz2m1sPouNgIe5gKXIW2Vr9YvCV+vo6s5xzKuxgD1IMvExbR19wyx6RrId
3mExBI/HEE4nt3PlcjrbhjHhyaPrVPD7UXdrioAVyPfera6JHyVMm3xOo13V1kxKNInbxriZZVps
M2fi4UvqK0IuwzXgDxyYuDDW0Gkh0+jVU1AyOpe5dztBDJ2Qt0AILpl2oq8JtVttoB4gWxErQkzx
UTniW+siRZQYfIhmZdwnjkESqb20mq2bdrfDjM8qd2TjFwZmF9lRPUz0b+jaOIzfDggeqMVphrtJ
GCA1iFvmuACXgyi+tmP92YJSso4WBLkTkAfRokILrXA/OJStY9JXgPtp5ASFp69rCyhzUF73JFfv
Srb/1VywBgNOznYV/ce1EyGmYSExdl0RmT62kwbhtZ5K2EIhegJdlespHf6IqI0IbNP/JiWlHIbg
TTSZsBCRtrU5GECL547XEBGHHl5J7axk9gCmv1tJN18HOpNH4mRh+JPJwm1G84YkcKiFunmDGdbe
aBSBa8MabmGLwRu0eZ9hE5vXJkWvxupK6Lp9CpBFsBQyssND18PvEeM/cDBVT7mJi6paW+R96c2Q
bnvgPlhiGBqEtLxUtITvVNXOtud+504q2ljuk4zCbKUxg/BLN7jNcxnv3CYmIiUKKQdswP9aJlDX
CsV6w/EOG81Rq/Vdi8RgR4fQjzDTrnq7/OlWi5rCHah94aRXzrANHMhHjXMrmHmGynABXaNN6CsB
K1FUYpdVsbnP22CPJS1+SKz23pilhsYmfS3IBduObtIDxI9orgQha0YmwlNnr+U4EkQYmdBqQkfs
xkgu6Rq9vsUehYIqAWqrbdmU5hr3j0edzdxSEKbsar2PdpHajmdolRCYtQ+zYjhlBies1IS2WWjX
8dgWexXPxhcHLnPpWrw9egqTtobAXk+DC2zA23MOf2NRUnIHOzNNXgNj2pnJcmxQwlurDt0sXdvN
NAFi50s5cDQ3d/VQEzqEdGiTL9tJBTWr96aEg7HZ76eJ80wFCG8mwOk+Kmh3Zs8gX7qNxsP2xbn5
g0MaJ2b0XzRgUXK/ayfEjUMIBU2DHUX8S1eXzyYyqFIATapwOZBePT+Nw+8ideTGIj6DImMAHQae
HClsNoIE7LYuUVEnDIanNPK+ms++a0rRHwOT4i52Dgydl6JsAHS8Ckud7dXWDSm7cDVhxX7xC1rv
upTeIntld2JcRwfnUjm6SAKUrCLO+XZE8JEqq4cOYjfjmeoR28tLaCBBMQEZb9O88Y7apK0xG3Zb
IruTvZfXJHghj7tBr1asR1yAWzA9z25PvBOppvCf4fehO1NExWVZcScBBW46bzyEILc3lDMAueyM
4BskLyvVAdleDYbFwudm3YPXe1d4CuPvNhRxWuJn7Nc83YH+YnqZOsuo/EIG/25QyHfBwBkfjeD7
eNfLmmVmFqnb0gasvGiVprHgLJatHJ202kSriI0Pn1qDWN3P2wUffCxTZTgYDK1MpPFLM+E/3bp2
rGTvFlPkzxlUNFEpYrk7x/UH0qz9qJf4r8vwxoql88WP//71BXMioCbhF1l8beZFK3aUCYjMoI6w
juZwbhomRWQIj1dWPzESEslpCmq5rYilELn7O2iT7xwXFITFjPAART5cQ24AEW7TMWp5NJ2JZGev
dYkUsu5yC02OLmHbNJjneIG/7K+/63tx1bqwWXxMW3eBvr393ky3LjVuMNhZDNTh14cn5rva3mXq
vs109KeVx45E8N12Sp0jQYpUkmy9ffXoGBw/pD4QrU6JumkS19lbLLjI9P6IIlgyNvT+SDjVKlNN
dhjM9A55HkcYMx6IGPrGZJOgjeWFGUkrKUARdgLUX92RlzASNyDQkV9HsJbTon7WxiJb4PgvLeDF
NSgZuYly7UUpO70ikohqnj+xspxZwixoIBCMjId1w8hIcbX6vVPNNL/nUR365KkLm+yUpq3cxP2Y
rMM+urLMUrsOM+2mh8iqEsJnQulq/mx746rNB9IBTeLYHDZD8gbr3zEH8HWZy1fyi88My/t9pQx9
VZlOvgXmfagC/nSt6t/OUDPgTMmUH+m4Mqr2s8n8kc8eqUJy6o+zpA/rxKNvkGu1T7JzGj8mOvbC
MAGHWjTj5v/6lhgSW5kBzItQeFQYb39tiSBw0uM42CmkqRv2lJUwGu+6JT1vFaPyJsK9etBzmEqf
f+6/mdSbPQ6omKCRh3KUd4R8nrcfrAH7DMq4I8LQmEloU/NLUHXkUCpA87nRMKkvm5ZkiqY/M417
INq2uoEpgVyYBDRnrPctllnfU9qDFszhXkbpZqAC9yV+wRXnFsjAykj2kxU8aBykznMnw6t+YkpT
/Ta0Cfq2amhaOv0GO0tHwaCYD1JS05Ai8Z2c2o7htp+YBNp/fufvmpjcOOY1bhuxCxOli/eLPC5F
r4/AiyzvDnrRPMW6RQqh213ZWvJn7gr1xY78fsczXEavvNBAL6x3dLXOqxUp68LdRdGCIu9ioqfc
5unzu1p+roufk78dAAS3xlJ/ObAIG4NA4cV5jSH6YdnxrZaQFwjoXzyvH9wM5jDE5R7oLayGF+M/
NGx1anSZuwsW3jF0gmLVV+qLm/ln63x7N6hsMNDj/MR94VzuHYFUwPToLu4yo7N2wJpWDB7keUpR
ow2Set9LOQVIPeT0tQgfvBSwpp1cF7VHyK2LRY+hAjyMnuhKy8AzCEx9nYb5b86Ko08/vfnuwXxe
2THiuhit/F7vor0+Cu+Ye8Y6tI2d0CfY86k3fPXiyXfV5WIiNTgpGCiKFq/W2zeP5kMdVLopdkmi
IKbW0YNTjdGmiQN1blIY5a194HH6ObX9UdPc6Cap8pcgm/aT7O/yHlRsAORol8vmmleWKKgIZY8a
wQ2wcdAAImOejiI65RJIplvoL/HI5CSWG70qBFk3fbbSHdS0debO225EmWNUunXfeIG96fvsYWwn
QpFK5kh2yAvryPQ+SeyUtjd09XYYUCwQgrR1YZNuZIZylelUduDQDXs4SKH9h9WM2rf/05NtfIyT
iWwLCMN+H3rlzx7awIY2CT0q8pT91LpOmQL4iIOJXGqS711JWAll0atK6NHrpBGOhjMDKSgPjQjL
bZFbjV8zDRsdkr4jMR1jcne8TBNPtV3thendD4lVns0mPYcOpPAqJGLQllDgpeCMLdNqW8/EaeWl
rNZVbwTHuG1/O+ERKVnxONTGSfM47dohDTXsT3xxBIM/5LGbQzpqSGvTtHtT9VcyqKDXdJ0vGs/e
Ca/+5bqUHEwJgMHOHZHJZdTfyjomB7F9mudUnmZGJ1uvaa2tVRgw1znZruMxS7ZZLbUTaHGxspZu
AY23emHwPPej/kovUju5EXg0iwXhEIsfSdM01+yITwqoN8txqe1F0oB/d8NrlTY0o/Us2scxFRar
dskmvoA6WuVLDopnXUY/62bWmdXb5KgEbchgbU62yZBDd4lc6lVGhqYbrCAek/xkB4952hSbpFDo
bXNHO3BMd2+GujjTLT7RQgpQcM0oNJz+FAbJrnMLe2uWbr4rEyN8aeQpct2VAf3wzqnyX07Okq9V
Y39tm4O6SpWFeK0XzcF0WjLG2j5AiKjl6zksjX2a9+U3SAS3gVIBemmHnCbL1jdxKdw1wnVsOp25
lbK0bsdiSehrvPZxmNMXi+ff8qb8fkaHxq36Awbyoyi1ccO+/03Fab1xbLkFnNfvuXQB1jsofRmI
ZBvM7IPSC0hqD6vbWs/7Iw3ErpfhjaxIxzYIw9oMMpiPvcEEo5r/h7Az220bycLwExEgi/utSFGr
bXl3ckMknTT3fakin34+ZW46dhBjgB6geyZsSWTxnH997JtuDth4ItzozW3lwGwMr8jZ0tcZbdZx
ls0B7gGmsHbr/eoO1RafyB1rd/Wa9N4WjLjYZnU2bLVKS+/Niaovw3819Dbfx1aLEN+iQ9lL/fI0
E6Nc2+LFR2rrAXQim3mZM1J7bUIJfOo4s74DOxyMgUZDe0e53RKMPXXT2lojuzW/AKASGx3b5h4m
Kt/qWr4SPeF6kZskXwfE5sdJTyOlm8zMyP+ov/KIoLZcrEO5iZhPK5uIzTahH61NdvmAJBOvgBPw
FJi7SmbMhw5PgUtHblbrYuuouA3Hlj8pX/PqqS3W29nrl722xvKQEnElh7gkgpkyS7MSNq2gnkeB
BiotYc5Xdp8+JsPh/LIm2UUzyVBXoTQNhcV6HGiqDxofVRd6dFVly+VXmRQKwWnbJfLQGWZ59htJ
PHtB3Une4h7Hv22hldd/OsoHVaX8G46J06hfqUEDkX+K5XTflHjcUlwP1GHElB+17YZRlMIM1gH6
fT0zFJ3+XLVeuvc5t5YRG1uzjG/mEBsHRoEFKhi3QiOGMBHgWXbpz5epu8nF/ZrNzReUuBv2TtDY
wkojzpxlD4iysDRm7t0i6+LWnBtQqKS1SGJ1kflDY+cl5U8YaM6Nn+7aNM0PFOdSd0Fcj1EtdNp5
d9qY0x06duatbnXnzjr4Na6reKE4BsQeYTaFdVZj1l+UiBx9+GrOerFF68PN5YzVo5v+q2hk3gyU
IhyZAQA5R9rtlWq+ebrci97VA4oqWY1q7moG4ue/zzDOx9EMbQ+pWZ7HOEzW5vWf/2dlVCizjMVL
nchWJkWeyzIEidN+9XPUBWzMTyVgz9HwGgmpi7OnHlQOHqYtD0xF2wXqbReXkwjqxSh2SF7HzDrq
WvNlxPuwceanWgcedW28VnaOTotpfNlj3CbQW4V8/f7JpKhgS29PxWc2zfMMTmUIk+Kyzpg3syHH
cO4wdJWTtxyFkSw77VqR6xeQB3RIJyGR17vhSk83gq3eJMysqK2D2amD0yUiMIiPd1aN+17CsVkZ
wn8QXzq6vOy5l/bXESvN1pzGYd+bsc0t6etbxG9TlDnqG21m/Rk1fcKU/tTJlEaF2L2aEMfpJOmC
if7+W/yK1no3gqFNBz3h9wcFey9Tl2MLiWLxW3Takh+mfl1uBpuodXcsDUR843hKl/ix4lhko++W
o8GxXhvSPnl9bZ/WyX/RrfYooTaXMikD7mckfbFTcy4p95SlIhKzNhwGA24MPv6gqLA9+xzx4byK
Lljy3LltB77tv3+uj8AQGYYm71Jiu1BOvxfbUH/e6WvbOVE6WjXrzfodGhJZiNfTqUAbhz77hPfo
qNVlsuifQCIf72+C4Mh+xrjiXwU/V8jkP/e3iTS3VCvGl6VkWyrlbir0g6SXJTRUe76+3z+Z1v94
QYyXPhuBq5Ng8/sF4w5qcCm54FS6daTVWXsL5Umkgw3Nw4B//CxE448XpPFAJ/wU0/b75Kmi9kxr
lAzuWBwOVJeRMj5by8Ykb7CbOwvdGwzj33/RjxsJodkA7KinkAV+kNh2/BNp2lxymn1AbfC5DT/7
Z6DSn67Cz3ZFsgBnbFf8/k16KtHs2a5c1uXkra9yYAcHsuDvH+XjzWnaAsET4fsAdh+yEnADYqbM
Gz6KbhIe5QMb6lRk1oZxlxRjFkganiFMbktNvvz9yn/43UgGvpqGAZ4MzLrvPx7ZgXGJpMVqujNi
b7WJpWVBwCT+btT1bbsiaPz7Ja9/5O8HDAABdhOUnPY1cOjdN4pJNF2m0XUiyVwj6QZ2OSwCV1o0
Cvf9Jzs4t9kfLkcO8NXjck3pfu/obzJbjFVsOhFlGykSoXWmx2y8X7qCeqB8dm6xWsnrHURV5h2E
5LwzOIe2Xpu86mhG6SDx/uFExvHpLD6mrHI9leCuFG5i88MSDmzi5EV3ttf2u9FquAV10Z6L0bQR
edQ1dtP2dRTWTQnDQtmT3hxjQtTj1sCkSiV8h92Z7Wv2bz1YrKpP5nA/X7PMJTc4ZVkVFSL1iA0B
pxbN3fUP0Koiii2Nig43oy0TZjWAmKRRVFdwUZYZmQXYruAIp3nBuq8nFqvGg5lyqm4rtO5x5qlk
J5n0kMwZSjohnDOnMqgQYcZop4apypUX8/qXJsZAULcCySoeHreZyhCgDQmDc+iF5F880/BbaxQZ
tGVytxRJsdNQl7vUujy5bf8NOTOgkKA51BkGsbOpq97p1o8kNo1HfHToFGdf2+f7ehB3g9GcW2FP
uzKltaJhu6Lry490taBE4Mu7U6plBCnoZiXO0D39ApXn3KIPeDVc5hpgbbma8TZtph79A1p/d52b
aEScVyS5E1p9dfaUMQa5C8A6NO0Zh6mzqYk5CMYWKWsrnX0sGz3y0nsxoQzRzNEKVtQYwdDLizAn
2pnaE1KzJfwFMTdD9kUTCHnbQcZbhAJouOgqwz111pV70YbFYsLS82OW4JOCeeWNs1TaFkEaifV4
X7dzqT/pdvK2AJNt0Wbe4df+pzH/dd1ZnQ2aqoK1wutAdlTSmSgvLdQ8WeKSBCvqKCdUnmOhS5kn
jSe7RqnIM2vu/YH+k5w/cKwLuF5ccDu7dq7V4MUeI+nZ6WM90gaeuhSVcGC6BOl71o1ae2ffx/Vl
mqzlpiu5PQYEovDm22FCQ0oiAnhDQRuqpLgjSrNSRmZsYYSkFFfO5MJBhL1RHN4cYGyf+rwxDnHF
79OJXVk4HY4dMzkt0/NEg1FYFO0clm6mn/vYe1nIIDxlSx2HIkM903cQwFWn0sd6keZOZPV3PS0u
xqDip+IJEnWQgRNLe7d2qG48sG7RDfnGIxXx1GnIKagVvM8IxwooAK4uWMuw3GlZScnuuqogS20Z
uklqhXqd7eYGVL8pq+rGlv058zEAZxj4jvioJEmO5tFOzZ/8nfhGMySHhRe0IG5kZJY+VWXkqTS2
hfhwhkmp2ma6Gc01LM35OaNeZz/X3s9pEu4DuQM7bdJPqqOmMa2fDKG1pwoh0a8HyRuJmqDHwAAE
8MeoMVdt1+R0j0xTmwTkUDxN9ursx0bDReksekgrlMLzilynhJhip2VLLyyWnWpGylWmp4IL3VpW
t08RbPLHgNwsQmu26urPbCr9vmEkDV27KG+yajgCPOkvmuN+dVeC4Ru8YKGpEmdj9tjL/So1nlO6
t65qgXqhgVKLGSKaykJon3F5k4Tk7diN9CSPyaXVZ2dLaMwDlSLy4GnkyPKNvWWZYlqv0jZCjhZ6
IqXSqdTOBWzkju4ZtyJ9OKXbhJZt45ANMIRxlhi7ZC32YnK1TW9gcNfKINPLBzCK7ZLH9ameRwrC
fJrkSrmO2yXDim9ahzg3LFq+9YbSXp/nI1M0ISo64bUcfDDBR1sYE4ZZFp4FHQVGvUzfmsVKsp1l
3TRXCSdhjhAjWAwaKn1bqWVbMa9v7jx3AVwqzNAMWzglzoNd0x/uVnZCRBlntujMTY84pNUJt1Aw
/JIeX2GNEITCgnYVrh3KbLHeMtAVg0AEBFkUDPqrIIDRpwk5s58ImqK+0xoe8RSjIqF5oPYsjfZJ
qPgpOfRdVu+uzxfZoxgvxpzdzFLcQZmtHUxlWHdEWO+ICCA2pVCXhRDJwenmU8zBx+cJWJStS9c1
6f3S0G1XvBm5EIdVVbtG0c+kBp+dt5lx0ZIkjbaVXqHIoAY7RK8K3d0uP+IWUzgeszwsFQjZY834
8oI6rdv6HppPihSbNH5srF77ZjubwWrJI0V/Fw5tDwZiZy+6gVEgJq49kRaQ5uBuAe/DMqNLLsXa
wN82+f3t5JF1HRSj7CgonrofK+TVtkMOTAF1fp4l9w1IGrmc2vKNN5P+UsZLUBatHhG4sQRysVwE
Z6q+Imkkaa5luin7nmtk3dk0IPlSfqfIWw2Kx4cvQ4HGtr8sYu1Cq9ZIAO/oJhpxHhb9XJ2HNT3P
rX2PP9PbzQg2MXDUWxYWnbMq+V4JvY6EkknoOV1FjfvXxjK7fU8oxWbVMa+v45tXzQRX8okKowMG
4a78RTUuFS+i1iu8zTLnSKKIWjCs8YfobAJKKm5px1VklCdRUfgRJc5JhACu21AsFnQactAca9uN
5db+SeZeiEqa5XLhC1xIpN/mLRTmECMIWUvjQZNk8sdFXYZerNth3NQl8BPQ6pPDizxaUgakknRi
tuktET32vtW8NchL/dEqykdrJeY+M3LiYQnk3GQwrrzfOXCbChJ1/bf8KdMku+1ch0624vuC6vMf
Xisvft1Uz2RjbxCvZzuZ+6951hg7Z2W+8aseFyL9pvc99zHeJ50bvOW1AWsWOlPfH+ol7lEe/9Nc
ffaUFL0hpInvgSCnW4JsSIT1ogSF//2SOkcINCucm7LflphgoG5REU94BjxOxp3nr3ZYAQqBLaHQ
9dNquoChjqGrTfR0YX0+p11/LpKlCokEDEvSn3bObKJwoiMbKGsa7xBh+6dcIXPW7OGQIjgA5+pI
z37jnrYPQ68WTIbOo7QIh0kbc7nI/t4fvxvlGh8N172d0uQur1rn272SS/q1zi59C5rpO6t90pf8
x2z7bx2SnMaQMyLmFuBx2vekJp1RDx8QXVM+WiNg53mgA7CM5QaYbsXP7mg7LO4XR5f2eUzaV887
9hjnQu5ZulPjugzUzPc9yMI8Dd10HoBOAgR8TUSIyUMe4yVpnEsdz2fhkG6b1Hb+lTCqqbe2niSD
lnJWhIZdlxPdY5BksjThCGaJZebIOSb2doeOx74mNvdzcTFdeaI+SJEgMAJeqiL07waFTyFDSXpa
sgLpIdiAlqb1loNgDE0icGt8mg85yozGcxTSQQbOumv3nKFig1kknOTTNJnJ40RB6a/zHEVzHbW0
slSFv/Pbicedccqb3AcI9SeXxw4Yf6ATnVp3oczANbWdDwK/Q241b2vd2+DycEMyRDKQdFrSk3jZ
IDNaquxGM/MvZsUwyu1M4QJYpsB9etZBf6E5QrfjzTeukneJQ0Gqw3lhyFKA5ZNyQmvzueT22uSk
CNMtZ1Ah1quTY9cc2v41waV2nW2Z12/IadG5JT7UNlG29LaZZO/G8V5lQ3s7iLnfF0Pz3arKJ173
j9T/ybAveAn1BccX+tjnZWj3Cfw2MV01x2hhPvLfSzAP1qZ2JmNT0g4WaoJqpLyTMphM8zgsr9eR
O6+Z8ui+fYrXadi6CvXqmFo/m9Z/sWS7kwZJrykG3Es1wYxQ+rdpRZyfEh7XMmi7st4ZtCeOYrjB
mve9drnXRrMrgxL1TWiZE4Wka3XlomhY/nVopiZfjdV8qWT6U622G+Qp5c6F4Qe+STOuLWzGMvPJ
L4dTOXGrlhLATTKjMnOcWGAPJF/PB1jO0hu2RjUcKPUF9Z4QmyTrq03jOCZpAxZrSt6M5lEOCfGt
JXo10yTC24zzOVoTuCUtN9DY1/g0yfNk2sJQ1Y/GSJoJiuEyvV1aMgOXcgF171Mebbtxj2vqPBWT
3e2a1WnPiVyuESVfnHpIbx28UHR9mqxBDaOtTSdd4jiXJZ7s7QhAs1Ft4TCW/7zqr3f0RHKVKdHZ
SMb5sOYzXYHX3zmTI8na2D6K60iXVPy/p+k4xOjX6x6wu59HEmGGixmT9TR38hNP30e/EdiUDUyG
29qzdMCV38EAZ87Z4FJ65jste/RL883p7Tqy8mHrxRIdup+8QVj5ISke1OzWcA7tJ+s6OqoP67qt
05Z25c097MTv+eyhotITvYQesV4z1FhUYq4rEmtpm3JLyPq8HwXc1mzRAGVcXb1ysbu3mNur07f6
6FPCUpZISdLKRGcsXipRmmFspsk+n4gj6tOvRPzdENeb3fflcp+2dk83MmrbKb/t+sZ70GNKw2Iy
MTUjN+8Jc/9puElkdUSqb5wk22Sk5PSeFP8uHY3pZZW/OJV60esJB4ww5UPWZs0BsDnZMdMf9LGc
HuxB+6c0/eGQz8NbS333A22/X+rknM/9/CpirBAllOMW75IZWXpZRJ2oKcQ0knJPVKX/jEq4CJ+S
tHMwV5e8otQY+G2tU/9ZWOz89k3vpfOpkDbqbK/dD0PphzKXA/YRGqUhZ7HVKHwWiR0T5hWTq4RY
+ZwOnXsrvKtzk34Tt2l4uemqDWcpl1NjUS28aueyzleiAJ4gB7pThZIYY3u8kz7lo9LJ/zUH7v9M
W24FYrNQDEwBY+u8UEf9SnjE7cCufF+sy2H183vdWofLVKcHKqw5OrzpUaRiiUbJPiO08daws+qA
tCBBaFXkUenGSTQozGFzW627oafS3ObdznBAwIwDROKANeLO3tarG2noiF6qSt3KONn21VyHVHSp
7QKfwq2cRnGrvU2sCIFC4LmjlfrJzy0mvH74Qoq5eSAJ4AspqGRTzQu1pA2yPVFLYnb0Fi9Ztjet
Mt6RSj0GdgdIn0+o+VggLaUD6afOcu+ISjsgRd6WzxlP6pO9uEYgvjd9kr0qFDJ3qab+mWjHBq0C
g1hprEAU3wSpLV5p3SvPBtnxERry7uRc/Tr2yijX82LYc6jUp9VwlgO5S+n/z9RM2KxMibxfVueu
tnkGnJjjVCKdXa1hYDvAmEhltr3DPkbKPPeTOULOacNc39rq3pA3fT3L3ew5VeSP2rLPk+ramApV
0jZmcq4XcaYcyLjrPAOKfdJejF61R0wQInBrqKq/o4LGVUDyOyxIXsI1KvaKk6NPugpd/oORJxZx
wsSRrVHu6XGQYTQnruSbba7ETpGTqtO/ukiaC1bjLm/Y0/5++Y+gJMcdBWmCdwxGo/fCE09n9MlK
0PFGh16V1fijgCEJRtnUQRsvT3+/2q9T7PcPS6o7ODktFxaH2XsMtNWHfHBKgcRFU5xT5uxFLSMQ
UvLbXmvwwEjoxd58cIgxOhlL/Dr6uhagC1QbZV9bs3s93RYyo3O5mvNNa+BBaQbgH00nhzyZ9aBa
LIVymRfpuGR3pl3IY+kZu1Wl89axYLvBQZA44gOIVJacqORlsPFXypjdrdOyVJZ+SxSemjBuUuS8
9ryetc4GSHC+UVnQ4jXhBuP7oUlak1/+/v0giPlwN+A09a+ZEljrsaJcEfP/3A0lotyENBJsiSrW
T55yg7rJ8GTQO3E7h0ZG4jjBgH6Qmdo3uE4cL2jlAlJ+qasHzg6reArl4qmAPLFfhOxdV/2Mk4wi
Rup1w2nKiIbrq6v6Lqza+GEsEPlbi/hB1MC/9D7ByYK+4RhejTMr51NvjOrJstM+8vBFhpNt3whl
0x1L2HRQtzN/fC6OS4tvp8ZytEF/93Vo8ul1uHEzMrpS324OMbx1OGjuqe/Wl4Rsiou6ugzQQsGU
VFp8XqDlQ2mlS2QXCDGU23avQpIeTxQmnbZYAPbK8uSxt76tBEKSeFcYb5YNF9kb03STzIPDuFwb
u2FuLlL5xS3pa2AeXZcdoYjDpWgaDEQcLtNsTAd7rB6WNunDtrCSXSktnA1l1+9mC37V7mHa3Zj2
q2Ek2VV63WVtRiMw5uGrXc50x9fVo+Wo6RYLQLzpyDjZeUB3q5uC4IqT3fGylKVL00W2ItOoGFbZ
uc5CJC2ZtkHG2yrAGfhmVJY8+DiWtqbydhgqwkyzk0ikTn+0MvuUAcPvCAPlt5yKI6Jp+5K3xlEz
VXOYkSHkblwfTVy46BlsYHlPXVzKgvCHC/+wUOXLdhyLcCS4jlw41EWNaWkhAx4pifxwuVcMByd1
vW0R1pBke4B3LfTH5luc+96mrHV5HEtuA0oaCXgt05cZQPyUamN8XMiDZCnsHrmVlxf2HBb9yvyn
JpfwRPgliLGpH+21uOCmu0vG1tvzpqo20jamrS+0yJvLJXCaxg1QfIaLYzdPq9mfGKObcczPrje9
ESWGHbi2x7BZZgS+5mjvVTd6VHhhpZ3s29rJsKzYpwIXYdRlOqGjiogzKhcRbtX2TaMVj0nZmHg3
ZoO+ouRRAsHaa+NvhJPey2ZBtVCZP7Jrt4bbGFCwp4UKOvIzQRI1CJIKenf3yQP+UexMXrqO4pdv
AI7yPUFpDUmajW1CyEu7nId5bEk5qOsTooPUyu7Iqd+m1K1rzOovekEKnxvH1SfyeEi8D4cMEliP
1JpfSU/E1f5+yOR27phxVZHDaKUaNSsiCTNf7aZrYronahxplYUVsW8CMnVBE1bQe+6p2lTAGEwl
Rs382O0k6V+N/S+Ygb2viKuluEndoMYRCh8uUqkCqz5GL1Vg+BwwvnhqIPkekXXp2RtHo65BYTom
8bTpto3uqlvzWoQ+ZWdMbUkgHPC0mH086PpLkjl3eWLohxk4tS8kcQgeocJ51yJQs+4b3waNLB9Q
xC2YlGYXRa13h67POliaeTOvdI+LpMMxZT8pdzkOffPA6Q+CLUF06vFfXOPr0cQrUSX0IeAdfSC0
Mt2vRFNvRC9/AohGS5cCJBCavqw2tpFp6HFbk+tD9H8eGEb3GM/i3k9qcS4t75X08R735rQcoPrO
zLp3qe9jCErSe/3q4Xbhi1N0wSGxNT2mWvvNUxKMoq7swBEzSD9JwoRNiEdpaPo2TXT8qRJL60w+
g96lR7oaqijVPqUpP3KyOFUc7LdItN3rOvL7zdG4Vg1LwFFczzvRK2z8a1uHbj/ywoh3Dj48nkxq
Pb79/ckQ9sdHAzuO0OnloYGK+pN3Slu9noGaKqGiZm05M0cTf1Uds4la60YQWo8PCne6O8Xd1uyw
itc8xR6wWmSRVBtCOYaZtFhqHXbwTvXjAzmdd5Pt6tu+oROTvnbP6HAj09izN/x53s+5Kxm4wMjG
FsWQwiS5EYPaNVr64i9NHYpeJ8FfrCbuxZF737OPkxybw4rPY2ObJLyRDbkvVFFi96gZYsb61nGa
6GBqjh7UVxVhM1L3sFAnf4BEarZuvz7zupkPVtlwyBQo2fpvS6/28TK9KYUdvrPKs2uI9jaPyVHI
c8095FNDvJEgYlsrEWF6ztCQBoPganAadUj6nBLqdH7wjfV+7vzxyt4xDGmIEAkxNKOhGhwCF3DQ
xxSiP5Ejee5bF3WOs7RRwcukxPpzR7rrXhfmEZmSRO5yDUoFoT3U7njf2P6AB7Kutj6O4gCcE3VS
rkHzmuZd2aRAcHoNnuQxt9d4eyuak+JjSSYG4Nt1wEbk31GveOzIBMAyrd+YkozhpbV3Cf55dlML
ssDKD1TKgJil/bd5mH+kZllu8O7caHE/7uMHrx7xaIi0xZtxTvWkuphk09zOxRzIq5TGBgUPjRQ5
VN/xgb0JyNtIqCkzUTz5C5NzUld1WNL4x0RtKFI7ne95Uce7PJFneXV3+FkjQgfHxmDhfuuuiRhO
CoA/vPUFMSroeKwdfKCx1rSt5vxFJAtZNaZF4kT6NY09RP7LHOXZZSq79NanXi50Vn/c8hIfHyly
O9YV0V68qU9jDYmhpiK98Ztv/BAWO7Ky93mtDiiPuEtb8H5+R+sszZX2wgVupXWn7erIF8cP49i0
jqJFNwngahEmERmTPwettWRnE99RkauIW4few9nJDrqlRQpFVqhpbQFGG1+kMMpI8zv2wDjXCVEl
jzCbxEtBpexhIf3b0zPzIErnJo2LkjY+66WJDRiXaWTYzggkdr1sB1mLDtCDlOjcuGSbQma3EBUV
QNSRnYoMm3mCGyB2rGumiHFpfL6WYSX8wHazQ0kcYzQszXdIujLwpd/tcZ8VCXaQlgxJKt0cDElI
Jqsq/Vfq+sX31Ftir6+LdA9yWqhyq9YfmK2YNUXy2PvfFpHdjEZaP9vm9OjmojpaJRb0qu/FUWJ2
Nhhi2CjOCk3ooJnE4MlgEBMvBOb9v59nHwd5uHggQvYqH9PFe+lTqdtKFwOJzOksJNsKL9raId2x
M1MyNEsQajD1T+RWf3ABklFDWhhZq1zzQ24nvpJJH3hGoyrHjVzFMYJnNFbkFdoRPpN9WWAEnui7
J7w9/6nVaIqzNQSqx/YLQjm/dgk5BoYNZ9MQb0PK7qYn3ydwGP02eqrt7BmXa45Y26+ee+IiVE7J
tEW3Xzz/1EVhb5I4efSIUChaEU3DgC5+yuyNrrTvcmCauE7VZvmMvzX5ZJG9ziy/b5Z8dBTMLos0
vVXvhVg4q4ue8A9FRg1LExq+HXNr0PkauvubRLqkIOnqk8L5P+g3icukN8wgZhxj0fuEtt504rj3
exmt3ij2ZdLS5LB4m+SEmppuPLt41jQoOLI6t4Ovb0bs/JvUXfJN76NnBOfYYUZ65c8oedVxXi1r
DieAdQ3loBUOfvJFH2BXtH0aO7txGG8YbcZNW41BtaK4QREDNP9YUT59bVyl8DxoVP2tK109WlR8
AbJbyRnhf4nm4dmGn/V6xmxs0t/UukRD4c6cKhXooI7RuoWMpU+QJbFO7kQeX0Y0obu6KjzU7Rap
q9KgZ4AOQ+EQ8rAU4wh7QDp2y8AQ8ZjjZxiasJseWTv0KMlWjkVTW2nJ+I7xOv1ETfWH54u0UqLe
/KubjOCy38eUQll6jb5URnk17Fe/vImVn0WGO/yYrbwOezV/8mP/4YKWQ/4syAWtDlh6f79gqa86
iHXLuSqq0JJzB6G8vBKjPodgW7WYXv9+gPwBGMKvBdhCm+7VtParaOI/UIBRpzrbcKUiSaL2xhs9
JCLLl7hZzQjzGfKVJSOgfiYV9ZqojczukxPs4yBIDQz/YR7z4D3fQxGd3xec/aMi2bqdDtasxyTH
U0AZO6EasgeRMuJnDakgyLk/QeT/8DBbnnttEebbJgL2Oir+56N3etezsU8q0vMq2zhpYEyNduDj
v/pC6gdqardLa779/Qv/KJjjM16Bl1/X/T8085+LJonR2/gyVIR14Tr7MdW1TmeEf7/Kx2xlxnzf
RaSJ/hAo7D3eZ4k+mXSL+8jFKBeSj9chNgbyH7mhCfw3/EPCLkLky3gl+pybKw+TVA16sErczYuE
jnA+q/P6w0dHh3nNTDWBIj/4/3kFDoM1pCpSNuCfUjlMK0/S3z+5+Lh28mfr1KfpLmJP5z3WqGHl
QuNRqshp5dnq43/w70KziIFSqs4YHkV3W631o5HENkR9frc6Y7IzStOMCovpLG5lwrEmNzgugnmO
0xtjDdqxVk9xbxsBeiESteL4k73kD4/9FbHUDTRUBCT82qX/c1dYKu7k2Gsy6rnLFfa0TUZBPAch
EUYIZLCgVZ/FPv7hwXNQTjE6XGkp13p396dzQd1RrmSkESVEfMtXq8oonJ2cx6yM9PrNyykgRlfw
mVFUuO8/LCY96peu5lic7LzS3q1gjGl4QyUNGwplGdJH9CwakqvKa6L+2huy4kObBDPvPMPE4Af/
1k3Deugc/w06HjHQrOiHtlN5k7MlRIvJII4prT61a/kyrOq6SOnyeSkZSjBusR/QUEFxgZUdhtzv
t2pITrT1xBdiT0mkZ8nSDP2NmyNIjIFnMqOCeCRBBPSiONHC6NKQaait1SkVpjSihK0n8g3hQs2X
kuRR5p6DVhvLXYt5+mF5JuTHDYeEJjoKcPrNGhecIxAGke3wTh6t1QYyTO0ojl2x0XQPoGrSiUUi
gnbTDMoGm7HoOYo98RRX30nhyXnnJ15ETs4cEKDRnDQi2ihOEj/qSX/tFnNfurm8aEnr7mFAIVsd
82Gk1/6s98I9W6a/zSgwiozepC1T1NuxyZPblhpdXDXpvi4IdEBbJI+tRRlBXK+3CbvzQXVrvDOt
H63BagybY4TFJJtAz411ryRSfmO6oClsHmos91vCILRDAxmvASWS1RBvfKd4tmZ8kDXW4E1uz/eE
a7cHXa/2ftEvWx8C2269i48uFEi82CIxLX+ph7tieZgAWm91W94rQXVi4q9br2/121KqeePH9KZf
bfMQ5azNTof3J63WAOnOF+Gxfvmtzig6OC+jPgUDQqBt750qYrmMZN3SiKzCrhrE0U2pHAGuaeeH
xIgPCdKNbT5wLLlo3zeCbddASXZo0eJEBR6LYqjaoFAsNbqAILNWB+kZyyIKhknta6lHWZet+9jw
fJ5f94AGkdCS3txlfUVEs601ezd2ApNSpVu9WLZGqploj6bmwIGF0lBHY9kS+DJQZm1DGQSzSBue
jkV7rub0wDhQHD3pktZDepuW3Lgk7NHC4ACGpefhujymix8fzFL+m9uxOHn5lF1goHzkEIhsigr5
8vqs5RhbiwEhklgp5kn69CUFgr3XxM1cOOW2BVrcalmnvYrHjqXvFOeoYQo220FbL2SwzaF0jA5j
P/IRMK63vOw0ZOb0l1tyOZAPFUnpxAfnES0Ns4PK5h2tQAGxq9aZ6opuVyPZElZLGpih/lEMtccl
MbIbs6zD2Ln2D7hEsuVzbWy6yulgE2W/FZnF3R23TK7JZtTT+Au+0YOQ/nw3+TFhaCV1TJ4L1UwN
0RD0dmlHBQI2cJ4UT1M10CXcJQ88w2i+mCcCVRY3V6y+zsz/cXZeS3IrWZb9lbL7jhpoMdZVZh2B
QMiMSMnM5AssFSEd2qG+fhZY1d2XyWvkzDwU69JIZggA7sfP2Xvt+Egk1LUn7fI6ydayZPQs6V3s
ukb1IVeEqNFG8vwST0J/SNkoZk4YqJjmG9HY4abTgAwRu9XAmrQ93pN5IhEgucIhbaZWvE+WYPkQ
y/XCyDa3ze9Kip+gA0zWaPaa1HF4hzzc9z8WMk0+96M3OHWQSrnDkQnRAv1glBbpnUzjtbSaQMFV
9xYyhXJmNGvxQA8VD/VWVTZJ0ip3k2q150yz4WrmQxmQjED2S/ZqDy0h7ZVF2NAIysuJUG3Pcz8f
QihLgYG+iG2k+1LTNNIJecUdKxsIA529aZInEIJnM6Uxxgn9pY66r7/e6D9Xb8uH9hj0EOFs2GCh
Pn3oxMiAZVqyDor7SbJZxGLkyaH1RwY7UWPJoFRrYJXN7yorY9kY/3wG5IXxO1j8H9l2iCk+bZyZ
gAGQG1VNmlP/NDQcbHCTC5ab6UlzMcLmIRqo0S62PUFcdavX23zJbS2HHk3m7N56YXgXsXMhWwK2
rrYFtaBIbpMoC2lHd7QnIsSuWYF2GqqGG3RVGxj2Vw956YG+NRw/dTqZ0uig78X4q4bB3BSFDi7P
irxVEefO0dAQcNkD04ZMcSB82aSDJJ0TnyrjAQk67nhyNoD7fmSGfvIQX3+BsXtwevsFfH5/Lm1v
PFmDue0a1g8Jbz6XBPRGkKIDRXGcdTt6t5WwjSunF7cyVMcdU/dti6KCLRQfIc9Mdkiqeas2NWQ/
1L37NoTeyk6SscQNG2WMiREKvddU5SQLYT31EejBqzCRXnh04wuDs3uii2u9CR97u7ydLFLUq1rn
LAmUvOEC3Jp9qSP41RlSLd0o7stTSEcJ1dOhINMwcbp2Ly1FBmUVl6iBDiWpSU7lrLy5oZVLMzaN
SSsgXGFEx7idUEqvLbNCtDdWwzaG1LvRJvmIYsleh17HiNwcLoaAV+shPYHkKC0ET+63CXEcPUSA
g0o5cXiubsaMj9fksrlCvQzhUo11trqrJcZnn5E44feK+UCOr0paIDXnAME8LNz9rx+QnwIvuUPh
PdAdgo+hYuP6VGfVJAmnEmNpkKflBDekAdlkmq4fqco+MTMM8lWqrW3aL1atc8269RDF8yGNUhrT
6u7X78b6XJd/fzfU/+QGU5rDRvlxkYprq/FMq68DZDT1qk/AyMz6hxdq706aHJQCWKVdg9E2Ki1m
jbQjiNTuJeo9iby9femXK4tbv1GesrB5y3BJdtUApCe2bkE0bqK8ibc0Sq8LUT3S4kanqynIrNgB
8rT+cOP5qYt1tPROecw6+DaOwWLmmITkNNmTmpQvWVwYa/XRrmMTnyTpjmqbPFk0HyFFYP2psdEL
SRR3txd696665nvcpvfuHLdrEs4OmcZT++vv7LNs4vNXtpTwfzoViD7sUPuwxI0LWA55ZUuPL4uu
kZY///qVfmoDfH8p13ZUC8/YMh/58aXI3uF4VhR1EEfOG9TRdRc6fD1Lc7W3XXrQdGMhliob2YNt
HbDm/voNfD6NLK8PX20h6nNyxej44+u3wIa9OYnqACExxw4q9qWweRGKcYNtgvsFZV8XRvc2iTi/
fuXlk31azpHEY3CkzcNU6Pt9+6cvmTDwmr2rKQOI+5z+WnUPsgAbCmiMX7+Q9hef0QQioxoeRz2X
o96PnxEuQUMqVl0GQtSXupke9DJ9Li1gcWpiQ1kwunVd1XKLoVBZoaDrlvNROJeA0bwzRxS/nkiG
yuHHHovWunbQGS7L7fSb/q7+F98IFlP8rRxHXTwan57UCsob9x3OVttpr3Ui20zMEL6XNju3WOog
U21OcPxXGqYNJs2kb+aoAC1BNUyg8fOouNOeVLCNytGLj/KK7mxGnp8NgO/AAxn6TRNht2vTaNzD
YzJN7Tdd2p++acZ6Kv+D7k53HELEp7u5KfIq6jyGJMCWtE1n5+9Rsaz9pX0Yo0T4ZJqgDIiFeT0T
DHTtpjG95iWHNt7q1ovIIKtForZ3uhPrFySzGowmBLtj/9t74vNZeHmnSz4uvg3Ygtrn3i6hsrVK
J7EHyYOWobXKlTpZZqDhd18nm9HNhusxa+BtyEcEA3sqansL1h0LFgdTNEPsUaKwtRUpfKMdHn59
x35u2PzrzdGGpCMBmOjzQ1mBv+hCyncSE6DNUGCDOB/733UgP9dT3y8UpdwShYyB9PPFwjuZZuCV
2KaXIsYd5fsUxqQtiPC6zeKPzlK2FSKriI18MBedSz3e/vpz/rT6LW9Bs1jxbdvVKaM/3fFaAh6U
NVEG2GqZrktO254LarcKITmYbU7R4VwnHRKwwuWQMoZM5X7zFj5vj8tboBVi0oOlb/eTJCsVdlQ1
wywDZzJuzKklN7hcMBJDdGxa9OAzYl+mGnPi51PqrJBrWltLPDrG9Dux3k8dtO9vxdMMEFE2Z73P
/Rl1IMZWx8QUFAkKTWg8xD9m+OFouIvt2CmvukcaTkvmrKohyI8TozmB3kE6HN2kpp1stKr8AMy4
LWLyRssc/f3SAZCkNW6but50s9JT0Tq/jRf/q+/QoLNqY5G3+DaXBfhPSzmzbJHUVsqdRM7nPmbY
QbRsv6ljPAXFXF7VGnPrweOcIONjip7NMq6UiHvt19fyLx4briTiAotOvqd/Xj9RSSuQoswuQNex
gxYFZ0QJ/n9egtAKzf5e3i2Vw58+qXSgRBUqLbQ0718zM1x1rXn59Uss9/yf90XuAm5FZIIq4y7d
+uzsHhSntrTWbQLLFFdukrYYPPRTEYp9M7ab3u5PVjz+Zi9e3van14T4CeVAtU1Wg897ceY4EVsP
VYDMwCCX5XtKno+RMIl2sHz9+vP9xVVib6CIB0rrIZdabqY/fYVVo2RotolMSMfim1KjmHDE/6sZ
n10eZiw3wVLR2JSEP76GNShxIqhBA5uManQpaSDAK6+oxCNflZN39euP9PMl4+XYTTRXty1Ycp/u
iljLW0BPCqmsmftCJ/GYNPg3FAOnGWGlIHRJTdaIfPz1qzJP+OmyaRYDUfrtJMswFV42uT99lbWa
eoKWSBUQ6wzCN0yn01CYtT8SQ6rZOdL5eTiJiOH94IDJ7z13YyDJR4eAnp3pQ7xLJ0fdzhktLWyq
hxIr6KqXDqbqerhlFkXln+TZsYn0M+ZmsEg4Vzct6sldVCI6MHXlXqMHUcyqA9Gn8Hw17NRL4+Xz
vo+ad4wAzUU64boBVEJX1ivPKXlV6LevEkQRW2uQ0VqgobwpI40oD+VByUL7Zh5LzJNKeDsCkPSZ
Lg9+adPRiyKCa2QZgxKt7rJ+mgKpdSBxUdiNMnX3itqsdCXSfTNSwpvQieWhm7AkW+p9Humbkivo
K4MBEqsJ45PEWuAJU71yy0S78iRd9zke7dfZUt4NzD/gKSgMQzffNjGcijZ0IJzXihH0Ha+TaPET
anompYN7yYRKhJvXYFhqXeL71DjCWIojO0IYF0XDuFZ4f6tmULGbdODY9Fyp/XyOFyC0Bedosd8s
B9J2cZXquDVEPxxST9G2nLQLohF9bxkMugtaGjjXGfw3w+mX3jR9m5o1EwVGh4ZrY8fsDqIlrsbA
QJfTywsqrGiEjaIya+ZV3IKJWoI1MfeB+xpLCQkA6JfP1DhZJ4STrind4C+0dXcohnQN0oIvIK2x
TOvxl9GkbzsbHpz5rI93jR5khVPy5RFgrrvdDWeZoAHiEIQlshwFN+gKyA4WYZvvbRr6+c5YGAVL
vA39jGHXqd6e4XS2m/AODJpbnLWqVi5SMbF92/oTIhG+NheXrFH0kLVxfE9yG8dZvta+aAljgVHi
OlQWCjvc6o2ji/Kcu+E5i0hWaq3cOIFIE2qxBatAMzrVfcdEpqR2bkmwKT8c6cM1DM1uF3kmMTAw
bK/AODQ7w+13dWvdz3On3BoAFxjqZ4/4RbU1UTy6r1nFTRlbRlBxHi16I7pW86DGdL2GAaJeO+y7
9gD030PrsimGkOkHh0pErGm95mkeMGbp9R5SmrzG0vk187DNmLHY0yXU0OEsqbJRB6gIAsYsGXYM
s350EvPj10vI5xMH6ySuI3Sq33dv7bMasIgZwBe9VQWuXYWbWVraSq37V1dyZ/76lf5iqSKoYFFS
wCuh9v60IvM8NWXm8kpRXn+TrqEw4KZ7bBfVsHpW4f5J5XdC2J83moWjs+wBpmlpP0FgMifs65Tu
VWB0ee7n0XBbd8tz0qLj8BaoOwnYDQ7ZNcpi4ALoKPBzM2ScINbT9dgX+u9mpD9vszqIcE6ihP6B
BnM+bX3warwazo4INBcTrTeFr1V7luSQNFN5/evv+y9eip4PZTNHG1pRn3f0IRSFEYf0IFnXn5yJ
3KHe2JlEFvCMP/36pfTvDa0fywcOq2yjFmBYVXfcT/Vf5dhVyx6QBO2C7kjK6iGNJpyXloiWAB80
ZVqzKiKn2qn24MdWpwZDMdDXAZrfhParaRRMwIlRISU6x/dUfS2xlu7gy0KUHCbInX3dHD0z+2oN
eXcgDWbw8wXclakLYzJxg7xGxBjbxUwU/SIDTOiIqn2t+GxYXyumNK7RQv+LgSLC725pcXXfsAO+
TxOJ55kNdlSJryFTLB5PoHIR74nhvq8BY8CwUj/rGTKFIa5mfxgQEWYK85VCUYOiM1dqY71mVRkF
uJCv4SfmK3y1wBPVZ8jL7xPnCtZmbQiE2h4UDB3AIsKbyilTGl2r3La7oBtTfZVhsMUhHn/I1L4g
VDaIFKq802xYuxpB8tDHgdXbNrEROEbcTNiBWpPyEsUyqOPU3MQVpB0vzpr1AnLJZZvtO3fAEpBX
O1ImqqshKax9HTknMkpI0aEtsrF6l3At7kZ8YF/0DAKUaucEK8ZC5aQjHF/EuY3ae3iuK1sPWqSG
RzIg7b1oGBKx9j86Y00/MyOrzI02i938oUIwzYm+ep+0SN8VcZiv7ZS+hYCMXKq36RClOyxX2kpW
mFi8rEwPVCgIjWh5QcEpdopmvnWsvSezxnv3rHW1cu+UrORar58tu8I7rfZXhWHzCNWGco7ldO9G
uKhDx9b92PEn3YoYa+NGsG5xprf7pDTeUYzKY2U7yEYJht8Zo7jNI9woaTu6J72ZsCJrLk+Lfq9X
MJuiBj2V4Tj1FrX6ARQM2M0Ys3c/pSay/RLT5CuxTF3giOqmo/456u2wbxWGh7UbJlQ1Gcqh8uIy
AfMpIib63rUZZDqKdGRMzU0yBQIB35BFfoGZam8Uyi1U0YU5e0L+FJ8GE85LO1MbZw7dGnYsYvA4
9vEF2nBjZx4NTQqo2nAijNnbltCONqos7pOO6DRgThREhqzXuP14CnuNIiCpv7EiIsLNYZECagsi
IrT8OCn2nKbktm303axFNU4MnFKKQsYCSU3s4ynIP6WhzuDSXNXD/C2U2qNX1uJcNirHLHjQIEqI
krHyj0zU8yZh1kCam7ErqJwKXVgnnk9l1WHNWbf1WJOyApzOdBVvKyflrZ3qh7w1rAt6XHQxEbCh
Xy9R/+rn/LBEkfPH+Ig2B3Y86P3Gj6VyaEDvx/KbBR3n6nVm8STXUEGhYtnrckqOMZyV3dioEg1/
BLfYbAmRAD9cqCW/COu2jS3Ci7J4r5atIMyDzHAWMyXQ6vgaMXaymhrNuLKtFTKErzzhfMutEiSz
+0ZzHDhx2+xMRWPa4jontAXVKkVksq+MLF0rfGWUftgYdeFdjVNfH50yeXI69xuKtW92Wm8oK7Gq
G4AZGJZelaoJ8EPvGHM1YAnSqSUOOv5CSp5zjGrW2qGKxFUl9j1gxe2IEv44j1gsRP9u0RfYz8Z8
r7iAUIRbIJRvke1G3je1a9eKkZfHMSzLXTsmNyJ1tJUxze3OM/axocTnUj7TbfhitVV7MzgKtCul
v0ra1FmjDGKyMKq4ZZUoEKPEF0xGz6hl3nkcCfhBMaT7qGumjam0EK/ypLgk3uvoPRVG8zWlKnO8
at7bkX5rqXF3VlMdVpxh400TuXujwz1BGaauy8pNLyGF96yLrclZ3Delc87DOLsUkzdhVeKYXKZN
S+2FQ6BS3O1kRy8DyvkS4QfLWudXvQulR+I2tNu8CxgYMcXzrPYEkMUDgRO7+Kx6ooXUbGmK94ep
kPNVBABlW+jqdnKa+iBUN9wqfls69d4Usf4b56j1U/kCmBzBAooG27GAh36+Y0VcWLPToLOZ65Y0
rbonzIQIn6HnoxmieTW7eFzVOH3XZpVaVOo2uBNw36FQngyery25wbmZ4SYsWmJxUEAFBcZw8nU8
b9Own3Wolmm5ykOO44TYDAkGdyxvyRpub+O2ODgDJg3NHL0D6grvnC6m4yK5B0f6FHtjBCI4WZW5
eZl7EK6z7bbrWYrEbw2CIftplOshMwFCKgX0HoaFsWNqK7JdpV+U4yVsY5sclxlSR3XqTA4JToa7
CLAxq8PEufD7CvC/3sb/HX2U1/961Nt//ge/fyurqUmiuPv0239uP8rzi/ho/2P5V//9t378N//0
7/7z/m/fyuZvV3fB/ee/+cM/5Mf/++X9l+7lh99sii7pphv50Uy3H63Mu+8vwhtd/ub/7R/+7eP7
T7mfqo9//PFGX6lbflqUlMUf//6j/fs//oDg+Ke1cPn5//7D5aP+44+viXh9eZWcC/710/77n3y8
tN0//jCMv6s4k5cpJQcBKjeaxMPH8ie69Xe47jTymUvpy6rE2aEomy7+xx+KZv2dpsqSOEADx2Nc
QfXZlvL7n+n63002VVo7iANs2hLGH//14X+4Sv9z1f5WSHFdJkXXLu/nexv6f1Zu2vMoF5fkInq0
tMZ+ktqXHrghVHrAOYB7Y/JFrdq4WYKQJ6dI4ehIa+yI739i65ccoVGZrUBUpDslBGKo1+RvgddH
xdTJS6hTEWdqW1/0siqDMTXEJQSVDS2vfez6pt65i+K2J+BlcFLynaa71uZOT0PBYT7NH0U3UnFW
QL6tBYsXckRLrSWhZL70cZjcumQB+a2Y86u8Mm7U2QMBItt0HyUDijczGdaiBffV2hsICqC5oNCt
e+t9Gqr0oUMntBoLjtpeayp0cmKJuiOuLtBGTqYlDkqH8qqyjXmPo8LZTHr1WORqe8eg4g0KxEOV
KdVe2lLfLjG2lpXS8hLYOuJQ6OfK0eaN3jXoP3HdS05EUo7q1SCQeYdAnUlmWYOUGp9TxORO+OKK
b64IX5Dap18JeLKrESuPQZdGP3RNNm0rWl4H0yp2kTY2OxmjgJld8RBmHLjLIjOPRF1+G+yIwKYF
FFzZPQ6BKfSO5Iu6K7W39DUBNrh1l5i00W/CybpDlYZrt9fSW9MFgdVJYsNk1qMTKPM20MemPloF
upZGVbdSh86deewRtlQ/Yi7HAWPjR1SSfzeWQu6IHxInyVq264pa26pq9lCXJqGcndNtpQsf3nG0
Ihja6qNcZMcNQY+c1N10H9bcWaKBRYnwIrrztB4+pCasOwNSVltTFSS2NO4HhyWOFELnwRm7PTyh
17pM68dp0SYq3OEbtea44UpjQ7ZZukKWkSFeir+q5vSIddNbjTURMSmKkb7J7pO2eKI7o24yjxEf
LOFHS5W4FzWwH205BU7yTM9Nu5uYo22qqMUda86QL5GO7Y0BB7OX30RQrHQzVwGBe3gtSQUSQ9Rt
UKN9pVAzt9gPDxL+PFqZ5oxhovCXsBb2gfSrPWvKusfjCCOc6Wc95nsrn8atnjN5nBeLWjmpq7Cc
yhMziooJtQQCOZAbJfQtmEmBZ51LNnpUgWTnfYw6fEtqlfJL6rIpqyFdkrkvdiPNllWRw4TtcjBS
wr1G/OusFJvjd8Ma4M8agSJdB/47dNpzKWIw+3l75vmJ78Oyu4kH8ysMIYwpApvZOGPxJl/Xb2zG
RoSYtRvhZPfpPJN7lagHPoI4N/ml6MPHGn3gpkYFi0UVUkCGGfkgQMcjRiDhddTL02Sr9Y7chF2a
VOqNHZNHncTpRigdlLLmUOPwOMmoJWWcHOcQL//azDDBgrA/0QI7Rmhv11acA1Ctum9EZLKpnkYI
Xqd0dq2rXs3WNHEJSDWaWy+J+y2xkw1aI/fIkL9f0Ta4ntAGQ9tBreGI7mWMjFVlJl8UVciAo+iM
ZpyCulbaQ2F5KeGGdsFdH08rl0AQWA+AA+c4fYQicxEEgvigfAxQgaxUqhIa63AQEzcTEh1ynZ97
sz7WebMlhN685wh8DlljZhSEPqkW0d7uZmh0zTk3+1eSoV+jme17JvGtS8N7VSQSJElyAf3zZkrI
DI1QYbQjrBpV9zR7HIGAitZbCCE8aAbGRqrpaNcnGuhxaZBnauqPlVmuoXeWW4+I6q5JA4eRK8kH
990MoRTP4rxyhpRj5zQRlGBkWwe7ZCqP/AsEl1Rg0X3ZKUjAJkdsrSq7tB52xS5202sttWDbF/lV
xkKO62z002k84NZ6qxGUTmnzQdbfHVEMvaVuqyXcOsMYtxoVG0irrL9NarOIL+TCspYkTOlasm5J
H1y5ArWogpggqasHpexvKI1A0i4KmkGAfupInVuTw2LyrJs7Tau2Xdqj2VWiOwbSka+j1GUd33qZ
cxNrpLdU+oY0gz3pDhC3hsbX9RpPW2SUO8/JwnOZhhUGdnILSzyr2UR3oeqzo5bLuz7Shp2RKfYB
JWYATrq8RCxRfkUr3m/PpFd+ITXhHPVZ6Y8mnfS6q6/LYfKHrt2ESKuDlNEIxInnGrPYRkhP2aM7
zVdw6MiDr8xjW5F05Iau36Ht3DUTDklFpPbGqQGlljgbeHrMMHvRWHNKBzsRN+44uPZDVaeASjni
8pM2YQjKodYHFD/NorAbhud4yl5Eodg0rDXIr5zzS++CCTAOkPP0fEwyt53awKxEP70y7ZNL/8EX
0filjHhARKIdPB7/qYaKN1fDh8aBAy16cxf3arU1BikwUfbx5vt/eYYMPIKc1lrSf+kVHfIozxJR
5e63vmjOaaHXMOKqnc5StZ7a7hK7Wb1KrKXdHI/YtAcor1oSAscsbXsl8uq9VyzOvamhrEKpoPEL
u3Uieu1gD/xwtLbrZOrtINSO+lytshxAaTYAlKxU79zoCn0GryxWQp0FR3BBr9tNX9MlpEy7I4a+
JEO8/LBkvK4BQVQGKlZSGjCelcO3LK0e1MFe7G/VM9boazeK17bWVluY9nIjB3Hqu+LoyG7v1L3x
FHMaBK8LY5OMexgfyMMtmEwmx1fZw7WwaVD76Ftx8iHLEpHLRkUjYZe2srlUddlwJIgBsap6508Q
JtZuaKBuJBxlDlmtp3K6DAK3VFfq182oNUH3Oof0kYYpQbc3Oh/MOCmd0OVwjiK8wynvqjEe9jUR
ubQ1rnQWnJ1jN08EHIGLBmgIH9Hv2vSgDn16MGV9jJPG3ccezADmIF3dni3hamTJH2Lm2sakAXIN
wftwHN6FYAYneAOiy5/KEqKzJyeuJBERmoec32sH5Sp/N8fpWZGY55xSJyZMMzZaqV7MuGdaEXn5
We2c5wJg7A5GxzbuzxYRFrdTF185Hu2JkmTEbStZ3HHpoucmUNZS6vdlymE0TOXdFAiv2x0TtIgr
oj8wyBZpykI2CypRM98IenmrAvuTi9jNr71wCqYtvYhh5WS41d0ad2xi0VYrADFFCXtTbxQfXB1s
yLBLC5cFI3mANRddFbpPMu9y0q3Bty67sYYlEi6IsWniCnc7mhstBpSbKm4GzFW0+AWIRiXUJsQ3
fG8TJreKHEoIB8PzqbjLK4T7Yh6mr0SevLEVW8CU70Rm1xsniV+qjuV/kLo/ZNVpsIBlJeONnZg3
SmO/zy1whbD+KK6VhgGPns+zP5t0war5nEYEUJTWndNZno+ighaFxZbgei/pjE3R06uNnKt3N+rf
wwdabJTdRMKoXk1meXgTW28VgLu11GPjSrwscQP0Pfd2lQFUTeSunLVrweGgoOl5LMaElpXZBjz/
OUG0SrXRo8LGEL6pKLZ8ZzRIV6/o87Wq3Gihcym1tLlcFSlzgcaDWJkvyCJFg7nTbRS3xjnbwYao
lOKipGbHTuW+CQtiWGi94qoEo0HIaFC7p0yRxBSj1QY738wHlX/Up9Ha612Q51FDG7sp1toQpvDW
0yRQXd/0rGzF/gx5zMq3tW0NiJNdexPmcg0UDkdzmGzJGDZW6FlXti5fM6XuV8RTPuPm3/RLzmOY
IDfu+gRoZu8E8ziRykFMeOTCXnUQ025i7ZzARfHd2SK5F9e1UXvxXZ0IAVvBjGiorHGBAnhUCzA9
GYy8vsGEU83mpiX8DqLAw4itYWeacB/nQUqAdddmnHWbrhneZsA7q5paHOS7vWFhptnfhTvQLNfI
n/Frq1+UUnnW875ZTVBpUUxkz21C4a+FF9t65CwxB+BKLlEC9ynURmcb6TYIVZ6eyR14JF3jlsTE
/GjrdP3pl5xCPf9qle1727RQkTOGNxiGsP3bw97JgPpoJUJwS32M6jyhxaV0QWS0hJcP16pVBmaR
fhl3wHDBPhr8yDhiVkeLJajz6MVqvY+kV86AEdaKpdzVMZnOkYhLaNzIxM2kPWstCb1FSNse5I8G
onJ+7yPF2HWyubYm8UFGJB8oJ4hKieRZGWCIqM28FDr5g9WQ3jXAJgHWXCorbCqcU+r4PSk5CQyY
Ifx52U0SIAZxLl6KAtoyHSxEfqGFc68dTB8X9C7Hj7slWfW2Url43dLq7x3xZZBMyr1GvI6ZBXBA
9vw07gap02JMrG+x8PqgsCRW9VkeZG8YAJuFb3iRdtc3xbmNCViDgctGkxUJQ/QniQR07yQg/upM
2U5Aq3wI1d1NL6OXXHtoGkLgQ6tnD6zm9Sy8W5Oj6Gp0csbLDfd62vUtIM75zrOGaRsD6zh6Cctg
BYMk0FWNCs4pt3bJIkSFk+wSpA5M+RVzpbW5gpYR/vgc9jckjXT3su8e61r1hxJ6pKQfCrUILnMi
ESNM3MKlMZAY7hDlRzrszmbYNOKreIr7NuQmkE+Eq4479sc1hdahqJX8qI1fRpump26B3jMnVJNp
6rx0TnIDDhJGujQuVV8BdoWD3gvQCKDDn0sCnnyhwPbNDQSNwEd8Q3deBmkyMjJfjdHdzcY4BpYX
D5TJw7zPiMmOvVulIalOKhwCR6+Yj1UefmH0cJwiyjr8wXdlMtB4NybCPS19lUfOMjszdD9kK73q
x8ndRIvNq7drDl5GsR0zjDxNyFTAGfnG3LJ9U6VxKBpKYIzr1x1dv5U+0cjGX2VAil8nFjgOMGL9
qRhquGmuuRFlj6Mm7pt1V+7qSVtXWqevOHe4a6In+CRQghzis2BtqHcgpteeRgRQF3H88hYGrqfv
TbOrkJsW5jG09TfkJ9ouVVry4Gyaqt0cDSTRyF0YH0JilPGih+3GLIariUx3f2AsR4zuQyjD+Ogg
vuQKABVI22eqPw1Qh/JcufiOcia8eBqi+cFtjZic6rzdUj1QDBqA6XOIZ6WWg/cdH+e+vSv0Md60
lCzgKob0YocZmbO6StniWN+a0XqzQgrgxLij5encpEW2XqR9AdKCYyNgmcMZCM+FNVBS98qlSFX1
pLU0Dqx0PFRa9eaUm1wbSJniQm6Z8g1NuwPv162KvpVgUs0zGZksx8LYJbnqbgsCiQ5p46yFWV9H
ISGEDfOqQ2eLu7QXKgZDVzuEwYQaAvuZyj5nNyaSEc88/OsX1cAd5pQfDUAOxSmAz5AHTBudh8UZ
bosY25vbFdAcjHHeDG1GoNSIRk2xnHidVk58oXFtrZO82Wcuvjob3e2KnOA7Re3fvKHARDGZQJAa
5M2MJHlCqT2C0bXKHcrpdDN5X3r0kxsNmLQBeQ21dHmNy+LaicQ3qjqI8C1SdTmzmMn0PtYn+ryg
2KXdn2emIhyMRgwjPYYCmUWrPmebpHUBSftW824G3O5+xYFx1areKanBmugFPEzd3s19dYDM8CZG
lD8eh8WELCtThKTNCwh9g4ZhJUyW0VyCMWzqrPYQAw3ZYBv+mih08kOHZw7lVXpSJ/0NiQjzcDHe
dzT31xMOhjX9K2DYpBumMLEsOGGrqrEwCAomjJnGWTUZsnrbWbntSzxmflyaRFIa6hlRa3mQbWSu
9ETl3hEzoClISmUWk3eS30oFy2DUI+NklaLd9VpWWbVm11JwHlHlqVqQsuHiaGELr7r+vU5sfzY4
x2I3LXZJ/eCZ8svSG93L0Bk3Q8V2SNgTSZbZuM0h77LqYkBMJ8Nmrg0sMYY3QRAZJiOFdEh9IO6t
FWgspyFrNtXELEmIs6pV4DblXlEaQGtWfDTM+ZsLDkoJj14PHo1Saj1acmbC2DrQEjl+j/rFG8KF
OVi8tiUYd2P8mkr73QYRnjH1OeSj9uSlwxw0Y/rBUXyCv19CCsqPbin474Lw9na4X0anx8FwxvVg
4dAD584aI5hXVI2+blU1hwNFLWAN0WHCWQLlnhMQOTIFjbL5LcoLoupLkzNEXpUcXrJuWw1fuigh
3AJJ+cZtJwgGXCK7pzzkKAcpFXCzZrZ+0hrvVV93RxRGuTlv0AEe28UFVDBM5e4sSPZafinmYdX2
o0ANZQKL6qsvEZ22oEvi+vD9l0YrF1fA8ntdr1hDl39PLgqhh9lHR3LgRloA1QtF8kA3NTS7Kd96
nvZ/yDuz5MiRdDtv5W4AJcAxOPCoAGJkBGcyk/kCY5JMDI7ZMe/mruVuTF9kV0tVLZPM+kkPeqiy
qs7OSpKB4ffzn/Od/jRwJMEfxBCkS0kmyftEdmaFMrUX7cTZq4pprTen4qbJRAWkbiFR5iVkc3kP
uWu88Y053i6wFalGSPdV11hRA/jSGrnXRs42lAx5h7GT885K66fWL/iGB/ES+2jgMV7QHY8G+hGD
4La2Us4mqDJdvlLcooUkUIyfIZvqNXTbksvadfdOWm+zxbeOoDASxjKn23pg/LICKxpW7ghHAUvy
afa2bSxY8pRvBU+FLT2jDtw9XnI5PXIhG6xzZ1XJbi1xFjqseqLF0MBoZXKTxcGPgfrAUyPN6kbk
1mnp60dS2LVThUnnQJuc5HnwztfFqBe0zOSFV+9Ng6V36dbDDrMCNqtjz8WqXWxh3dqcG0zTx1kP
oRpd+6YqMVR1g7OTeXOM0X1DczBfHTI1l6T13T2cdA+3K2/22tlSNONvjVSn9y1j+c7oem/TNhUj
SM6uvQO7C0mfLXl8D0kxOQ10besJ14mpdUi/xxy5aBB8sva50f436kuSbcuHiU5IM5tdKesEFepD
o2xHs4HglcRX0khTwXWyoB1L2h5a6hBciGT4tlnOV8vdnJrjK66V0B3GGwtQ6MLbGcwmh5SQ7eFB
5qMb2lcbhTlcMx/UCxj2hGXMwb+bC+NlrYbnHPT9pkf4DBt9hvTF1lCy1LilHdWOxoGmFyV63KHs
79LJBzlPOYYuBzrlCnANosRGsSDWZh1bD6MxkiixPKqspf0NIwk8MNG+QvnYeE3tYwJdH5Tftgci
59vKIAvN1fKazZQ2mKkX/zCHYGcXw53bLt5db9PLXc0WpbScOLBugjOjWJY3CXFvu/bt2552SaYp
JxwQLw0f+7NkWmpB5gg0/k23EFILPH1vz3TsFUmdRdWivpQ23lLl0+ecqJ25NozWOVa8oTdfyet/
FwY7Fw+Jfxwt7+DZ+Y6KVGKDZcPRV3HyUm330K22Pmd9dZ+N+m6YvXlTO9o/pHRbGnVFGDq3vzTe
JNSg9DWP0a0cFt7XQ8WQlu8kZB+KLMi2Oe8fp71ryK4S/1v5BPMbLg0KomwzklV6tUrMXxO9w8fU
Nyx4E3Pkz67Jf6p2Ny8wMla4tVz7pehO2m27wziZ59riNSrSLI4cq7/N8f72PtyEwqp3eUf9pW0D
Vywmar7KT9phbBB16RtJGN7nsJ4Og9tsqxpBJ9WvntDtARTwO+r0M4GCqKsWCiJopOUVTduq0fqS
xZr+6KvqI+FAsJkJVpJFTrdDQbsn+PhN3jflrhEXXcP+EgwG8CahnfAJ7V1QIZtMjWWkJrUvF4sK
VU0E8Xa1CcY3rpIHWjA4yfks/o3ptjHjR0Uyd98Oubsr1blfM8B4BAnCseDpHMdtfnSW+K0zL563
qu8TDoGbYKZOIkWAvOsqtjOdxy2EcFdtae7i4xRl/lA6nXVqKuMHhzbu94YS4Avmx8PvXyTvmj8M
RteRujr+4//w+3/v8dkucyFuf/9bly75g+HUD8geXj2Uu6zBnJN2mfvw+29B/crAeLBarMGxpjaJ
adB9rEXe7iA5tWedEBRy47rdE+rIHpTUTkiNWXWM7YlSEqv4NGeNBSGVLyPP4kM9uW8BdJ4t4ERj
W1ClBrqVhwhGNjjSHBZS5YbGhdRn+VytIr3DDXfJ+ak/px5rF9Ocbp0YyXuhryCI26M/BZy/PLtA
5uM7Hd2DJYPyRln98Iy16VrkszdXY9jT76rht+ov9xcX4PRc6uq+cHFsTd3UHUvJtnAeuT2wF+WR
xFD03qrs6Df2V9slgA0W/5jkbrVdZ+bMxOIVPzVZu/dr+TG23npX5+Y+NSZ4NyarV7gx3HfSiC+V
n6V3U4U+O67LcAKg4m9XJ96lc34sp2o4tw3UDMfUoew4GEGtGNAZHS6pNmgvcpIDrAPIWh0EapRO
77Sq1thQS9PixKLxxMU8s+nWHkuMQdixHJ/SBbd459AeDnVUsMVdp4N5LWiXh1Um+sWrgtsmlTLi
8P6I2L1NyVVvtIVUP5T2d85j8mI4wc/E4cxPua91comw9fxnb3vB2wCbifjoXQggwfRD0HiLogjQ
BBYkdDivGOqQb8K/V3EBgK3mD6fwOj04KFEW22NLpKFfUBTf1ZoW8TnLWHCs6U2JsGk12PdgRO1o
sW0f7YpQoxMvt4xDsHLM5LPAVB41Ls0RpmNlCOrGnenyezsr/1mY2bTzDPqIS47qt71JVm827GRD
6g0KdYETnNMBVtHR4zvG0iyT9kvDLds1bfy5aIgEpvCHJ89Y+323UEZSBzjX2GKy9+R+Z1NDH0bS
Fyfsy2cUvyC0VsAjQwtOqo47qHy+fbfGt+1qP1hFNW8DN0ZPW4U49hYLMmmv7xy27BtjXnaB1fAK
402RFsSa7kHKlxeK23D7dV/+wCdhjszuSV//wN+TsHqatm3NOM4i6wrL5L3oUT8M5ERd3LrwN56S
/clL1l/mru+aI0t5LL8VV0BhhInof+VJQLUrZUtRyppm4e3V5MbO8NIh0s70WC8o6obBSiUTZ9Nt
BGUdyJkxpA/outwaNqVKQJ6M+661zJ1E7RON0ZwwIYeuzVqIZvtiB876PGlOLqmDlckxJGQU3PZO
9e4vvXVYCxzuepqvrQZffIUgejNPRTlXTVyhxbb0iSHMXh203kNuTtD76cKRwKqPwHBpzvG3zWq8
11I/Vm5j7Fkpyb103ZMuQP0ZfRIcwfdyjoMWbY4TTUtC/FjSD195xK9H8SFMcc9J+zAWfnOXNMYv
DpoAR1M/cuuFDmmHVeWSfgZpPG9NC7KT/9L49LoRJ/d2Y8zGSPSAhbs+u+lM76w66YfgLt/kMrzO
6xqWQfnN6MGa63p+FlM6hr0IwiHGjrjCxdyIHDALhnl0NyTSUPZQUNbqF6k7zoocZvd1crSYFGJ0
/Y1rtV8J0VO+tvJB1868zTPnQy2ipH06jQoGrXCNAyQDoihaD+1JXxsQYju4nUq9nwhHEzf50dNb
tUnss5nifudB8tsj24dj5p1/s7ycYD9adC069GgWjqzDNs+DqJioRgHMid94SJlNEnCT02Z1m2Er
7OV2IN2w1SM41bL4cKHxb50sOw9sf+LJEvsaNYbSpiXKV6wCHaGJylkvDSu+yHTHnrwGwUT9Ky7h
50jb2ncjF6et5WNbzrQ1dgozVcoutfE2Dm+0ZGx+mZDVgNk2r4hACc40/0uM3yRWnYjzndhkvAeD
vg+HEWrydadviekg2+nRZtW9Aae+zWOcmg0LrQwYq2Wk4ZjyUFt/E4UqeA3maofrymNtOmmTfVdJ
QRL7zWFigksYYQouxSSfj6DQ7hcvrsKxgnXMOpzuqxoRVQdnGLP0rCB31hkFS+AhGoLmGWQUHxei
wS+ZWb7XAcSkZEnvqSG/DL76Xk3ykT8sY7zoN3ge1WZyhjpaE+LYvf3TWhS3/vBAww5iLtVGk/M1
BxxY/Nxb+YgM97guW9+ZQt/uun3Vi3JjuyeXE+Gms8RFEETDzkmTlVOCdBEAMipkS4UcFOV+oTeO
TI8iF9SYYDZeB1ecOiLVmXkuG/HkaSzeRuq/YDZinvXHSDiDOBrtNzMzWI+3rJIXRA4/1WghmEwp
2o5HHhn5QThJyypT9yF2ky+e8w4/cshczfUcHszMuCzSLmY/OqFvMXzMPjSnCgP2mjbH2UtQBpxH
N3B/+JiJJxomREX/RtZWtBVTNDNzZoBiozalJ5AxjENt6s9pxXs/2RNS6Dq8FkEcFezlg4++nqqd
2fPonEROyRoG8KixcQM3jr+TCTcZkEk8uiOkb5ZZC7up/tzkNXDecaSTZCkuYxH8DHogN00z8+VB
IR0W+b3x2BPIdYp6Z3H4ll94z4hrFThvvj4bDw0vrA2ZPd5aAHtrv4NSCyn5cZDyXMCppucdMb8n
Icx2ydnIAOaknz3PZqXvB0gQKX5tpE/C+r3FV+X21PVZ8YeMlRNORkKqex4/eYofskatr5Wr3O1c
Jz+qihotBAw3XLu0gNndyz1HkhMMRH8zd7TMdCzdxFRjdmpy3hidd1NCDkhkF7LSzt68AqtJ7+OT
iOUNnL1XywEXEA780zQn1yLJogQxVZUR4aqYT8pExqLoDPrFrL8bhjHx0RtptAYcLVp/Wbf4beeo
L6+r9UTPD2u50Bjl8XYhzrEtroJc50SiIZ7N0dyi7DuJdNZGpCFBdjrsxZa2H6O4oNbCc+/MgHVi
1abeXg4E3EVJaD2r3eJY2nkd0pBlk0YbzpXC8m3PioUiJh0FzNrD8rWBuvLpzuqWCzvql9x8hs/9
XuUdTzjOz+CgkH611fFw5opZ1Drv+9T+Nttc8W3HWZlW2DHluqhjzbq0/LlSqU3bbP80wFCmo4w/
TCB1mqQZBvy0G4ecHyMlGWiAIxvTN8uHMhA39gjSN3DJfBU8unonPg9mUW+HXAHMVjDA6Pu8HgSH
DbcFhgG0l9BS3quSkz5x7dMMoSS3w8pnSfp4ZE9VYWJgATGTl0O2NcPGr39ZCXqZjKkUG8Vuyryf
msXBnlQUdjBv/lXTnnbodYAR2HhvG+ik9ClwlghyjIj8xGJD7rV84myE52p1a2qCLLhf7f1CYWY4
oNDj9uh+aA/TH2td1mZZVewdYROzYBqfyxqnGEi0CfpewvuZxP30IDiLQVfu8q0jVvg7TrGnrS2N
xKy9qyxwm8w+vZIuyuFgqo+6zA/4UYeoaQbmBK98NGweqHKYqIcPxoU3PUM5J7bnkna909pajwbP
NBirj/EMuSxTBNzYqxpD/cDLhjddkzwTXvX2xOVQb5bpZu5c4IwFnRsT2KSLrHkH0AkwrfO6o22D
sMusjkKlHfWjkG5Xg3LcpxQ6OcJ6D+65z4bItP2J3fGwt81aXThHqwvqJjR+M/0WoJ1u/fE+WOhy
q9v2IevI7VWd/+C13xJd/ZA9E8tE8wUyH+Q6pxWbRdbzFlx7F9rONzKwalchpobt0F+fUDYCSkfp
L4/WO4v62lPXGeUB/8mnG9gsqGBm9UX7VAz9DheA3kk0tONoACW37xIa4OZrSWpqftcVvi8GrGjg
0MXpdbzFm0btK0pU3IlXk6eoUXQX2NDODjtghTmKRGz5w65jheKb3VNG9RBwO6QVA8AoluLO89O9
3WuobV4XrmmyZe5g5gAafIsT7jhJ82wWHqWQBbt9GRjkPnOPOhBb7oylM6AIUZjChD/v/RBWWTQl
LCwHTxq7SRmfVs7rYiX3cSLfHU1O+23ATBuNNjWyVj97J548GcrPdh7c9uzVLNZ9XXwVPZsgKmb2
MASukoV3NMbme5BdK6sXov0FwqUtnqvFLMMyzptN4ac/p9xbwnRgDdHy0t+5Sb/3RHmT+SbJk+K+
tHS2M8hxRXxeMQx5bIUm24Z5GJAHzS9QsDgiWozoyoJzMiTZPdqVlAuLLO/W94JvhV2ck7k2iGp9
EflkNiJ+m7reIxLVg6v9vVot0NgxS9Q5wxLHBLpxNXsCzrCXpVxem/mGiEGHq7P2MCHUZH8aO0wV
TJQllrdVB54fexYovxm0GA+TQv0EBpql5ocje3k0u+lQ1bG9lVBQiGAhq9dGj4wk502ezl9Uk9LF
0hg8ncHu+XZCo84y8y0a68EoipNcSjOqKhRZR+M1KW1TQbjz8SInEO3X0ghnjMpxjrDn9eC6DLQ+
ZS/IJt24s5JflTDe+qa7DGZvR7po3iEesJHr0Qc13apbSy/vadsfEXaZ3HzHBor9SOuhf5nc9a0W
szpIg0hcbDNbe7wsloUVHqXr9E5b2LEoUK45oy4jpg2LjnffqacXPDLYMYucxyD7Rttgf9N36w2c
cp5KdN1wY9A9Nk83HKZO44Dsbjtc3Fbs80t0/EGj20157G98X2eRK+jFdabuYaFq+YAfl+p2d9yb
ffqWS2T9xKmDbWuPHyksbCqcLsmg4m2jhB2O5emaqdz7s3UBDFWEKkPn9TI0ojbZ2wm0R4JRXfUG
8aY6ZnRjq3I9LtjYME94w6lJaOJgVXjwRPwhBhBWeVV9SrFiJw3a0DSsIsrdgcYgP7gdLAHqxbmC
WYvye1tRFGLaxg3NvTqyEJT1AFu+4mW8/Zxyto1Ez9/qpL+YpNLvqmJtdzabrI0GrYatWBz9ubix
i4XY2Gqmp7JWr24F2XGwx6/OTFlRlvWl0fqDzfpjR2GR6aC9VQV93M7CRmestoYj9F0JA47A2jMv
9+boBDRKXstSajiiY26V2EXoeGTBssOBi3VYN6dM7rNUsRiIf1Z0Se6Qmj50nD3gFb1YleTOzdHL
0xn1H6/1GM9pmObyAJr7tSxQWPH1tUlXHW1KOw0cKdGA9hFmCH/Qq2GvZ/lmqB4ml9mMprxd1ZRY
PsXM7VW2rKUwvrSeImVJXxJpko2RyIDA5jogqFyb9DAlcpF8a5oepo6rSmqW4t2YsWKk3+E90R31
sSN+l7U9anvkd9n2W03ncVQ4lCkLkT+rWnc7okV39Zp8dDwaXW9N9lldmEQmoRywFn005zHb68Z0
KFc3vqdd8uqnTNyGSe8sVfI/LWO50IaIds/JSWejw6x9Q0vvDZoXPcANAbtyRslnNnwZTdq+raV+
qwKwbsGUudzj5g2JRHGk1PqtoOkmDPw23sg82HddWR/qfHoJOvvIDcgLDmQZ0sUUYKD30NEGtYTt
0p6shJmK8sh80+Y2l94ys4e2MdzUi/eQwmpnocJ5acRLE83jcuExv+XnxAU+TGFdUj+dN1vdYi+B
9PWEQAyKU1QPA0S2HY+Dw4KacCjb7Dkb76W3iINRrdlJzhrzxDQ8jhNzgD0ZB4uHGQsclquZDh6B
Nz8ZHBR+/9Uk9h1NQXlk0zaVq1s6pikKRF8gV5yeRGYFezPVkbbaV2XY8UFfZ0u4C1OZBq/rpO6N
/FWt9K4vTExcHPVjrB84G1JF1xbfG9uIDxzhLkG6HOr22tDBabUQ1ZNOrGcwf8wumaZoPtVH9vjP
wiKZOE75L4b+72szPHU+j2Hdty8TZS5ut7wol7u+inHHtXmNUQ9Mpg8LVJgjviziR7wmC5+udnFk
hHqWcXn2ctLoLHkec3Mr4iQ4TQNTozFITDYLA1QFDC3L8ABaqXgm9wUezde/Vgchvm0d3hwZuIYl
XSleWdSOYqrshhINhDTFvrn1h8+58G67UVL6Ko65J1g6QTUmrPJTrTjv4RxhQp3oKC7GfI2Yd1jT
UZGsHc7lSLkOq5qpMb4M2oLGrlQR43WIWNmGc9a2+Idkec697LVjmx3Kkmqa1Kof+9LnB0XfZWgs
5GN8uXHmfnxJaM1xQIstXmqe11r/dGbBZ0bxSuMM6dHq36TKaAhP0te0nSkiwAO4Uy5dLbArtku8
3OWgA7Aj3s5N0O5LdtETOV4EFFJluTPZt+N1Nr4qzSYZR1M5iEr9nl6/N7zd5cByYpnEi9Pxi3NC
5Qg7r4PL7mPvxtXXgFbkK8SeNDb01lX8NNn57dkCAtU07vGtoegtn4MQ1nEs6vuKkaJgC3jMLeAT
YSDT8amzUb/spL+R7vQ6zuO87WGAbwZzhU3sBNOlN1r2vXPvX9ULjLg8m0pe9hFHSWyyLfYVZdeC
Jsvhe5c42KbG/FeRaIOeQqSBtfyAI1zvPM6odrNL5RRHXj+85N70aKyu2LIaKaPpWsUTuOeuSwK8
B86R6M1HG+AFnitWyUpNO+x9E/ZgifirToWR7mQR79hGbgdH1WBa/IVKtCDyBCbGpgrkpapfgB/f
DHZJVpFRfuc3MQRftwuH5DqXrs03AhsJ+vwzxjS9j/P8YbLJIZd4ZOi43mcFaPOWlZPqESVWq2B1
yEcHVuXIkJUe50yd+B77w8wfQEE3AGiIWAazjm3CwILJuR6K0TuUpovCZXrvda0MzIZJelgUVZ5Z
1ezlnDQnynArLkLNmTpZb6VSoJURiMtrCNaT6BbCpNK9oIk9QFhTmFp63mGblWdsWbRfrcwwc1DR
F1hBfAme4HHZj5yRTwaumbYJkM+zPialgIzFpRl5thNTLXvtIVUBe/oh6/auKM5MNclmyIZ720Fy
BV+DvWE0WdZb6YzU8GDrctgXfavCiu4FspbGtYS+czbjYu5GQt6rl3JMwNMToxPNZv9Ei1wILXwL
VC/iL3/r1HgEyXGyzwCbc5T6FHTWDIrY4HDn/SAWhYNfypc5zSmmg//M4Jwdcnf+nH3w1BNj94bu
ItqyDc27cK222BDtcCkOuK+gT+pRRk6JfKyzb77P/UbHDHtYLJpgfoLCD9exnwh4qM9xgrczTfTg
je0ppUQS32+wsCG+F1bH8tZmkeNrq95OyPub339TJWeOVfJFZcUKuwHYa+0YKZdo+YqBAn1zhuC5
sp+G4tXkCCecENmtgCOuho3DPBqVZNdDG68jWaWJfzDqc9DRyVMEhmK1ibRokdBKsVR2BnNt3C83
OZp5pEymSlVYXFT4M8iN3yZ99rtCQOSDta3H9T3zaxBDirVkPr6NGGKZoFm7O5l52xv1yfNdRMc2
flhMkfAcokJhqLMbL7ixdQDTaNXfA+jy8vrsNpLpUAukG1Wg4aSLdcv1+lQW3GwUWIYQLETN+cky
iP3OBCp2czUcsfDzQh7ns79Q+L1a5r4e4VeLmL62rL/Sjm2r2nor5x5BPB/e0aHhktsElQsMbZle
Y/zFHFX5aTO0Y1YyPH7a+q3UfYPGjfAL+oHKAzM0tOmHLNRpObeof6PtE/dA62LAcvTN4nTYX0l3
QMeJHKdaQZK6D6aNaA1v/I4kJjU0HPHCOogDNhnxpXPV3lmPvj3JbVDSQKkkWpTvVfNpluwXu2K+
Yd17Jrg1kjCfsm3qqKOTLK/iiovyzanj7NThjqU+GwdEsec0z6kfOzouFgDDuuju0pyqqyp+nAy8
ukMOOylAf8cfH5ZNccu0yFrJrKfI9IvLCogh8t2u29Ru/2DI+CbG7eYXrCOmoNwZSXCLmYRU+zuW
VvAVtSCP0umNoblAyrKE+Q8FsKBgNXQI/nAMd3CodRxaB0n1WHNe4quCu4zHvrd+drEaztw8PPvU
A1CKdKOdRG3g0Y2J/X0adHDEn3OfllduUwpXwyYNmNDHkK27aaKNG3ozGyzXoLzK4G2VcbeppiD/
hMGuGJZ3ZFK4PL3mbDZxAE3uVSGzUzI3LN9jbFRWPjyW62PFUjfpeXgAbQ5wbdX7BC+gLcY7FuZ7
sdTm3vSGjdGV/lHV3jvzTs8swEF1aOUPt/NqyttRT5KGGMGiC3H/+29xRulB1xthjzFx421dSTal
6MnwYDytsJORpirLg++DvMC9jfe8iAwvIaSf1ru2roYL50peuwFeTdvEQJXGVMLXeufPNoEP1chD
PKGVMxBHZY4y0EgayoTHVe/X0e9M8p/x6L/lfj/+/0pnS6LR/+2fAej/LZ39NHz+139W//H5VfzH
09D9LaN9/Y1/ZrTdPwI6iQhce7RROd61m+jPjLbzBwA42/UdlzIh4bn8nj8z2pb4Q0APgO2JqC9N
gIL/M6Jt/+GAkZfgfm3IeGx+/H8roe1eqUX/K6AtbbC6RKEC0uO2azqB+S+gAn8p5GCOw2ume6+/
r+jnKJ4Gb2agddaEt6ww5vldal8Y99U8GxcOvOmYbJXd1/PeSIOepu4MvsG70Svzu7Lx6kRAp+vy
sfTsDhoNzKyU7qqFUBoTMgD8upsFnuh8cVWkuzQo8G91Ng6Ypixg0WxLrJv4EwEo2JFyyEe+49RY
0EocPdSTH2mEZ4jSCflfXnzcRKtGg4rHcZx/utBp5WvAPYVo2dWdg/bba698swrH9hiy3YamrJLQ
BmdfO/dkzLySWUtxkxNT9y7k01qfEsNY1CeNnpN+SFbSHMOTUh97xTw5qfpkC3zesnmGiUA2DFY9
YrIjlzH57BqxLgfKr/rmV2OoFi9v2pF6YLvbUH22XnvqmbV4gbs7PAZ2S9GXwxEAwJyKdxVToNqp
3NMEN+YuL294AbVQkUSP9LyRgsV2RNJr1RsK12gB2riELPKjkNeccUz6vH41sQWrd6/PeCNSXS6n
o7XAadx2biD0y7wwXJ+VajBmjGPee5FdyJ5i5GCZCUY26czJJcU0g5cmvvKb5Cy6e8MvMnodiCXr
774U6XIbG4iGdyLxU/XpxClo9JpzGiueHIQLZggl1iMyh+TgpF1/ggyO/M5PevGqDSoherhHVawB
0JCzHph4w893ayVK2m1iFcuozhXOLIqv5HDMaIfvH+aBxti9T9c8sQUOGcO2iEsmiiUXAycu4fxq
48a/6bGfK5hgY9M++WM703Rbqnb+nKwu/xAU2ZsF51wcKGQ43Kb76Zec6z81zSrBQSglMGvZDumZ
77OJrQ05c+L8E7W8XwvyhGPtLux3F5lySfclW0HAT+2cP9TUtq64rj2nkGm0gJNsP+I09RS+R8pv
Yc81hCr3cSHd2trPdqPOgY4X56c/48o8Nl1JDp7fnvvoJEXHegbdTurOuqSJG8e3zgAhB43U6pUa
0GC8fEgjoo9uySJvaSScT0iMQrJAc6e+OKxms+JNZO/qrnuGjLUAf2hlfSkf+pggK6HVjomEdXpt
U4qZjl2R4duxDGlEq8/5dVdZgvx81CYCa23CefW6uVmnZj7wYuSTIwGdgybSuaONG524YqmOCV8X
LDDqXFLHjHq7QKtSnm9Sd+0jUeMCMUGlLCd2NML9jte4W180ldykShMLNW7y7BqQUYuRatqBGGsb
buWAFSA75Ou6AyRMgml5NQKOHaSnjiQZ6+mu0HSk8Jr0vRHYk6wonk69tK52RCtWg1KT2QaXv7Qi
xejr5h5LxkBDgWQd4qIhmaaRP/P8FtObTjI3/lZMJlOzV1SEIK0U37WCjta+ZTiwDEKefmk9cOBa
5V2XO0229SRphbDBuOzeSem2xaEdUrc79WM3d2eFgFIhxZhXB8aaXU3qjp3Tj2kwxZLK8P36zrNa
/rxAEYYRcUZMYOk95d1yKFjSSLody9vaM72MbJUEQxaUebOefXOUI2VbPfudn2aSBJ9GLqYeDdXl
Jhv9wrVxojj2rYtzW4bT5LI7GBpnZQKw04FKQmDN6tSSaq2eeLL4xZsXYLwKjUIFxv1g5OwUPVYL
LLgyj5CPqAmFPFeWbodTNsOJQ4au2V9kqP3+WzDgW9wx0zXZqajo3vycKPOZOQkOc3toiWZQXmhL
nX5A8EJVcT2joMmwab0tz/PxFYC9ZpLrcyb0Upbz0dUDJTr2dD8Fzvi+yIS9MQ1VYno0F+isu5ny
I/cltaTt33SZtVJGN7KSMN8HB8vZdkgDBeSsBBMWcYRHAhfEVeDf9CCUhsJUx2kGsXfwi4GJ3VFl
8hobVZWcUsiBXpQ4lVMd1pmQV+TRUfBxZW0np5nSHufWpHY42xJ9NDlO08jYovivKHiczK9Y00nr
X6Lv9Yxuwq16b2lzwAKoFcGhNVlM87vNZ+99zV06Bjdl25c/U6JG7HqkOYOxdC1+M4l2LqMteP+G
EOKiKy9cEDuCLSJi3N2jVK/TvcWfztdXOBio+xQLy2YtJIg1M/HQE3LeIB7M1ByrTdNWTMGrS2t2
ZHLqFM8j1rN857O+hn4mcoQRZQUccFzi4ciXKp5xjfOiolBaXv3rj4HduMveqa8NUpyvjeooIAO6
UeCsIHoJsq6I/yba5UHlPJa3fxmt/pwx/8qS+TuCUlKAwaBk0/9ncnJjP/UvNQA6U/xh/vrTovhd
4bP4/T6HSsO7PfvHi74hgI6t7fcEMAZmwjjw78+5t+9j/9X+K1nob0Si/xOo6DpP/3V+/nO+/n+J
H3LN/+uA+9+r/r/+E5fX5/tfh9vfv+kfwy236j+nWeP3P/+TMeSZf7iWS2eJZwvXY7QEKqn/ZAwF
5r8zsQrH+jv31IPWHFjOFRJO9oIyPuc60v4FnMwdVEGBTAciyIQPeWv3Fm64umJQmJ58OchrWfhi
Ni2uWCGXLBPw2lagInrvWNU88gJeO5ugXdHZC4460ToxcpETNNK9smjLlEfmdrY7e0KfZIhgW5S5
ZcoLczQHC/JuTRUcilGccQpnv+Vn000R2BiJgPD67nygp2ixhnDhGX/V6ojvO9l+QdoeftLmsbYN
xBwUU3MjB5rk4REHJE3N0MU/Sm9ewnzoWMeiJ55jYn9JF/LVmRr0A1xzV1qntLNSqBQQK7BxoXuw
mQdWUvWjvx9LV8dvjvQEppkpsCbxJgajTAB6IILH26Rsrt6zIksTBQZ6BBYRepRlcJZ0cHJhkbAr
bHpUAZspHXlbQOdAWMg8zLmfH5JpZXts+nYe/ELKn8yVZEon1a6E9NFta8OHFRJqJn+Jv3V2Uyyu
E8kCbJQdcTahsZSvwfw/ODqP5ch1LIh+ESNIAHTbcqqS92r1htHu0ZMAHUB+/ZyamG2PZqRiERd5
M08+ESeuvOou08GSIQvIFk7mzeTGyl9vo7DBBLhDPvDNnVdonX+y6Kirx2rMc0wG/Yyz6t2T/jr8
lZ4jrL+L2mHS6lRUYaDVbUHwPQh2a0B8bH0holXJ5Rd63JR/qs40cp96DZeFx56lCpuZrC/z9UtA
zcSjGWrCJm8iGDHfyRBEUHhmwlmpu3FbsYa7bsh192tmu0aXoewj0pWHTFV1oK4Nd0kBGF+sRY7N
KmL3DayiRvTL25yHhpsDsdB7dDM7XSJlk+CrW02L9TBs8FCdVeFXGIISjMAhKwO0K2TqoDPxR8Mp
rO77cZo1VIp5oEVu8gmFt3sZb5kDCJIG0EMnWH/8HBb51YBLYM10295vE6pKf6x8TeXIFx7bBWGi
9jb8V0U5gdSpezWL37Q1ZFBUY13mPxlVk/Qdqz6ZD3yJ+N+e8Nb5y7PHLRLfS1T12EqjhDTZq8IK
ujzR0taLV/jALv6VOwY3miVH2KF/Fmb/bDht06LXHAqmpy3fB6xaFoHX6qRcnx3YZX8lE7eVqtph
/GK6uRE1Z1m3a8LMbcllVLRcqrsUZbfib7+unUPb7mFVgqfrU5+92lA1ij1X6KWXkduF/ZMTl8/H
P7rNZzxqg09K9tQwlVGpjW16w83SWqT2XctpDbLD6RGl+tALrywfsNwxFB1lMPTYytsg1j4z47wl
5m6uWU4Op4ZyxurFBs4CJW9gDSYMm/HICcV+PWrkZ+qY3kF7YJRIplNoAhZmuyYwYNO5Crforlzl
wl7vWGrRMH1g4kr0aRVSU4xt4wyLdzLGnmJL682j81ii1t16SGreRjFCIcvvkHTjlm4EaHsfs1It
upEcmeAW+NJKCREyGhl+nlXrWHOsnQorb0/LGNQZGrmktY88LQUqPliJmYc5Kn21fnhjtsw4z1Qu
echUi/l0GqZoq1jWhZTi1Wyhug+1Ju3K3tbZGTwV70WBs6Rk17O37Twl7wESFw9Yl9QsHaqJd7U+
CVw34q/xhitUdCgLbx7wqcZL2BgQDNrJ//LJx2O+J3FJqG2aRA8Uxmgbzjer5vYwHrQogBXd8Obw
M3G7iAqbQMmjrP5O66L1dxTmDGO7DmwMQI1KQnh9LiapY0anbo24jIq4CoZb0nolO8wWlRU/WmBG
6Z+50nv5Cz2f5H1CBIqmOIYUoXd/tQtzgAQxflreoZGeK+zi/rQOr3wbM6Ds9C5HuPULOyXh10p3
ePwIcabFmz7SSY0MHwch5qMQV+yLqFovvtqqGC4PVA56wwu1bdQNaL9bokMx6QQ6V7Ktpv6Dkd83
HxUuuWsraFg4+TeqSorqdn1iRPerChAvcLoyDbNjB1hHGJbTBs8SnsX4wwxZSHmqn6/pCS5g3133
58gBivNiGMqUPldOjTNHWKAe65jCjeSGl2qW/NwYxhim06HxvV+TkC0kysj2CXo/Fjq41Lt6A9SD
1XjmaMRFZ0TwZ9zYgWDAXjA4sEmljHY3NyAUtl2GdCPPzluCrr5reUHXDzURbvll2oLp/UgwrZPs
fpUydbhTiPMkFGSsnbvDdhasd7JcwvVzXHXt/vR+uXLiJmtrHkS3LtfBVnnbJ5h8TpJjnzgEj40m
PoZg4gDXlCnpBhyAfuxxZpne5eGPMrqaVGFu5OqlqnqVvvHMOxKR0agJ/EKc4fhEaqYuM10Iy5gF
cVzLuS7uPLg03XkQ/OeNn56vH4zq9biweprBXx0CO2m+hmEEla2iC5LHV2CbSQZcyq1dyZQRYu2u
JI+pipt85y1iu0bmSJSxW6S36xiP4zp+5Dm+rWvldNjExGXHIMo/OBbF8BgVNe8dVIU1J2pL7Wxo
g5MivB/dGBbg4e3W970XH3yMXi+b9q+mdG6y9JAUV9CXyDAyfHYe3oCRox4lzOdoW9HajlPYekA8
bL3hGT0sah2K+NTPQtbpnReGsr7tyOzwsBKz4yJ7GEYUuL+lyObpc5jtVDbHLE2ku+POVFe/PYiL
WQUujd4uIhO1YKFHWQUeE2JmskfihK+LE+51qwfJnwIzRlP/l/cQqEkQz8TpvKgDSsOeIuU8OLTt
XIvvgMea510N4zDfTYEZqB9yDScxhlDO9r9IHZ4CXlWgnOJaH+PwEpgFofUQtWsHnRzvYno3j12p
3vHYeubftQ4TD3Al2jSiaARIzEfK3dPcWIf4sBNNveb3Mx8LzV68psdvo0OTPy8bxyhoRdsaWG64
6wLzoK1uhwcU+mS8m2oAiuPghc9ZoCtQOJsK+at0Y7Deb/m42vO2DbQ1VhPz6UMQAfs4+tladXdl
XPX6amqTbQ+2aV5JEbRaiUC/ZMtIY8Nu5iPWj6yVOrDHUxaOuIyIo+MLZG5oayJbmxzD6VX6JUcn
dI5FsbCiMcr8GOYkGJdjQhSyufqZU/bYe0lrVPBXkJ0OoiOe8Sn0d4YkIbjZCWgHld5tG1YUMkd+
KXtwZAFm1D+RE1ANdM1bKLqpqrqq17twxguhr5V3JRaXVi1NGTyA22nW/KZL8Tc/NEURMmok2q8I
FdejMpu5CQIKzsV5CIbFM09qTtbIHCpSQRr7lHbe+lnjout+pVbUcYJnJwliu7fD6kX6iKRaETqZ
A+dbkJmWtzPbz0yGVyZQTh3JwGGK30P+S7dFVfOtTRO13bvNi/33TUGuw78nKzG++mIk6v6qeDMQ
Xg+TNkmBzRcZFByEUTPf9S2jRnOcTW1lcMnGOmUTy4ZTlNHRAkHxNuw6vu+IbyfX+IuR2jUTy4M8
yKezWlcwgJTPsTTaniczspO6JNQbhPo1NYpk8MkuMImGM4lTis2QYDCp77wG9nxybr2wJ93Wdkt8
pjwngNI7SsKZcJVCAv241TK3FifqRob6s9jEIH8GDkqivCL1WpDhsY7Io8/i2jcMc2cagmunZ2nc
B8S5VvjYScO8LU+4uCfoMpS21Elx6HSxYNO1yPUSAUH3axrRNVEPrE7pL+CzZa3cY6LBjJi0kth1
lVg/8e4Tu6kWqPjYNRAeIed3wEratBslYLlKeaByNny3Uw6IbiDNMgQZQsktvz+fDnb1tcw31C0I
UgesotiXb6gxp/wSZSJssXgxq4HpuW8zlwJ9AyswDt81CAV8IbuFRLfhN19qsrbh3UpAzZ4z1TfR
z4GBdqTIJpsJXzvh4xdEJUqxF/6ASlWGxXsFvYrJ0B/meHmZ1lmjkvd9rKbmqeR7S9wna0TjxZd+
XOs4OtK34Yf+waUyi9rbJeB9csrTsqScsKBVx75EceO7Y2JyxvxdQXFfjNbiMSKYXcrr3eGWihXx
ah0FWwxgJit0558CFr9UnCDVUeP9lg6zZkLIxhDX4Lkf5zYgAxkwbrDwzitP/DZTEyFTDW6NftUd
Lyef9W84qluzkcorcfW4pXhuk7DArK5Fk35wI644HqostOaRj6Ufv4ekT+WtSSnLq1jLsLbnZZ0X
LoQrXhHxve1Dn5KW0naZk/+8MMoY62GlFXivIf03L2a6/t99bIThI77Ti+BjeR2cCvBWmaipRhY3
2GdF+1DEGaZu2v0SU0KbNyVBxywd1No/bHqKvf/0DDkS44qlT1pFG1Hn3QDjYfNvLKjT/gVPcgo2
lPSUb+xhxnMvo70GNkMmZFxwjtzhbJUGzA395U9yGJf5y4QxXEsO1JGucuBMGSUIZdXIzpG2WLC2
nTJPsDjuBXCnexAUw/ywsemCHCsSn3818zjE/rnD0EkHgtAt4/TmSbmUmIVKbf72YeqGh5QJCliR
sqMPq6/jLUdrcJWQJ9ulboXJUFsOi/5R1rMXfvN4+iy40wwm8y5as67ezdPiTHMUJulguuUMqhjC
8hWk323M62uZjo6tNLW/TdaBcWB/0PUFGzSOPf9cVhaZdy/zJNC/C7Y848l507g8oidg1if0kTB4
cwViMtpH/hCM7n4AQ0LWONMyb8Onis17Z96tQGGAGjy2g6mfOOJznyInChSiDvtNEMY+btgBYMZJ
VGmBh26YqbFswRH0K8DRq+NhKdLdSlNFM+5d1M4rrBN/dhJL57rFImURMdM/hBlglnD0WVuBOkRn
ELlf7fmdEGGovGTt8hcOByjoj077no4JYuYV1OSndDUmqx5KZGCkG+5go7z3eAhEtisL17bJwYXu
SurERoocVDZp7/2Fm5fw+ppF34CHq1qA+j28adB6TliZA2qdfeWavRv6hQhxiN0ZHHprlL2zJO/s
tzcEGx5g5bVHD74YtutuyMR8YxZkqycxx0UL3G6kqGaHFpH634YgyPgd+it2AKe9siNFG6i63vYs
h7W196bHif9KEjGeLiMTz4CLw9t0+jwyJk7fyWRW2hdM7kLI1l7DNAvKpfHcDLrY02Fx3uYI/squ
F5GH0j7osOe+1wcTl1bLFcZ3h7pgRSVvWaH2vBnHWFRgIWAhU/Mxi0xdnOkbc4vnPhSoSdsE5PEG
9SA2DeY8CljNc7R6S/xWUYs2fxCPhf1D6izOzHc4906tvMLZXKt9yEsSgGlNtfjMroGv34lrISl9
3qkuskg4UzDl7zWmV2J1TumBipRx4BWHvaHy2QDednSfLCdi6igfO39TFYSSFl1DEPSy4ELwrKTX
oTGnyqEl7q0D2icpWRe1/V1wXY8IjvSBHwcHGXgJpBQ5cLpUlzBF2M+Oy2KbvmP415TQ7xu/y2y/
JxCXeNvRGzDtXrKYtSg88gSVHyyHIVQCOKwvpukrqitJNsa6qtCUH+mYl1C/QR76bZOYSYd+0Qz5
DwkdHmF7PyGue/nPOQAaCkqcbWSz/cJTz8bicw44d2h0y2SNxzTlELi+5LytktMpypyFzB9FPrQY
j+xTsGMp2lm8TYTFnzIAyU1wY/JwGT9ZT8t13PdNw3mCJ1C36hbxdF4flRfRzeoRXvs/RYQ+mEEs
Yfsz4Suy3fQbv3gL59I2YjvMLQI81IWmGPDJJ0Au31JZK+8b18py5duizA53VWebZT56S7uph6hP
oESfBGG/BZNYGTMrFr2c6cniIU2mHzS1sBvZSdub/rVMvKz5N2btOn7jU0nr96a6NiR3Q19dSzAi
Fo/vlV+OUKRsylroPWmnsIHRhnnNfDGfUB5Glihvh8uUClV3t2xDYjUe2Y/EV+xLkPDgYgblxwY3
vIigm3e4zwyAoHejF1CuZ961opI3JtQpp/IWBlGv3mlILzoGcHz486811LyET5XdivSLc6drCiKz
k6zvjB9WSXniaAvK/+LKBflLg03AoW5KIqZh2qftS05dnZoIdxOA/LU6H3Rkasq8ui5BuxJSUFTX
+OEPIxdjftgCpoaSJKKyWi0PcsmS9icsOsSqY8DNUd53C/8ealCMoHqDvhromK3zkhBu67DQkabC
rN5ACM02A4d7UaYy5cnHGgur7PqcpY/Gz8rmNug1osoOgcpOwZGqr7j9mMeFiwCYWJsBqE7ycHJP
E7aI9r1PwEk80IwU5O2R7ms9Pdp5KuGXNd6SZOmJPx1LqTlZaj3f2JzBJD4u0KhIfQ+saokW04k2
SwQmVgfJ7TQBGjxVXOyGr5AKleY+a5Jpbo4yahC+iJwHWMPeeBS67LddlmsdFDIg/QA7Z21Z5Scu
V6MPfCz3IUwRXyPOsm+aXBHUafoJm1/u6i69SYs2hy5cdDCauCuJsimeVqpYCBT1eCeABNcGMQiU
QLCYG23nPrlsk+i2H/044rvZs7Bd14e06iLuE/Rdstf1GubVS0KbwUouR7s5wDwWIg98c0zGLBqp
4hlCdXQuwcm5K2MZd7eK29wEawLM4/o3MMWIixRbMbtKIBEzIJlTBMDPt/s5yvHdMC10IVFKlEk7
gK/duFHgU9XtbNqbJJIUPTFbB5ujjcvYoVtuQpeK3OxZe/Yq20ej67aKeoXFBNtzyN8b2g4poFAG
36VZMjwnO8fS19ewqXO8eyB2iG7k9a9ahuoV33QVkgCdIr/Wl7TaoqFlo6/GyXsuYzD69Sux3XFQ
dzxmDOmXxkmBXYRvgU2XO9IPGuPAXjJhSEEOKRqGLb9fKgdMBQ4ygE1vw6UAj6PGcIoQCFWzd+zx
IWmuedSI/boIQeLAuD6FL6z8INDRD14H2kOtw3zDhRmVvF3S7Tazm4Dr7tdlXaNbJYTLcUeHQNxA
IjB5XZOitg+RW1FG4JveXzf4cfFQ2TQteJ0ubooMdkWLC/DH0OENJVshE43jQwP+l9WhqxIKjyiK
iomRHv0CQfc/lrYtW+giy6+4l7VNMCTOZVIAPh6WsYdMFC1edXWNUDtFWDHzeswp7KDjEIg+Dv3t
bhn02OY3+TJE44MStlGg27LF4ZMX5VXIuF0pWBM38SYZnaAQ2owTMLfYLLnjx+oaNoN+XLE24MMA
IIbdmmQP+5UNyioFWkgrOK2Yfs0UXlzcNWStQAfTwXHMPbPyXeZqWizLfY0busOrimLMNyO3rGKq
3ZAPI7e9rMgSqjLmsE2992yYQvEq04yGUo7uIoczjt/IxjuhWkhcDxt9s1Aas6utAohICTa83kNl
1+0fzzVj9JUvGZP0qYpMDzeK9RDvO2KgFq/0uEYBHkwTjZE1B4RFJxxC+erRf2zhd3UXvTYEaDl8
ahPyL3hJBOMjEeUNZ2Q0ybH+ChEpe33Tbj66974rchXB8+qDtH7VRSMlnXP9sIT/NkxLvTtcuz2Z
5IvM0Bp424K73N7dzIAqb8A/V5BxFkVlQ7vNkCpB1GCESM6LXJzfHyFbrOUbkdthhs/RDk22n2cS
yPlRLR6uh9t4KvD1/JnqlvPihz+3hRW3Y3H1bT9grdND9hpMdBBv667jkPLrnzA19dA/w8+aFvsg
8pXZ53lKdSDqpyhnBEIvd9OApJcUsDj7C1rKtUkbv3kIUwBr7DBVR0Jctb/dNzysQ/aMVWUY539e
YBDMT0uEiJwdQ6e6/sANDEvCxvisH1ap6jAHciS4v2JCLMrqg9dhMN9zS0Ao28+u83rN29OGqnjz
B4Qm9UHNDJZ8orp67ifQhqKj6cIZoUL8Ah0bMeqX2Ctmt6YahgmWS2PnIh8+4JJ6QXc3sOhJCfJU
km/9PbphBeVDRqMHMGwqgoQcn1bz5u7gAiYbqd12KD9yVgNsFHITbWlz7jhzCOIBwtdCvXrcQ3R4
tyRDL3ExtGFmuuWu8bD9oMMgL90GV293+DDT7Ne/bca4skUTH6U8JxX+GSD0Io/KZzmbkqxRwDtT
yHMh6gb4NBZrbHN1hOdmv5A5MvbNeJsR32wfhub3OmBwKfG/x+XwYTEhl6xB00qVy7URS9VXVARY
n0UsB1B3JlOvKF949X/yFK6u/AebjSTzJ6ZKseBmbNiZ0FF/gKWisR/uahXN3XaJvZAw4oHeJKL6
L0jGEC+ITi+8DYdtn88Vvv3zFKkptu8FRpARG3GCCs7KIw0ax+nJaUVNTXq0E+WEREZhGtQ5u1at
FesvpfnYhidfK/pcyQRGvrs0bdLizIorWTbspJGVensKEL3L9DnIgyAjXViE4Vw2ZH2IQkK0kNMc
AeHdKcI4QH25Z2DbEfs4ywKJ/a8oNjTCm3KjMCohM1JLIIMCTk4jTi1JorL5V3Kkzas+eLOaKnOf
ws9wwJv5b1Ia0WNkrCEK8V5VB+mHBZDeY8HDHUTPEdvarH9l7vCm+MyWXkTZh+6pUH5BJVV6eS7m
2NIWpqZFXiskO6pfCVRR8eYnqIdhWhJmv823iEFvX2Dtg0KGHo+Wk9CXpOZXUFVpHD9wHdgqc5aR
SV3Hd7mJguouQCu0yZ/Bx3C5vhceEAH5WDA6qxT0Tc3bPTnHixi96gT92W/XY9FWIQQTwFiF1x6o
cSryfudzoMb/7JrQ4rPjnRlDy8W8U3jikSIdjwkyZgPvfmVVnqEhbJZ4/oOdiYvUB3abY3kZpwWw
ADxVlNydaSEq+48A0VdcBWDFy02eQQ1EfBljjrpBHmjcqDlYMhv2sBjbaCgMT6YnQcGFQe0aQI+R
X23dvkew5+5fdIH2fzF5l3l58bGhQSzNMSvk/RmjsNb1bYH3XpkT+kOn4X4GPPWs2hxx+OcALN8A
ahCfTmVZZEddc1UngYjU9i0EvQ5UnoPHW5+YcRAxfTaUS3Or0xTS5Cljqk7kvi+C2oMUs2B2tT8L
uxay+xbECGmNHMIVvioCKxc0XjEl6N5l+xKkyBOImSz/dGT3YRuU/sTOUdHzd2QCT4KFADIdRPRT
DWHUez/lglHAfRB+p6yAkXWM5tjwGkuKdr2UPnur7DBZzeFyGJa88z/5tVh/HezCYiV9WvOR924O
VqBqG/fHiLSb4+SMhXrooE6hR6PsHrnGRBIAjiMU43HhoT5vGMTfJmZbVH9QKllilKjjVud3XTil
xHIESU0KWleZJOFNkC0pG2Hsm75Y300wpyNkpC6m1wvt/hpl2lYGQ1o70pgN9QPfIV/I1yFucJWf
oZZiL5hXz5/T2xR2RR1/8kKu6nwfNxGi0r71g9SC4BI5u6cbtk7sRy5jlNRC7OFM5QsXhGpa44PM
R9GfOvqudI3gU9v0Hp+foOtOu4xbKkcidK2OPiVy/bewVjL2umpl42H21rScxNmyxckXBWUbXSwt
0PvgMYN5fG0/gFs0vvnUTuvys3I0pl93gkgP7OjYPjywtPe9EI53NHIJZJpM3dkTc6KvUJURtCvq
QgJF58Tdo1peFaHGONldq7UYyEK+nyIBT72pzL8E+I5FT04ecuW8g/IRu1/UgLg0PtZc/g1qf5oX
eB5lNvZnueFbIIg2ZpBQDFm0hTYQvXcIvckLNm6kp10IEqOr7gy7h2Y42zythf9I5C3MFnDIDacm
rGiSrN7yIqXQyfyIHB0M8lgLhG1NmLdCwDhT2M7TBaeEw5M7VRT74dNCi0/o72lFHYnjENmPgveW
Yi1C8CRiqSe5TRupYrpWs2gLWtT7lgvjozf2On80azL413TamuOCgv7G3qz7iQOiqfx7Nq7kDnYR
ZHafCQ9bvQcmKayXOrkPWj9enkAP1XL9yfLiamMoJACxYH81YPr5d9lIqk72C0pU/QbELk84W7AR
eTPALqL/KUgE0EwfFSYkLK+CW4YTN2PLcH9bYR0ffwGPruTvuRnM+tcM8dBcIkdHTXPnTd7gKagj
gczVqak9xVup8Mu0Blfg+aZ885mcuQxrKJT1JzveaLxn7+aNF76V+fizYI1cf8Zz6mAuE2IP+5ps
k6rlw5p3iqKfgEoofKmlxax10BwX41F3FJI9FttApgxXu0yrHyoA1tDvyMJrenHVFGEOa0w007BQ
T3q9R7GibGoxDQrdrgzULL/pBYkUlcOz9V3KitxZ5d3ESevYnFTOzG7fCY5PfqgjqHH0JlqS/i2l
g9tXtdR5lje1EvGK733K2uZU+NwnuElZXGgfHohrZskS0ZrRWnULt+Zq1cKfD3k6q+quHGKi4pjB
i4QFh6rUmwclfR1ucpRQULTU00n5yjW6tMmxcMtAJUY2Yuj+aFxUy1f6OLbgzMpXJU9pqDyIGH3u
pfqXIonGrD5DKKipml1hdPZ7tYHaIaNEfvQ5XUoCZ3u2AhZTKw3wVJfB3UlD4GR6wYPO2sGTyU3r
XVeAW9CJ8sdWIiX9QVJGndynLJkw0PtkP9VdzRYsnY95VQ7tLSVnQ3rq4K+t90XSDekLs4RqAzar
AWaHfanAKx8LDxt6ddFsO4r/nIewlRAd3nTxr/Cyrbzp2cd1jtxep+VybQ9Yw7feLZUlNLhsTlP0
oVFEWQ/UJDiqfClGLvpJ7l2vCGz9bopMpDADkerbZtmrudREF3RZtvKg6nGaUbdjPHAXZrq6e6hQ
k7f3ZGkQikfGHmrnMAuOK04W4K7dnp0m2+t9unBJ/8E72+Svrt+kmG5blZllueGnIAKix4zTI06X
FfQhmxkm1euwA0o3X5vpvoaJAYFiDSY+DhSTCVYJL9hV/ckLVt0xbQVJVP+28Fj1M9OLx3Nlm6Kv
X/yM8Lzbj9ch9o5bWmnHowciG3MQtvGm+9fHmV1+NoKh+sBtjCf4pCTNwD2n4CBaRG7aMPhfC1m0
Xbf2bYgJMKLq82OS8LtOHu/sicICAsJXyEU5lN4O7phDYFUuqxoyzAw9lrzs4Bn1RP7Cb4dD6bhW
AvDFQVXf5YOiNntEmr4Ntr4EDRXXVRiZe+Rzz39OPcNSszW+AFzGjtSzAN02lX6MSdZlxZ4PekQn
YnubkpguwcSsL5bg8opVy0iUuF0gXD6nIJgDNNCJwQmuxsrgoC994aUlhum+5zjfTcAOGsv/FAAU
+ul8cz1IkqFMaGGtB1teQrRu6U4sbgCSHXlf893E99Rwau820hbUuYIGl9zfV2mbp4KTDBIyS8n4
t+07DvMd89ewPCOJGv9vtvGHonsNI8NEiW6E0UAceZ/Y9GRYuFeg6FgW1lS9TM14m+VYVn9aILr5
/UB30HgMBkFzAx3lbKp3Of3pEb5t0afYnCQa0NzT79oq71HRzCYLdhNb2j2knl8wgdatROM6zQYc
zlcQofrEu2IyEhhgB6CPbf86ohqSw4rVLw+RYHoRI0WHjtuMKqkL32yVfjjA+NOlrxMubQBXknm7
MA+5nkhsXTdreO5lKKZ3IVg1HT2PPHeyM84W8SuSN+6KHdC3imhl1YRie3AcoNl71ma1+cgJsg6X
hoovB9thIEx8nq6HPu7aJQL2fZK+EnV7aJNsXLIjDyRE92myPpCYDrYJo5gRsvvyU3ajb4Up4K2n
wsv5Gq28rCuYHAFaALtaM85n7AQJ03ahcQiFeRQMb3FR+XBlpd8gNJO2KrX6clefwrEby7i5MLX6
5YXukJyqxKTuaz8/885sOYb0Nrbxw1D2HisXQ8ifJl7fz83vQF5dJnuD6Dseqy4U86lbBZXHO0uM
Xhf7hpcuzykOVZ1dH8NoISDmrouyZqfFKtYH7Eb5fCLqxdPFbb8Z7pJCjuZrFK1fPPJ+69ZzaEHL
PtJy1dWPoh0j8UVxhpG/MhY623NVJ/F0B7dCVw/QtXL5m7YF65+XiLjz++Lpvrjej0P1ZefORr/5
Dvf8UisEdjAhOUZW4hGVSUjm+9GITrgz1i3Rf1xEI45wIRAiZirv6p88NbxAdhGzfE5xu21ae7z6
f4HO4GOpFtbOJEreeZUUsBTKrKaoHdVlJctiUVfLd7LXdfqycTJW72ssKw3mQcZV7NNfDufnn7NE
eL85+uv5LSNxsdLRwA0MvMESXHGeoR2bcNlXxWb964HhSUhZXdX3F4HjzfwpIeASFYwiYNMhzsC6
xktltxZKyUn2zhueMXWkSbePlLM0OnmYoperAdwT7hEeiMMC0TNmQY8MFXPU55oUU/A0mStpQjfi
K1pN2X/Az+NiiCFL9AkkYk+ErJG0pMoVAyYbgfbQsW77UcfZCvC3b4Kt+YeE3G1/oiKO2FECTDLX
4L/nn0puqtGhI4Ltfuk5s9A6YYL5k57eWA878WPwVjc9zTZ6prkgcbdBPA9tB9Qiy/+7XnLsqZ7w
DhygSGPK3WMRNjY6gJBhK7XCV0hu8iDsAoCA9UCzZpwa+HthyxL7r+m3BLRr1mBx5VoUQStVu2jY
1uyS+kvfhXwL2yuBc5Lh+Nb7ucfcjsK9jQdAR3NyYa2YRE8RFvPtG8zeuqLR+GDvIWMC14awl0I4
6J6J1IS2YZLFN5zviNvht8ELadqvPOiWTz0nEjhLGhUP5NgSjDX5Atj2caTDhA7SQATeiGSqxqp4
H8q1JBtT8Z3OMjzCOnPPxrTxXJz8hWt1eIcFOtMa3mKVtq+qcxbz7KImZO9DNnhIMwfbYfMEU2W3
zf7pR9alezHG1TMW2JIRuWPoS5rhL18ITYt5UEX0ixUSdeZqt8r96GyHPFTbDdy3rP2brGBEP2Iv
8kHkAL9dGFsVdcop+9o6wCfcz4u5oMzP/feoHJ6yA2I+vrSTRG4bn9n2uij6nBkhU/91xH479/cY
E4NBn7SP22481WUAKvnIEdXLzwXUKTDITNI58i+2NN7CACxLditMOCgqV7NBXxFTsCVlPlgYBTTK
85RP3GluA5HQMvyimg0Zbh/g9GgegoBs3ROG93TjBOzCxX9eeiw0dxXza7mdedjxQ9HXXEck6Kmt
6g3NopPpx+YJW2wk/vOU5J9c/0WJL5Y+y7gqHpqVoR3sEHb3hS75KB0mOhOmJu2e06GqpmsDTWqL
R9ZloAgnhWtBH5PaJ+yxI0ggoXWvxkkEs2VmQ0GRbgtNrsNE5n0GrL64srEc8H8ltUOH+aYiLMzW
i4j4nnmv66ywpl1Rqu4hmrFEjx8LcYck/VwoSYtw/jcspvq9AL/wP87OazduZFvDT0SgGKpI3naS
1JKVZdm+IcaSzJwzn/589M2x2I1uaAOzgdkzGFdXscIKfwDyXxkEshtomF77ME1eGrWgtnvamZtw
1BpvugLDVIb1ta2NTfzh9rFIhl2ph0WzRW7f9FgksOAWdZGMvM68H0vZN4iwCg1RYle2OhKaQWxO
xXdy5EZDTrupArV3phL41cbSRjd9L2gioh5TDYMoEQKKK/tHaIfZ9ATRCr+KtWwQDi//C3N864qd
dCItneCn+Fpx21NxSG5NMzDDTWnJ2ZojEiJ9rTGfkD8BK3jFTaIV7vBR9zzsV3pq57hL8RyEwQ3K
2kX2Fjq8bpggSuX392WfVBwFpNM9NLb81vczbVNViZ8ylGME4p3X0zMRmMefN8NNsc8F8xCYQ6C2
iPBKm9JdmbqqH6wLUdYx6NouR08mfYKqEQXpLkq6MviBEFLn5quclkEU3Iy4iPQvlqMsVJeE40IS
iLGVUvlGQVaISwzsgVA1bziJohG1GtvIRz9iQA/K/GNklRL2xo0KaQY3XEge1wqgnGZcU1GpIrkW
WUOn8U1EiEG7mxJe9LsZFvSMsWjhngX+SanqYcrLVmTcsQMAMiRkkbCEXVlrcV9fNGCKk59JgeMh
QnUhyJvipjQorZkgUIgjUKAk3S1vo8o06+iiDxIXsEPtzraMl3Tok1F7GfQhfnEiVNYfK93C3UPr
G3IxQveo75D1tAIq+eUD6mSUUTZgXmi/o0lLCxQGgFmmuCpgblJxpVmFUv4ftwgUtIOe/NLyb2hn
JTgWIlsszW9Wkmh1ex3ofWeYV8GgbPDKphimB0pYHhYhhptov4VbyvC3Q0HRu3HSTJ9n0Spezc5i
RX9qXRUaaB5SzINkEpAHorQYGAZWJrpqteGXlIUpEaaxesX9iiISR75S+lhcN0495SMqjG7eYR0P
YCveEHHzoCC4wy1qXPb09NtXK6RQBDpu6gQCQlYDgRbOL8oh4rIO0FTkOfepfN3JrMjtb2MxJfqz
riPG9RBHgF70Na0HsmlyJHpi+CGziaDIuPQy0O4KrNA0VzPlLMV2ZxjwyJwSuS2wIUEIbyi1Rv+Z
Qi9uvuUVm3eLaIIxvHBP5KDdDFhX2gvq5axw3oKnmmk/UGr3QNcaxEZHjWLO3RgYbV9sB+gI6tdg
WSMuKZ3Uqf3caC2wYFRZxkIPQflU1FFzvEiHoi3XaOK54UessoJLNShGa6KcQ+6NJqqD3ky9IVDA
TdWypVYTMkp+NwZSQR2CHmILOM1Fh+ao3Jb2QD5s0cGR+CfpXSiCbwB/A9RUKWegVGU0ucNhpqzl
TkjtA7y0mosogbcSrZNuBBdB/1JRZ+032DV5FewUYjbmqiBZRc+ICjj+3pjPrbgrrZKi4b7109SP
Fd0GKzIClH+aEVb9FDaBAj6GEeNAc93BEQnHwlHTJyf6EVrItrnXo4ApWF8DZnBA4BA4OUF/Gaba
nAi27WA4M6WXxoa3za1hAoyGyBe6pdRIozi+GKkW6b9FXKdFisIPJffvIg/oMG9cF1gtgRyR0XCJ
foHZPjmcaKxJgzytPwoDtF+ymuRg+M9VgMkDLhFTGAPE5d2xA7EWUTINaiXQN5s2XVcPAL/tmfyM
ZvpQYL/Ic1thW42nYdTg8lH59lZAbuUdcHzf8VGWkFVO5GdUg9c/ozzckvhYZWI9Cw/UIGL3rGd6
FZJ46cHaVznOz34PX3xYo9dZcwKCdHAba5VmGNnX2ykOQzq4mYfV/WUxGh61Z6r/VXr3l3F/I6uJ
P35uXoU56LM8K68pVeb2eIkslKn/jmtAszuFCVL4iiyfBOddAk4d7Sdv9PTgsinbLH/1U1rPf1JT
Smt8ouEFOvbKsIKQHnngRz4lYJTuxxm0ouFU32/bKkEsbltVJr5KuNciP7FyQ022yaNnBwhxvQ96
2cfRlVklDtx9gMiGlq6alGobwKNMl0N/UTkq0eiH0Vz33/OqTYY99Wh7yl7DdDSR64kblzLPIyvq
TWIboXNOkXkokGMavjW97bZ732+hbBCMlmhcPmiUXYx9awlb/Ie4vi/MG0rBmXnj9qAZ8Do04Ius
sU1pxKWF/Gpx4ckpN174/j09bkNWWvULVfTeDFcaeGgwu4lXW+hugzOs7b9eFybUeqfNa3EFIhhV
z5XQ3MncDs4EaQAOe95chC2GpwCrR8eYLY/j1EHCtYH/saV35lI56tqKxmVNk9twdkWr0P6joEFY
NVyBtlU5KuXc43zoIYVLCYNIp4OavCUJpXsUxki3XfiD5DTaz0ozo+S2mPQiIbnydQ2YiJ6Haflk
StQ6eVShemZUrqKpKvk/ziBnLXdQJW63r+ns6nI31rGY3EvqG44cN8rL8bSmQZB7WPZN0EsQzStb
8PMWgTHnDc5CAPkJ5g/OtaJtovFnZbhN/iNEPdx1V8hW0tSj2e9bSX4XgDSxb0h8bVSVehCHOIrF
JTWrj0hZZjusOuR0fZqlcNDBUKVSDrDps0QH34hXmhvlyLloic6ZqURtexduUmN3ciFDyJQXkYhG
zQVWpIIGPkuPFWxzI4nlJKa6NncvgUGMLMMupbHgu9dOqemE76oCJ3AZYdCBQDwyys3QvOVAXrLh
Oahso6q3Ysg19D7MzMhgV3CDeIG8TU20ILxNkXcQcm69iaANIcnC8bx133OmdKDrNCu6tQz61MdX
punTacDiIM6M/g8mW8TM30KafQ1bqSlCTRtXcdsT6u/UjKIhuLa8mp6TNwqr3Yx95+N2e09EblbI
7scaqaj5Xa8xC2D4BHJmdA0NKEP/Cn5QjfcWVjFeMF73sLGjcM3Gw/QFgXiP32Sk6NJUVwUs5RBP
dErUGkq2VdWakCYrWU4pghdgfhGZH50CrCgvIUi1e+CQlAhe/AnNjR4lPaSYVTvM0AoP2aoVAPLI
KR4H0mpztqyMjY408a9ObgcD1zQC25fwCpKGkGebKBDWf6KeTtLkTJdkopqJtOCq7lFf+c8GwW43
61q2mfXL7YT07WuMelpK/xOy5ZQc7Ioc8jo0hhR5XF32NBojDbsFbduYwtCyHehUpyrUOqLiGWRI
sVGIL+bYLUScFLffqe0KPKEAtEYCQ3aBHG0VriPFuf2tt6bX6XfaqHMHYTsV0Uf8MMK4bD6qqgrC
JHw6LZJgQL//R80JIQrLojPoGELpQqCdN//7f6jxXYtLX8lNhmxb1ZJpIOukI3OBezSk7p+pJcxg
bvtNcE9QBLTTZLrFRQR9xiuvz6Bm7uo8mxCPLnpsq6ZHRJhdPbyh1+EKtGFpiIbBJSA8FCvCUELd
38Ar9TTtFsAp6LVZBDWEAPy9ridwqWcUIJAm+DQ3ZRskJJZrKDCv/FLr89xIfaOiT0X1AQtLuU+0
65BJo4XDKrwoF/L7qg6I953V6TWd/9j/F8hSZHwmHWnToF9G1OA4C7WBIbN8KYos/kCJYxi+wcTU
YY1ndmLh4nl6qKWwgbIp/rgITgoD+puwFzPsBw3wduQj4W5kZvUa98B+V7EbtO03hLZa78yCHhsO
iU7Bd9JNQ1rzgv+zWfhiOWQsRQlptPr+wWsqOqo5msxXceZn3pnJ2ct1ROYKSgAhrqMkFIXFOiLf
5Hh9UFXvUkkHX5ogJTxDORFDbQ+X2rJqDIrhNTnaf41fkdmtTy+uvjwbyhUOPXLdtaTD3+qzwsg/
0x1487UItaV3yknS/lGTjyRbtJyqUlvTbIlwr26wtUx+GHQ2KAyUXhgn36h2WwZd+njEg+bl9E86
XBLDcPjvgTJK+CLLD0CYl5ZxbXfvdtAKEAp27YOdvkk73cK0KkDTXZarXHSpr+1EBrr+x+nxD7a2
y3LYlmmhNecYllh+kgBSdJpmzTuSnLH+NPGy9++jTWNPP7P4R2ZqU/V1Defvp5eLtY+jmkiqiJL3
1DUzB8qp51DCXIu5YNtvyLriXzP9gDJDZUHa2Z2e58HNwScXJjud1rXNiV7MsyfHIQAe1Zsvqfpe
EBb40EtFavn2HS93jEdNNljT2+lRD+dscQUKUEEwjBQX8uf9NuObdBmO7ltmevD2L7IsVe7jzA92
qHYGuQsU2SpFUg4rMaBE8fUDB3eEa9ISSKToanlfDgB+MBCt/PeiHt0BXa+wDW0IAaEOf2KgFWSL
C3+S2G+HNklYtTk9/cPNZSnD1qmnKJ5+sZy+XTswpZwhfI9gKmUrC4RZsAs7uGpn9tbBNeZKXijL
tXWbAI/X4fM6jxaqUpinqDeN44PRihsi/VqFA03DDERQeXF6XseGs5SydBP83PzYfh4ODTkoVuFk
vkVJOgwk1SQbMQrn9dQhkyJikEKnBzzcR1JxZdmSV91xgF98HlD2aJkPel68gZQL1SvhkBVhLU6Y
WiIIgfwqlP4gLMx9YsdChPvTox+eHenMb4RhwiujWrk4O77CJTdtxPgW91YXI6HaW+5Hmxu6cHGz
htdxTUmrGuszu+fIKnMjSeZtKZOPu5i0SEmjkITq31wyiRx7GeDwHzCx/2qK46x0Zg8dzlLp3As8
9LRUTHc5SxJ/XKTSUn8bHTdEog0BIplf+UTY6kecGnF+ATFrqoszn/ZwlkrnQQS3zU2BNsNiluDJ
qHCb9fRmh2Pl7/CzMYBEy6Ax6L04aBl/9Vty+UnbBNbiMKw+H9l/XsBa00EwDFPzRs4mSswEptjy
N5phhqRwUEM6dG7wGQWicWbgwy2sgDAJqF6EpsQBiyPqUcYJpqmCMz5FrlvvKoh9WIqGqD3IbUcf
BmJyQlgcvw+Cf3bmxB7eREryR+g2x1XXreXo/kg/wAvr+D2CG45uvohTKuFeREJ5f3qBj8QYiJ8z
BsGijTzrMsboBhJ1qy69N6TTkbm50JBCrO7CSncRF3Iz36rlNx9UNzTfNMoD+7W0J9GQn1VSyA11
UJykz2zt5drbkIXme2OOu4idl3vMoG2Xxppp/S5DhOBvbXDxwB2SIhm9aONNfoXkJZD92ok2aYF/
ofziSbYlErfCUfylm7p9sOmiejAbKvS/RzemmoFNfFSOvzGwiPv7WlKnvPviN7C5l5WQkIqQCuNY
LTYbeFqJP1yOwQ6a9290xKuLtA9RdKzRsfsl6Bv+AfaKHg+ik+O1Dy5I4jzhBucmPj8E/yQOBtq6
xHYsOUQqk6d4cdrasUuToFPjK0YP3W01CfsBZrzxCx9b/QYQj/Gt1ELvuiBXPhPXLa6VeWTAEoCs
XZeFQKzk8zn3SxQ0XcBZr+k0q03oOR6eCkTFxkHtIT9zthdXJ4PRinUs7hTBupvOYrnNSkx6O3rV
zwzMawG7Dd1QWOMVvNvCWVGMwlBDBxKb/j79nRenmqVFYI6FhfAhXEl69nmSUDzZye4Y/+xzhE03
fYnI+x9UdsT0fnqg5aH+G6ATVxAp25DizFkz799rs8oqfJlHy/9JLgiaBh9EuGEvsSos+7uBkvpI
hbDy7OjB8BGVQv3b4Y3cAatp7JsWRTG9eDz9ixDP+7yzlEFGSmeX+4x4enmkkafgGauxXQGob48U
26sOGbew1oLk0XLTIdevLGj6E8a6VNCdpxgDErhTvTM1/sPpn3Kw1RTNJPBlCBSQW8GO+7w2ViSc
Tg45sBIzB5Kg0Ed7NTUl35BTKm5Pj7XcaQ45KuZcwgbELHmAF5FXgIaXXc5iuoMO5mZdzqgh1LHq
au3QQwEi22mgdU+PaZqLtWZQThE5HptNcZwWZ8noBReIYaWvYIhK7xoJyqqjKuWgfzGs2eMpqOd0
dIS49knfKexOVYaSATIWFi1KX0Mbk1/a5ZG5brTBwcm9rwNaHCDmSu0nmoSezNctvkLtc9gaoLt2
QG41+70HBTPIDW8kd9w3G+0+LM0q1AxpdqNDrKHSRYDtNv9Bo6Z9COgHdCjWvIT9KGqNlSk6Z9OD
qveDXwCxDQyDu7CVUNoqiOJlSQVfeX1y5jIwlqeSENElkEFR1eVIyuXVA3nIAxZfmt9HU2i6uIc8
UDcWwjF5W5n3fZgK8Izgb0pzb7dNDmm4xGWmxebFyJqfFMgcltUoy6ibecwD8Kx9EVMELW4MbcSZ
5AkTBBHglQItThsvbLK+cQ8mM62yNZ9x6m+FambwvY7iev8qrNqoN15nlmNLet2iF+efmfLB9cDd
N+unz7U32zwsbHgxAroAPuQLTaTBdi4KtzGcaUV1LTQpJrZASC45ytgLrJIBcqv5ECEZ3msXZYtD
XwklFGysd3l63x6cFUJmoWybqoLt2s4y5nE5EfVQuuqlAoEYi3XWxEW+B/3fYRJKxN7kQDZo3X0t
WyC8YgF4cnVBOYmoY3FadIc+koGgw6PIja6+ApLK+7RCDQQTiE2bDU1w3WWubnbXp6e7uIa4gYRu
UEwhxCNJMpbTtSpbTrXZFogTwLmBUwJ8BXRdgtU0SLzd/zAY82R+DGwuk4Uk0LHRVmHxRI8bfBTN
FxBkRRJY/d5Mu87afH04oIdKoaJK+WQ5XBBhLpY0QfZUGYH3EpqW8TYVtfkcgMA8t5kX24bpzPVj
HjqCWPCOy7QLpVLVltHkPZpD28dYfnrJ94ZLHfXJKrgji4G/89XZUbIG2kyHiDjfXNbAWu4JI9Q9
9zHVxgA0kzU7fbgDVippoXz/zHV+bH4opPLVUKM+zICinrL7jCF8RK95mn0ihX5v1BYv15gb/S7A
tfpM9HBsRGe2lISQJlH/WKR4aGhlRPea9mgiJvkDUxk/v5pZq8EFQv6k7gqBqjMR8OFh4Mwr2EAU
Ro4UDFJkUtAgHazHFi7EuGr7vPqe+4PxoMe2debAL7KLecNwXInxDanE7Ffx+f0fsRQfZGPYjzw+
CU5XXf1s87cd6oq9unLomG8Vxaczn/HYqDZlLY465S17GZG1Tm0Mid6qxypw6OgEGQRHWsfOHfqu
6TdEd7WaplNhfXlhJYkanh2ksMS8y+6KAaYAmZJ8eqxh8u5pOtoNkjM6hQI6cMGZvO1w4zAYSACU
juf6llxEVmFZeHDvA/GYWqX14GV5jrY1SsCBDiRxhDd9Jnc9Mh5RJeUBSEUEusu0KSmKEUdqb3xs
+wpzMdLSrYHa4n9BNkM5gW87u6+e/Dl8J0K1eAPoQCzCORGVyu2ayXwMmt4BO0Z08sdvC4jfiFHK
c72VI9OzJdeMTTjvuLQhFhu1hZRiBbn5mLUYi5ZJVb+C2nYvEbbTt4hARFenZ3e4RYkXHWUgnaD4
gvbi3Ocp71RbBeajQBPyZ1+W42YE4nATOb26AwXuI8GW5mdO4yL64jRKIgmqHXMBQmIJ8XmSElmQ
bOps+WijF6vvHJ3y2konPrTPbM55tf7Jbf8ORPJBeZeiK7n2YnOCCEygy/TyEaPU8b7SgvaiGPLo
VpNucCv8IkXd0wn3HuzSM9v0+MiOdAwucTpyiynq2CfmszjKo1njnU7louh++J4ZXNep0H7pcWfc
6UAUdnplpWdunYOhAZmTVUN0nTtmByekm2AN1ghCPFhN3DbPBf4x7RZBMuz8Lm3bzWkTTamLWYPw
zQp/YUT+UZQ48yMOPjHXrOQHcP3MVeFlpANutRJjNo0PjWtHxpWZwDycaPPHOriO01vYWeSZpk7F
Rs6fmVxT0bRbfOV+lLQB3bR6QLLMscRrB7w6v4xbCQtsK/oeOYHYzXt5ATc3y/8riooeEPT3AuHb
FYzMCeCtiOEqr2jbosNx4YgRktSNn1RjCJUB/QyUGutJS/NXtI6FoiqWYeCs34yqNxwHlhH85Ona
T2Zi5aYaI7e/QmcV1CQiGHgTIyanF5OJoG6lJmA0BpEmUF4ErJGZTpO088y1Q2sYA3cMDmJr6xZ1
g4Bmh8BIh2C0o8Vy39qjGX1TDXK+2MqGsHd+hS6CC3vcFkt7W44uXqkYXDZ2Gqxxzw6zm7iRMx2g
98kv0HWugmjY82vAe9dO6Mcw4BE5CJ/xQ3FcToaFW0F74WC6LhAz1s0UHROjxkwEers2/sR2A+Kg
A0nxPgcBgl0OUumo8rdDNevvCS9w5TuSHeVwq0x0uaq1yBuP3488lonnA7C/OnlpM1ybUQaysqwG
n1Sq8FKrA92/7GwQoe4q9KAGD1jSCRMRqDaKsm/G2KmaHLCD/IAD3tgZdvFWNuh+12ua3QiJmGg6
oRT6jjJ7mf7UUhWE1A5RlY/aTQZU0a9XfEot3VdFUXdvbm14Rg1FuasDeSXqCMrUE98YI5jN6b15
EOOov8E+3llcYvTMF9d54pYDRU0ve4CgA/3DK2ztChxWjyCRAXHk5sujuXR6SGi5WomrFpcOWv6w
V20reWCDadYOR1jkF1ofaeSrNCWVOj3awVNlUyg1Ke5wVxhUPOZ//0+Zvg9Llaa2390NeRvoP5NZ
7WUz8A+cDxehv/SpSiq7ef3qoNxttOcJ5VD2OIhtUhdUr7RK7R4K8vBNiwHTtKBFX2AmhpBWvDg9
d50efELbpiaN+hBYDodi5eJ2AQHm52Cn/AfXIh0NbydTM1CJCFXXdv1t1Cj6hafneDji3OUmLaYV
wcO8DFYVGEuaoBL5E3D5T0ZRiRfD97WbwvHF79NDHTz/5NygVQgVKbrzUC12TF55pUAGQt2nXWjf
J7ytGyVSZPPgxCHiWmTvLiLmZwpkh/OjDkGWOPdCKVotuw9uDK3QqHt5XyAxA0+3QaIDLZP6O3zD
+vL0BI+MRbpHNExVhcbZ8h3qAY+kdt3J+w6Ov/NOGxphK3TKJzgXQ+wXRfvVE4+AG3XeWfOMP4ua
xudTYQw93nIyFvdx62fPuqpquugJVWI4oJBmkrfT8zv8gHPfniqKpKxN/3zxATstxiYrL6FcZKX+
KwBNtcuqKd3moUruxxxYqESp+swGPTYo7U4mSSpFxr84+fFA2RCpO+N+RBAMlLdtvw+I675Edm/t
Yiyk+KjGEJ9Jaw7iGipE2EsSMgKQYHkXRZsIY9E6czvz3vdt+bvtMxhSzWituXLwsU+dvMcOJG+n
/wrP0L6dXuYjYyNdZhDM0aYHB7P4qq4V9ErGk36fZ6b7ZKAQkq16T0YvVENAFJfYseo4m23cuM3O
bKj5fvkUw9LQJtUBdOUIbtplJNmpiHo+KpH3cNnCZ134LtYgBny5M2HUwUd1TGVIgOYu/RHaMoud
BDsKNrPSpntEnYLffeP6r2DXKNjrM3NlFXWFui6QLH06vbIHB3Qelk6Q4IUke1xWy52aMA0NbHFv
gbP/jmliQajlWe2L2frGr9NjHXxFZ65/ciZ5rFwy8sUOslP8w+AijfeJq8I/jg9bAEJxh19G63s3
AUKYr2B93Vs0Xo3L00PPR+LTV0RAFNwH5Xlu2Tmf/HwtkHvhBpjq3T0FEcuBAZl1VwEAr5fBmSm6
kR1UF6dHPLKwICFmFKIN/PigI4CAVmsiytvhh6kgRBmqTNoVpMD6fZgfrtODHVlZynDEAQYHhOdk
sXm8KkvBY6v2nuDX/jkNofVRVZ3+G/hqSgDam8MfijrxlQc2/as1VWZHYY6aFZuXBV4cTdwiEGvI
CLFQycVT2pwqtxkuJtdse9gy+Byea5guF5Y+HjuIRqKkrsrZXAQEdeZV4RTX1r2MCBdWIJBt0PBD
3GVbC9R38sXvSLVREfGQ0PF6QX1ZDJd2AnG6SYr7FoUfyBuB+jmYw4hWDCKSp7/icpMyFKgLWocE
PKRUy4hOhZ6JAc443mc00R4mCMF4PI8trACZ9P49Un+Ve+bW0WdDtH8PBo8IXCeTmVHWoVi2OJOi
iesJ0536fvLG0nO34NwCI1jbdTmZH56DhKS+QiQmQTOmMEsxecgq5AMKB93oa81/NhaTVrBuTWRz
z1WZlzcvP40QBaEaXlfat7O77b8BbgRoHvR1lN7DIgjNNYLFiUnKN0pne3rd9cWWImnl/lN8Y8uk
J3HQj/AzYOSRVs1GUp6xs5Dc3rpjpWh+5dpzCBEwRBPuzk61+sGTpXhqhIbmJ9m02gkbEUAzi7sd
5E3xrISfnonzjcXh/vvrwAeYck60iW2Wn6htJmUGTXntTkZ751GVQ8QGBA1OLYhZZ1GD7wiGZc2F
wr1005kDePwQESV60ejLoqmM+3bnvyATPV6JEC3uMnH3RZsJ+CteDoNrImHNXGcFp/8eReWWytrw
K3H4w7HMQm+GF/k10WLcWBGR3p1e+2OzM8CNAf6jPXxYa+8nhReZa6MYjGhdunJ7WJVw1SxtZ9gV
AvuodcJ/diInAGQr3V2gu5tEYe+OZKLYtl0DjH+UWnWXN6N5kUe2cYdgs4dhut05uwo/61Vdz7LE
8EhWqHti1TIQNRUaXZ9C6kje8fDuwsGqLkb02iGdFOfaCX+j3H8O2fwFSSRoPAkqtfNcP+9kLQEt
UEP7vpZhXfnb3h9BUKGbtyHSCTb1zGkD4INFWQI/YJVayF245iyELSTGoTkGa4jCmljI++GupHUE
zAypu7VAaBcBVCTNMsRsL9CnCmCSjzZ0YagLSFZg8xlHHw0uCnDP5HSmureIWIAwUbF0BREZPouH
lVnJvoGQVydk8MCwJ73BUMTPk9cALX40u7rfARDq4MyFtTyqyM5YjApmhhvSPHjIYQuXFpJU/t4F
kdzAXxpA6tCigVnu1xvRCjc+E+IfjggiSgAkmEEyHMDFA2AiHRM4jfKuEBjkBloNGr9v7UapQhO7
hMls3Z8+EocDEtrT7KIpw9138JirBr1jZVnpPkfj9kE6tXqE6S9+QTDJzpSfF1csrUmXSJMXFYDM
3O5azE2bbFW6U1HspwCJnhXtO/3D0Mv4azHC32H+1tTp9lPkXiZlvoowOGv1dK+ZiUT3U+lwSskX
e3dNdRHd7NMLqM/n6d/zxrQowgDDAX5rU6pYvBwZ0lZxF0XpPiTU8pByphOqGRunRJL1GRJPgCnF
1HeOuSkzntk/o2+O3T3p5FCnSIrnlPkjr+vbGLGeBhHP0z9v8czPq0FdFvMVIkOSx2VVXFJjHIHp
B3uvyWm85YU3s9vqmQkMx3UUwbj9+oCgDJFyZzsdQg8wMG6KCR36PVpJg/tWy9JJN3WeRPE9RZRO
IVcw2eduhyNbS861d0snoIbQtPgGEBXQavW7cI8yaTzsDaNumhsUcvoze+vIavIsUs/gf8SEB3tL
ljnoZiyK53ZVTGnByq/z2pao/pvpLW2Uc7f5wbUHVF2HPQiwbGaqLJ/j0c5MYrQIu4NI99i/cfQL
5l/zityys2vD5qlAh2hz+gseG5OOFJnEvHEOQqGkgz6IPU24jysQOogjiPXA7VGsLJSy0TyKxNqu
ZPp8etQjnxDIHhAYckR608tP2GFJYBX4Xe5d9GYaXqxST1YJOm1nxjn2Cece2ExAAFq9LBLZBc0B
UoV4j+OG/6zq0gkvJfo89rbXUdpcu3XdfT89tSN3LJc6fAOdy53bfZEwxTHAR1UG8V4ZnSpR2+m6
P0QExa8kcaEbnR5sif0hp8dEgtjSBpA2p77zAvxTqq3QAA/NiaiLm72tkMa3u1R7xSgb3fxVlaKc
uh0LlQ+7bHDCgRq/mwX446EdFhcbVXdWeyamPJi+CxQGsOncCZx38uJw1rUr4eGHJppxYfY8egJv
Oi68+J7S73SO1XOwjcBzC0unzelSVj04odFg9QQ/OLNXBkpE66wdm/0Y0P47ExocHBLGIYSnyugg
TnpQ1xRaq1sFcnJ7A9/Nrcq6fguS3UCSqB7XPSotzy2St7vT3/bISkKP+gvixpX+YCPhSVBitxjJ
vY0Yj77zfbwH15GjEIaNPNwYz8zxyFrOPABqm0BhoBzOL98/O8msc1zXqtDaN7FuPGC0g5IeCuNp
emacY9Oa6/uEW7TsaGl8Hid0UfGbwLPtXZWJYm2G6MLC0217by2HwT1zARwbjaubxBdSDHWoxWhC
NE1UR5hQ6Q3h5qofRPHhIYp2D90hONOkOVxBQGBk9DooMA7BsggFcqBysTBx9vDw62RfxahD0NmK
g69GcQCOgdbQgKVqegh5UViBMmFd7RPp53emDb97hVZLsWvCtjoToh5coIzF12IJudIOsV9xbuMu
mBj23qxTJ1r5Uv81qFI95uC0foA0FZvTm/7YGgIcgI1ItYye7+I+8zCK7tLcs/coLiWIceWocW+5
OX31PwxEKDevIBcncIXP29CvJ10jz1CoOxeZv2WAVNsEKLRcfHlClAapACjJ235AnvIC5KfZheY+
NiseBXMcU23lG3qYX54e6HCn87whDT/D4OkwLeE66H8PTa6AtSad1D7ybER4w+kDC/WkBv2jLw8G
9oGbgrK94qpfPHIobaOPAK5jr0fIOibGGMPNT0yqczWqHv/LYETrdHoIxw4gXli9JHgfSGtfqyIg
YQ8QCr0wMw/SP2JFcXxmIY9sQYqN4i9nEnj7ciGDuHVKVVZchPUQPeVO47arEf2gc0WoIx/M4oPR
faQBcQjMo0MV4YiVmPt+Mnt7pfc4mW2QTUYLbMo8NAtPf7Ij0yJWptlJHZrW7jJzQYU3na3C4uup
czExijInuMUsICzPjHNkWjMQjxgAyiCx8yIAsNIMXRuM569RYpqlhIBaPwhrEm+misZza3jkemJP
mFQiqNCANV4M5qO8iztGH18T0mEXEvdW9K13BgSQQ9DreC11+N5+fR0p6s/BK1HlQd/RiVE+s7U8
us6mHNWO2p5k98vIimg6w2w4NjdIl5LCDgztgy48egijpLIWooA/GYhVZ4Rr5a0zK1ynQCXQCd8m
gWs0Z3LIIyElNWACN5YUCLezvIKtPghHTIHy62BEPNAGZhCDGFlRkBlRrZ84oheYk/XaBsxGhL9p
omX/ZRllgDuU04Yz7YfDXTsziUjYdaJ3iuWLaxrA0zCgIp1cF3qvPyeFM31vEAv989VvyihcLQb5
M82jZadhCtEpVEitXNdZnL4VeMHb67Gsi9+nhzk8GvTG1Vzup4F8+OYUVdnlEO3ia1pwsbXGosfB
FYEEAdlq84vdEzIDk34ftX6ADYI1ND4/cGk6phSZLW+f20gBrtGad/4LmjGM1m0yY5y/OjXWjRfb
Os41q/sei8g4c/baEDpXWEbpf+qGRt+qwf1BnRnscFNwKzMvRiRLPgz7KWgPmLaMe6QURbn2pgpX
T4R6ujMn8PB7zTVV2uCcBlKZZUiMINrgZInZ77OyyJ+jyBDfuUDxVbIa8+mr6yehrs0cDpdr86BZ
qoFnQjgx7/bUaScozV1bok4QT/FL0Ee4oJwe7cgCKgIFLs6ZLnOQ9GtFSvNp0hhtLCegVq5bvBaN
aMfN6XGOLaBFjs8lMqcVy4aaRzlOYgHV70M7038nmDZ8H8uifzcIvT5OD3VsStIELgHFg9BkiSHI
0EGHBggMzirD7M62gBKvRO1751LBw1uZSA4kFqTDueS+jHxckVO4a9phj+tfcBVWRXyJWZ19h6iP
eV8hu7/7H+ZFBYPS0PzeLCsY+HiaGeI9wz4bMaFbVx5QVwwe/eBMvXap3MN9QZqkEIvgSM0t7UVI
F8PRw2FnqvcIGmrY13ng8JIfVVO5AbqTDuLT3wQI7QIp/bbhKkPzqvbnjoj0izsbKojYSg9pu6dK
VoiLqwqrpj/VFMvmHVdSYptVhGKj+mj0okmCfRtTJvzu4hVY6ReICFK0PL1wR/aeM5dpqUaYJH/L
Ht+g6e2IxWW9r2sezn2QZcqqN2TVdojAO0LV6TmcxZGtMbMzZ4IgMhAHuabroUkX0PDcqyBAaSKY
LorQQurCnnJ3XaMAcu7SPRyQSIsaO0IEtI8PKgRVM/rOZAXTXs/zFPQp2u371KSreOEPBaRi2RTa
mXzwcFVpY5JbUnCiiQr94fOrIgh0ROJVYm9iWYVasZuW2baqLWRgkZZPkjMXyOGpnrML6tkS4hG6
RIvh6GDYNPojsc8nco6VaFL9Beih2ZwJWo+sJF0RxGFmMCBU4sU4xoSpU1SMxV44/uRstBEDoi2O
LWm5/z/Ozmu3biNc21dEgL2ccnVJlmRZtmWfEHbssPdhvfr9jPYP/FmkIEI7QBIECTKL5Mw3X3nL
yKz4l4X01BZD7o1nA/PD2ALQCvX68mQbCFJiiW2XNy42OQ2Kz10e4nCBfu/G0X7jm8kKA3CTbJQR
uK6/GW5TfYjxUHEzBvzt1Bhj0e6bAS/Uu6BrRvPw0YNHc4ckCt452Su16GI5m0Ogdep806sF4OQx
mMaT5iEg7aMFpT9/eDHycO5OqGlgDJbJahw3AqTooN40g8CfINVjjHWwSsxxPzNb5Gc/thzXC2mH
HNVR3QD7WewTQ1N7pN17A6nEwuuOJnYH+OSGVX8zxqSWG6std6W8zP63Rw6Lf90qQ6mVpLTyzAt4
pro8ZW2PKrLvNVFYP+lVgZKRP2pKVG/k3OtldSD3tCsAAEMyXM6UTZpYEv6tX8IgFOLg2E03n0lb
Q+7xBLm7rwlip+3GsGV5GohjNOg444h0SU2wxa7B6wn3vKmfLth4NjhvQy/H+WJWQCC8/wnfWIg7
jrcJ4FDOXRenASSeRQVl9BfkKOPwTMO8LcSeeh99go2T8MaLlNRXT348Vls+U4eKv4OEdneBpGLO
PwNLjBAHRqUamu/4m4TmqUJtqvz+/gOuMCdoLsFj9KBMEKEZJMk38J9OLlY7ClLL+FsEGEQa9Tms
nDj8CzKoD2swuWOjGnucDArxm2np2PzCQAqPZ7+OKmP+jjySaM8oUdbxz9GK8ir/BKRIa2CBQWnF
ENII1eP7P3gZn+TvlbhhOuuuzqRtcajYguQdGBFdSux6brFuxDN+7rOnnE7x04eXQpOCngvrIG25
THI4btwg5RBclKnNL1glqPYJHzAPd5Fs8qyNFGT9/Zl9U6fQ5aGGXc3Auw5HVDEA8mnhI7T7WAjz
e9F02FXhKFbkx1IkerFxky1HFRI1QfrG6QVJyx5YfHxMaTC3s3rnkuO5IfzZ07Gy7tP8bLtFd9PM
UXWgaxxvdDk9ttR/x+JyVXo+5D2vEXIJbM9CR8NkM3cupW3j/+vTvc3TE1RvNYtxaMKsAPxNqyjV
Axr17vx1SnDL+SJCuAsbl936eCPaBCSGWtRDMGO5mQDQaaFr5OGNpWN48Er5nk54lsz6xq59YyGp
8yLJZ3QmV8iDvIN1aldqeIM4BwbWlVVZyq0jiJv7j+5Z+ILoXiPNKJ1algPFaFYKE5tH74LpJ0M9
T7T659Gq8tQ3lVrdCB7rs2jJXiSdcbIFwCKL6Di06TiTGKiXBnLEEw4dZXTjUA2pxwnqQrDxDter
od7BKpIoTKRc9V00PbBysJ+XRKDE95TFgVBebAeFuscxUMS0xcF8Yz15fTM5QYhRYiEXkVEZSc+x
jrjA4EpsJJFBf2d/TdFNFqrgjQgoa97/eNr6PJJ0UX8gBwT3ejVnmDHGSIXmVZe4VfGX8NEi8oaj
KEHefQ7xI45MP0AfHA5Z2mWia/1ZV0XyE6liKYJtuROeGRgmd8zhcOdx8SnQRjNqLwFNw9Q+kWrR
DcQPMct+6TX/pw/nAlzJ9CCZMAMgXQXMouinvE/r7NIKhYXg+M3NAdlcLTtXFEG1TwQtjI0dLz/D
dTSRLSto3XDymd4v2waiNZ3ewsn10pVYbOR7w5xm7wterxa4QT0Ypk+NYU/Od9WaivwZ9+I0HjZ+
wnqnsCXJYvkJ3G6r013lYlRRRukuWTCjfO2myGj5caRieBxO5uhsxM83npjhGpAp2Xh1+XTXG5PR
mqbUrTNesA5Oj32l4kWkD94ZGXrrXhPxWc3SO4co9sGRpUenHoI3mBMuKsqfRdEfVUJYZhx0lzJs
sOTWszzTDhP982HjHMgHuPqkVI20tlA9kCcesZ7rB+wSt5lGBS9EDw2dx2Iya5SUSW6n/8M6NDFY
hn1Ddbw44aBrcBtEXv+iYPvX76BvJvSo8Vk4v3+uV1e7fF0SVAIKjNe2JOQNcBuypO/GCy4H9slo
W/efqQ3tbzV2GJ+bsm034vIK6PmK86CEAPiEntlqPJ+kvOBiGIcLzjaj8xhBw8zQi8iqAWO/vKfM
3OFtXOdfQjwyWnsPGTnvL4HXF4mNYWKtjd+ZOEXGURdUbv8YSR/PPoZCzDKOijLjL9yltOV+KXWl
Ks8jsaWxMTQaJ/WhCAla33sM1cyHKgnQ98YtwjPzu9rr9R9NiE3Ukwa2ptyg5qz3DM9EY55elAye
yzzWUGdQtEJrLrCr9Bctc+Zu12vbxf/qrLP3JZNcrgTgYjkK7jPVCzDSbC5J2xiVD0dEe0zq1Gn3
/Qj/4aORRZ40CxIgLUQGz8sdOpCdpEMdNRecJHExGS0rc26QU+nmPfzlzZe4ysxYjt41LDLq4zXJ
MW3GVh3pLWMfi0S22AXIond/QNU0877lngx6v7O0GjZ13pZH8FKZcV+0SR+GH01M5Q+BRoKeFR11
Ts51BECyJghaINgX5PBDKA8opPgug07L19ui/JyngbQ47QBTf/yFM9GRxCceHzHtRUhAH9UFkBjk
F3cc6g7PvM6NjqAa9K80rbOtMatmrCIdQ36J5yUPB12w3E1mNkUKKNHskqttpNZ+BQc/q48Th7e3
LgXu3t5zBKKh+OkMKHWJXZmHTpox0WtLu9+nrV06GBTCfangsLd20FxiLxjCjRtnHcCQ3GbAx2GX
Y4flYA0pEfyEVCO/oABW0J7Ejzk6UzE1+r9wpMDkNboZVBsn+o1FWctm40tFKMQwrveAHhHAUpe4
xCsawp2JpPoXxi5jjPtVifOEXeR9u3EjvLEmtb5UQXwVb1u2EIe+wk/AcvE6xV1UtfdOnzqQKxR8
fRDhz2yThMZqzG7eIsC8EVbInQgr8LU9dHwWD8ukIJ2Qka0vilFHP13G4XdJJvLPmFo6H73Gkb0C
AIfeJH1u+pf69Xvt2fTCHPPmMsA7xvPFHTIN2zJieF5+tE+j6bSGKBAspi3rjAEuDgpwdgnvHK+G
36JKPIzp1WmDEbr+aOwRdptEEMh28+KB8ItxBrgP3gWn+fTJqDvvQYINj3ppG7dpb2zOL9d3DYtB
VJQACbKH5c5soqAL6kp3L6o+Z7/sDov63TgDZdiIgutNYfA7iRCsQvhfNn3Ncmh6czK9i5FX0c/c
MaY7C/+z6OTFeO0c3k9S3ngoqTMvuWwMgNfKmEYVWx5+iJdKqZNbpzajn4Abs43UZP1IAMAhEbH7
QGCsUqE+SuqELqJ9wRIktaTyRNAzUgTIhUdFI/oPh3PKe55FdnBoMi9T1lA3q1GbW+dSIHlt3jmw
ZqNir1iB6M9FGY9WsRFAVjeo/GI4IKOBxF+5Sq8PF1YuEaV+Yp/BXMQ7tAXtp34Q3c8B83ZfKqCe
mlaGEs8qX4QWjhsHbvV65fL8SS4LIG6ldIMyXwTDdLbPaeYGx7rVstxXvdbde6WRf3l/w7y1lgSb
4P5AzbpSemtsLI3SSjhnDXda5Gt7ymJ47+VhVsp447lk+LuqCPiG5ALgQugZgWdcvNY5Cnuhwzg6
hzruPHVeW+qRrmSlnsOh6rD7DJU+8hWL++lopZ02b9xFb6yP6BP3n4QN0ViRh+c/XdJsshs4r41+
rqJx+kY/Cm75hfesUndOGqnZIXStvv5q0OhvBPYv2Zxt9AdXr5uYTZYAmggJU3PVH3ZSXHFoHYxn
vdLS4NhYON7fTKmFfphvVn0wfH3/866i6iv2hFfNhEumg/Lf/+eRHT5oZ1thf0rscH4MzDQ8d6FZ
7OnpdnQFnX6jF+csPzEwRK55YGd01cFpL27AtBA4+wxxd7L6KDh1ZAXkelV1CCFv7GAOaxj6VePh
/YfU3nhKPiobi9waXZblxopdvJiSwBanzNJ+ObM2GHh0t08pYMgbnGu0Yyxc51Os2d9UTZRPqH70
F01ww6RFW5j73lbrEyPjv0aiNS9OGk7H93/gauOhVwFICqVICXJdgY0AJtTppMftaQwKB4m6iLCS
+mFSdJW+U7q8N5r9MGhq993KFHveO5M6mFtb760fAWXeRNIfGMhqsBoqNb+xUJrTPOL3PU7mXaeD
5tKNMTgYwnB35lg738rcNDY+z2rP8/TwTND4gbsj8RrXe9DDqazw8qw95QoWGGNi9sdYH/4J57nc
yHDf2H2vz0Yko/e+mkPi4wL21mqbUwnmBHN5fT7hces8a1hGG+fKHV3nwJikds7vf9/V/pOvFWQn
xHw0iVetjjDWwUBhKXOZs1AzM+RVaeI94so6uQPjF5TQKz8c+DJbQuurV8vCHvqA8O0AwazQNr2L
+aBXJckFDzBUmbQWKVLiiG2c60hVN1LO1+r7Kn4jZMdYg+eUk+XV+NoVblYrIWbAnpaFOxHlkOFQ
mDkNWvSnhsDtx16rHjA6rvxiTu4yy/vHa4ofuIrmt73WK/4EN3fjql7S8xBGkzwNulnSZQB5ssXu
Moehr3HASB5xh7LHX0gVtgIM2gDKK/RBpuEbjJs6bmQX+lEtN2ncRYjiTI6atLe4OqDSvsMGMLC+
RIPdfH1/Y6x/HWkfJx/NO+B4tBsWVw7GHR2SVpH6YAeTAq2j13YYWvGXaLZ+BF6Z9Lt2cHP8a80B
/G9TatVNa075A93/6qVrEXrYaO+ufhKpKDsNKRMSlTcSbVHDdeZudO+GQKu9Zt/XOEG4+0jaDcV7
rxvNCnJB10zRuar7IAvu8cUIU9vXgqZqHwJd7zOXxqgRD+pRHWmqqxsBYxnPJZVCqs7y5mgc8FUX
tUCE1DRKwkb6KQh07Im/VZoGOu6sCEXx9g4GQnF/UNQGRQE/F33sJbspFcVf3Rw94xumaNNwH4XR
JP4N0Ds1jhkgLbzNSwyHzHhH+9dp75kXwSTd2IyL7JvfDZtG4tVpZBMKlpiSVqsrc6a1cYfMXKSd
LK2prRNqTNnGtloce9bxJH9fmktIzucS6EniInBJU9q7KnezzG+7ottVlRL+cpxIbHyMxbXxupZD
dLOYMEoF28UOzgeiNzL3Amkga6juqsnNsbu2O1QgPrnMisZ7xxqDJNpNRp2pL3PvYn27EdffeF4b
6B2PC/oTZdLFGc+1KkYhI6/v8A6K7j23xI0Tr8lGlh5OtyU0uVqNb+cBjfPgeJL+L3cfEgiYE7VR
f2eHXRAkuwbHQu9im0pX2mgA5nWwkZeuF0QWhGwJvKlU7lpWiE7hdm2BG9ldM/T6P/qMS+4hMrT8
R+M0gf7RdwlSAFkrFT87KG74KFzfxtbsRU5le/UdjdE+9DvaML/h1MW/UvjoW3C19ZNRV5DQqkz5
Ga0sr/7E0oO5agztlgmB8VQms/oVY1bxhM6H/u39UPvGUhIvCQ0RwNS6f6BXTRy1Zmfc9n0cPHuV
6wKaDMLs3p4HbaNoej1g/7kJYe6jwSCJrHJMu+YsgdIvp6QV820waZjX+VjLJKbmN54Vdz/aIlL1
r9Q1lvgUu3Zdf+8rXE4GPwWkkWLKleTCvcXZEePdXUkoGb8OTq5lDcIzYqhtH+eQwvxe8kIb49zb
XVsVR0hZtPF3aVgOpbUvHLyRMbjq5l67JK5i5B+EdL0+oSW51lJAmsddHDlYVOlsj/1866ZWV6Gb
6fUvdG4xU0nrMNxiWKw/HhoMUt1YNs3gtC8CvjtqiEqq/XSr5UIjUod19w9SOahxUHI3W/3BRXkv
nw1u0WuywDAM+NH1EbCdqPBkGnrbzWr6K7XwZzPm+FfdispPwrL7lA96fGukNgblarrVXFgki6+r
I1ovjYko71dZlJl4dYf7/MjeaczAZwwOh7dWnS8Gds2qH4JW2jjyq2sJ1DcJKug12cHjLF4/79ij
39bD8bytE316GWcLGScIT1t4rjc+IrJqr/JNxDNuwOtlMI1ENCScxG1pC/sr10bzw0gMKvomAau9
cdW+xvzFEeRVkuOTIDDTXLbv6ON7bhVn4lbVMxW6ddmX4wHNlaC9qICY8HQ3jcI6aU5gMnjRRS6O
eZM7It8VSozb4/6j4YfUk+jtIZmFnv3ySrZ7yw6os9XbwqvTftd4mMPh0VwUfpRU2Ua9sX7TJpZh
nBViEB5iyw9apo6L0fQ83aIiIu0sNBekrBiy/KlE2a7beNXr1cAFvqpIgaBY+60Eoo0cc1DNW5Mq
I95ZqQBoH2oNJtgtgDrxf1gO1WxgL/KPlczqYEV0nPFyve0rLUM0I7MnzN1F1x31IKEz9P53W5SM
bCE5lOAipGEhB8iL9MYZLH2qo5iHsxBqyvHjNnZR6XoHO0SCPCDofp6bUv/z/qpvvFLcISVaicG1
RD1cH5WB+zdtY1W7Hb3U+AvePyx9u6ucp6AbKRk/vhiQQIQAHYrEFSYNGmBAoA9VGHOK+g3/divf
Ma1rb+ClpluWp288mURPYISFPAE4mEV6EVZodeQVCvlzn5hsfqOGwGZ5LUpJjbKlN7gObEQbxkpk
3UxCVvn2jPtGraejfafRdLZ2ox2p7X0/2aG90db63+B1FW5eSS0MM+lkyOxwsU/KcMYBwCu1O0jK
lfFbCrpYT6qZu9ZMYZSFVLfM0nMHP9mor4y/bmy6yoEnL6afxTy4ZuR37jhrkZ+4VtMdmMYz6/aN
aAJFvBsR+XV+MqSIh2+MzFrzO7W26/pBFGYGstJoUImLXaGBHvvjHI0Di6bdlP5OEsOxsVPvaXi+
5A0GEzee1STtDxo8Nrb2Wd4wuTnhHD13me+Gfd+4O6GZ4VT6VeU4E170/QCIwG9aGL2KT4/N6S5W
6rIpfRH3pKZ+7UZTkx7qJK3t6UCWpYrgnBpZFiNgpLV4/O3dLoCgsptGiB+4kc+qWXV+pQ+ZQhE+
1cn4hXlbrma+EkxtPZz1tombyMeJfIzuM3BSEdrlbBBT3U/5az1TB6GRfI6rUJh/EoyPxshHqQla
yacho2+Liy+72tL9hM4DFmAKAtBRvB/ARXWwrckSg2znDZih5fsyspLpF40LOk4INer5OO0iy2E6
e2kUtx6eYzvX63wHQbYv3X09d3g+XdrWnYLgwqZilrIHdp5bxWHoCnSmj6BW4+izGSI0Xtzkox4m
T3Y9qt5drrld79xnNeauxs4A4TzoO93Cah3D9hpH5WdDtCWO35VW4ssXMC7uvo6G10w/YrUFgr5z
EoF/E62UWsUrHOllpC1xJ2GLaceUxCRXvxaonJmoYI8xejuHxE3n+VvuUiCNOzvKHG04zOYYFvFx
shUl+1cUwTSoe7cZ2upuVmen1HeBNend0Umx7/wbFIlaIE3MK3msPW9ErLxKbaZTZ9MRZfCMB1Vu
7hFDm6xfsjGUPuJzWjD38TwFKexdaTiRq7IvOgQD9rrQkK4IRITdiV94kV2W7PlQwez4EDqhYTa+
59CLDI9RjBOls2e0k8XDzoXJaxsv74e+VYCARIscMtsGzCalrL6Is3pYZYxrmjsbU6p4F6ZNSKej
jZutpG4V9iTEiaTOljJFOjqD1wsVippMcdY0d8LtPXpMdWw90o1DT6eprK0m+xLuTdNPAgzlgI9h
ggcl+Xo1J3JU6o84ue/UeIzSu6qYkH3K1ERUB9ycUeE4QMzsnMGPY9LBS9hS8U23SF8PuJZMaEH3
D/WAZoV+aGwxKro/J0YVdTvbGlM738VlGpdbw/H1twDbRyuYFJQkadUkHWYnp0k2x/c4gZrDrrKm
UD9ZXQgz/f2PvkqwKWyZ3MlOAeocjHiv347eKQFiZ57yqdfTGndeRVTB4OwcOVXLdqHVTM1PPUql
ndn7Cy8Jda9cTubXEkfIZGNVNGkSMDmpXv8JvpKWvTB7MbLPVZ8b5DFFnRvDT2JtKyy/i2rHylDJ
cXNX39d9gi7bDf8xJ8OvE2+yql1RmoVzrI04DYTf5ZliHHFxjodup2Uo6yKkmQs7+Q3cunXngzKN
sWp89zK7jeuN9ynf19XVB/FF6ghIpKKtAyu6fp8EYsRDy7n5lLlRlP3LHdPozV7oZRXfVfRP9QDT
JqwJiSpzrCefstarlY0L+HVLX/0IRgi0gLjrwfNRySw+KqxmQFNpa90jTljk6T+TM+P2cNtbbeU9
oNvnGcqhq2vRZzcUjvlw6VMVN4Gdjrxj2e/LYczC0K/COrceSsQ5kuaO8X+spucM2YA5+TfBva4X
+zmNGQr5edkp89NQiqbqOVhl0zgn6Gia8yiGJhj7xyr0wnE6eZ0SZt2uSfnn7+NgU76/OBaKYVvE
klWAYXMxFaZzIxPV1ezSS+yqde02/FRVI6KSfqUZjfFLERAPv+cubc6tNvHyq+O3gk41uEPQOxL0
vogxXVYUWIS306egTbr4xXLqIHF/5IozRs0XRc9T81hbJGDO59pMKIxiv43Lqj45EEodZGP0vjDH
T0qfekF0g+Rs2w47TEzGNt5DMgHLjF8T3am622W0cp3yDpVfq0kfHWUaEuQq3z+ay5gA1wRxQikM
CowAaIQMTv+Zg8ZZAWV3zpvbMi4G54dRO+ZFZFSFd7j31NWhoGfz9P6Sy3gnl6RaIkOFk0E/e3Fs
+rSbGYbGKK2i7Wa0O9Knzi52boew++P7S62fjguOzJ5aApG81fwTRjy4zNiob/NajbhKadBcIKw7
zaGpSv0mh6i/1dlbPx2wSch7sqR4I9RNBUen7im/vTBoch9LW73edaJu/rz/aEtwnVTxYHII7xQE
CCpBy37lqKlVFAu1vYX4m6vnFrbJcANHiZb3BEPtuznAt/K9OBseqfHRndRKNURfbmjwn0dfr+uP
dcODHPENDTZ+3LJ45LfR2pQ/T4pIrDoeIfrtmZur4rYu9do7wKl3H8aeVN0cra48z9UQF7tYHSL3
w9sZfAokCpo5VLArzgbcrdyBu1DfBuiuBOeqjOP0PBeqkd1maqqdaKSX5fH9L7HeZDIQQGpAmoy8
Y4lizZoiZo5dRbd5pal/Hb31XqJGHR6qOE9UX88xaN9ATq3yHAZnfH0ek8b4G65yVgD9wTWC4MZi
0qk/j1Eb/bIyk5rCDSJ0aKPUFbOfBZqKdG2GAMANxiHuQ4vjt3qOJm38YRV2Y50yuzEmlMCYp/lD
bib/vv9mlrGZEoszznmnqyhhT/LN/Se4kPGnDRY64+0cORo+Ch414Vxq/ak3S1pt7y+2bF6CC0K1
FltYzGiYVC1bB1HO96Fpj8hv4DXlZxMVbWX0hc0YUUOlsmrrzNdDyj9vB+rRyuo9Pzk2u51hAPv8
aG+BuCMhbUxL+D1r4qFrTiliLVj81S4ActNH+bFPMEdKXX0YfeoKCsiNF7B827KBKZUlwJ+RyEJ6
u37b2QAyK7PIl4q6EYz1ujn23MY33dj18l0wuag+799/528sKbUfoC0RXNdQwcGoGWxXCCuH1tTZ
0Q63V+i0uzShYOuJ6CNcz429v/zMIAYRBpH3x2tbalm5zJMo8Pv00lvD6FVx7HV3Gnw7pUO8Q2I9
nHaq21r53TQUibZP9Ha0d7qjxB+TQyG8Qfmnzyj1qjiGyzsMQwc6pbi2w7Wuw+SxB8EYPeJypgoP
Jyqeeth47GWQAW/HHcb8l2NPZ37VmocfEodOXp902HUnpyq+ztXsfIL6HBznIjLP73/YZQBnOV40
KHkqjzeySqs349aoq+ZUxFiPNrMl7hslVu89NDguKQ7Ph47Z+EY73pY79L+5rFyVxh+SJXTl1gz2
fkqjqs3JlWazYbTSjNVNlU8zWb5mH+x0zh7mKKL4n4OivZndKHlkWjHd0lBv/GnAF6EGyvRFF+Ff
QZl4Y+YAqyOjaJ91LypOoRk732p6ZgcUUOvvGWp3F71X4z9hayYnR8T5zsui7rcOyrH0yzEcn5Kh
Li9zqIqvFo2GYwto+9Rhf/aoaVnxbwYggG6DGIfPE9r6n5AV9+6yGEjPMVDT5ts4Yzpsl1b4A6Nk
ischcM0d8wXrUII/c/x8Ahmjdkb/mNWBcggyR+ywJbQOKgxs7key9UMAYv6P1bfJZ2MOxH0wdeNt
FjhfQOyNfxxDOBtQxAXEQEp6gq9EfwcsBBjLFSTLnSBf0edRT1YzfGvx8vqLHQo9uqzwYl8nh/gd
ZxpyW+Vg3yVjg608tgHx9wAzadsf6XxdvAxQtO9NWn6q9HyO97YwcuP4/ga9DgP8TNng54dSMZP/
rC/dNBvjINb1k+IAYToO+P59TRWvucvJw+O95qTG05xH2cMUuSbTs8je+AHXB1KSmDmPclTF8adf
vay77GgsW1pe8xl2uTL5qVYGxoPaqNMInsucMdr1VbuJ4y0jwOuTKdcF8wsXkJDLaVlF+TaEuhS0
gX52nE75ruaGdw93gY6SGdTlnpbbpavb8vChty0xhCZoT6bHVJuUWjLp/c9FrgvR2OgjOWcjcuyz
F5XNX4x7m0+G2zJVSupy8tXKJhw5THr8SU31LWvi1WNLewpiEmM6gGTMQq9/gaUM09jElXd24sQ4
jEDh+x10hgBjgQytC9tJn127SLaKvesLDg0UtDRABEklKhTEGGRdLyuSOczMwlAucd9pDvcJ7i+6
UtenHve/C1JV7jcNVSDNj6op+iwi0tqIjtGLO+v657Gvit9WZXU0mJzyBsNBd2PevtyE/DwUA0CU
QkkFp7wE7gIpL8e+t8IbfW7dJ9sr7ZekVhKFmYmHwKBaD97HplC8EUl4kJg+4ARgCpYNPauzJ8TN
zPSmMS168kUvWj/NRPt7yPN2q3G0ME75f6sRjOi00EBc6W8ouQZr3zLSmypW7ZFN3tdICHTV/KRE
3nhOetwfGUaN6SHw6jDztaYLHpTU0OpdZBfF1uFbRB2ZdDP1J80EBkbVtZzk9r1mKIXo0nsbCkv/
bPWefSYETuI8YLGUAU4ZaJWkBQg/n3k5PwismfP8/mFc7kkCAHmHnAFKOYVVjaOmw1iVXtPeF2Wu
jJOv9/UQjzu1ruz4udXSUf/n/QWvOx4uTw3L4FX/EMcEBqyL02+7AsBo49b3gWLoSNCi9q89x0Y3
0WuPFKcV9tFTFGE8jnh/luIcMqmYf7//G5bnn7Mn1YHA3iBHSl69SG5NsBV96MXjORJGpifHAIj1
NzxGDQZoDoZw9W2F3o2IsdYkedzIrOUD/v+8hBfAmnR7qCkBIQGS16+jQEupVfZVMJ7TtGnbXZ4y
mMHENIo2ws1iHXmmJOyCIoZahgJu8aJTpys7nLTnu9KcsD4zRmaTqVswG3v/Za7WoTuBUDpyLIh4
o2m8iGp2jtDiDO3srmNw5t67xYgAps9pRxhy//5Si83K/qQ/J98ZiTL93+VSzqyXVqTbw90s0DXx
h8xs/1hBYI0+Q60PCmoj28YtwRiSnwlYbI0zhKmuQG9rywfXmBz7i5HD03V3bptH5WXiiGZbmgaL
bcn5M17lRej/MtNdVbghjJTYcKboce5LC29AgB6z2NUhIi4vHWiWxjh4KTIVsz9Uc5huiTgs4j/L
U0KysgTmSZmKRfN3zBhZJKjHPebliENfRnV4BumgiefAMhuMGhTInlgTvf9NF/GAVZEHI/nhu7KJ
VvHAE3HliFTVHyeh4WblA34Ky+boxX1oIG2H9a4S4AZiW2V5lpaw0cPkwgPd2sXrdw+TFb6VBbiZ
nbkMxuRkgS4x5I8iK3Xp/eaG7qF3mroH9Tq3DEIzM40Peuj13en9N7A4QPINOB5IKVB1tE1X9wAN
kzxOgSY9hkqp9nvmDyHBv2u3tBDeeETapBIBKVGzqz5aReO8ZXjtPZKGlM/8JxAas9EWvU8TuTo0
genBqrVi50OcQ6mvCEyBUCv17Uj6loGoQddrNsrBfezhKKh+6hXVbat2fXQySwNlhkqptI2YtAgU
/7sk8wua2Twnx+k6xoqoGyMt9dzHuVM0ww/jKNUujrCH4xCU9lYHbfViqd1pmkquuwR+Lctp/mXZ
K0Obf2bWXTT3TZpZSnkM51EUeCpnfVx/VpvcqIdTWqc1Trjv75/VCaJpIhEu0gzuDZjkwNuvB2QT
H43QaE8KsjbRLjfQFJ5TZuv7ICys7ihq8wB1Mvj9f1ibUSyyEBzjFcW/aK1OQWqFtTVtvJhaYf7x
kL8jBVZfnMJ0vmVUMSd1TqcNNO+CJsG3xQGJdrwczEpE2KppUndWRW1oPmV52NxYXewC7hkMh768
Zeyc0rCOcOuii6gT7EgSz77J5zm6n0qX8USiQnNUGrARTtiMG+d5uR1efxk8JLDcNDz4ldebz06Q
AGir0noKzWA6qqn1O1ND9ZOAk/eAK5TiZwz44o1NsAzeLEqNzVhCpUeorvQ5Er3q8QExrKfEqaOv
4YBJOCNicYnx9d5PgeFt0FTMaxdCWcAwCmAET/JOBbkqHbN2GOGHhslXPRYtBsGi5zZ9yBXLmx6o
hLrgH6tWivicYM5i78u4EigSJGxTZRcno5kdAmQ9tEPdjNjiDQH9r73XjF14sr3Gak+McxsEQCxV
SRXbL7ShUI9xFrizn+SjNh1MtadtQkbcRUL4ehsxr8CCTgt3yKDa5Rl7+0i9WEOGPhj0f1XcVEkM
EXgAojZ9mYPA6e9wDSxuOheM8dGFT2P4uVf2RezbYdDHd2NUR0ly6ECGQOaPorg8dLntZd2+0pK4
+/v+QbqOWIzS6TzI/jboMW4gGlfXm6bXWiP2bKN70cLI3adJ4vyZg8S4RGFZbN11y7VQFCO/oNMq
257A8hYbNKm8sVRqzfoz60MwfSsTMlIDzJDb2C/GPHliS2nrutJhkMFukVWGZMLALl4WvkMNuD8o
J+ePF07eCSpVcAAxUZr+OJjib+yUjl8Flfghytk4lGMrLu+/3OvDgV2XDBRgWCWeg/26bK8AYc1z
NPPjv0ELn/kiXCutjh0IivafsUOF5TlQcqf//rFFEcmRWBVLphNkrkv4aFbEgauJPvpd4LIa79Oh
Fpz/2qisU9IlZbHrJiX/mKz7K9gZ7iO5G0IQb8j0zJWDNmJizX+Bw+YskVRNe0wZ9BeH959u+UkJ
wBJZKaURQMhw4V7v1yzB51DEof63TpFemGcAGZ91DUrzDgxkPf4i9jj4ryMglT+oaNuY9yP17vDy
/q9Y7mTACkybmf4CQeGhl4WcA/g4o8EV/Wt0SdA9eEWdFkddcRLjsdEMaugPLsf9LpH6HphyRoLL
doVN0u1gbJqGfqzWSPcrHTJaZxV40EXMY7uFh1w9He+VsgopceYcfM3FO1YMbepre4Zoh3eAid3T
FCXFw2AMA8oDhdHOxw8+HpkhXTHpnk11tSqv6Kw6TdoqTeg7k5uZN+CrIuvZUuwILe7O67ZIMgt0
OehA5PpJf0mmX4HzS03FNmycOmwq1OyH2PrVQEfzXa17FhTgndncdLXymcs03Nt1/4RA94f6XXJ1
WYHLnhxoFxz+FvVO0VvcMGhUhr4dxcm0R8Fzrn2Qi7Hy3FqFA3dYsYZqIxatPiqVL7GIM0MPe61I
JlBAnmbyo8i31QTnpBxIj3snQHOEOy90qq2Pel1dSJ4OqRI2TVR3cLZXyrrAB+xkCNQA3qr3P4x9
2XLkuLbdr9zodx6DM+m450SYY45KSaWhVC+MGjmAAAEQIAn+jb/FP+aVdY/t2+2IYz90RZdUykyR
ILD32muIF36OqMfSN4sDSX386+Xj/V9vhSoAZkCQFKIexG5///5/Anbh4DDEiJR3UFV1lDgYtbTg
sqLy6WxLP28MNyO89ni8hu1hT00fAwPS8XACFxYxtaWSkTG2gqh40OoikTGXrmW3jR2uFbykhP8G
Hi8LdLZiHhq3RRhqI6NMRAhiLBXoGNxku1jWbUPQrHVHHxkQzT5EBQDuVtZTGm/ky7/+lf9ceuPi
3ntmzO7QwcXAWf5KgpuRNqQ73+A37lOXk7GG+yaJMW2BOMZhJYKJYFNuwtBGD6AKzvo2boMH5uK/
/hR/Pd7wKUB9AZINaPn+5P7luq+Bc/do4qLPguZuKZY5/Rz1YAbPGHaIMpAipW6OSNRpF/+PWvcv
F+BeaQJngn4J6TeoA/+6AYPvMyMwdicgGfu95d+DPYnHTwnG1eFHn2irHzy2JGOauwMqyS9BIKz/
H2YP/+X79l/bn9Pjf0Bn8z/+HX//PgmrephV/OWv/7j23+H9Nv3S/37/sf/9z/78Q/94+Lron/Kv
/+RPP4EX/ucbF1/11z/9peS61/bJ/FT2+ecMz8jfr46PeP+X/7/f/Lefv1/lxYqff//j+2S4vr9a
20/8j39+6/jj73/4/+n+31/9n996+MrwU//tV/uV97P+H//9rz/z8+us//5HHPwNeAL8D+BGgZ4M
Nu9//Nv68/6diPztLpzHNzHzBpMgRU3PJ6U7vGPyt7tVB9ypQXzDUrpnPs+TuX/LS/92X1kY1AC3
AxIWRn/8r9/8Tzfn/9ysf+OGPYLipee//4HQjT+vGXAp7kwm6NvRtMHpD9K+P28TS8Pu6XtNU8aO
nxZyGB8V5oRHH+T2TPQSDEN8DsS8LvBJjbs580DsQkPniSoJG9C9XVTqwqH6I2DDj3kBDQ7NRX8O
l9gpNgyNQMgO82bCDM/vp8sId+bCs85cuDqez5vDMq/raooXvUrMPM99M3/sS9jA0nYP0D0IVagI
o3+zhF3uhFFfYcN7VYn6ieTnpvajLi1WxAKUEAjbyy5A/XA658w36hTrKHi2Kwm6hGTnjewM6jf8
3+8/Fq2n3PUkGiAh3TPQ75xOJjm6kRXnhhdjbz2IDKQBw6TZWAm4Zr20XbtdlpSXuKTr0UWWvUTg
duCdW2BiMvP79pHAk0A7zJ7MAq/Xre2/GU7juqM+mPoxGXP0gLq0ehszP5XfFNj1h9BOiJLAAYXR
dJPecF51uS9VWo2Apm+/v7apDneiba97soCwSeiV+MsplS69oHI+DdMiEb9NXyfkHG9L71TR1lQp
H4MbnGWaCEBem417E5VMOTIX1hGP3QaKO6rGpFg3bNYNmsUaDkiPPlJ1T+AdLbfJc52aNdCM64oG
hFVds4X5no6ZjKbgupjlg8ctPcUj2KHw+iNLiKDaFWeIiK5BsoSnAbMr4OLIbsAg/7Y41QhHg+Mk
9Ks3iL0Ikx2qZtp9djs13LRc9RH8n48JqvxaGReiBuq1sHAhjwxvdkZYB2qTybliUqkoeYUYwAUg
OMdZSGl3IW1XIzCHPkBbUTA+Nw9kOKDa32+Q/65nPARnMGn2m45siN9ADwU3+lPa9MPjLq7AGLub
Hmx8i9L3TkgL1VeylCBljOctNk+hXn8o2OodkfJehqvtzjuUL6SNYJoTure21R8CbDwMb8eKov8H
U8t6mcVZemH0SLnyqqRJthphK0enB2uOrUJmi28ObQI9Af2VdjM5Wz8sGxjp5kpzcwEpvdBxxw7b
5mZLw1UxDl3Fpcz2Vj6JnRZEOPar8dTD5mn1mqqRV5Ohh2nFEWu5KWBnfI3pFLy6wS1AYCncuMeg
hpVsmAnpXOU+waJiIWkBJ4SDniN+cmB3kcGz2isgrI/LRJlnLxzDw6CTu2mEyED5n88N5W227/5T
kqiKh71X8cQ/RwFfc8LJg4sOrxzcUKCaC9lhpHzJOJz+/CEY8hhil5J57XQhwHwMm9kDjchPWGqN
FQnNCwXIBHiBFajwnxGV+NlQXaPOP7UYkReRZ4ZM2DbMMf0o09k5hHx9c5pGP23EHLwhHIplYq/u
AoFg5HglGBHRGQZa4BKttoiDPjmlqTwGDZfAIldeBjt9QAQkL0Uf13Oi4F0XfR5hFIG0CkkLPtP9
uMP+d6IDhpWMnPjmUlgrPMJJ83nr7HCyfBRFYmPEA5rmypu9kCCynVREEHI8myTbbfxNG9eDTKhp
MlSXTt6SZKxCbocLeDEPfggyBnzYAphFlh7tvCJs9+D+pLNHH+kjj+hfsx45m4c5bOA8IsJbOI9r
Ec1hW/bLGNUNJXg65INvQpMxJYbSj6bPoOk9NYN0C9OUHbiMt99/JASGpuN2Ubo2k9iqOWKIzehx
UIrtgOSRK+hzS2b9dqwm9I3Ytx5QroDxGNE4a5c5KLxoPEs4Db46jJSk7cfPtvHeumU90mWPXgTb
eTaI6TSvxt4QgfozJTxveIMVt7JsbAE6hMxv4Ipj8rmj6g5EH6alcUGgcy5pSPGBAYh7Sl9RnV9i
BTPoUHotVHzRlTs30D67Eyinp13q6bz7PKdb+gR6u1dNb0270svkDZ+MVXulQKFoRWAPqD+/QvIx
Y6tzf1EDwqw3P7Srnm8kdurdG55TB2RGbyI/+TqWEYiMD5KCzEdb/0WsDT2vXgB5X08vVupXVGLm
EfT9nyOwtYPb8gy75zemkuLuvZOTJT2sZpYFaEJu1rdbfzbtVODULFRslxJKoHfZwJ4W2WhtrfEf
8eFC7o9xMS7SFEhkLLoRubiJo6s2jvZMQv2QDyou5S43BNHYNcfUsYAIR+SIIPbxPHa3btpI5i5s
LFNBYsyrUI7PIZhVcHcIs9EDT3P1vPYsXUtqKZYfbfpC4GV38wT55gInRdr5lSAa6cCtNxW6Wfcc
gW5e7pJ1uf/Ai16nIUegLeakuxVltGNuOrEF2xbjxWIIy8PWr5t2pjgvb5J53bFFUP1dG3lJ/QKE
FJwzoNZlDes+W19vtdz8B4F9sVjbDsMWi6WuOemqXQlWatL0uTt3JZIk2tLdZ79qBFYgVF9wDm/V
a58qVSAIyBaBDD83m/eKsUpYpA6viN9uhR4xVFHeXIl9drOd0aScaKceo3gtOiI/5tkVGPKlaz7Y
BFZCyrw3MGzIBrsimhWVXTGsSz6R1WKlDtB3zvKsQrWVeNJkFgCiJCvykgMcBoNUpzY5O62MCh/Y
qutLgRVaeopWdt4oIk4mr+BwnYW8j0Phe54k/9Ea1VV678Js6W7+TKMqMjvLNh7Kh0EJrPl4kZVa
xJQ7aQjLoXH4wgxs+Vx3opme5i9NS98lMX0xS/2VpAMpY9c8oyq9+lZAd9SOfW44GXKtkL4pt/FL
u9gfcJ3rM1+lE4qtGPu6G9QxD6cnx4M/8L5gbtxjonCYoU3I+ml8ZJ044wJAN6nklcG6q+zS9fi7
MPJ/oITbc5VuFRyFz2BWPga+fAFJZThJFr+0y4ZyksD1dsLnWQWBhUMT5dDpdmWnGJSyK67lIpap
ioVEr89rlyfJDw0pSjv5H20z7Yc0GXeEpbjfV2bfUBkllddPBvbNd767ga/qytpzIrh7Tof5KyzG
33RjxVW0w4uL3Kh9ggccaBW5jl5baW2G2m6qGv6guWczzaa99GcUhcMOYebuLCKnxFYjdZvKpfNX
mOvq5wmVoElX78EgkQc6N/WNd5AstbF3XRQ5JwGNi2Rt03zTiQviorltNMEZMf8UELCdVFdMRqEy
7d1HsvS8iobhBw5NUqktLCJFppO/JewVpvhla+zbBpR2iCEUsQnSowdh8pBstFAm7TImB5M5bfod
jSCW9ejUDrQelkfuxUkG7xJT+G44Eni1w1dSToryPFrgtCZJ9LVBYOFhgqAlk57wK5idzrn22LWL
AnMCmMizcUY7ELe7Pe2IpymlF/2UNkJCMibxWaPUBLpjf+BzXIKhwxXr0NjHOnOlPxXjdAkngiIl
6m6T0/LcwTIuwKan+Qhe19T5yNQS1i0C/6Bl4ucmjcaHJjU0W+Kmryf1DHXsXDBv0OW4SoQfpuHn
EPK9Ku5uA11eiHME3R9VnuukGeYMUYWl8wYkfzvNDmYsZHVNvoV7nGk6Zz2UqQV2vgNyYMFrms4A
LwOsu/gI3/+01E33BugP+5bTQT54z3By2xkW2WLIjMXNwSDLKcGS5A9j2rzHw0pLtbtQ8vUCDicd
9HZ9wyFzeZIwIzoPPEbj4H+KmiBE/QfFs0OsOKIyiB+WltuC3MHJGQAQKi9V6wEiFkM6rIodWtUp
ucFy/QGuWBCNbtPzQJ39jDE3ipNDuqbpNV0ILjgLWI4N+VG1cgZAKPcT6TtMYHxnKNI2gXKLXwxi
jLKZhEnpOH3Nuovcf25oLY+d3I6Wsu4taP3z6iI8lg/e1TZtW9rGfG/H/bkzwyv1RJ+jgw7zgYVl
QthzesQD9zbFy69WND8WT3/pCbZdOtkDjHkv2D9pJpAYhaS0jy2SKzC7/qPbvIOPBjhrd9wLMqR7
jrL/E9A8PEGapk+YRiAkAiU0eVoSfomo+0nB1yzvuvg9sFu+UBc2tZGYs8HvP/SwvYKP8BCz7QBv
q2xL0Cdsckwqs98YhK4Zx/QGWkKYqmz9HB+WNv7WNok9w98lk8sr6M/QzcesySIVJxmNVZ/RNTlH
yIB41TxmKHORmhc2oEg76ynh7ZsC1QKN5/AQ0uUCtcua4cMHeRMnc570c1o7ff/mjAoPPzbabcNp
23o+rFTJzxZHg96ZX8AGMZs4KLMWs1GkCiaZWcyPXktSmK2HElz9MmNUaQCwuRI47uEDImE299kA
BK85WXakQbfri9VtGeim8JdIQ6HsQ5Mc4KtogLIIJvgoMmXmjTNU7RTjVuNeA402ON0jU+wA0U8z
ZLNq7o8bbT8JVBI3B+p1Z2YM2B04jjB9XYDfeTlpc2/3AxwLGo+dnN1rrz33iqB5FHx3H+lQBH2Z
Gmi+ezdkj/ApqwUqsgub5RfYnKZVvzfXfrb9gWrvvG0tq7sxyRdI+s4k2ObzMLlutSDmI4s9Zo/u
MoxZz1iRstU/KH+0Jyh+xgKnX2V3UD+icWzykZP9SHrQ5elCYIm2uV+V9aeL2ydhNfRLlzcD9qFY
et4ZYt+kjhG0XiWbNxcO/FOOgxo/DWD4Yf7O3HMbfO6S7TOyv9Zq134xbnNwZhalGrLwPrWTQwrI
aFjOUKfkzWzMYSL7jwAeGY8cO0S78SZHAI+5JMZZivR7FPHmAg+C+/C0TsZG5r5yLiScf8B8lJaI
7hyRZxPm3Fevs1h0Ds+DDc0cPawg3Waz9hWuZneIHQX2bdrXbee84crqEsgrsnEOmJ1uhWdkm/M0
PblroM7Me5KoUh6tP65gjGgG0so+XkLhf6atfCEqHg98jWBKoOIfnRqPyDoPS2bmu24MbnJLX0Ht
zss4mJyc8a4tghS1/qKW76B4X6bOWSo9hzq3OvQzV3jTJ7UyCUxoa+sVOaRZiutZLUvcZ+B5hBUH
lfwSjxfR1KpLhkevARCizfwwuXhx5TnrA8yAMkQqkFozIy4cY9x1WXgl+8DJOwguMndMOGAE8Mpg
DzqXe0rl2YFfgQxdSNzSYIHuZ7i4hK1Fn64IgZQUshgUt/EcFlPC0mJpw2MshS6Dre8qYflL0iDt
WTV1mNK9mmCRA47VWLTCZzUuVm4tmPqIf5MFhGyIe9+d9riHKG0b8rhhXNnJaa8satBAIcuAzxb/
ePuCkfBUU3p0V6jhbNhtsGF15ipdCbSf4723GuKH1edBTtL16Q7PeGy800v5oZlFMSA79MCgx8yi
iCB0NFrMB+qhPlsWd3r0SaeP2qPHfnRwPGno3mInLBIyhPksHJ0PC0lqlO9fk4TvV7ZHxeZg4dHZ
R5B2QzKxjH4xjKhf4d4QZXLGG/VRis2lnfmNwGEw90f/aZ/b/dKljVvGcKm4wQrivU9iZChL7j1F
eLBief+YizgF4L3loDShUUV+XRNv7WHGYkHd1N9EeNTL5z3xMjyjshADwQSJEwSF4KSHCPzCdiSu
BHAhzCB7THLG/Jrppj/OvMdB3eod2EH7hHBKePQvPc0hRInyMUWeQzi0awYqD1yGPL3loXI/hUgF
KWG0eganxQG/Ryb5OnRXJpAYzhvxKelbgeU5viduiBaosTXaZFBqQ5XejQCia4vx6GZHW7dLYgvA
nYujkaXCU/SeEI5VtFtZQbE358h9hdrSAWlFxBlRPsnhqzjUnbeKMnF+4B5Otfaw61ux1V6TjmU8
44a3R2O25cZSu9+WbRQVx76aETej/Q6MEZtDsEoP8aldWrdZuLv91TVBW/SLtcVgWrR28jKA5wjP
jE/IGpuOs6BxHmBSViSDfk/2zYXQNVfrQLN15qyOBK5aP4688Pi21FoZkg3AgoqFBf0R3s+oaSUv
kMiQVEB+Gzy5OCqXjjbFokHCnhlqdzJtJ5283h20Cq7ge6TBDZi2bThqvaCt9mnpo4I5oNx8W+xc
YYeTJ7S26jT2/XtIfVpPWjyTfQ1Pq9nLlTrAOvXelO0sn5MBZX/bkFM60goIh1Ct/0y69ob6W1Qi
WF8lnlWM41eYk4RTV0INU8DBg52nECTxqDnKmX9ewFSvV9YlpcfZLx0phPm5HCZmfLjSvbBiCE9O
B1uodYnGGvUX2rZQ9rA0MXMJmZnIPdblcAI3lZFLOTa9e2ATDIqD2JoduMN0GjycQn0sHv3REYdk
l++baVhlrbcWmONBtDREB9QXSWFNh4EO+FakkFKEdy5DCFUgmgQ6fyYkvAVGuJnjLGumwbjJMLri
NUbJ3Qk+5FeoiuWDQhdXICYOlg2+5nkAdLKEc3EAhgzxMqOmpty0+IJCCPemNypfJxSclD7FnadO
1Lff2x7Q+7yLoA5WNWYDCNzOlu6oA9GoSz9sc9v2bsnmOM4JYKc8bHaRAVBqADehLjeyOwxQHBQe
cx5wTi+oaXiTOSNa4qbHUp3oko2W9OgMucixffaAGSZzCi069RBUoowv5IXCHPA8Ym7I3DptkvUZ
YTx1ku7vmkRYkKH8kSKbMLfpkIDjEkw1/B6m3r0mRN9WAAvlqrEKOvirtg5fXoWDN0wi8ZW5bnNz
jUUuFXkM4e6SuxDj5aGwv8A8mzLHpzkMqWHc4/hHgmyRGv5CYdEF3pfFjX4QOF+XwpSIZ2qL1rtf
Ks10xkT7Ch8R9TauTQ0sdDgZMvtZY+OMIh3h7E/qsXf8y2CgKwdM9SsNrqgXHlfwDkvkECEiyJXB
jUWtAHeNd0fHbVnRyXDMWB8mWeL3DHaT0XwC+/6B76QvY6AYxTpIi7aF7nUIW77zTKI537qgcvB0
lrh1HJuq05xgDf8W23g6z8t4bv3pMZC8SgJ46d610CXpWxdggvoIuAGUuPnnIVzNEcdnA5Kf9+ZC
61eTlP6KV3kFZesO3QHsmhiP853DMij12Z6vgHQZ9PkVqMhTNuzNE/caXQ6aRrjLayka+JLZpD8P
Vr1FDncPHSy9MR3Xd3QpFMWKdihU4Drej3HUKvwAmUztCserItVcoj4EsuJHKpvCyal86X/ZLQp6
l+ogh3kOHCwAY+ImHUAmb4vFDU3Ru3yvV956iF6u5XSGcir6BI91jEXgWlgvnZOFQxjXPO5y5MEp
NB10Ldw1bo/xgma+sfq1cXVwmqHVwnOcVHHUDWUznHgb4m72fgmR3CPZHNxGHoSFCQdVwXAZb6jX
Y6yO08b5YfNSNB6qpTc2V2RWwLlgnphg6FJG6eMyH1hHuxIlY1cAx5unBfpYIVrkCzmliAE6Q+N2
tA2mOeD8I2cJU4ps3dMn8N3iugWgWIBAQlyWT6M7l1vifQm74BXWxO65OYGdtqKSY9PRII03hw8X
6mRCk3dvYZkPknDFe/7u+Op9cvctB2sZW1DUwnB5nwDd4sqCUNdc4OtfY867fVPR95noC1wfhsxl
+5JNcNQB+h4mRWO8iyvoh15WcxgXIKOr8EQR4+3qpIMV5gRTWBz9BE5YFtwhOM0coc7EPsVjLwvk
9jZvsKRdsAGU6TDWnXbEEdNCkkMkR75OChg30jte9QhRDdPYHmQv2SHwJ5M7qErLBCoz0TtbxUaf
YrcnZ3hb7Xi4mD0jJiHjDopVCivRb8MmT53u7s42y3nx4bAPagHMWGB2XPm+eWjNTK+dixycxKlD
GLLVZE6/gnMBKkkMaBujMLrEa7217pAj95HUd6p0DnssXagUiOwkl/MOa+sMuYxBtW8BAj90WCHg
FLuJOSDWabih/fqKonIre0OSm2YrQVzxtuRDP+7FflyhDiptYn8ia3bOO7rcnMEbSogpMdGw4sWx
zx3S53J4UGGD5aFXoHS3mc+wQQ5NeE2kd8LocgDOprYzuHhH+K2stRspVdoF6IXHRNWHDoYkLI1f
dWLeVHzSIRSLiBdn2UrpAcpwUu4xDM3gqeMWsNfJQAe+kVk2RUQN9lOxHjdvOHOqkYtk47Gg/vrR
T12Tw58MbidAThPf8bCigzOyc0H1TPhy2lxVjw1RF0JQGfTpVjud7eolHd/nOb1Y9D9vAvbijKNh
m3anPybMHAcwgjHk1dkWqLDc2nBGHwc50brDHd8O+3d46sizhq1XFmsPlIlu+yYx07CiIQUadGAB
cBJ3Aa3PnlN7MDB771zsW/tngJ3BRU1BiqoJ9g8rnTWmW8OL0/GvMuyu2MW2gqIDQebAagqaKJrj
PfUmUdzT6H2Uqi881T0vkALXWPFrOXvI3YGZRfiiw6EK2PjOk8EvnRHxEY0esKpwJEohsT062DDA
nAnKsBloiekHTIxpajPnAKmWB09XYKSkNKHbQO3bIvhrNeaC3u4Gb5awpLN4AlPWyQcM5ZAK5SKP
oG+e+SzvOEKUDVDCfgqad0RbYcLZASXxCabt1nvCtLp/gik9vHXtWeId2LpWGPWlhdA4nNdg6/LF
b6Ad6TBktSA2NQPAGAyJL93qNPAoi+9fd9acyfRs2bYjdnNjt8DtnSJyt6GSgnwf/X197Zu2BOPL
r72eYVZ+D1Qzi1X5vqwUOxCa932N4O40KLcgkOZm4PQ6+HGYVMSUX0Rk+MXXCNmD+10Fw+ApV2gh
M2CMohyiyBYAW9wSihQ8Du6aezSUNVgry8kg9rKIggmVEwU0mw5+V0/wB7TqFwb2H42Jx3MkuJeH
vpIHwIw1usvvcHSeDlO0IaovGuqdheSEy+gC4JrpcVZxePbuwT3NMKp6uAMsCczuzkEUPA3aDNgp
n6d5FE+wGnsLoHM+msbuORJMSrqgP+8WRgtf/B4az6cZPOR8WmZZoQdMiolpTB0MBvGtSVFQJzvY
ErO7AZLBkBE2Aplymy7vFeEPgTfLx2FjMktqmCvhjo7RA2DR5gJ6VHpJbIrBR7SAiWv8Qq8dMIud
P68jF4d79iKGG2bLhzZ+8tkGfw/J78Jz1z9Au9zmxoXJb44AAY6yG4eIG5RyctcCmtEKEnz/1C6N
qjACVleAzUOecugqVVT3YQe/OHfmV5oE7MoNnsTFYEBHnNIF3J4h0yIunSUSmZ+gtYOo7rL72SxF
e+4ctMpYzKhi3X4vw0UALzBvnKZzETawprKzyWYfNuobQVm7UAvfQDSMnouxhz+KFtpDM53Te2nx
u8dMrhxsi9tG1EHAhqIKPHECPwNdZYIiPdbfHDs8+xRwKwiK1T6vBceRhA9l7/DQ8i3sUl6nCrmq
ALgx8Vnh94iheYTxNXhXIY2949IItEdhC5qhIUhM6KIZsBM9chmTSuNCAFh1ynZLfvUxjw403lXV
4pTCofnTt916c4x/Nt40HRv+BkN4e5HR9gFW2FTAlJ9mnjAYi0N+WOhpLQEEfwOlM62w4N7QZOqa
wWIrQwF+DJDdV+y2Q/VvHOzYHrWVzzA890GPUFJFFeSCAr6TsGeFjnKsw2gFfJhovOoG0gM807/D
mwh8mrvlto3dDUu2WBr6WY1NiJI5why3deHkntARfpHzlcBpoxIKI8YdhwPiP8sIjLl899dns7uf
OYg72HedEMkRUSHZPuCNGjSlsdeBNCH7I9Sw1f2MybSanVKy7h3rBm7gQEwzTejNdO3rtVOJzSEm
cErPgcGiSjRqtBQDAIWhLIynVzAXgbCbD7s1t6GHbwxpwQfxAL7YztRMkM8YLXcHVye31omcikhc
KPgA45dH8ByGLNs3yHovG7T8JXAikuNGwpHN2BqUCMyUu+ixY+CwwlRjLxD8/m2RwwwVhi5Cn8c1
Yt5fNtHXyKnozrP36u14ZN1+IFUa8keMY7sbQcJqAQsIAeKT/g4qX9GteImhtxc+kQ+JxKzCybD1
ykcMOlGpqEgdUEw+kHDqcT7jS45cPrYBj2kEw/QiHQYLzCVKc3Of+A2JiarWtaKaAeJl62R+Gti/
AmMKPm2wlz7peArziGv7OnRfd9TJxW42e/AtOSUG3JKF7WEBLD0PDD6uOysMXWEc4N/WqMlhkEkO
YSJlGXavvUZfCLg2KgGYeKfff/g7UflsBiyYdoPebOYjiB7Gy/m85Z728Ls4QHFm1tAcAu1yXsWL
goooC6dxPXSji925WWjVAf487WwAwqnu2cEgBZHppWswjxmA/MfQ2GRT2g5HRYW9JEgDyhLdpUjG
ATl8TIebA2sjH7PjV2L9tVzYBubWSH90E6UFSMnYeqMNwhCzTGiqhlo0BvC6wYaLwS6IV9L0p8jc
z214epaBCAouuqLdMYRKBZ1zTuySacycck2bly7x8et3ew1CppPBTgrHFzy7w1CVkKuMUM8kXR5G
sPga1zwmwfPgoeFkATD7Dpwf1iEGrpHxCxPfYQ0KxpsHy8Mkwrw+RcHkUm9FRZUegI690XVtThtv
c5Aytnlyj0h7e4XL3A+QcWCQGM825zY+S8dbcqdVmOgLdFnt8MlrE/rRjgzNu2RHrWJWCcyw0xi7
HRtA58XR29QTb5527HkHwETP8fjbJwVTDuWsfe470w7rR+PgYwEcE81bD1polYJUl7eOV3gBBvfa
B8TSY2SGkyY8KPDfqzXkrIIeEZPQkKNrawHfhEoGR98NjjQN5xOEPyD3AYcqQpnGJzpM9RRE2wOc
8vC8eVG+EO/W+vQL3IpSDPAiNAJXyLwbMBQoxlgwuH2ygdJPsltQSsHC8ACnH6iml3d/R/cBc9Mb
MOy01v+TpvNashPJ1vATEYE3t5jty6vsDVEqSQkkHhL39OejJ87FKGbUI3XVLshc67cDm0+hum2H
Auni/ucpxHNI2NJQZK06cDaWxE6Z9s3oaiZssb0aXcmsXzt9WEVaZS9AHIzwVdcTa2N/BOucRsQ7
qEXCYnZVc+ud8aDVwxRT+a1hYraioOrhhgsYGOEtKsy9EUGEmx5nwyovOeri1usZW3Ros0Gro5bF
MFxcNcRp+43xkgMSMXtkuicfPpdT2Jxute4+WxnDEUqR18BP/85Ce9Iq7ZvsSEJMPWIkqa296z2J
lobcFTWW6tjxDZVIO4TXz/c0HEZ5t2vzRz2/T6fhY8xOWeK3TYiBmJAU9MYYe3xij9M5Wu3iLiAF
r3BLccQQMyZdmp2BUNJ4FNY//KHlZX9TQ+ovxqNbzjLWVvtH68yNt8RoEjfvmCAgnQ6TGZTApO7w
1IhSi4lE/FO5coppVANpsH9S3daYCbL7pSnOIqjcX/0SnMDaoCeNnXQ92/7fql2bxGCSMruhikaB
cFRU1t927COlFwjUBA8paFI4sGOESxCPgQ/yt/m/CDK16Spuj2Zfpdd3Mbioxgb2hNpJwVECf010
CHOl62+dzSUzQblVGro9gxmw1U3kisQJRAsi18TzF+4EZ+0OS8bcwi4Ub5h/4jpwvvKdrXQo1zF6
+OF2hqhKnSkNqUq6sKDIGKTYjR2afyJ7WULXYjbaq1Yh7ZkTJoKmx1U3nlZC+Pe7RtY5B5LjozBp
vgZpgjfhaorG9r/DqvnlkeMfdkI3AMHFTc1UnlhGcTIM+SAD6LMdNyUN4rBU+bubE82+wiKI0rGO
Wwe63LbzMbWsd7bE9CAHc2eW2hdZc9tQAiIPFsZXCw3+MXN9GftDhgAJEcCFIwyT8Yity7ulrk8p
sk6G6DZ0nGElmoPMMMhP7Dye8bxQl0wMh6a0KrhLNIEIjm6+gLW3nKINeycDb2LROBqaePfBbmI3
XS6+u0Ad5bY8aFBgKFs5xIzhmc6c4igw8MdeP/LDX9ztUnj7ZNxfiuW5c8b+TlYDoAj/oqDA3ELT
0XL2LLuGX8tyiszmHmy0iYbGfhrFRI93mxLn3d3LsWlj3AooDQud2ZEvMHdvVbcNiatAhfwSnkJA
9Az1ALlm9yfl6ss5MC5qtfn8uUDPXs1aXJsqLJX3hisNrE4333RJunTjzWmsG/ZXobfFESdtECOs
mmIn64CdJvmW29alsebtWJHCFtEccAz4XadyCdXohiwUJDh2QZC/DnmQdDrHTZ5ijKw6rzh7RT0d
MrRkmfTuZRuMd1oh63O9tM+rqufHnIirOxvpr2ZciqosXjKd/dMd1cmbXXXuSX2MU4PhkkyvBWbF
AXXRrTseyURwi19aSw+rKg1OTNE4J9ODBktfbcjQyGNh1c7FHZaeAwrF7Nx1loUZtv0Nkr+9df8t
Y2rrL34lrcQjEPso9TpRxuC/9eP6mbntu9dvKqm0oQZB+sAdBqeyGqjBC9IggtqKBrOdQbC7+0mK
12EhCl3p6WOwH2pytjR0dUWoW8AvzbrB3kCf55hNEjS4v6ocXtQCFeQZQe1b1oqf0uC/OARnh71v
VSfd1JhvJAtBJ5M1oJmBkV+wmVh8udEsBBwnmeW8wVl34cWNlrQJnbpsLpUDWjqgqyppSzzwU1ee
kT9s7vreIbNG3YkGO3CXV2tIWZ5MlEvTNtZvzTj/IkUMKsiHU1jqdo2tpbeOrTbLI0r/I9YmBzIl
1+7dIHszJs7ebETQNjZrEwlOmvsgNe+82atjzrruaNcoVVFTX7ZiBiINqksug+bipODyDIihoQ0o
oQI7A81Zvg2I2HtUEGHuL38XX333prXrtzPYtHw7Lz5XemulzwqTQ0RW89s8Baictf6s2drIbW/c
Q5gQnvOckYkYBeimQ4H4jvbA/oRs5K+v5XaErrt51lWqjkXZnrsCqQMqs0S0gzhXOEsSJAN3qvls
DQDNUtTmRRcl+JUomWNkdZ6QaEk/G++LinTcYcnuXP7lRKE752pyPxu3Qu2zGH9oR4DE0eDz+NiN
0pGhVANSnHIEkHbya4/qJxwWZmVtHQHSKUEb6Y4L+wmAvXfnD02gGl7CTldd2NurGQVL34WjX3cR
DICFkDCs67WJC8tPo6lvTgXWmESsczxKv00qSNHIFBcFgR0u2XJx2zburOnIteLxKaCHsxHNjYNy
Dq2BdMNR6mnQ2es96RKIrP127EUd5nFWCVVxcCQayr7Olc/FpN2MrTbPOjmDoeZpW0QDUh83nUtz
r0B8kQ3/JlPLYmUPLltWF2r2cPZyj1A1m3EXPQr0b6D/5PmKttoTL+TxHcwSMALRO1dPwwdO50uc
OWg0cCi/NXdzVmuH2dUm+Ej7r5u9lMPyotXNiXSpuBzyr//9f+f6vi+8SwsuF6kx4AiwxB+/Qoc/
YDbgj3Rr/TlsfljpgAytj9aPsoNjUagPl/4VxpeWRoVWXJpmpKKBIKpIV/pflVl3w9y/ANChedny
Q5qW5yVXdjjPZppo1fY0TkaG/p1pbku7g+6Pb5zo4xUN57koyuq6qzpoQREXEmwiDqD7zU8t5Guz
G+roFpWY6nB1THEIVF/xEIrPtnLeM6YGbCItu16NbTD0fOMdjX6P1AiVqKvvI9HX0Om/V895Knlv
VmE5+CRQjlFJKGLLqL97kZ9HgTjOHAcRFsAvIRHlb27a/GHJqHgu3X9rUUZe9SF1MYB5W+pMFXs0
ufaxWLfjxPqEYHFFf7tOD1t7HlcoBtmGNCff5639XmwGBKoYcZoIhDjdIV+2l00vmgMJIfBY+be3
mj2Q6fjH99uHVREST3D7+2zkB3/eqhgVaRmmbkCjonsOkN5ADVCcmOtkYk8E39ivLcbJE+GZTCeK
xcepfD/y8uXPqI1J3vwdVp8+cdUcq7m8Kr6hpkFy5S1G5K0EK7Uyi2HyB259BXxsZtjUpHlBiwC8
hRTZUqN10uv5IH13Ag/fqhAG/QhPcZLVLtpDTBziIT8awVM2pxQAuBPWBNO5Qq5RKtx6+O7q8Yki
2MTw6+dq/0OahJR1TftJ10GWbPFsdc0YOtVCBU2NEK3iwrcDU4QYG9DzFNWTbPBj8pSC6KCnI4eP
JWitf8Pvh+VUrwe3anTmHE2FDV07SSvQbG1aWJlIMZD3pxdpY782i/XoT/0tl8tfVKBFbI5pm+hG
/6w4bo5KRylTEgYWSagNfUFdr3m0/pVDvAoWX9df8Ypm8uAt28IFYL2zt1tRU/u/W+WnoZ7nCUg8
CG6nhalOQ2iqmm+4K34eWX50TPk5Tci3F9uMGmWzzAy/hJn2sCfu3RbUP3oDVZZ1CpAS5qPYH2u7
G14RrYWmnX+6xm4wKuSdaYHQoWLUcGpk6tSJcUbhM/zdn7igyP5kQ/WjB/tZsaYMg9MD7skw3fRz
uT+OsyAcU9HnkRr/DOXFTAH5ik7M8QCeSxK/EoyCYMgrIqdCD06mF2vdiiEBPIWtnXblbc0vQKZp
tOMKMSqFifkZpb0sLI7wbYvg6FSmobqgYsXWu4falDczV++UlYxcxoh5pDA+CK7/lvs7n47fWlVs
wM9pnK8euGKf/lmy72XIymgQ+aniJajlwNAqzgh3Pki1ePO4e0NTjY9WxZ4UwY1qUTlXMhq87aN2
Jj+qKbQOTQsFkMlbr2Tzzr1IJ4sNGs/HuZUedjan+1uwufetPDJJXBTx3sw106Oe2fEM/cx3RsoF
0qiDVg5j2DTIkkkA92ra7Ai1gQlo/N/VOs4RI+5tcNTE65pfnMlYWOi0Cy8ZZxJWr2iy2wib/K9g
bL87o/4duPvt5okxmVm4ifX+zDcs3/S2sKdO472X588t/zg0dECr1LmsWX9oHeeN45Ud/L/PebDu
y+3HmlB7+t12ywvzvM3jb9ChAulp4qnlCybmjTwGtByb97z/Q/aaHe5BC5CpXQhZvrhEXRp9gerU
xunj53qY9RbC+QIsxLLgf8zGPasBLVSJocIvdAXMgCoMB/xC34S04nW7+Hvquq21H8TAn4U/v6H5
5RbVqCul9SfsGmhCxRONde417eleVLqzxIPmHry8hej0/+pGlx2HTr1UHiWD5QaoCNrxZQTNjucx
N7fzEv/3Rc/1gbaxJcSZcUJM8up5axDKvrl5k3FS/bYgquaBtJ6nCaK5Tv0d44I5lNOn5qkDsScA
WwbkYYdKpt/vJop9e+A6hE1q8KNt9BkCqkPH9MqI0CNFIr2fb7o49tAko2F8z9yEWLDP9HzI0HLW
UwlGNa1FuCzqe/WY/mlq+vQqP0m58g593UM9lWCVk3VnbuMXcZgM8F3hH+otccvpKSs4810Nm6Mt
UgTMHUvMrqQOguqL9U/EJKncBUNLOuh6o4injxcf+hvcfeda1a3lBhCies/Q+YUFIfzhNjafZY7G
cGgPfa+2S17V7wWNBIMJUWXvP30wegR0WWmejZ3oWAE9/vv90SHdljGsxZl4FOmBvqnqlBmEXDcN
OktpMB64sgW0ZgInG504p2KJjW2qkq10mMgconHN3jm3LSUTlPv82jo7CjzBSSxgnCeqKprt0TDt
9BiILGA2EAr20WHMKxZouYYP3pw0JjDdfrLHuj9pcvtlZU9N9ptH8p9QTJtmYT+POmZC0SFE8Jp7
HcU0k1YfQ/kkTg1FZ84I1hqq7XGk5/Ajtv1KLoeE3FGPRetmz6X0XqsMRXXA6GVrPRGUXhoaJkyR
BeXUdjaP42nJvFcPIyLHCcdim5L+T7feByEqtEXpbDKcj4Q+ETteybe+zT4CjZZekO4Qa5hgdMWY
TbDNI3pcmDD1q/BiCQZBjDxq3Y57WKi9MBpZUQ08QfTL3cSyIRt2mKZ6Qojeofv2MG8C803dBIE8
V9deH85+OjfneQFuIe4jIa9+pc4GAMcp5N8iT094Zx8n8uocZCuh4YP4Ii6hs7YG98wq4g78N81a
rz2WvjIv8ghUDUFc354ma9FOCJJdLJ5vpqXMOHCZMLjt6214XanlekSawfDlOwjjDO9WoH3BLrOR
nVvmX+baogMolpVHsRnj0kXVU9lvc9rpF5n/TlvzftE9HqBVRw3IcAl88zkID8sOx/vo6Gi3gUDo
9+4DzhXwTze08PDNWBO2cfUS+GekjEWNKpK+gWCbOQCEhgQYipLNaUqkIzfAueboj+ouM7k6ybp+
Md362dJWlNHTzjXPp3kOOFlkdhKW+9IN4t7gDJ5QyV1mUXyBNMysgP6LvsGkGqb8k0qKgLkKn1Im
/7zygM/4W4Zd/D0EpMsUWP64Yc+9C1YtLcapKijCEg0ewb+nYjYee/p6uM9FDpVHBFo2jyHbvH/k
amqLpjv3VcvplB09c7uv4dw7r76jjQQeCzJz6qLZK39MvsFMo55UAExmIKs3vVp0DJIL5S/NrRMX
zXH+aDRAhoL0qyjr9B9skkuoBoMoMP3M7vmFlfEwFxz/3Bz+HFBoQTBWnto3HXZshxzReC/reXz3
tF4cjLR+qEFU4nnw/2R2i+tLvO1y5BClI41k6MoWiPIkI6SB5RNRrYO2cpDHyYaUGSbs3HrZGFFq
aF6cnjKvaOPNzIpDX4qDlRlf//1Oigg1qnTId9tK78fW+CJa2z12zmCHg9SxxC4aW5c/H6FszZKe
7kzmqIZW/8uZphmrGXF2DCQfRD7Md9L5WTogCbe987oloY9dxea51f32mhvaHRA2RhdCcSKaEAHS
OvqISEWH6w5mAxC9SwJEYxfds1HQLT3rmcfW07KcZqdcrlaCiraOau5VvQMULGr24WEDvVB2E7fl
9E3I9pBQ25El1HYiEvBjy3TnRAFuh9D1KdId/zj15VNajozuK7MW+GWBVedQKpj7NH9yPOPBNZnM
+rYzQifn1ljkCPY4PGB1xIuKd7FHBACMzJnMuULdWnXgR9om88q0PnV4fCjOCnHeCr4oZhcsIQYO
lz1nunoqrKuBiSYJpvl+NNFKAmCRi4ZYjac0ddeBcTx9yZuPzRh/zd5QofAdH5q1fTKc/EKDDTXz
J49eAHc0Ij3tn4cpBzhwmfzaST8Xbs22a2KVxlEjqvqCzv1ervm9JlzS2cuI0pCTNIo7TsGTZjdB
OLhZDTQHil+7B+aYr0JwlRf+hk+dyACTucNDN64BsAKBgpEvzllabhkV5iQia6mfupyU5AobT7T8
98oM0Fi9P2P5tZFXjJbACKFp12r8wOa8kODTr4mXle9TLbXTpAXMFW6Hu6OhKo9a9mM7T9dZ+hZv
3MTXD+blzvoUcjgWV8I2EB7OIF7ITUTUjhSht7lxJLNMRayw7+AjRNmyQK9TAbfpeYeVAMvIBKtU
KLGZWlR2Gjd9N/ZasU5Vmy6K6bhUTLJ1OjJ62sWDFagfFEZ/U4EnRgC1RzD8x9FTZWTQyBKm5XCx
NGwghZkdKdv1mdhyIm2wN8dL/gnjwYfv8fh484gGHnuI1Y8RVppn3xsQCPJ0hp2Dy8ZwsiPmyP6X
Qfxvrbyz1VjlbZ34G+tN8AnQkriYC6TayHCwIi+m7zVsq/WJD5HOgmLsDo013UZvfSjm0eLrWNJ4
H+BaacMtpLUBBxBiNH1rOqniqdjuWr+oQnsxKpyfjZfonJYbPUljiXLW72aweVI7qXY0sGFo/r/N
0zvAFxyKFqpOTXNuxJgNsSo8KGsMNqdS+3BriC5UED4deNtfgnnUUWOzBin376xKwf4iXlsCoFEq
uE72gCgQMHjB16Zf84wjPzUQh5dZ82TOCK5kk6+JA7oygENFeIUC/My7bq3khRET1ododJABtk5b
nzO2iZFJBkCqUwneHNBxF/1Tt7QnJRESzR0cRiUgKx0fk0DRMz/agO8T6iOM0+g8pJzuadT8a7fS
POSBfmlm/oIMHv84NdMd5pkHcndbfKbxsswdYGYT57ZzTLFhlAuoILIHVgULTrpLfzTkeslcOm+t
Yy1X2IQxMnX/q2vgpc0cwLtfdxGhZTbMNLqMnEV+b3X9UpMscWj3CIilrpB+GsjXTJN5FjYomvX0
ZaLssVzwV656mkZ6rsShJ+0s5FRklk5xY/T1+jrb/4oxgDWw7lzE4SFhkkO0B7YxN/IiGBQLhDCv
DuV4fxZCX+/6K30/4kGO2Q/VtMnilnB3oF9kPxjrkhTMYcc5cz/ZXZlXxu1f5uCJmc3Cuf33C6ap
dzpSnOMEjAnPhKlFBd1pR5wLf/LPW0qBpl9575Iv4uhFR9qR+yYTCQHcQDra+kOBc4u2vQwO8Dzc
13P56En7pGJj/zrthcGi2WCeGslrx6G+1ewNJh6ZhA+CYWTNO2xlfX+sDG9AwcgIkddQs2benTTM
MB4tjcdN/vJbLk5rKA+l0Tv3TfFPQ+gX28AxnCbiQSv1dyvIOewpPAu7Me3jDBr3jLTsY66xMJBP
YSCMmEuE8curOeoa9OCDoY0q8cjzRQtr3hd0TpR6CpETMI2OLdEhcHDMpboVVagfYmefXTpd809k
cH+nflecVlLSocS7C8kJhIFLBGTaeGK2UNhIsmOqBRWua5tBp07zpJ41wmQzIJGmnz4EirClGjAp
Zdk/bjNQfJQ9cfO/MFSydIMiDyJL79NQjZ8lcufFW2NEzfYNQ2ktZPqQptWKO8RFd+DBEDCyFchQ
NzPkJ4IgaX3iZwQd7xAq4ZfaA3whNRv9bCXbSG2rkVJQN2HossxvVcODN7Yvj6nPva0jDo4p8cSo
Q6fMMTO6d2Ke28My4gDtcnWp+qxO+kq8G66DRhos+Cmtp73TNVxAye4nAyxSTtB1+kRWoqOhThB5
z9JUjCKyZXUKjGE9570rGWtcBDlLYR3X/dUqbPrsiwKazobtSAbffUQjNF9GFm1rclCsVkMa4n2c
E2O0p4PwtU/MjOYpX2YqOuTygPuC+bKrmLXs9VwOBrJlCkmS1ThQxTVzM8nniXUstxY3WXINRwNM
J8b8st7ce1X1Z4kO59Hn9bMIYCBOpUS07LX/NtXRomZSMVZpWqyGXkEU4YGVfv4wzPLZ3byDErX6
wHCAlLNwz842nJcBpl+abIOVcIIkBboiTL25GDwlDp7PRN8bWoWJ6AfZFTiQ08yQ7KJ5YI+nZbDr
VgY5VqY1UM2hccXDsMKlgnfiYiPho9H+1Fs5H4uF3YKwv5NsIdgHwWKV1WZ1HI3mDdkvY3Hz4Sr0
obgAASdpazhsnbDiLFMPjP0MJ1WDdVzj+M+ru8GoWIihaTUKdYkQQa5fc3oWMJBh3TQgqWPxzt5N
3Z8HuY+NOD14Ffxtt/HnRuhY5Ismbgj7D8ecy5Bgo/MMXDMe7fG3O7To0MrPdlu45HbniuXZ5amp
x/PQ1r8sS18SoTvA58yXGxRAVaog1CYKQhGQsiuojP5ciRK11VAbYBZCfoxVwNMV3n0zxdpF0mIo
3Egwip0Kgyu/tSz/ZKWl5PeCmzuVsYkTj5ghOUe11zyWZBjFakQ4nUHaETvCt0zIHT/6PFsPeS7y
qJzkZ+Ct8wEDNfuobPkGR/eK4gcmysabQxj5t6q227os683WtHe11cMjSTF3+TKRwrQpNhMvS68j
T7+Jw++u61hHMDiArXvj2jNJJlpblDfBmt9XbhEvqWXG/jLLa1/pd+QvOa/zlAxLm6HL4E4boWgP
yq6ofq674k6nU5SkGb2r/EOWGQS2zNA93pAi9UFiudEziqJhUjeYxKAKzGtmNpB0GCIiM7gAV/ev
cizEQ08gGLab+t0xZHoyUxxDpay8pM124UbpOxeFGbIO/QCUIyehJ7XTT8PTXh09R2eLQfPS2tUF
MOy1Mcv8XYr+qVeG+c77JpN28TLMwoZJXzXIqQszAflaRO5SFrSskI7XDxWY5NK3l//919F0X3so
qwOAR1PyTqruQrxde/E7mwKG1fkpBte6Q1m6dMPX2GhVrKXWj+7x8/QxGYbWkZ7X+qotXwVScqbs
EZ+lYZ9cs67vyPt7I5Yaocy2/tSGi4XLzu/moTv7Ml8vZaDJe6NkQdJ1fTniFeQcyHamb8K/q5Wg
OVjfQL/TCymqxrHnQ4/WYQYenNMrkYw194HW/BK59dRWprpfSBHkpKvdM0Z43NugEGfDruxf845r
IQx2krzf7F9EeP9TdJTubqsqzusOmSNE22w1e6zm//9iz4+ZabOi995Hvwr/riCAgCcItDkNtMee
RjK9jcXoLjebFAKMTMN072rO+rBZFFCjgGuefMBY6k2RYBnZSIPANDiPtP/euWzmaLHyj61zyI2Z
XL4C5S2XyTQEesz0G+mT8Ujo0PbUrfqr1bpunKJnP5lz3V8RyzihzSU3dll6hyfpN7H48azb+gXv
G7UIubROfWbdyNqob5j66luvEQNbZtsWp4voE664HdRnsayJE9Ns7zW3Ef0Q4g2XTMUsVdXlRVYj
8zaLMpv1Mh834iduwy73IVzk3wTWc4fj3iVTRueSTfW3lQspDBhI0Pc03y2uxH7lD29DsN3bOgVK
QqB4bbM5v88yPQC9gw0mXck45e1wsvRgPBZV9493UEQ0sfcHNupbT73eVXZUHilohMtg2MNj42yH
QWcMMgp3OcEKgY2a2pfgVf+kX5vphb9d4g7gJ1X/zB7HWI85uV0YSuQ8vQaV4oBNxSnvczRfnvGJ
vneKM+1Ku3cWNq7fHckE5dr3zf6AN3OOJOtWVBilx0Zb8goRbVCoNoi2dFvjiq8n48NjLJ+dgwWL
HA/ZckVq5cbmkmqHdRBIwr2rPvvsG914K1v3oxrBixiAFbatpg07lIqnNF9g7YkJ6RrrC2vO47D7
vlxWm4bXBGFgdmpxBFlT5SDpyR83K98O9qSJE1Ja9DFzS7qWycJaAVtE1YjUgUetAZ57hdjZrmZm
vOMR4Vzp3Bc9W6fzhOny3uzLH1KY8rNDjgpcDqkAtsVSXWzokuZVocpbedkDhrV7rKTvqnB+2eDl
CKUcAnT2X/77b6uFB2upEUNoTXfa1y34AIwH0i5C/kXyMrtWfR3H4EyWlBvvAWqJCZNRtaM4ohMo
D+i8R+QJ9TFVxO1AW0LpsU37uIZSxViDcy3qai5hp9klEqvs7ofGbf/3CzWlmAICKY48pRz/fnB1
gb7uTcTpJ69MPxjQvTus82fVEYxOUJAOUKXrl1Spr27R/CSvJuMyrBbMbuAXoLJYb31J9pK5Ey/z
hlhqnXP4b3HWgSvg9AyOq3F99iWAibH0/c108J4TRKc72kUglgk3Z2KMmCU428g8m9ZnwDdK0glF
jrpGXCv2YN12IWdn2mCwOV3dvgLXqOeT7W3vGrq8iIvPiohAf7N9NJFQFy8+/sSElDCC3izqsfwU
fAkh270si/lkSZwmqTblTwyn56DyLzXIxRkOdXkayUOI5rFALFvWNq4zwIGeasRkl2IOefdJXIuF
CrhjnzUK2u8EOlD9ZOfczVM+FBHbml+IFTzs115WHdpr152DVL0Qs3gEfsM3A9EVFdIZQi7khgzG
9HGdWNtptIYb7y620akLtsAoLQ3ecMQUap70gyAekUiPoTulADzJzJMeEefcxAKqPdFHNlUib55p
4EYEW8sTIOYDbczHOgC3sTWCKbLhiWXoH/VuOKng5YKuPPBmo9vBP8tx1oeljoN+bfb0PoWW0JzH
L6CS4dkxp7vaqvWEgBxuQ8vMI3xQf1t3wijhWHMYdM9am18NF8q4uaMCoo+3nvY6lqM+nLjVTSyk
fToRj+Wi9DJQkrFXaryTGvYb0/jr27oX47DD9VwTCbKv3OuEtja3hwWXxLqzxm+ei7YLlYBIHBh7
s7EQq1V6uSsz2kPZ+dOja/ybCqTNcr4Qj5HUuzptKxz3zEBSJfyJPcoRELNdT12K6n1qP1u6uXfk
CvsCwom4VEtCo9KrFPpwkWl6LnO+amVK1BNaeu3xV4b+VBRHRsqSRAL7jfdZZ5JNrTo/zrYMYrwJ
YPEM7dpLRh0sKBCNGq5VJYvBSZZVQOBIP+Oxd7ybvlwNsthuok9pOCMnxPHs5W9lI2HPHO9D5dSv
914gXswBO07hUSVPnKl7mgGWChuCZsvhmSz8icjG3CdvpoLTqrFca7LiFC9MPIn7//zvFyNXJTFD
mEfdTQPPyvHQpxZCHdNPxVF6LHWUZFMPLU6zNz212lRdZdH5j55yfrbKF9e2rom40o0r7sz1am4S
M3jTvYkS6MseZH2yG9cLO/82DDWAydacRA6vZ4r1t6PLeB796hcbDUbIHh+cU/sKNesQ4NzY1mQy
KxdpsXorNt26OmrjOkph022NV6kvzhrZo0fSMMsQfyj2SyN9seoOybWcCvNANJC+F1iSJ6ZtMgp6
JKE9SplYsEwzqSxxOQqbmE92TWk/EjEtDii0vVsZoLp0CBeJ5VKTgUPvxQGe96dsUnnZahLh6KPj
nyGVnfT+qNseRFvFhG+rT88y8lc1pdFIQu+n2GqECtPdNtR08zi09dl9k3Oc6IcFz/ch1wboeo8f
XdWJhYPD+ukHCGVvFTdrmS/Tam6QKFnBj8YKF0wP0mzOgWfjtGCZ6DjaQ8TrV3xFvwMcSKGxzj/7
f9ZJJJMKhoTkw8894JrEA+BmF5ElEndNMhWWPK7hQCIkPgX5EtjFlfH7tuaefu4zj7l222uJrZRP
AVfKnE7+YaU1PZKl+FFI0IsebKGwLmlN2xIXyJVTUHovkts9NEakIiis/47cjZFGuENIm+jR9qtn
XS7iKuR0JIpwifsByXiBwj8EcgpNsooJSd1uEN+YIyd2cdxOO/Lr9gEmU7Q3QTrfr6vCa26AEJET
hyXN/mZ9IawxF2+TkFrUusIM5UDPRaXQDBT1iwmjxzsIKWBj1YO07G4AuS2a5pDSi1E4W9IGnN5z
FthhMTtPKVpDd/3XGZx8W73HBC1gyKnzPKv6ftDK8jYziCGWSkfsITr+sWn+U+H1JokrOCI2PBjc
GOXQ/fKDwY5mUvpyWT9MVvtJX9KXq7+Vls6sp6X4ml1xGldbJhQOPDFv/+wNrKctyNn851zHxalB
w+a3VJJG3i0MQJNmGmFAolqz7QBE7r7122TijdWf7e5TL1GfG80e2wNaCAgfWM+UKXyZMLQMsXxS
WKf/j7nzWI5dybLsr9QPIAsOjWGH1hHUYgLjpYCGQzjk19cC38u2ymwra+tZ5yCM5OVjBoMI+BF7
r33p2iqAHSY2WGNpNgcRLDpt2KGM5M/kcMR7O8CHcAhhP6KdRxpTxKxuzdpY9Fp+1kAY7UNwlaGd
MKCRA5RUhtl69dN31kPiB9ugy/DLuGfu3E+FJBzPigoGv0q/7/TwnkSAGJAL0Ygoz1gE4Ox2BXML
+y6fNG1t2dkfBdtwMfqzcNh6rvrkke0V2UfeLocFCOmUVrF9poV/mLomnlWF9FOmiVHLM8+UyZw1
/fDaDxz5hqkODQCSpkT13QVgYZHh7jwzaPdjzFYmz6NrI5wPf8w3iTHsO88/h0Jjip7bV9eA+0Sp
smIAOyTBH9pL/FeqK9E5yi/K2O+4Uyyt2rVdM8xNlPPsdjnUH7CLQcWGxKfMDzCJLGxj3Fh9E6yo
t9/7VpxUQM2EFprcpXHBGPnTL6Jt1aY2Fca4DiLzUHWddjZ7862wp5MjK9I+tWOjpWDfeuuTyI5X
zYyRvoQnDnUgZvAWIJlpb7pU+7qI7ozR+QoTBD5a+6Ia9wW+1VabonfgGB+Oj8Z9tBP6aqgnKr+a
03XWTi8gyW4npnOXWQckecnQas/axmNm51d0bpgnkQUAbMbGE9m1iTSSBSKBB/spD/eK8b49jCsR
VKwXJWVhNm11vA94UAqIM8X4Z0SEncTUO4NZ5ivPfTJrZFwJu8aVAH4gq7w56FV94U0n1lJr7yIj
H9a2dDhPa00/ColEBY+Q2Jpsx45lMoitN432ikE1/a+OJw4QSXAgqHpR5V114a/VrcqGDpngC8xX
VCVNJbMN3n929rOTxfPL6AMt60PXxd9dlOSPmje8mA2ysLGUyZVUOWOF/4lbnV9IxiSgp2aVmxbp
+k7GazGM2t62iz+OFRAfhGwGLmy9tLvR/VNCcjFoBbxh0L44wfaxfbWqsbsQ7nNqOdm9wL+gXKST
inb87m8p6Ip155E5yEIH2XmOJF+2P77bnHMzbffVUFmbxqZQkyGFLjpEZ6Vs8Qq7mKIVQJgGZNEe
g9cMCETBNi8gE3gRcOWvirj6xi1Ny9pGX0H+1qXZxcqc5CgjexszCYPCYPfcApD8gB8iSs7kzpLl
HuDLMHymFDVokQC3+Lpaq5ZRm6eHfzqSwha2JYOVkdoX3UPYTt2txvKQFpgFuyR6dZLoW1jItFxH
AEYcxo0U+lH5HVY66WybkrRpP1BPk+fcGw0yuxEitcXWijQfiTTFTaaD6eVyJSKD2XJSbIK8x4Ec
I56GonqdCn3vNAwHYOqMyAvysn4WU2r+yS3mO253UB5swFoHwAG2AJPoGL8UBBMh9KhP3lQ+xK0B
0qO72vQZo27ClKs6GjwuAGDLr1rjN+esQpRZmOLu90Hz2/aQeAgfM4aMf30NM5S3pWNnL1NJi2LK
QKBXaKO+KttavzYTfcaksost8v5sl8co1EHdpX64LzlOe20MtoMSB9A++rJx2qd+ivytIWtm3Iic
QysxHgdXyns7Kw9qsMKXKgeplrjB3HLxXW5p51yL/rpxHGNXj3p97rsvcsSSC5OTpc0gELNFZ9D1
Wu960rSbHA8Uo6UFvo/4GGB5Pab9FIRwFFCouL3J3IZVppNxhw+6qNmgzv4KDLfakEPKzDBMt5Vf
OEfCohKaYCyQAhb9g5Et2eaXI7r4OpH2hkENV1Zl1euKCnnryxBH5XTtC6RLfY0jxuyaZRDp7bE2
+vrUOPDoPTwmj5OXMs2n+flk74ghrOx/aLohEVru64Tjg8rDTW9sKXAf67baI+ESlxQj+arGBszP
RWHY1Fw1lWERhKiSZyRlij1WWBziUJH9rbWstXAvXTz0qMY4+EeCI54IgXPvGqvwZsY0Kl9O7jkY
7u+vlanfU7twqbGL2FRcVdcu0drr70dJ476lqf9ogzBfI+XTr1NGouhC8jTSqi/PXC3T9fchs+zp
DE9u6c3fhiOeSrSW2sHyy3zv+xw0vl1itRR2c4zRsS7yxM+e8G6458yUH7//OKhxvHluf/j9N0uX
nGUJqtlSnGyi5Jgo1JLyykqc8xBazln1br5qs/SqRSGw1VHzL7Np5CKDDF8JaBwd1xAh53xd0V4w
cCiGZZPr9FLmUG1Gho9LO2PxjuK8Da8FfPzff7Wlj2Mk8u5yXe1ZPslT2AAkKyXfILy4PATSkYca
Y9ME/xUcVggWzuHl6yD9LnBqamxG0KUde/eaxXnGeyPJ15o1oCOt4unEFTueIPi5u0nIo16k9bEV
OOc1ciC5kZfe6fdhKp2C0cC0CTP/2W3Jp2R+71X7VmerqXQsB4lubwXTd1QGOYaUURmnyrJxc2j5
3g4qOz10pfESpRV8uaSilvGCg5OwtyW86PT7kFf6Pz8KQvMkmnpu08JqzR6GFX1/YpxrnTo2d389
IH78+9PpJjGTnQRJ7YzLLWqUhFUaHMUEhcL8XZbbQHXkfYdOp7VPvw/1gEedqK1xE/k+E4TfL7o0
k1U5YEXjnezxZPc5sUerwOSnTyDS0eBkR/7EiL4FLDIxOSwX0qNCBH2nd5eCDdnSL/j7yhr5kOZX
JhNqrd3YbfEpoS5sc8DbKysMGzRdvro0rTmsgOkzwYagUWFVX2GSb7FttAoCVX6tgybaGMgVlixU
aWHCGoRkJvD1oWvHZjfsBz8dl70dsuNKEiYARbfVc3tmskD1AmFcbHPD9099z/hL95in1Y4xnhC3
0kVWj9x3u5Xe9MxN6bPjkrUHsKhqQ0BLucxiOazySSGqatyRkUFI+ELFqMYn2WsexK0jNDgbQbwO
f9SwWdsd3jp0u8fGwmWKU7vgdFHWQRtABI6TExzxdSUAMa3izGBswG8QdEysCu4uk4tpTvj5rYwN
ua6b0r0bA6YjthzBgAwU/tzkmpnenZ5chwkG2WrqJVQobRQhfm/+gH8B56314RbmI4oc/1waeI3S
LDrWmhQ/fqFW1ci0lQt23yfcteCmPgddx6Fc0s4aGCLaXvuGRHLWDK34zErzDXaK/i5n/74e9tkr
L7G/ULnBRc+Qkh5sKFZzVvrSCVR3n/NyMCIyq2slyN8JVUhmhtOygR9dmCJWcY+6zzwWvW9gRQjG
S5gApwilZd1Jfv1V1rvyibm1y7gOc5PbMFGxMvfT8bTu0wAXUaJmAmjsHHsbDSsILdjVzOseTHuC
b2KCWja9+KOZSoVURVjPo6Reprlw76vAlWuWp/U1GVEcyZwJejRzMnv+PntSmeq9FRdwK3VYGlYa
HhMtfo7g2N/yOL8pOxJHvR2mW5yCgjL64Vzr3nRDRTbdAmTbS4uMn00RYZnIQdhsMrzntyIOsa5J
hC81OwA6ofm7v/Ku8TZDjtTOrpCYLlJYUwsDSv3ewUJ6+32owslfA4REwJ2kN2G7Ds6CqWAoSSDI
RHbT31+bjAeFjZeRjH+GpmDe2vmhg1lBowuFXYEz++trLPU+uRdFS78B+4Kuz7pxm4zObSB23JzU
OWJrJbltsYpEuEt+BnlPNSpSoOSjtlXzrq/tvfpWZf3ATcH7aY2xuUHGQNEibfbXtt/cSrs9Zygb
jr+f/T7kPlN6bxJsGqLcR7cyrtJUU7cOwdQ19TjT+MQuqvb2+5E2InNIe5xYkysPlVL9yZjq7jap
qNyP8ysiurC7ETnjMW6E7FXn5pfL8nHLMYLDHKM871GzLNdUEt0NZW5/A3KgrdkjUzV4xcXGKXFT
BZb4MYFpUWIPQWjuRnQl0D2O5kNlTQ9Z2+LoVFZy6rT274ffT+ct3sk0TOQLRqgvS/bjp2J++P3I
HSH/5ypsVjo6csjT3nyHoyBzG9TsQ1nGp78+RCdLw+1RRyS+Eju7dw59rKLT70PdGX9/hCmYj/qB
0rErDmL+LGYOcRqAjP/1UWdaGDZoTlaI7Nn7T3h9IUnFyYrf1d0OiXaF49IdnXDe4PTFrjIwpKoh
7UCX8PVmfvj9VKb1Qx4G6bbhtd7wyn9JD+VvCc1gcgBbUps/dEorL3g9tBUFIp5FvIznZhqK8+9H
HYv+LbXe2+9nIa67ZZsqDcNsJ89BbsszzsAI431kvbFy9rYqT2mNFZLUXOj6zJTnwZbir4/U2NyH
Rh6wILJQdWf4j6IhX4LNCDY2/B8CLtr3PPCSg2/EI40CBIbfLKe/Q6X+JTDp839Ks9p+yznqqfn3
pKp/ibZaPfyvx//4kfV/nB82j//+nf8fZlqRkvuf/8yN+j8zreqc9ffHf8/A4vv/yrOynH84Jm21
67o6waXk3P4zz8oy/2HBtiGZSuiW7zGe/N95Vpb4h6kL7K9svQWpA3MIVfNXnhVRV3AFbYNqlxxH
wxPm/0ue1RyMVf6VSTYndbmmLSBFuY5h6hYEWd34tzBVYE683SIrX6eVwJuGIUYU8lmX0xeiTITO
EXrQMneiOySOBf3VMaSxUnquAQewIJhoFlESjrqzJVICshnXPd1yC6NgA+VkXAF02KYCjSH9UH/+
fSB6l2SOGuRZ0Bj/l6xuhHP/mibHL2TxP+YcDqFPlmd5c4Dhf0/x6yGtirKFMC/t11TmryCvkm2g
WvAIrwSKsizSan9bg5el463YOXm7yNCzg2RnOvTalWQaJAvzzHaGu7J1GtZCOOvYih/GsPvSB5/9
NcIZbWhx/wpzUedT8zBEkO3bnMWJ74tzarTtsZvSd38cv9M+GjAY9tFKCzXzaFjyhk7t3EjKgbDQ
8dGXyTs4gKMh1F1beflOgpfomQasCq8zlxHE6zk8E6eDQoYgmRIq9U2eBoqfrGIiTuAIer0v0cUv
9ey4a2y/XblT9eRRtqT6wZmGu7hvbsy8n7SpeI+jH40IIaZGijjpucFHgF2xaC91d9/Dkq7a5Nmu
sfq7+g5z1dWmZR6m5GbKBtzVO+ND2vczc5VPI1J3Rty/mmW8L3u1jDJrrZL4rnlKcqo2+FBBRrWI
5LcwLehT8idWiEWmascmgWTz3ByQ+EbvrWGtWpk8wFMTHO3GvS7baztG96bOnj8rFkEasRuCcdla
x7Eez6S2nHi/XcqdNpYcJfVVmjU0btDbqAK3rkX1FJ3xbW+TAoFNqt9X8J4BOzwioEmjvWGGWwaC
xyAUV8r6N3Yol6gRe6RFew+Quh9bj47xkEnvgl/+Tp9YZkU2JBYCKfJsp1P1GtNHazZLCoYtezdg
7/69k6iXasqudnBs8S7kALrSpFtXVb0do3OIuQNwIL0kI3M9LS/zL2O42l7i4lXuwfWzrWS9P2ra
qfRQYTT0UlN5ZrENtAAngEF3QarAW+2byC5rdAQ92dLBGhzVpkiveowBVJlAl7I3257egrx7aIlG
hva37gssCWglvE67tIIDzLHOZdJtEg1ckNntaFm8aDqT78j0tjI/QsZYqGU0JLrDV2ASmwLJE6Hq
Xcrgs8K+nE7awTbiF0TDN69h2o/a+RQxXc1Crv8ULpvp34xU+5Oawwnc1VpG7ocRDxH2VA2yWJDA
Fg7eKs19N6NdnudnCAYgkrHPlAPs1nFXiuhkcyPJcg0uP/Vz6u0HKhkqRsxcT1rgfiQFvuy+8KtF
jwiua0gX8fRH8G8nb1CfFDw1U0UQ0p3uLLocywpIiTuJPMOV5YMw6EuTS5Zw9ddPSQ/4jIGNb5GD
4ZH1YUdvpOh+BllyQUO8jvDy0Hhf4rx5DgklXNjK/BkmCxYaU4CNHw1/XU+KjFC+xTOweAw1CRAY
e3Ghn/VQ3BvuLEGFnBeYT75kxGi/VyPoyZp2KZo+Giv5iHz7oT1XjfFodd3OC7qHktPdr/3L1Bbn
aYj2RHUuyrCeAT6o8PLqaWpYIJlMcfTc30UqpHEvmTZa68aU9yG7Msqb/hsH8LGc+hOeLyDPcIGR
S7I+7Ybvjrs+a7w/cdu+ls7Bt7ZW23x5+vAZJlFH1Ig+zSuJWy1NJvCB/WMjXIiIJM9HLhaVE+0l
RC5wm7wglHltfeNlLlCGJL02nvXdVvqtmctraTxmPojhPq5ePVSJC6/4A038CFdnlw35LpT5+1Am
j1nhvKDhf4isYh3YyN005zzybkHniHCuXHUwGGyruhODcUNNdlf68aNhuKjPSQXIYuaAibtuBRsX
osZObY7FGn/b/BIGJduX6b3LsMlVej5P9o1daUOQ8wruhvGHr9SDadoU0N2+YomNxOxMJ3pxMFMr
DT24eXVq77lSHqgu7zUETFoSv8IoeutO40MTtldtmHbzHwJ07YPBf8494KXR7ssGbKXGL2cn16gs
w93skGLtiDinB3kCsHOgKWdxvHf7hhDZ8YryeIsk76w37mMWZAAgS2cZMRJgVvESNRphrBG1cbIj
y8WTGEeKbDiikzuHFi6NsjsWXbLDd7iuWrIca2p5AUlsvoGBYNh6Pb3BzNL2f6wh81dWPF3qagul
bKOHOCZVcbUrjKamcQEchJiA+6QXaBTDm7ZL79vEetXs6aXzxj9gZJbNrJT09RJRUHEZ6pHiMmb9
XkntjvU/RMk9YKWz5xu3QVrcncNn4jIfMNnuijrecVkwsA4O7pAcBvHYxPFJsF0MDkXXvmnSwTST
g39/jrvpAazEbd7t2hutGx94aufagYtsmnh4JuCb+s6HLS0C81mzxR2jzrXPjavs3QswyVcDGprj
fkicW/IV2QAshWTDRPqUd918INpm9lSjDsYjddbbx6yRO39SqFP8/eD2u75oKcZJccCJe+eE6rVx
qmcv4a7XuBZ3qHHcKmXAG5O1u8ShPFTo27yEnikSd72EdOuDj8xjF5vn0L84SDwxurN70/ivcfk9
h8qEmLUx6vpiFulbkMTfuhP96fT23ooBX+R2dyUW8DgGcmeyUOjS9lpX0X3S5O+2W75UDkdGkf34
XfRoD+hazPc+IibMTN8HqcWU/P0ezeQJ8YOeMv91knPORLmz3Psus55l5h0noR/Q5M/nfSjGQ5iO
n0EpYb+0/RHW+sLkJRo13mj8OE8Wf/KoY2Zmg0BSOK69PkCyZXaQZiIghtMtKkZ83xjspri9m4z2
qSvcb9+tAQNMxXNV5DuRYXFDICuMWxZH937ePFgj4anMriOrevlGXPfU/fXkU+ZNKFl5OyP+XsV6
eEhJnPIEnAZ+is0BLWKLUeKWUea29YqttMUjQFVcvUl+HorwODjtvWNpb1o2PdVGw9lj7x5NvYFn
hW5As7eSZbo3LPTafKhVfGsbpNAyfk/Qs7N4ucJJW46mvssL/b3NiPJgDQBAxaD+kAhgA9udkIX2
4U0nJeZqxUeW9geCmsazsitI4QLNeuE739LFLMbZfwk9B1luCPQESNiBfLAHrcrwXNRQm1W9z1V/
N4oyug0NWYDZxCTCtA6QIKxtxP01Ze+tCiH2eDsD1dT4OsObpflofq3+2Uyr5eSCcyGGUPEOpHQl
Gw4gElvja9F99UNv7TBK3pRQLex2Msb0OOFnYDbSo+EpBTnObl/b2IMHkM9u5BL/wEPaj3jHMcTg
XjBXFstT9gsfaZjptLzmLvO0aZNq0Xuj/BemE/UWkNJnj0AKtienkDumr3aDKsqD3kCxR7c8GRgm
5EAwrkzJiqWkOvohhW4bO2vZcgFXHQhLuPcXv0NyaBgEDEkuPz2A0hxhfx6ie4tx9Jpc3W4LLjUq
eE8GDqk+dWzf631+9f1pN3XhJ+G1p7JLMJFrGjTXLF0P7fRDcfKIsvwgYzwNkqyRmSOB7oj9pqnG
16g+OwMBAVOFbp1oyg+TRmLtx96ChIhp5Vv5M9Lnswb2Y74a103WYzKNc4P4gHgRKyiYeNTJByoe
AH/bK9Ywq7pkuQY66Qfi9wUu+g/7YLnugVN4kY0FYSj+UL6auOmz0zSwnsIM0u3INkE+jLhhsYl1
ttUWVRG2qPS51DDPi9iA0EboSYaLHe4MXrgOm2aSPKC/DRdpQoCKXoDhGwbzw8b1nNYDcAAymwKW
mL0W39h4jMiMJpbhlRPNW6k3pOqAFpmZcVdPazZcAXCMVWD597Kfqu0sxDMqB0FyHZ+cSG/WZAUy
bUaBezUHsSEFYDhEhDCBVmjcqzeY7pVwKY7/1PvT4OJeYYclq8QrUZYRo7mOCKZYdzjXNhYgizZo
2LYzcEptulRsT3LdOmhnktooLyn3U9Srec00FY0TMFNqwwqG+FSbP1J4+ioLYEHi2mHfTRYQdOd9
bodgrYhQWGv4+ywx9ZitgGkVY30rHdalSCu/mhISdgIuxkaqylYomcOUDlH+LozMWZZu4qwNvdu2
JTHQRnuoeK94QIkrRCKle8GwiDjZJM9NLxSofeEs2RqBphprHQcuHhi2zsVaTs6jYQeHKCsg51ZQ
v2yaSM9OL/WMY0waxpw+d/eFDXhs0QbRvcgB2jpxdudB230ZLbjw5aUoHf1ah0i5Aaywj7Kppkjf
w116zAh9TUzxaWvTPQF792GDQUHxf53Z/bCJmw6RQQ9FEABjsizJREK3DNvFNPnJ+E02dh2bL7r0
73DG1jhBYhz/XZA8+pTjhPuNfU3gEm7xleqAf5ZGF3DccRr0gKk7rEfg9tyta/f4Q+tVL2DpKWrV
npS21B5eDIzqy8pSR00ROu/FPiZdgQjYukWVUBu8+VzD+D4gTu5MFqCw8xz8AMadh/nTILmanWO1
lr4kXKFF851V+SWuuDak/IiqsudSoKmtB4JiCbxws6hGhuZxH/ewDnsZASE/BczMEbOqF9r2oWv0
fC/84sHmb24G5c1uinfN6f5Y9pvZdeLkYCHhLLSWKvbyjY19jEQIDuyiP5W99hobho53qSBGk4XC
oiBgdgF6d950+fl97O2NojfgRpoAYdzsIs3qJljxLiJctsuBNEAoiIJQRzwWi1ijzbFjCF2Z1b8m
4RlomkflNjkoxHlNQvk+pNXBH+V2gkIA3uoF1UGzK49wIXqI7bgaskr7GGkmeosOnsyu6imaYv1U
DSObViRSSQAbgZC2RQRchYyimgCBGnlI4RAZKFmNKEp7MirgqPBNreO0R9veEdHz7IyvtkwhFCvT
2NSznMlgqIpU8z2r1Q2LG/XpNo6BV0RZzxPp5TF2SkbKuW3hz/ETdCHZkQ1LEmkIkoR4DP3p3h+8
YxHlWMIhqG3GwHpUDnuzWmvEqsI2i4CfZ2UN1gMZceZjnTYveZZvcaIv8jQ+DwghF1GpwWCq5Vuf
jPemdL9EbWwbraATDLx25fBWOjlACOAPxDiLORTqqF/5E/G6Q9p8A4N6wfOKsWr6NqP+OW4M0GL2
e5Z3X96g/fQYcre+hWSmxFQLXhI7oKRcsCmM8MYb73mNr0aF1SaoBoDAVvXVuO2tiWcffmZd4OTs
9LlE1oAxhiUGc14WDF6YcmmYs0M36OZu9h8NPhACLzNWQd/fgtq+WcDPNl7DDSeKZ97HNIzrHHLF
onKSZ9Oz9qETfw/46YdQMUanmNjInN+96H/wnqVrRpOfRVxLtMgQ0nNK7DGpz3HIG9/1R7UJRuun
F8Qc++kdzGG58BXRrX6A63Q+XHXinjyk+llIWaYg6+FcytduTGsAgrtE0AqwKeGAjrIGsgWAtaA4
8F7BJkWihx7VAKa1dRultzZJ7rUKP1aS19eow4A7tn2EfsDDaDlih/ct8yk0UN5iTRWWmjYwLwmS
HVexxCUqTwNCtUVZG2fNjVmyvTapOLOt/e6JVFqUelNBjDfQJoeKVaAgKEsSOcT9khtURQQLiSzc
1gOybD1R3Vu+fagE5i6npFIM0U/rGcCI0Lsmsw2rG0iSS3KLCaLXPApjvBKUA6iTYUPyMjqJTdeJ
wHxkQteZUp3G+prKRtLxo+w0Mp1bN2xcwHFsv9hxdKB182iAI9EbnAHpPXiW585oZ836fPsmoihJ
upfQAHesFdsh3vCORdfC7W0xtdrX4CDj7ATBHLImA8bpUEAN1lx5R5dSBmfgJEcZoxMgP8DAhLBC
Re4vbaITpKVdQwdSF5Kaa+n2d0TD7rNZiTRFl9wl9FQ6xp2lw6PhFvlIQ7qVevaVBnj0ouK7UOlT
giBiHPCyl1ZfLgoSv1Amd5/iPQtdJJsZG8/Gh1YI7QBRf0FX3St9VwZyy04jWkxirlw6LhNCR3sU
yJiyqpij2wRSokXm9Jj17aZqWPNpILL3E7KGNcTun4on5ktWr0H8ldusXv3I/jO4PJmenDd3+E5F
/iToePBQrOTgu2csw2iPhpcIQdfSG4ObCDuxqVOO0sgLn9zSvFd2QAapjSIepmSbWzDWfQyz6VOr
07vk8Ym2aed62REIarGq9OmaQUgpyhR9L9d8MRYukkvKBtw3vV1B+Ix3CQi4pgMl7tn3Q5PLjS1y
jgLamKCNHyRKBynUg2V+txBGF6FBedH+to2wfzGCykWvI4TgyDQOspT3SmceWON6cnPcrjGKY/6S
MI7yKQB9QDGWu9E+6auESAZPX6a4Qk4FB+3aFOaw0Qxwm0x/3jgR5807MWiVJjc1WR3L1rhMjVVh
3iV0oFNwbnXKRJxwoGhAMCxsqgMEFL5G/K9/GqYe/dfsfB50Qn9CiFVLJXLiRdgU2KaOyKSHv16m
LahM1WyCWpHYJmAqRCM8Iy22D0Fq7L3CFhvcBk80HYzESJVdMb05FW3gb9EZ3ULAAQsTaXEs4DdN
Db9gbGKlcDV/Tf4YMxrpa1tYe6Tk2ghyWpT1cdIwlvWCbYi5HlEaf8UZT0lvWh9kkdINUjj52M1W
piMOg4ZynUwkKC1B/qF8MlpLEgJXseFuy6n9RiXeLVVnviTts64IFHKIua7Ls0g1xg9kSkIkQoUt
pmxNR0E1T9hpYvuvdaYbVJSgLssedVLvXIYQWmDHYVX7zKKWFdoY2OrZ95hzfwsHa9u06iDK6RUy
bQ3SlGbIot5ws+Yz5C6w8of2tSl0MicyVGOWhA7QUnKjLsKFSz3um8YfGjSuwyh81fz+Pu/4JNQR
psd192XVwLXZx9Rprx0MpPCYOxsQEdVNaynNEbKX21QaatO3KdVnry0Qi3LeQxsDxjxca4ObJZEG
yFLD9L0y63YBHQMkYAW9rJlulnL15VBa9TKciHIiiPFIpA+ZJCloUbvm108OboTfYKx4IpiIDWCQ
6rFy4ZrrJfmnoGRVk+eXwoy/s1hkz+6vcg4QPCI7WkofHbFTfjsaEiTDkJv4y8F5uZTmqNZhb79o
GUEZ3YNIpm/aH9HIY+eYe4xEj6jg34sqY1JjfCELGRbW1H+l+nBouLyA/Ly7OR763u//pEZRrt0B
woDuo4qIBoTbmvfeptE3BlmgCpW1VaNwcHENK1V+VQgeQT0gXPFb/HRml5/qPruHobsNnVnvKI7R
pG3ZkTAhGraihrLS6VW6QjOBSNeF2Aq2FZ6liVB7nJGFs+5INMmp7zKE/QI+Wa0L2qyr7RxaE/do
nj2UCm28W6f5uh6rH1GRhVVYh4bocsCe9tr3UiiZbVPuFLHq5M9BTBfybJYKvawF65qa5DxIdRjk
EtnuRTOy2xTGm1zXADAYrI8i7TN3OOVxnK+czBxXg8UrCG9AVEt2gsU6VvlZ2HhRgGdtBP5vXhDz
6HQMmvCzZRM3FrPdqEbHHD7BWwNyglh1PEb9NIPpfwqhzbJ85KGWQ9PsPhuIQag7eWWxfq4Bf5CL
kaxLoeIXnTw3Ug2ItB2bWGGtRcAqfxlu9+OIQ1JarlqERC4q8WFbb46rXj2pvwx9/eak5s+Y9u9p
QwJT5R0r7Gs7pjb+gqI8Srpz62/R9e2T8NUJh0Nurqkw0KkvwPy89EDdJIr6QNVvcANwOhPX49Em
JmrrKhd18dEmgE4ZTBBb4SJWNNbxPOzMu30eR2uEZ/MtT6sXeIIAG8ICZ4bnYH/MkrVNMgCpJZW1
L9OVowt/xY19R2r7Os/7Z513IwkkwwUsZXImCTaaj013Q7W6Bfz3UXTuj1ujty0H8N+8A1a6rBY6
4t0tyHSyjUqXEzS45BaCEaZWpKEkS/RREwJQDO0S51s/D0S94SuNYEyNlZutm7T7MkihsjMOKT0m
gU/kKxlMHSE3VDBWCRoUK+Igi5FYQWeLXf0bRQ32GyjzeuofOk9jFyYOwjbsVR5WT22SfhDU94iU
szi483nv+j+BCWTK0PSIGX5zLJEQIjjGkBiYr0Ky8DLu8qYSyO4Z3lqu/tF23Puce+fOr6LZMgTd
tKIYazqt30ZN/xgZ2rh1ppFfCd7eqhEl3cpMKi80h/dZn/SrzGshzmYe1kJfcuYQ05vXNkgcVWyK
BGl+OOoXkm4qQr1YRYn+ZhYDBg9cD/gUvhVQelAio7NN/e7BkN6bcvK7MIdjScaTxthyGSpnb+hJ
wjMGp9M3bbtwREK8LFP+SPXOsp6IBItL/5qEiErKdJTcPblhwbZmo9NPO8fHZDrFwE9iPFKOfdeI
qT0FMZ2uZ1ZvItb3eupaLJAnJhTRMLe+HUagAi+i34r/Yu88luVWsiz7K209TqRBONwdg5qEVldr
TmAkLwmtNb6+F5jVZeRNGmk5rwkHfHwWERDux8/Ze+307JXmd4Q9mOM1avWuILnzbGkman0lSL92
yT+ZVH/pk/xrU8JurltebiMyGYTUd9IuGEHSfsRr2z9OjbWOmjpetSJYw6/NCFicDgnMsb3uycIq
W+BjbkIY/SRem4lZxVyWyXYAu0Ap8TxNM6NGfewWqEET9SfA3ze+O6/77GGmi0DsXLytOG9LiGL7
RLPIYvnfBjFNZ4bgr3k8Q5iLPTpLOAfB0Zibwny0Q/U8ssb6cfjczHW90y39R8/2CHsS52CM9Yod
HFF4eTMwuAUQDSm+MNa0Im+4DuDRwU7VEbeyFynCVk6ja897BkeYr5oSGwZptPhGIaHW1PdXIf4L
t57zy0x5SWPJwoyGmnOPF/M2ydDOySm5IyVc7vj9/Un0U3lYcs26hh8XwdiEvGEDnM6x2EY9/UBy
r+WGCgu09TC+VQB/DOFP+AM5NhXedeMEgJEmYKPTlO1Nj1KeAh5WYUpDTzXmzNgmbAnUJKeiJGGG
SbZ0QTsbyNaWu1TGzt3A8i5vWF/IZGndgGag9dlz3HTP7ydSPsmH09IpRBnYHrTwv4eKLombldhO
qHIjhpJp4tBlhkgsXOOZjee9ruonG+LAJiu8fZh61caA1LqxMRZs5jR7Hjz4SqYNhM7aQVvub0A1
mfyeGSHsGH8dTcRkFK/rspffM4+io+sI+RLNdRDh5HZS80y/l+o/d8y9M4vpBMLirc4VvGtl52sL
H4Qk4W402gfbfirohBNmc1/H5mYaRXFsw2arBxHtdQNRS0V3cdOCtA3il8rFl+pDiEt6fA091mHL
k91tBG2PN8+gZOKlY1+eSCDS93VEPmZQ3DaI/A8RVZJXuguPqgh2FEfleczdPU17uhZBlp1k0O1F
abz6nIBPUVxi7u4hreV+sXFae7j0pvEA0qXeWvPcsARBMPSfjAiaQDD76pqRrSPaVScGd9OokHaX
sRHM15GSsQkOToBByZY0UH3mJ1hlttIrCqZuM34OUDSWo75jbWuuwsw+e57dX2ydaxK5nunVpg8J
sMkwVgRJNsG4JnX3E3c4AUJJYeV+L02T0WTQRReI7hNsDTyQCG9ZURzOLbCfzxkvZjhU3aUsnxIf
lMdowmYN/BmUZxVZ59E6UzAQoWXq+hwM4Ayz2aWl0oe3OMCp1kfj0dGdCye6+uJmNVPyUapdD1Zi
g67+cVx4KRh7RXZWqr4KYlmRN3RVmgJLYE/mX3hxKtTUDO0qGiiT3TxIDz/aPOsbCAHXJbWkH8Rb
opnxCdnAAqaTQ+cHqf29Ttslmv4ADKIYMB2M/jV0jjv8LjdaR69DAMUMtIFKvoq531RFhri0Rw7Q
jN8zJ3h2EG8CKrrCofBZ1szh6pTO4IDlq+lHFBGlvZYZAKfSRSyskkfF3JqBdp8Fn3JrfiXb76Wy
IFOHgBqSxzAxqJioJEsGnKP3rn3/e9xbt9WbYU9PZIGk7Ds++zf5U8okBjVJ5qOVhVdYGJ9Acb/3
UOLSOmYK4vlPZDIfDB41pN8Ryo/sLo/aLzWpDJQyeATjMX83Gf4shcg4M9EcF7FrU90A/87OujBu
p8Tqdmns3hfADi8WOqnNP+Y8JbOusKKtP7OZO92bGAlJrayLHfpfs5ROEvS8Z0t0D1CWPitDXqeZ
DWVnoMvuvv0jNtOW0FjGM6NMX5LIwGSoQea67Z2qiekqTZv2WjGT9Mo7KJ2VoGu+tUP9kkj/HWVK
OgY5oxCGnX6iYEP1GgIecGcSalazQ282UP6XJfdzaUB+z6nYgnLp3g7hycINiz3T20fiUHcuiMCU
Ca7K7oqmeov94PUfU1ePym4wljnBiPZAkmad0jmxQHBwJjfi2x5x0KQ7siVliFheH2SJwn9W9b1y
Ipg/DupQ0F0GeF6Dc/jWn6J0Mw44uoq6Ko82c/ugGcDuE+xq9rKFgQAAwNBa4a6EbTSL4TbTEuJ7
3P+vqLKdFvmh7fxJVbn6DPnz8/u3JvxZWLn8P/9SVnr2P6VyOFyC98TjRFfj/ysrtf6naWuEGq6y
bO2Zkv8Cv7gN+chFjml5KAOVZUq68+gH/1tZaZv/xMPvoaqkQvJMbf8nwkprEU7+JKxEOutxCkeD
qHAxCmnZv+oQswDLZ2h4ESEDlCttFT0Rf07LxtiC4iA70Y/JIzbHcdstS/+oQ7366WL9txL3/+Rd
dktDr23+6/8uP/+Xb6BME6GoQDyqUImirfj1G+DTSJo+z9GTkQyEbs/bZlEd3jElXjlkYmBShQ2A
u9bYNh4Q1CSnX4qMQqzGxsVsZxlf/vyFPkhNKeC5RxxM0LVq7Ykf3/cnZSbOy6HrCxEcbEK4dnmq
QJ9FHuknFqo2pb6YtJBYIaPubxcCHe3HCyFM23FtRyAqlHL5Yj99cN6DaiyhwR4IUyJDwqdHTygE
kmxoPmLlDdmjA4jeH9iH6Tgdyn54rX3JwLOgJV31xoMbxthQuv7p4c9XxPpwSTRXg4oJVIulLWoS
jTb452/mJnQnUlfD3Rj6Jx2yLRqD8NaSiokNqSmPSUoJPxxIYSkAxs1YwZxPo6dbFAOBukYlKjG4
JvTOrwgdxnqqd3/+ho7367XjG9qO5VpCCaUkf37QB4NEQTgurepQDf03qbqKThrUWLfLxmNQ2gcO
jdHZICRmdCZ5wAjn3Co/6o4NadrZMy6Yl2Tq1L5KBJ2P+g62UMv5x0uYYsnhQseAgWGkiJRglj7E
7bhtK9SZvKCvzEbyCrAmR83oMJeMhWTBoTNLGsxfhBF0aOSv5VKJ9/YutAiM4dBkPsQtw/M/X4SP
7/KPi8DsjmXDdh0bTf2vtwklcRu1OM4OmCPg6VZ0rqMIkdZnly7DrrUBY6b9SGJx+Valszj9+eOd
Dy/y8vHaNUnlUKxN6LQ/vMhG3eq2byGZIByLd5buOTvhhZzLLj7VQbMPa4yCJcokghFTYJBaLPDB
c9Cge0nCUBwGk9RE+pLxkj/M2gMozTC76dg7yVM5TF8UGeTrJn/Nndjda/o1r1FVrR3Qiy02uTcX
o54DDfRgc9oQMb2yvK3ubYex3J9/qfz4tLnCMZlVScXqYFnUK79e6KxTRW10fnKo2zxd5uPqGBTx
jJ5ihc9/sgr7PIi6Pdm2D6Uc2QVpgRPx8W2oDlOMoc2aSCYwJdFXBNHmKfoB/EzRRfkNBiuycEir
3bbuW6KtjaCh6gSQa50J0l3JoC2YbmuRWStLgMNLh73uEmCRpYcsNitfGR+fvaF0Lp7CUWWDtN9n
unkqQ4lRrYB1pcEMkFlS4ABxii8jckUslYjB5Az4kq4LKZ7zjqGtuGWEDgYjL5u9o5xqk8z+kjrW
irN2cOGZtEi380BDFiaSvTZd58YxlXXWYe6vPIbch3KK4ML3yVuI/gE/OZMfbGYNFWVrb/98S9Ry
yX/ax/RySzwb8ZX9Ywn9uHjSSLTYgKLskHjOS68g/4DzMi+lL56cSLXcABQ3FXqYpc3UMQXDOej6
vBJORm7oXFfUteBrzNJAQW1MBN5hCkUMqhiQB9LaR02KpBMc0cYwYmNTCX6ynJurzmzzswwffMZw
ZwI2CpqKLfwPST6Y8COJo33bo6bC5zSmD5E5pVvEGyRZ+p0JHJNWCaW93LhEQAivichRJe4lJkZH
oX3lkHUi0lnfDVKb9GVMBvWEShyThgxhYjbks1MGmGcsGKKOpz6bhGTgsoRWUKf1tcqrcG0xVr+W
LXLlqOxvY+6gzIv02oj0Q002KxKBoSPXtfQgWSDDGrV3Ee5oHkg/VTU5on++TR9cD/+6S8qV0qK6
MZX+sMVRpUPYNyCxBXXEB5ACJjswweYyMegjefjzp/3mNbVMlkHbcqQnKHV+fU1RqKgO7G96wA+M
+Kuj7DaSpXWN2ghSli0o6OEh8U19MiVwN//54z/s58uPtUwCZJaN07Gkbf368WpsKh4sPt7JiuBq
rJ6HSWz5rnSVEfJ0AKT/cnWtxTTy4SWgctHCsXkVpLI/mEqy0eYM1zTpoc8J1bQiLBTerRrQ3VS8
DZsRkvE+SqM9Mw+NG4yZeug3J28okl1aLB2YtL+fdfo3t8vH8mG5EJYUUrA1sS3ZH+6DgyGWUxkS
ShiU8YUTCJ26RU5nTt0x6CGv9CN+Ujep4P2HfrAOeTp3oFeNtXSZfduGd5g3ezlY9akkOzOTY3ux
Wwg0Msl/5HwsCk54d95YvmX0OO8Lj2a1bZLC7nsC2BKYyT/f2t9eaZcftRh58Pd7y4P+U61mDFLF
Pd4ILJLoDOhsbSTuWI6ZQpx8JE7ID8jni5uciGRWFPgF3qbC0brNrfSq6SZjF9QgAjwyt/+yElrL
Y/XxIeANk8JjczLNj8UaDCw6cpickSA5dwBPLmowLoJRDGEz9X6WOjuvDunk4h7SVvq3T19KwY+f
LolE5lxCU92TH0rFXEdVU2EjPmA+8q8Q4cD6Fc6ZuwCshmh0DhmYuLnRHmpUJNeBGtF1DTV9Wo7t
Gyah4V9ewx9P/cevpMCySixsVH3iw1cCyJ7O+DAxG2B9XZcOUIplLpAGWgNcedVTpy9RcLMcza9Y
T/I1qif/Kozvgja9qBwUe0rMQulbpzkg9NnuhmhfDd50SUBBJKhjzq0zT5fSMrdi6LA5+395gazf
XVTGnwggtHItJT4sm3OD7rHXbnkQISiSiUUcr3Nwlbvg8NLyCrwueGAMIcy9i5PIoepLGySYXZOp
5tfItOLUvPvLG/C77+RJ12bDRZOjfmzIP70BmAIds2p4A2plqJXhMJigSwk+IDeKQ9F2mkuTRpuU
6J31ULrLEa7p1xZU1kPrifSuHoB/z4z3/vy9frfW0GFUJjWoVBxqf30xS6vxdTIQFKDyiFV9bEKC
JDIkJFQoWf2Sd+mrP4Aj+Y8/lZ4WXkilefD1R3sibeTaxcBecgIqnyaZWhj5E/L9UuItExlT1SEl
MQLwJn/+XOs3e4xtshDZlmBw5n28CymLuIEyi3Vo+EKTx7mYZYBIiCneyQJTtgqJltxRYe9LBgOA
xicEsw0gMMEZhewYUDdmawKK4f6Yc/WNDKy/LQi/2YSpPTgVCOVhIf14MqsxCfbj2NaHxmhu/Yax
Q2LBWDAXRC1YSu9A8FL0KJrm7KFC3XcG66ndknvak8uR0u9KpHudIJI9FjlHcWXX/bbIyNeBOozV
9X/csLf/WhJ+bkX8pjqxAa+S9csVVZb+sE8ZrN5OyyZ5IHnGoJtvnsLS2k5Fsh96rf62Wf+mYqUy
0JQIAMRt5si/Pqm9E6OchzB9qDFPr7tpqg/5QHqo0V2HuXqMEuMGc91AD2Q35+V4zIieqNKu/8sN
cn/zCDkOD5DNiYZq6Yf19qcXucC7FlVehoNkodnNwnziC4O6HKablGdpqm3jFf4XRYuwXvsBiBKK
cLXORftaTeX4PC75W1H9PqZdvu/JgL9GQk/7QifBl9AJq52YZ4AYY2MfHBGCdcFT31vWSRUhrg4z
CJDba7WCzqRQ/C8MDmKgNxqN6TawE/seH0i8iTPvS4TKRqeWWMle+vyDmKplOegmTUSUSbX20tk8
2SGyMng7YidGZCDMnq8Swb5bMxzYLjBs+yLmZj+VFX5GVS6URV5MggSMGDfdn5+n315ZLWzs0TT3
1I8r/9OVRY9Uod4wYPY6uWDuZtgby8rd9TQ08hBnxT6e8+Qvp/AfVeWH3c7Brw2EXzFI+7e9oggn
zvYwyBi6As2sp8Vg4PvlQ2UjzKyosxM0hhzo/AWJZvRsg/VhjslYnEv3pWstAg5KjNA2/GtsfOmz
IaJ608R9v2xupM5UdoF/8vKfXym+sUdbczGUe0tr4acr1ZmwmQzV5odMUIZnrW9cnEW0nlnCIrQ3
gEhQi/kvT/6/tbV4ndFTCaGpC9Rylv/1U51EyKVEzw4V/ASE60xDoe+pbetNr7H7bQ6q/HoKNZGR
lZyOs+Txb8s3NzWjl9FETe50fnrKS07gxdycbIeEtQSo49/W+N/stI50PbZ/y1P/XmuCdaoUcWrZ
Qfmle6WyT1JU3TlJp3CNM5ddn1yHXjiEWXplsquC4rFAHfXQz92jSRF9ZQXe8c+363cFCZWUJ6i/
LcrMj50m1FR4FvEsHPLWekmrxjo5XnXXgARZORN+T21WJOz1dMTE7L+xCb9qp4gZ4ZY7ERUP9Ltv
//yN1HKvPj72dCadpWUOofLjahq40spSoEVgdAXRNCgYt/NY5feYhMiVsLzyqu/gBEW+A1I5lepr
S6wMhdUhDaf6Pff2SWYyqKzbS+vQN5mUS8q65zuH3uOYBC/sug3wPKcOFFJSlXEYOUpv+XXtWvTU
FHS3nyz4dQW2FYs46T3Vbn0MXWWvZ0uVBHcl4zZtwQlAHhSHdDEQxGTZH4B9cQwDkryFLCZ2o01j
WdoVWnGyitZlGCVn085eLJuBGW5k4gZagqqMquQ4lwzwZfnD8+t0G/jora1AMw8t9lCc3RvSIIzd
KAHUCM5/67oRMFndzL6Z6ug0WeNnncvphqxkuGSox9ZJPl7DABuOfWojnHMrwmLCjPCDv59Uf3O7
QHRDZVqOCab1saIFi9CASjIxFyejvYW1exKuONVOHW2hAQzYnkiKIuPpLcFJHdJNIVYBKidsdWcb
hKm1/vPj85uqcSmuWQYAWXj0Ln9dCRStfj3ZSXqwQftsxn4GIIoLbbYQTXjyOg68r9gzk79Ujb8p
jVwedapU5gY0Cj6sP5NZtflkTymxkCB9Oz3fycn5MonypiYTum0bZ6UMLCrmyD785x/s/vsvFnTK
aJpzoJAOx7Vff3EWBYwPR78+hNWENwmw4roCUkeWOkQCUMQ99PJdNCefRdOBnJldtLnQe8d0QKgd
0JQEOpvsTBOEA9xWE8tR6pkeExscIyhMDDYXs9mXFQIRNA/m58BCDS+Aw99PCcKwBjjyKpNN/zwD
yHG+umiL5eIzIPokOBgNhrm4cvytZ9XJVidSU35ApNOV/+LGmBOYWa1SVoLbZMxugVGTspRgno86
CHwiTrdJaSJDsd3q0kRD+UIrwcF5k5HBjIQdRdJgA6u18yNKC5LmOuf9z5f3x/P763IEKmXpD4Aq
oS6SHx6oSkyNO9HtPxi9fKkZ+9L4iY9l6BkHzkwjDIC8uzWtEocDOYZ9dtfnotgXkRAbXTArbxoF
pSlHcNtVs3sKkRqncaPPGNBvc3osx8TyERK1LtCAsVM7G8LUqiDNaIch6ELTi9OYbj6BjLia8+4G
j59YiZ5Q58zqkYx4NNDD2KezjKm+oKjc4NaCeQfDNqTtt6jPiIsLJ++AqQnVsvFWCWFcCAW4wmAA
3gIo1t+eSHoU/7aGKxfQi2IYaDp0NJeN8KcqwJtJ7A4Cq0APzclWRV55m+IbLWbvlA3Zgze60X1h
5cZNhO6kbqryZHYAQVsmZ0+e/zZ5HkrIRj1juh3OLWKk9Vj4GBy70D8IbF3XwXBDNpLJkYKuOMr7
t1ifQulg7E3ognqD+5x40dk1gvQcRK9V2zu3xTf4J+VNWuVwuwKz3wZ1+h4PdGszKNWqRGFsozop
lX/wlKW2tKmJuCu8TWoPcjt4RMT0HYEg4RVhvdO5M7NPzqDXxljQAiSU2Rkxo7VefFWGFXtDKrI9
gICtmprH2ptnAAHJU2Wmj2Ph3DKLwnyEdzBAlIk8x77X6JiCOkPDpx38P966MQhX6owXv9TBxYd+
GeTAsuvO27X5IPZa4PUKHXpWVjIg3RLFKqnmb6WBj88xyV6B9zqsCh8L/yDbL7NJ0h0OmY0hq+jQ
xBOUuljeI7yI1wRBIYWqPR/1/Vh/n1Ljq1+jkXL9fRKm30sVfu+Dtl4P7E3IdJpNjjoULbqdEKMK
CJAs8gL9WnapSgLHqs9owYIt4NhvcH0ffEw7sKuGtT34RJkXsPvyFksRZ+l1azoPnYs2P02RMpQ1
zfxGPjm66Fk85nA7h3gEWq/a9t2sVuqbIzjEMTIsMMKedW6MqzlYUpVb90HhcfEzfS1095yUckm3
6DTNEmpmLSCSFQANNhValIik2Z4VbD2kEdYbPbwGagIjr7+F1ByXqLCfqPW3rRWee382No2OSRFk
4L+RPSMDIEDvBHciMUK3QdfS2JgIh9nrHZusPZpLtVEl64mDEvriHFQoqXlBqNEg4kWsvLnbDD4Z
uhk8CJ3BaIln9yppC+ykCBEto/raNARA2yM2bqVnnC0RBEc0hMoZ1kMbV6cOSC196ggih70t0mDY
zY7V3A7prQdG4AKupD0iGL0McUR4F6LPTTPBBibs+XZyvcscLNmeS0iPkU050Z0WjmHZIRoIjVNR
LGk7DqT+0PruIGa42PEUb0encgmcj3vkWSbGyN47WfHo7HVevRhGLrcaxcEKR/e80BvSdd5bj1Vr
5lsOU8R7gTS0xuGrU5SvXRkSWNfaxYaSE73wRPZEORkmupyOhNcoPEwEc3UC90eHuTgakIR7WYW9
wD77US5XZnA3jKZxyIIYa+fU11vwLoGKqmtPf4JDFjG40tc83ZjHaU3RmMRcDJLeRz2v9jqVuKry
98Ch1kMkv0vB0G6TAQ7GkvtnK3ntlNzNgHgB6kYyvWf0zuIxlV6+jgKAoqir996StE4bhODCsd+W
Uyiui6q5RdkotnAMoTR035SuLmkzXlcE7Vihd21YdbvrgqDYBcMzdequreIn5ZRw4dILbkMeQMxk
e0tF/c4PyBfJYACviPIO7M+M7qLjkE4H234lq8c59hNNVzvu8CnSmbKi8Gs24TMBlWCtwebYSWRv
a+3feGrmb8l1DaaO1aFsjlODQawBuSBUeRPqfEdt2ayMShlrE8Fj3fktGRRy7WAhGkljOFvUda5A
mpakKaIpw30Akqyu6M9emCtGG2nx7nituk1LiK9mFt10+NZRVNnhTOpMAxonboloBxKwyZ16xQYr
9n6DM9w1/eNsq4JIseHWLpfHe24uGMyuEQe/OiOwdzwCcx9unTQAoVV1Xy05wqzo3XM5GhdKLqLx
5EBHdLlLcw/jcX41Nb6yJI+/6iUeFpzoEV33HVFzYUjyqxHslIpycun6nSrTk2sb+P2+kHuISbFK
v9Q2K3LcZCGBSi3mQppHa1WAwia39W1y7Asq7JRDbJKufEFwaG33G1LboPlQG8EIzbFP0446BHT3
qFuKK4mejvjlICBFXNQnM+xfpwyDIq4TV3C3Iqv45rmEHy/oxTm6ZWu6FRogAOe0J+LAyuBpnrjr
abGWnn3dzMzXOaORLRbWj3M9nM2E4gfs13uMgdgWKgJZUKLGd/sjiX8Y0VEiyrpSK8vTbwC+wCLL
R07S66myboOBAX9H4T71QBk5PK0Y6eL7cdehqdEN09aosq+zGZFlrc0ZFEzxyNGJSIre5Q1NqEFi
5ga4+eWTF9g9IebJOsVuv1HLk1eq/DQDf0mzJrv0VcmWMHlHD/tTIUqHXae2VmbEObNJiCHtnW94
8b+CO3ihgn00qphrv6xzuOwKYx635KPBzHejC0NbcBuJfYid7NwQDOzp/BV4w72gt7bqoruw6012
L9TtpIcynCehF6TD4wTrkODOhRPiEI3k3RY+Kv3MeXEtjFb5DI8grYbHssueObxgsYzicwR1S+TG
UzFyCmas+VVagJpSKOpqrB9dl3toOPDNJrWrS3VFF+jT4MX72kOJkvHNy8k8axb8oRoj3M+EUjjn
esKKGY7NJ180L5Ohj0YDWaLxwjeg5RsZ38YcSldOmTwQi4w3vTSProqv4XdKteyxBg24Kkf0qDx2
AmynlTwIAmqHyH6vlNz1TkbyskU1FS3heJbzGIcJXWV016XPGj4QQTXriyP4tMCnEMBEs8Ad45Wj
03AfOckBvkd4EYxWpcXsa4o7snftK5JonztreOI9XEKFw31fjxcSCdZZZ9651nxoBOkmcUTOTFB8
t/OJTZZCrrTYKRXAGjMmLXgW+3FGl0nAx1WIj2dlB6QsZ2G3UwMz/Mk39sJOngFgoRdj3yWcGXW5
MO4C2SI8zx7GPnzpmApufV6n1eDCvsS+d+/lI+B08H3wBId38kjOFeZMdwyeYhmk+ykN6Xj1HUpM
7MhLYDb+8pljNjwjZkeAutwQNsEYODHy7JDg5iGCvIfsIfEVp6eJGCb6bInVDvuy0LAkBihx8mS3
pcW/hVqCm5hiYFSnpE6xHiMvdSE3rCr85Uvi+Cpvu3Wnckxtkj5wpvUn4T2Vhk7WSizCa1u1e38O
qzV5l6EVXvu6fpl1h2dy5DZG0wuH7Hv8Gf4asxoBQS39UmuJqEpANXkWovi2zfDvNekNjCCsZUlx
jtV80oG+TbBbDyVLbxZPX9q0TI9hDt4OAMZCW+nrjY4Lb93ZlOAVe8SumNNjXKpvXR3Bw2jJynUX
8XgOADxKFIDAyD/CLCHmUhMkGEDWcoEWrUZkMbtOs8I2XjRARY6sK0LBzcvkPtEivtZyuCqSJaJq
saiGE/dKwsvre8RNAeGQEpGV5uocTYfiIEHEQJAw2dEWkINwhJxKiOF6hCHOm+DfDpkPAcqxoqMc
nHWyFL6V1ZSsW9MGvCLd5JFAW2Djt3VeFmsnK4lO0QTDjtRZa8qJqzIz0ddSXLXFIfOsJamrRy9D
iUMx5uiqvKtt2dKQJmvKre17mmjDhmZmsLXLhhqg8vayjSEFUFIXE05MRy1RBOSKpHXO6CxV5wJH
gFsmKHRi89pAhmn1+E/8iZiZuETbJjhty+C2rWYCeFm8h2mP/q0+k8N1qXhtwVl/cmk8n+diGfu2
7JPegrM0/b2Q/XgYHPudhIdUNzEkJHz4o1QvSbgcunoyN5zAuZ4S470a/S254F+AOBQ9nlwzwjnR
woZJcc7CkYYjSMCW71BVu88mZ8x1DjdJDHdtNIUQxY1j16ZvXv857iiUjLp8Cu3R3LK24hc/xRPf
jUnPgmcY9mYU3sT+eFQeWBpgsA0ChxXV8jcB6cvJanx6jdwGt3b4eRS1d2Yy0zFaMx+5p8REsOnN
7/5A4k0w4LjK7S2ZImcPBH6KcQBNPOFkYqB2rWf7qvdg6SZav/L2cEPOdRmeio7kvK42NkQBUnoE
EwEzZIR5JiuY4ayq0nykf011GTsAlcBZVsNrqv372HHfO8sFSgk6xK7ZmEbhvkfgETIffglMM1Ma
W3MuSJNLDkVc3QSIIYmpy98CjYe8EUAWZELVgVFujr76Vv7E5bzG3kcrBB5PUrTXsVvd9wUhfbIi
x5cNHeJB14iVk8ZXUQo4cCZuCdymhRbLYXzk2HfayBeXGDABL5y2tkfDzw9u+4a1jPbMvJqGbdX4
32jNotGS1nMTizszMPZ2SR0pje4BdmqOt6rBrhJhjigTk16cPnkZJ/+aWoQwO5JbJA2NnjxTw3gC
8TH66qayMSd3OmSeSIJEXt70OaoxMcOlQJE+RUdviW/uC1gGHPV3FAVXTTAZK6swXuYEtDx5FZva
Tb6Eg/swD1hjZ8UcwyvfpwS3fUB0jNRsDYb35rtLOLZfx5AyPSIzohA2Yn4/O3ohCpBrwuli2PYJ
3mZJjQNaZ1eOc4d5Za8lCywvdCL5S8sL7zudYC8OOS20rfymFeFFo0qu51BgBVPz2evdaB1VkhwD
ejvGqkPJTINJ38wyf0D0eJRd8823kLCkVnjllPp7J2AGjcTl6BtPeiVdlAr7AeD4umz8S52CiO7Q
oCVOfTE46yW9BBZDDK8oKvhBAa1aVmU+G4YQMZVnmt75WsQxnaxsDM9yJAqzcV9mMhrIhWXfG5D/
54LQv/yAXMzCEMoZFP7FsOBCxGcHCsgWC9EptaIlZQrJ4RQAMEyIA4LZs2Ktqx9anyCwhpzNtRvL
FyuPTkbrPiY27B2DVtnK6idmarX8aszuO/YZscknAjdapb7FpbUh+czYQE01N3XUUUQ13lseLjEK
ZGuCYQMX3OyOhtFmjHkruvSlcSQqiFZfmjL7Y0UfgppiUGmo0nhzD7hCXwbFplinb2yXu3kuHtyc
TODRXZeRWJK5KUAsXOqriUepnJ9RVQFcE4LDK6vJqrAjUIIsSphMWcY517Zx/5SIruK8OH2mrwsY
KJl2Rl6Dqu4SE7TT2ozae5AkAKsJukt9z1/3ydwdKtcF+kZMfJ6QWyPbdp9QdoTluGQxbvPE+1xx
jNwEVWttWJzuyiXDSdFyKkcOaVMES9EbxSowlEVHlxyuAKVTLfUqgpEUgZDZyUu+cFd7XH1blYRf
ZVh9Y25SI5Iqqe9qtmfAXWCiHqecpKhW2KjaJrjrpZ/bO997G6rhMpScmvpllEvzptnRdMnYB+Oj
PWkAWSmex9h1y3XVxA9jES6xlmO9ykd+EwFBRDkG8b1CaXU92/lrktWKSAQXVInpntlkiQBzrPUQ
ZcXRrBOUFdBD687+NjsYWz3OzmjVnRv2OTSe6SbQabJrmekuhToVgaYsCPtwX9c2u2bd1JucIgBT
IiWQRdOf8ZFLSKLdnHWDocodrl3N2hum8EMgj5PYOKYvkd99xw+7xTs8EiQBrQX7KlEgg8mkGOBH
hlRgJ+i5BfEszl0UUKYqDO91Pd92rNYcz53N1M5XfTRt4zYVtE15x2DXvUNhRyHYcRiMI/AsDnrS
fTJeOAWVp1JUt+lcBtvgB+5K28W1E2YPdl0091HxtW8hKYmaMO4gJyHPdbNTaAyH3MSML4wZ527Y
32Z5mh/9nlzbvJEP+cCZxzSGTYjafC0jF3NULNJzmvEjfA6E5O89hLSO6EDZcBIaBLmu09OC4RwI
Le0emyg04hLkRJSU8dEPQjpkJs+s12v9MLXd3rRHkp4WH/Iw0lTLEwyB/4+kM1mOlUmT6BNhBsG8
zQRy1jxvMP2SLmMAwQxP34fqRfWirPpKyoSIb3A/7mnPGU9IbpiU+cixkABSPqJIlaMg+BJNFGs7
mLDS+E2z5D+1QoQsJZZ6g1grvUHqk5I61nuYUb+gmJ4W8JqtdvTIhi9q59Vze7zY9HtRmQ57WrEV
EhJmcS83Hpey/fI4i6Ji2dyYfZfu62SOXA6uZsLh7sJx7KDbNan7GavsJc1UCDXNxunk+pgW8YFk
CXd4jBtz5ymTPAdjDxpL7rekHuZjzt2o8z0gmf3ztOZswKDY+dnCNYUDL9Zs61rWis86nTD4y6J9
dDqytDGOngXV3RXX70gQTajiId7rbWIx1jU/NF2EEGTllesYfcqQf/oaPOV6XS55Sr464tMXXrz5
bipfRn9mqroprubUf11dnYGyfwJsx6Kudx6ZXZcR+7YtoSLNDosBhHJSby4LZzz9DBy1ISHGxKiQ
z+dftcFhD+kTHxnkUBcxa6jV2By9drqh1TVg1jTZrcnuxqroD2mVvyAvnsO5pZTwGuMwCzp20zf2
hZvlEWg7/NkduSddiZrNSjCXWN1zmflIuV0xRmli0s9UdMI+PXaN7dwerQXNc4cTV08fPMJNezmT
yZfi0UU7Qfi6TotgxgQSsbR6ahYvDgeRiKBN4wkjXe9EIlfvqR4VBDBFgwtpaqDEzUyn53RCXECy
2LntR2YYbCUS3BQdSbzXdECEx5B6U64bznHOeThQOvlPHMFhrsdIqWhoTyTECNhLJkwEglFfNVHd
13gFMR58xtTKz16FUWWoeoLLh0tCsCo+nu3rGq71iHHFFgvhz9h9/WROolL1pxEQYzAtqJ7zUuNI
8EuP/Nj7TGYftAAqmhHry6Qbt5fuW5t7DnMRL2jLfB4cuBkZpCZKRzmxH2kwQBA7CS7jbRLlneFt
5IVyxmhaG5GNNOPMiXFmrwYiuzBe1hU3tVW/6P19nXbnnFnQIaFvKdyJfoxwzsR5pCpDpWBN1cVr
y5vOSDcDPuHxevsA5PdI9E3c3NmlQrLBjBYQgNESJFznaXclneFMfurSMGNqOyqsBv1OkAtysut8
eRYYxC1Ynrqq3vy253S2qdPX8g1WHiFDA1IcA4P9WCGw7Tz83a55hjr0IdQcLVSvsekD0YOCOZKw
upZDeexd3Ll92mLIsdz7gQ7XrbUo1vX46mkHNlUGnmewlRvLNEM/sRd1CWN1MRmVbeRDy12+WmLx
wrwi7RXjNlYGpvZ2JqeQQvBZDVTC89K/jXXfhLPOoNMxH5RxQVL/NZM3FbnleB9/kmKbRy2CmMgY
QMXi6h8gjFp/Cg8KO5qS6s4zq/PIuEpDnr6HCymZT4W6yVMtjLI5LMomhNbdqzFNju7Au+3ryVtT
M//oxqaNDNX3x8bDzzwI7+bnhIz1zgInNVPJCaMWdxv7ajqxhDbEis/55B8VgRqht06fVudkl1x6
EXRi5pEtK98lWbtICnWXxO3bMoSdDZE2q933JuWLiaf6XjjxeG41uC2z+7pIAoRmz2yCtCZivFMq
QHkAOCcVRqgwLbQaxj1TpacxJj2UvJIQOjCjIj9n3FdcBnLP9tSsj0O8ij3piVfdUujypVZc6McP
fqlR88hy2mX2+sX+PPRrSv08FrdEELvmphSLXt8Eaqq5+NI1IoD5rh5ZaIuqA35F/YH1KT5OXf2e
bITkCiD3nnWl1raQPwvR7L1qCDMQUpFNhNp+gnfsUDQFiU+jQ4GuE1BDJHkOFoSoHNJOit44QXpj
FoF0LrJnj6hNJDjoSWdy07L5Wy/lH8ttLwIW6Jy2HbKba/7NMeLxulG14W520TqW34O7GDewgUQd
69wsVkbNhpZEPzjswaAgdbeMbIlbK50ts3yBbpOg78AsY2vZoZ0NpnYZgHutSwA5wAjRaCiV10gY
BhTUonx0Z3UlfS9KmXS6xpycR3/bhTmMJVm9TOeMP+aQWvYDqJ36IDpCAF0eRIYlvnPqK6cLx8zq
iGRmtu7QmvXDWt1p6ebsGLhJKWLe/NuawkiP57wK7WnZkRCFQTseyPi2q4chboYI8kEbDhXj9JEJ
4sqrXKCKJSTMfOlk9d26K8h9MVEYxTntMHtTb7wHQnlvD70V2lp9ckl5j5a1ZA+d3Sdps5xI3v5A
iAT1KGfy6JVmG82pDpcNwXRmV//iNCO5CwI3LQhj4FQsgCvcGzqvGPsJWgHNq+dQT6fxujZUYLgo
rjMWagSQ0Dt61T94JrfpNMhtBWxEvYU3OnNSM0pySrS1dRlDVa4T9jWpTazv5ltV2c/AW2kb7SU0
HKe6/9//WXTi65JDD4kcxkilON7XgLfPeEo8l0irYf1g8yFvts/ETaXSjkqyDrfsX6b1UCAyra/2
jmFveC4Uc8iQWA0mlPH0BawZV+8F+CRrnlrp+6GDm5P30BxGY4mWmp05fZMtNf8Ms4wF6KDF8IEK
xCXNj1rZ+a6zRkUUV9ymPHabJH+CrIhYn3VUKxgamrU0Tqwst+Tng1835olCaq9gGEStRdpVrLfk
7HUcHQXjOW2wXzO2AayptGeCujbIt3lmRyRe21+LbMPQcmbQ/IaWhLggO+Gd67JnDV7MN5Wvly3N
eqdbqct1t4oHfUm/4P/sKdncaHG74aJx8K1xN53B87HInmxiNpx3nnXuJq89CmJ3oUwgAkNDsC+D
Cbr/rHuAHVoilIyaSzFWiPwlMZZAfiFRlf4/vfNBcI6HsR62WAL7GpuPUHBz0IKMfz3fApSnxe3B
MgsmXgq6CLzury00cO0ol822/eEPiAMc9MdpadoT6QFveP6Ncw4d0qtQOI0TWmLQvvkusWaLuYsy
zyiPz0VD8JGtAYOSJni0kaBQAGEYR1BM8cFeBtNvwq4umGXk/FhGP5kmrjkrgSZbH3NZ/RPcBdCe
UhHAz6GrLi/M1J4sldb7vhuuXmYALNWtL/YE+0SHsm5LGlZvct6cGeTSQAhK1SfPiQs5IWlrEU3t
cgb+DdGh7kO6UDyq7lsmF6ZEo6XR8nGirqZOmILxMjWxCBPL/0A4CEvSn8MMACJjLv6YHmxNZEMQ
PbRVgRhBRID0DP55xw/7rsfuzR5IK9316A3mvYRvsTP6IWeQj/DIkgyIfTPhFDZ/k9EI0T66cAmV
C3jF+TB46nYLNeneTQcw+qx+ukoSkuZkJz0TbEpV8+kSCbBYFA8anCcfLmOa+o9uOcyH3C5At61x
MPjxzc1x1SKUXvZtwcOVULVrefVco9jtPHU2hP+E4GRfS98ldevPrDdyBSvcT1AUDOS8m2woDagd
bm4m70i0ZIBSsaIoOVloGEI/t66ttr7z5a17ctI/xJo9tYVNV8nIkMDeLbmcyi9lJCOn9az36gla
cX2V7PPaTdHnquKtNeWZO8U/L2MeFWb9Qbv7kmdCUfymJKS2+Q3p7ZPuJONj2bCWFdVhwvu509xu
2ezbUCJyzw3Zgw27pKSbryCZx2PvwdGj6Sir93HV//K5vOuUoDkTKY6pgkm3WYeNZhhBN/P7ZGOd
Xdt+S2J07/ntm5XMPhNQl5vo52w7oNkRXtlHgfuyFneXp+27M2F69qyMHAbUWx2Vo9LQcdWr/dom
Ara/p19GCvR6lXdjZl8EILJnE6x8PD3m7bxAXcswrDbr61iwIhrV8thxbbUpgi+iHPagJoGe5deK
3e2ucqGHpO50hT2JHHRggC5IkXX4gWY/MRMvm8+pEe+xkzOpcr3fdonDUYCntsTUhj0DubFS03nJ
9LfJnLZ/3X5AC5oAB40vyUA9Ebvxi9zwoSOwkoq01CiF8Fya//736/HuE17PwcS97D8MFdKKtSn9
F7ZImNMdgY6njXwNYkqzZs8qyeyodx8X1RPV4PEE50wLvCn/Xs2VpqTSLrpmrpEyPdaPVqMfisL9
ZFPGgsmJjyoe113+kuBjDNOY9MO8Bv0lnBBFBr0y5tqk/NHn/DtGWfyhl2eKXokC3GJ6OPBWGXTN
aBFAlHirmwUj+r9efHK1u/vOHf/Fpd9fSMeigPMeF50xnqku08TLI9UIFJMvd54V/VfzOkpkMlKH
DhoTLH1oG/FasKJkMT828mb2yWfsQTyNRX5OV/tUASBOe8VMpPw2RnWRTvUnQLFdWhKgKvzU57Ik
e0prvG/mmGvfAFGxPgB3+lEngSWvbfbE7KhjpMAL0ljZb1X2NoDFchsJIPKxKowaHr5Shl0Q8qHO
2BMTxMFh0JODK16Lc57NbVQ55Z/pWu1Bbij9CUCjue0XV+On8Vjd27b1wGcMdEw+T/F4b4EFz3uc
NCUYLGpM9+A0xns9Z68AA29APf/SnAmcp5NCrMSDtBf2fYrJVl1TKJdLzFa/egbgQii17YSyNv9m
LcR0W9XxGFkgwyOjHk9Voz+W5Xgh96Dlsm9fUNC94vrGY93aNK+KUcvs7Bm8fstSkUApqhcmm7th
Q8DHYg6EYNbq07Oj0frI5MvMa8rS7YMT7WtEU8R946w7rR4Pdifuhob3NUvSf4bxpRu0+x3n9o5p
dYvyiVp61OC9msZ5o7csAoNwF9bqlo2LCiYiSfcF2fVw92+l3R1UXMJS3mR+jR5OADT3XZy8595a
Bx6dCeOPZd35ArWVwqWVtHAeHTWH0ivQgFawNRX5ldgn2dDmj54cnl07ixzzW7HBuMwDhAQPAQ7R
srtu6j+siVK+ceDR1Dnow3FkpMQinArWcV00hwyMWWHTPazFsWhB63UGn/UGZqt1g6Qj9pCyyPdr
vn5mbhrElHkPK5VsqaVjgPj8QeW5cWcL45TW4jgv9OBj4mobdE2dbXXBuwA8V2FIL0bwiFY+AeJK
alJDq/hZ+jHLKOtjHLUiqp9HXfCoIkajOoMhglRkWvRDbSZbYkn3ZG6swbyEG2ti5N7LFEarxtZ6
gksXrRl+TZ1Wj8iILUelYIWHlXcG44DXDtzxpkQbSJAKEl272WMcWXae0n0RGWbCc14nSkQsB1cp
vJF17vrkqJKHg2+TxupttNATlb4cgVyRIWGSOkARHHNcpijmkgpBkADDm0IkQfdCcIRPEAc7PC3T
CBNOEPIlpFUG3UrwhMTQs4MpjLJAfTJBOHCtmiGbed6mAvzXusrvOHaO9ibjqf23vDm7pDMejZel
JGy9601w/GmKqqPOjngK14Obi+eqBp/q28BC528oSsiWuuKrnxFApDOlOGYKdiej9tysiNf9YTh7
dfldzy0FhyNfbTW8VBwmocpNfhdh/ZWW/my3Cpl3n32ZRh9kIFEOhgQwTLF6sKyF77VLHsexfGsb
Jw/mRM3Q5gAS9t5AtHN/WBK4sQYCr5Sgu9ZZXnXL2ZJzVjJf7e6nKxKwNUz4mwGVrP8ATTsL/HgR
FzEKPtCxDwjufIHYFomC6IySKkKSS05IFZerZzHJs4eQIYYEKJmfLG45PB/jvcr7Oy72C2YoBjQb
rG+FkcyV0cI9VH+L5ee7Tsgb9OH6QP5WHynVNPt07jlyCkpix/9SKWu7zCX5HQ72azv5WeDZd5pt
2gek77wTZUZsVufjPeCYEDFhP0Rz2VGWtpwGOnV9WiZ7DYLufoGTt+9zuUsY3PEGv5f2sXEQSSxD
b1NkVVFXAU1Hjpcv47NFECwhUAUb4/7VNJfQlMDGBTMCXIyMjjdBobnf/sOGq90J2x/PFUdE7Bs/
Ov5ZNXaoAx00NjlXAgpK99negNWmk58Jjvj1+viiHN8+djNPj7y6lOPcd+phxGse6AAxAOLNz1lp
3HFXBhXhzLrLDDulp5Iyv5mr95FOxruGLoRSEESu2/wniP9oe5aOqlupzV3nmpHpADGxpVq9oYCp
yWWYLu1Ahocxn3lhx72f83VqBOjs0pGT3YidLxGjeraAZFl3Cd1xFj8Kt0cQ5jLwbDSNoYb7ZsFS
2/ld+ljazJQXkVBrvjQKyluuXTCDBE3u3w2L+WTlMfoNFUNd3e6twb2mpLSU5HnpM/vxsgOhMFjc
jUIv0IFk8V6oCplK+1siJ9yRF8IpWnGWDJAZIq1JabR9tw+hpO0dM/nDiYjvzey7sPSa15yQkR2s
ChgudZ9AGDP2gk+Fy6zhNXfSvSTglbmQSSZU+oO83KGWVyoCz4eqV/N+CdO5eabmBnPGT+elzk5C
/LmFQYFVDWL3nRW9eVLjwU8c4NbxT0Wh7LU15b5OaIZPRHjtbYRIWwubXAbN2DHlQ26sY4Xe+flK
riQz0tFntE/a+qXXQMsPgJxPbMQkgwB+I6ssny2yPmoNXGqsSytYKh1GO9RVvW+ncOZ5KMjssNI7
1WzXaRxV8cSGWe/urBXWaiPnr9Fc7v3aOpJQHJXxcBNj8gupxWFfTgLclLAayJgbYRP4Gt3xy+pY
4rjytaQ82T6SidxsMudWC6YoDOTRLQix6SWyusR9aDsXoZ3G8sexBg5H/WbldODE08CnMMbIzP1f
tVRRogRFJdq+umZq1FkOiy25szv7g3xNfa+a+LDAOS8T68A0jJSisQtIVX6huA5nH/4hAQOuSWta
Lv5PPvH467KbQ4G2HUH1hrhb7hOxvqKtXUhCkC8Lkk41aIHtwvRnX2ZCbOJZqxitN2UAqf4w2IDX
O8aqrqYCyuWPkWKcIeTEd2rsEKE40WADDK4YnUf2WGBqqw4Ytq+G097q2TNY5CUfOlyZRjN/jY7N
n5GzotT9hFgC+6Wpp2eTTI28IfHDQuPQj+OX0rluGuPiaBYIE//KKGbfty0TcnKvViHeYqsJfdoi
GN/JY5k6GokgLR/oaHY7iZpqKRkaroxzKnux9vrSrsfc4W92kXV2CfDAnMFI3/cvS8Hw08a2sFXr
vdcSTl7bTLHQM9mJ/WrFgPcMgual/SNI+KarTplhLg9OxbVtDxgGyrznViyABVpz8qjlSIPQ4NxT
gWlcXs2bGhwmysP83qbmj1n276rABCE0sm5S36eN66qF89skjHJk1CiyW1KkNUuq9a5LCZdq0Uvt
uF7/taXClRFPJwQcFCSACSJXL6+2dI6DQA6cs2y+xtvWDQ9M45QnFj6cF9xfp0Wk7xVbVYJnh2hG
w6ZMRPlW7fzC+SWYr+e/Ioth56WtcZf7I+aNfv7o1mtauRnKuv5xWg0B9cblVGJytygTT4/d3Pq5
+y/Dv7lvI3I5TDwLYL8FyQu6W0B7ZqphLx4DPK7XEKPAB7QrgMRFHulD1QTUg3wS8FSJrZyjvmHQ
51iHaVXvYyuqQKK5Srf5W0HO3gFmwH6M2U8sb3zfEMhj4QSjm+IiSqofK7fJIXVAqC1IxUmhquBz
DxfLiYmCWHJCYLO7OUOTC8C7bYDEmLHnRfZOoag74BKiaev1i+4vx8pEx9yPy5UNd8UD1z6bBrkY
ZWFQM6/yYSD3eo9XbESJ0oVGWxrhnJBAb678cE5Goxjm48z3sNdWPlbLWb2AwLJIJFCZMYaO4bKM
bpDaa5RW715qEjVBUADg8piyEb2dXlRfovK3QL8cj0WDSsUYsxAsOPMZdIW1i9cg9sdXTf7LPRIJ
dVd/l4Scwvf2d3GdJ1GyqFOfFxrjXu1u7MznVo9f5fo/U44iq6MZ/y0DeXckmQKFav9hlN1XLt8P
bfXeaeF7mTSkMxOF47KoIwN5PrACKVnFSGS3qubfkCCdEPmlECuJWBNDH2OxDXbOoGD1zDnFOrLU
JvGbwJjS5Vyu5X/OWL5KKT7KlMSt9rV+0UYcGlqOp7raxjZJMyOta2NSgTVAQS5CP/JZkIeTR7aH
JPwk6ra55vNnOSxrkLC526nV+OxFuwa0dsXeXr3/RkJemPI0HGA2JGQ7znGgrC0RjS1RPZO4X1O+
Y9Vbf5beseBFpRuZMzFnhCehKO+hOcygBOr1GeVmiakrYKi2bdDBCrsxcb0WGyDQqHuV2f9WjYo2
WQpBJVSj6CRat3CGoBniqBuHf5I9z7HAAo2Q5L03qWjBSJzHjoPSwGK9d/X8bLLEeaIE/sFckZC9
hcEaSQeIrE5DQlcSdswZh8UvlL5zWaX/qRXFT8EHMsyaPCWGyT+YMTOcBuydS28el4Q7p9WTIVoG
/5Wdw1mfnvNpMjgTaSe06qPuLW2X6mtLEmMBOGZ66MVqQupB5NwxN4pqbHHCJpcvAy+8d7r6b1jc
Jcgb0jkB0h+zSrLaGV3OFnnSV59J9tS+ZjJlRgpMvXfY8SmazEz7kjoxhSs4MXJgDlrZB5rJ6onQ
uFPb2xZtrv7hFuMHvS/6HBUTl4HQ4LimULAmBoFSV6e4XPHZIIQPqOq/0rz6dFYw+WAB7L2Rl++D
3jiBI4G8J5CnqGW4DCZTnbR5eBdxhXqucvh3jQO4ACp/J62CynzMrGL7wKw3oNP/0TYifO3IVuQj
v2qMvC66af2jk4scHz1cz1Jqsq6AfdtD1tcIrOww6xfi3tZ/k4Nrw7fle1kxgsV99AqPZ96vA4A5
V1rM5gzwWPlzPzrsnJC9wUiiJgYkZPfkaY0g5sKBfzRwdKK7SAybODLER8Vu1DJpfAe9fY3r4WNN
06trzwWpIWQ0VtNHbNSfdtzFMBO1fYMO0cRqul/xOIZV101BpqVhan4LIZdjuoqvabCfpnkuNgUo
P5/AnYkUmWCdl2Oc6uRz9fapmWfmeP11Yi9InIKjg4VLA73p7vV60faGYj9kr7xhSe1CD6cUPTf6
/GJUyEiN2HhzAd12PX8+oWjjjg3EC9PTQ9OxttZGRazXaJ/SRh6yZZA7b0Z6YyZte3bN+tUpumPO
rRXOJfjt6jKa4obFVR14OZZgrRw2pWZxbg0VdhO7DMcIBDFkiNhohDWYic36W5bbW4UTpC4z6tR4
6AkMnAjoeQFX8GN5HcaZsScwxjbPFtx/0Pu9dx10GW/3QIJXqLvTvLsUzWvEpqqOiHL9xYHeI8jl
jBourWnf9FwrscIwKTJS0A65QbcM/yQLlcmnzg7JCfyq/huxTL9UK1zGVTEVcK2RlW7mIk2d1oNy
efuGhap4br9mQjY3GTdSplibNh7Asm9sgxvP4xEFbvlaecPNDwai/XDNDd7JAuJ2key1CljVF3PA
7xmrAmKgvlMW4QrGXJMCoPr1ahbJlglECqxp/rre5B3XIr2NCTv7tvbtcGBMDJBtZpWkVawucZPh
PFonOmPvZzJbM3QK/eaxOyGvA6eGPTMgUGCBaR2Fc7CTxA7iQQLk7GOMZxLQqnJvekqUY5/rFG/p
qF9Qjh31AlnA4svTotl/RkzJVFqczxk5FPGWiTexQ2NK2rKbQNddyMTa+6qEdINjKG00GqykJcyz
bg6xMDWKDYtsudh/IO/v08622Z686xt0y25DBoDp/UvYTLNt4tQeJfYn1qmHDrQXc2YUZa1rRE2C
IIO5Eak47bGe1whilH3Fo/mktuIQFcfXVDdA5HDBs06Wl+ZpGLrkJLfHxS70u6LnwiP1ArHBpMmw
1AnMAp4VTOBw8PjLW2xx3WQrU6TM2m9+3Xp5LxJCj4eRfAGxZB91aVaHdZ7ReCn91uhju/MTl2/N
f6SCwEcL4mpouY+JBsbbIfEa1t0RMxRk96I6UYnTIXTzd2URY5YjRWf+eI47mwgBhO1WSXaDO330
kl0Wo7Rqp1k996xsg7byo1JDAtTpZLiJrmOY8tLYd5Dc3sgzo4UjVyDuWfOaFXmO+MTRf9OraKyp
ZyggO86Pj5Rgm2RiDVkh/w90L1qL7LObMPnMM8848o/4vujb17TxH8fCsYPBlPjNbsr1bl3x39jg
IrFRNJCFc9+I9A4XL+ZqT9cDNRKygXCAoyM/yZ4PPCvdH4HKn5ECgRL+lLb7urGY9DrTjtJsZGDm
USs5UTYfemEd0UBBowRDUCX03enq/9cZjAWBBmQMZYijS9PnihciqHJBQC8qym6qrQDJpaS63WoJ
HSdG5j4t5J/6CGH3kDBKEhpIwe7VDVk5RuaM5HVvFQwhRXxBgK+T+2XqLMt5/XUXG2qDRLlM/4sH
jfuF1wlbNl8dAtk8WNz2nlLxrzLT8pT174PAx0nWBTLIKts2sZ8yw3adQk3O++FnRE9baBMVsvtZ
zvOP3zTwQ6RxXKrmR8+YQyNnsilByr/ZN6BlbRolMqCATgJuEONBQNfvrRzCCLPfjteSqeD40BHH
p8ldpobXREm4p/RZ5niv0drZs3svku400SNuwvVHLq9HGTt4ptMoBWReTlTFtMaOpCtWYFRskRzI
v2Fct37Co+Ph4I+jGXmZ7OyubAT8QEd7d8SpbtjLxhaSl9qU/4psRdpCRPDY+e3FMOef0ShOHdor
Js3931zm1EQmc6e1/MEaIsOCBnJfSZb4FjlcuT04gP/8MRwGPtv5piFf50f7zt7PuIloryvpMfDU
ZBxU7jONh8OKEyySs+IH85OH3DaIDNlGvclmDuDIzmb7aCs2UKWs7mNVPZSzTR5a94vLNubPzSec
IPrwAVMCIYzO7cfZjziP/5HuquvUpc+aTs3ccsS5BbkYyYArxGRwNS5JsFgDowPtv3KRH5pkfJBl
84vyQcHo9ldmuU8VGnkWiujr5fInB1pou7w48VkSNlOMFUx8VroeRvyd0tNPi73iTgwtHiOyFsbU
vCR5EtLzfjq+8zA4DtQd/7Q4ye+60B4zibW3yNi4yC+O7+7buSApMu1DEj5ovstk50wPjqPOMf6e
3fboMDGbDqWPdM3kOWZuGhBS4YbzlnHXDfPWLMYKufTyaymho85CfZtmlz5pCNms+X9z5v+YcO/U
ULyhKCtYM2T/hrRi37EiMrbTU5sgrF2ye7ytbLwZ+yUkbLAn4NpBY7sgRLe8gy7dpx5lbmQKeLVq
U4AgABXJauwm0jHFKH+nuMSZICvWz1baoiuIcH0Y0wf3BimEPXN+fAqpNalIRzHPWP0f/u1/hnZo
CF1m+rhJ6OxbjAByCzL9wmf0ODvMyWMkMVP9omKHDHpz20u1eFaU5pLlwoZ+52tIhUTd/ZFLaASI
W446ZWIgoNnAGSdBryWOU51w4o2ghFdEXL7xbCbNa/k9OgS/1MR9UHhxjI2tjeeYkRQhundGMmnh
YsaPpD99qDW+5ykiQ6jJZNjQhA6+IvpVUO+OCekoPTG6jWCfS/LUqdDRGTDZJOE2Qxoxb9KP1KhP
ju7+FTNSx2bkBHUmNCmDF21cEEy1BJ7pQ4qaP/3O+hU/k7eM+2p6nPyWmDNvuCPQ/nNWzp+fFQAC
avJRV3cIeqE/ts6KmZdMKOVYUZvycaxYcRJlME2ahnDqUIWvYud1vOnWI5qARxKs493Iq7qkHKOG
Iq6on+9mTIp8VX51owUcWX24mosFeB7YSdN/Wu70G9uKhmJoPf7sm9ZqL2THFlE6r9j/mgfdTtnR
aAyDcv8jy+r2MqNGzzsWkH1Ln6h/907xR+bsg5ytSCeFYrd+E5VjDuLGWU98B0wCOlc7xZfcchPx
DPqKN7w0Jx8QJymqhrOAFfjJGR2SJ5W+YW5lPskGfvvRriPeiIG5TnbnhgunwX5O/AfiWDfp1clN
aQlSH16Y0fkXbrYU01X6H5GJVQBeJDER/nAiXLpCNpFdss0VUx/abXXsO/1ucEysbtWrC50H+XqH
54UhOCtCptgdGlFX7//L6Tlxmby6OjDY1hZvYKaPhej7oOyBdPOFrDgvo7bnr6S9O+Ir3vF3T6Fd
EBKmEvX/RJTOPrYD63/LK+CeqddmNFRQ42GhrpzfwWjzWXgryXrzXipqhXHqH4lnTUNrI4bIbcYk
KtoXr8/0YHKQXxQWPr8Eh7v0QwRFLA0t57E2Zzuo08bcdUafUND4H5KB286z8wRPxYH1fXZAmwqu
A58pwiix9xBeLjTiUkM5v8UogjMBTVjfRJP9K+rlD9k+cWCYfAhFRDHe3fXj8FR2+b1XbbkcuOZ8
3ueduaX8Wfi5kSttrzvC5SmLGrekLTV7FfLnYTqxEaSZNTv75aYW/+zpsjkw0IHyRKDuGsZ18rfE
7IXdZH6zspS0DPyLEtXAtOQHjqOH0oLE7Y13qOoDtI/3ZDO+F7Z7SGpZHvCnsI4z+f23iFzal+yg
m4B7xuJoag3S8662w87FKqKKCpGw/c1Wh+wNICAH0vfIxkSKlC15H6il9o+joGgBQIwPzIhhQWc4
ZBwbVJ6UGrF9wgW7Qn5pZQKaFnYepup3dNZvj511W+V/BvGTO9oeBEI2XEtP8W6Aw6TYa/FyLG66
b6eeALTyxXf5MgzkugHdu4QGSRvQ2Naf0RdIgHPnwyE5cVPetQcdC+NdjdbdKd2R65ZUlAUIvtSg
h5lJxY64RBa0dGt8KofiTmGBDdiaXTuOrsTQ5K1uBCIux0vPU2uNTylZ1viUyVKlSg41pXcH2CGn
RsEu8BvlB0sH58getLd1kow2lXzv5bi+mgh7ODJkRkSc1oiJ1CVtjkTXv2d5ftYyGX/4Fw++w6EY
Yuu8nL0yKJ5b02y/y9x7yAb5f5Sd6XLcyrWlX8Vx/sONRCIxdFw7olnzyCJZJCX9QWjgwTzPePr+
QLvvlcgTYjvCrhCPRFaxCsjcufda34oO3rcO2gWOZayhyGXErleMm4mWHaD9FURlhagWkhXGHjKr
cv/Yli5RoTgPzFoJ5CGBWGUqOudtmsBQYCQX4LUFR/MctKAGeeMlZbp2KxWdbpFnt76Eeeq0XTCz
wNINLaUpJoJtDNmBkgmNRDDoKFktCf7dRx0uRLHDnf4Nzb7La1KPnNUhyjBqjks95R1rzV2k7oRQ
xdHHHLZsSSCA0ulEB2Ul10ZxRB/Q7ad5fAtujS+G4b7Ksv4K0c4i7BDdD1xtpPqhVR+IuDzpnHyO
CK8WufK1U+JS89A6lYeqJMy8aL9JYIqDhwXNSenoV12qnyuDAhTBE5uijzEfD0O8QGY8nQydI4U2
jY9tfzcjbOLIfJ5g0D/QIsCi3LvHtEy52k1tg8M0XFagF5daEw+bgAn0YBjTYmzS5pgL87vfp+ZW
k7FA4+mZxxwF0E3qmBdZQU15Diy/vmOYEqxKI+lWpEzAeGn15CFAMp/FClNC6Gb3A8fiMgFtoYTl
HoyBWapdDrwFdR0ccpGykvbXkFPMLTGQ5hkTw15r3evEbXiYaLUlwtsmTLJB2qOJbj10xrgr20uF
vxhrGIMrjElfo2i4NVU3QHLv02WfIvGZ6crQh7ylXdMwQf7NsMWUZyuRJWUIvS00QGckFR4dKO+7
035RhNyuSGjd55wjb/K6cHe6A0IL9aS/ivOEubtV9+fMUtewyrxjSmrzwvaDz1XEeAioG2e2CSzW
aDv8zNqkqVYj2awrtakVjYmAzAumkOMn8CQXN2zJ4GuahfRo5GjnHndwHot+Izykl2YSfe/S6a5N
y+kY5azzTZiSGz/KVYiUuhrAPAUOl6Sh2SOp3SAZGdwCX/sTgFa5tzJ6uy2V4kbkQ4oSf/hU5eTa
Kfxq60FlNVyEPHFW0smaLe5ZNM+GXd5zbqXvaoL9rfXsG3ySnuXZdc7rSdO/Qc7JDhkkp8jM5AKi
UL1J3XZOM3Ax9xmf4EY9eQYqkE43jz2fxcVLPdoVgciWYz67HxxWWC/0zZVfHrnt9Z7DXTwO2sXN
MGTpdXXo4uBMFeadE+8YghM4wgiLDyHFNp+vtcUCuxR68MXrkwe/xVBExgKECwViMe3kn3rCSSTU
2yepV90hEJ9IXk1havXtcyzBK8S6h7WXjrztcSbRjebUSALz8BsvULg1O8uNOJ/lxT7LVXvqGnO4
U1lAPQPaKxgoxyuXUybOWWb1RQ+hwWREmelmd+wKe8t2aJxE79T3WNB3aKf2Bj1OOYn8ix6QYfjZ
dr7jPTJvdQ0qAeQ4se3mNDAajFHv5CsVVi5T74E7NVM/SCgot65MVpga03tPZdmRcGxOSEW5SGlt
PrlaAQKuJknWzuNxo/rJvnV0LkgYMETr+dOw7Kr6pTPFMwN3Z6eSKl8Khy57qGZhPDGX6YQiu0Di
4oyFf4vc7EfjZWJjWPGpaCb/1h5/VARv3mm5WGZtIDn90mcI8lYcKo2cn5QS+GZKZ09Xnt/RHPwx
pjK5HzSfU5o7kgOa9oibjbUW+/ilmuhauFBaSrdGEK6BDWDvZMfZZ/FLOsXRlsIvwg6oZed4Oviz
o9VRDUIY6t+bTPr92Y2KQ6x1T4yzum3omBs9St29MXsYXSTinNiihUwmJAfQgRuKupJLbvNn3Aw3
WSXpAEY/irrvD5YeUhI3jr3JPVp7gdT627QM/tStqjn1SupXCA/4TyZJN9w3tjNlc6cgHd3QuqRe
tCpGjDIdd0KD3zXqkzj7nJY6lWAQZF66JOV0XJgIYBYxTf1lF5ny1iqW7dgF96Od3eOPQTiKmpmS
PN4Q4EN5/a+mJs2+WZAqah+bLiHDwmDmTXPqjPkwXTsOwGjgAj0BLdpjOI9SJ6es0MGxlzWNqR8b
57a2QblAmoKcG941dufevl4rAkr47tXJqVqFEkt7NGr+AFLjKzvSGmKKs8gsTa4Zf38zJGuVaES7
M0K73+sSHWUQkIyq5ShLxwB5rGQXcv1kh+g7oQqd5tnVMO7JAVr7aJ3Q+cinHPvTpM8CFLDODy2i
6q6T9/5oG98pjQqj6PZmAStThyUGIo5rezLd6SuI4xkc7LfM9tOX2sWSX3UAhqxKVHfJGD2VEwm1
kw6njMn8wiraz5EcSNz2cELm9kPvBGo/TUgTrP47SsRv4KD0jWDGcoPCPV5Fiah3Ux9tJ5GqPX5l
sWl6+XmIKix9dr6nYiB/s9Af+haTnyhVfrQdWq+iN5qVY/rPxgDLVeY0kIyUsVWKVcoGHYLVq68X
VJv1TRPTRplSK9pEgebAWSmuQVegSM29hnZUWqEfG93D6wOm1FWfg/w3XF8+kk3XYUbrwmPq5fsi
MfAMaugwSGyvVt1AXI2u1wXPUli7WGMe50XmHMBuIG1s3GHfiZ2BOmXrWSHju5mHort4WXPILGiI
6dASOpPe0Cl+tJIITeYQXtq6EbB0NdohIvs0JL2zMZ0fjcXWgnoFbJ7hXty+UpgKyLsq6YOOWWOB
Q8IsU/J92zgLH5pEK0BEx5/HqtUuZcHi6Q3ese2yB8ubZmHuYIIzDRumZpcQdJofTPHBaLLvjjPo
u0z4IFTou3Z1t60J02aQDxNP+nTks4qBHhFYG5fu8nmsjRJVnjOQ4MwIy+z8Qx2gvS4bkew7o/yT
NbtNuvjRbPNgnQ2cTxrT3Q++eDFdlPaMmNTCc4tmZTYD7db8PHhOd4nRh+LM3pRuxGR6xLMLoxBR
C3J/cj0JLC3VF6/xU5rVun4KkF+TR7UWCb5XRyE4QbAdJCTNYNFyR8h+5J2jHcoOiKMcPvDbWHeX
wxB8aYT9rNkMYaB641H0Keob3ylv0657BtjHCUGtyWHrvtkuOhw0Lck1xerJwVf4e0vPj1HLYcKv
U+vObPZMlzHYVdExbbvvVt9/zRJAoXSS+wtq76FrumtPPTuW1dBjqhTXtsgsgsuUPLZ9d4hqdPMA
Z3sgM2RiJt2+pE2NVqFGZiX66dZz2HOx7YuVMkMQhaIylrZHkAEGSXT5g27dZnirFgNuk6iLJW1f
Q0OXajkHDqTfBKiRPm/dXTaUnMlbbQ6T0oKvtYNSBp0a93tgn2pkWSB2vgSp95Q1TbUxW6fbJYpR
oLAttP8OaRWJZOWxXPC3g70Z0IGipSpTPHzxTSPv9HEiT0TR6HYqy9rUY7ZqxkYtOxqW5z6Wl7QP
zQcSVxjH9tMx92vKwmmXlra9dCcxXBrl5GsDMCICByRcdvxFUiucJ2DlVHWqfVLA+3FRwCWq2YRv
EDzd9jrS3Xyc1/Gu6/cOfjBqKX/vimANHObS9wGCkmg8MxCmK1ThbNE8qzoyXNtXFrG4lL1EMpfQ
RA2VpotY53gbjhSqeEbKYxuF+UYKntYsBF3XukyOYD0IpGTf20BPQEQzyOICLK28DDHuWts3HkSL
rMOMcD60oRceoN+xe46jRI0Q6wc0jS1wTXHpujzdy+yOQFeSbPXZxlW28wC/2ehmSijllDUIl692
QMZdE6PDshPri8ojPF9RvQfbvRxptu8sPBBTGqUHjsJcLnryrNswAlQcb8mRyZDDMxSYiwdryvYc
5fUdJGW5Ntv0aypUcrSUFDutF5uuZ8IJcokBpDWQR1bgP8PZOdwkGQoZ6R7bFr6carxz6HLjIfIg
bg9/3IkDlbOsXL9l3CAIm5aEEXKQwilYcrho7K+tDB9oDbXrKWgWFeOnE5bWO2Xq+ZWyEjetOCKN
QURRZIiusrbYDk3xmLUEzFmjy4onvOAQ5MWPEFM8NB4IGt2AoSKW9h0NA3+fWvpnpgh0UvXgGI1J
ebUMbAPI4vNR77eJlu7TDtz14Bfn0RNnp26s72N8TFCyGvHEQNk/mWlTE9bdXDBmQ4fojWd6gduM
RleMx5P+P0DfylK7we5vSR475GW0m0a33PhUvAu8hzYniINkGsqF0hp7XXTbyBDtXUqR2tjioU46
tRdjvJMthxjRSwzvgX9MYwW+r6PKSIe0vrOQHuBjb5FpeJj3ChcmguauWtYIsFLueHp9kEasLTn0
NVsz3lopwLbBgvYEyDjYq9TnXk1pu0RBf7W8CsxFvcsjkN16JcaT5esR7uWw5CzI6KAskUV5cjxi
Hd8YMXI1x/LHcyL1bid4g010i/iWFLeykYen1wevqjZeYvU7CpH0GGUTSqgISzweSwJ+InuXpvjt
0zEdF07rD7Tekwv2Bu/QRu2jbtWSnPTuNMJh35q0ardEJvypm7W9SQYyWSYNS2ejR+UTjVs2QvvQ
+oX7pW3L8cbnO0I7PXjNLCxmArue6fQQmKEWF0RRDCWVZT83mwEUrNCA0pk3HXGsFdmLY1LsjSKt
aA3DRzWxh+PJAoioUWzike4XIXPDoBqPHlKLrvfzJTpnCSeHKG03g6Hj+e7VhLX6EGtihRv8E7IB
EKQ4r/aVA+bEviFlST8TXwxwxnGMm3EiPMpDEMriw7ndmk3xnbnvEi++F4P0QUl2NQ0vwAcmEMNR
8c+pyH06zZK0iVKL1ngbguUQm1crt64jvuxFMJr+PpwP/3qfH9xKhIAJdLFOTbzTRlr4S2eoDq7V
52Qhhz/CYB+lpJXeZJB97AS6XWjX+o6ytVzOSlCVTatJmdfJ7ccHZ+SczCzZutg15nuvanceSuVN
6wzjp1qPr0RyiDvLOGDpqfdeCXuU7l+5jS0WqKAYuoVZoR5jbxqQoAnszJYb7GkO+1itgHW7+B4+
6QJty8C+iR6GuC2aE5cmxYW0LJzwnJZD8FD3bQ8CDtRvLUeUxy4yXbqlPzjxi62rY+mpVZstjTJ6
pPmP4i5N2qcCtdGJH7E1VP4nDrd4DdBtFhzkwznJbmkwl0uI3NxIUTdVy9bSkeBaswtEJfWNJF48
R460H8sQU6Q5ewIwj6/1kfFMN3nPfTInvpYBaTIpTlKj5kG37eGZgy4/MF8FndlsjGhIryYjpT7g
0sp13ty4ZdqTFDYKTj+CxdMKWK1zyEWOE8t3mvxEDYCYfVPlDZoMgCtzsPb0pRtNLGvddRIkagb0
944NGerQp9GyRIibPebYK3LbyAwdm3iZBcpftDAn9x6h51sydQ4RVtr95GE8RHJOhIlX4aV178ZA
is9Fsa47q/riTn2Fg0EnuETm9ZcK0JaD494W0GkioG2LIAJb5MthwNcq1BdM7GAQO+dOn6AwGRMY
paEl0llTuUGSlxUgBiusT/jPyrgqPwPCbXfKhpsykPUnOXKw1doTh4ESabnDWKIV3H6NNlCVFd6L
Qc6GDZedjsBg7ZIAyJeeJJcxS4tbcmL0O98317RR1q7yiqvfN5y6Z91Zie42Ku3onmh0OzO8CCYX
09rmiuDP+AzB/sDI3b6KVHsyW/3ZNbT6goQJegqen6w27F2ToywVnhsdihp4p68ImFVDeZoSqT3O
IrhFYzov1WjrJ9ft2mWUKcJAhABO2LcPKR4T6lF2vTHSzmEYsEjU0XHoI5ymiMHPjs62KJwKNd+E
nczELT99V4YhFgJm0ue+wm8dsg+FcQ5niSDWVQVuYIHRAqVF5I1PBoQRVFG1JoLb1wd3dJ88gSaY
Cay+NHQC/NhctxqKVioZZwlakMkW0oV9zADh1gPtTSKut+t7YnJwN0UoHlBDaIyBV0UX9zviRXYO
E6h77go6JByeGBcxcM9dBISM8DeNhHeotdwfHSfBnTVCnzG6FxRK9UMRwOlj3rT3zdBYmn1RfibF
gJmdY4OlawwqRHxOZd86+zqcNEDUL62tkm9hQDw6WQxsoK3stxYZQ+sij3Bv1lq5CrXiB22Oet/H
TrFCu9ddfDBFK4Vpa4MOBMt/bOSPXP7weNV1lKlGtDk349C2A/d5EO9Ekpt3AgfRTWSY7gbBkXEy
gC11Zu4edGcvzVGemLMWx8kYt26okGU57KG+Jk+BbL4qwoeuzM9wt5TjcZwydylH4e44VmKrHaxv
Y2TLte7393bP22ZYJc3CFGOt3bXfrLmhU2UAIJyIWAA1go2zYYEsmjIdLrV9kkZaHjpU0qhZqRwC
umzIfR4ppL+nOGk2VUqVCHFBMIm9DUsTkBvooKVR6bdmSVuaooEpLSk6zdfmJVQ9gnIOe3d2O+ws
htOnDjDRjV5f8sCApaRZaC8EvKu6Du8gSYxbo8jQAuEG5qB6FqMPFawuOY0o4ksFoKk8cF+UmVn3
HYswgjGmj0h6bvTKA91E2bme9KY7h0bdH0QXXLI8+pH4cNdH06FC4cSMRXBEOFDpqwg56FLJcJfm
BZ37qGYTRhUgS5MJ6uBs0Ev2qEkTYmKn1F/nYbslqhYFnoyScf3K4cfPVR4b2ETM4bByolnYFw7x
wqPHARC/5H3WRo9KH9yrizyU1nxlUi7XLdN8Q0dAIRCvQb5EHzLQWVtiGJv1adi47SowLihhtqyu
wbLmKxrhxZ9gX6JDgxzlxmqN4EovSeCtB5+oi/js2Mrj3BWka/zuq5Y53GuN4xgABMh0ZeymT/Kg
VSXqp/lPwHuf276OtuvJZkXvBXBrTWO/0hOQGC2WyL1O2U7R4DElwrvYhehZDMVYIvZA3bqw60SV
n3CU1HtXGnyc+g5qQnpvyJxYDrO5NUCEYrDD1zrJcNvq5bn4syuib80AL9k2AwRGojpo3Yi1nJey
z6xuTfd26xda/Ul1SOm0SUL9V6ymhd9m+zbNVkbedpegDzU8/hHmcdQ4oYSBqU37yYBB4wa5vRDF
5O1zj35ubYKjIX9y2vutjcl1ouvbOBE9y4pucISdzqBG+JpVSE2aIf/KCCE7olAp1xqN0WPIbXOI
dF2tja4q7rGg75y0/NaAZ/lepqeYJf+q69YdyNXwdhDeFw8l6I6gi2ctLxqcS029i0D3L7sOLkJY
VTY9CbgIqtLrcyvc8s425A8U7OKqe/WOcJF8LbPSWoV541y7l3FS1tYOkvBGaNljnrXTI7IDnGN5
c5q0OF9b9eR/ELAi3med2IqDlkXGkySbz32TdcKbp+m642RbZWAPLM2ZBVfQvI8ro1yWzfjsTD70
aNO/x6lP1TjVnyLq4UU7F6kuRoAjh2am4EViAw3DDNiiuukEXBXW9tfwjv/1ffjf/kv+7xy4+p//
xdff84JjhR80b7785+YlP3+l8fdf83f997/69Xv+uXz4P9e//ZlXfzs9rK9v/+Uv38iP//fTL782
X3/5YpU1YTPeteyr9y91mzSvT8ILnf/l/+9f/u3l9adcx+LlH398h1XazD+N+PXsj3//1e7HP/4w
CCj77zy8+cf/++/m3/Qff5zGr1n6tXr7DS9f6+Yff5B7+XcaIYj6bC49h5C8P/7Wv8x/4xp/J7DL
sG2LAzmFjUMeaZZXTcDzOX9XZNEqwIAWmYxijvut83b+K/fvCFjIVrNNSh3cQlL88f9+718+oP/5
wH4O7lPvktb4aY4ldXzi0jQs603yeWLSp8urIdk6dkDBHmpqrVVSewJOK7asfsYSDxJ2fDbEFfkj
cv8/DzVUi6QYyh32b3P/er6TELDWEUcEEp7T7kqNPdxIqwgO94QIFfuxQVBnt0HyiAhe22feFUOi
sYJ5a20jTT7qMBEkdGhGmaXyvI3vMs7A+SsOr3/KE4ReGGDZ+Dz/tmPA9RoIn0Eu3rtlHywGcibo
zCG6tmONwFY8+cABg7XRw6mqfJo1ISQDN4NYWOaQnPomNx/9EdRf5jFvFHWAJqQJP4hoex95a+mO
pdPDF47uCq6EX9NZ6DTKsJMFzAbhf9LGbjpb47UaDP2WdCwECHrbr5DZ4Wz02/rc6R4ui0qoe8VQ
1IAFWJqFonkV1h8Ex7xLjZlfF4HH5Da6rmMbb1Jj9F71NM3jbItYuj0NBDyvrbJwFlbZ0YSLs4ef
bop/X3s/X2vvIzctgsYVwBaDaGduhnml+ymlBi7K6GUOkpsidbpNg9t540/a3qnqz1aKMMMGmQpr
kQ21bpfT+FU05MuaSbgnTqHLBgg5mm8dUsl5refw8ftX9+7NAEsjpCTjTEmDO2sOB/7pxQkbwTs5
Is6mMypj1fYEK7K1AsTMoKeTjpJ/lKE3/8Bfgo5c3g7HkTYGQmmjqvj1CWXhKpspJCBU00s3BZch
xa+7ZS46rju7QRwk524wehz88HQN2d22FTa/w+9/7/dXJ9Qlk/+Ro6lbLAFvrk7XUQhLdLC3wysS
wbceZo3WVrm3qkOow5zKboLgVMDlurE0p9wAhyS3ffjhFVXwACvuJR1l+efvX9W7ZQlMn8tHQe9I
KFbIN28O6a9Al/1m3ESp0eKUMh7HROUbVLssIjRARWNvfv+M4u0FYCEXY06hG67DBM2Vb/dZFWbE
bwTDJgy0BbAU5LvVQ1Gz7sVOfM2U/lyAECN/7iZRn1K71ZdOTHvUqwIkr2lx7DA5tp4XfnCdGPPz
/nydzK9LGKZFKrBlcs3Mr/unC9NsbGCkvT1sHENVuynFTVdM9YtLr/40QVVhfoBPtlGt5DScIXqu
cRuMXf5MWPvGsnX6rPgLG4cRbaaaVaBVFI3Ccs4Z9IUbOqndwS20a1UmTLx0sf392/o2Lc1iCOoK
B8ayaSPGfXfPh1rvJLWbbwnGA5kuykFiOA/Cm8YHr2EUmICDnFnBMvR5R//T52ZTtUijFybyQqHe
vHOeP5JqAJduG1rVgEkw+KbVDdgPPAGqZpYqa+9g4wT7j58VAb9NhJm0COkz31y6OTmrk+n0MDs0
HYwokRxItkknE/Oc1oaUv8SokOwsnMMfXcLv32zlmOzjjtJfa8W3t3KqCjtFAr+lvfuS0psC3wKe
gAPHMmCcPNHpGN2KYJMRmu+rnME251EY6n+E4U70xNkUIz465w0fzHAjRIiiNdfSD9acd6/TkJKi
QwjdZgtiR/j1kkZ2nppEEEVb3yziJ6+kIxXhXFJ6Ts/RmopdQn0P2/qDp31XSlvGXOM4inXF5mCs
v/lopCYpzzyyNYM03JV9wUC3J1MIc/0dTlYA5D5DaEhYR+D/XJydi8ppr+p0Qzd9ZJA5j+mmnF66
Uw6QccmyTFX4KdSHjyqGd/e8wR5psEPOu5FkZ3rzBpmsvGU2epu8ToIzyuYC0S7C2UyHaJpA2Tny
WyZ7zbBOxZCGqHCZhNWqQjsyVc4mb8un31/U4u1uxV3E3ki8DIUql/XbUwhdF3B04+hvC1cesqS+
7zQNiV7UNccWp0rWUyNWUK61SGRXvx3oYn4U0CvfnoTm10BVbLi241rSfLtTqb6mo5mTWuVbqJ+m
PMkOOQ3Jfz28fjm4Hirw1//YEjC6thXInFy2iPs9pS3DWNSrCG/rquwjrCGTM2D6ctPtUMYg5xrH
wWCNS4PD3y0G/12SCvcoiwiYUwIpkOCKfedp6BDMMV47eeEzRneRSNm4/2gYUjnN/+31LwwkPTvW
ami58z95/W8alpoPFhvxF1eKSSlFFrYy7Lm6/PVKIRFxMoEH+lvLTo0taR/PZJ0519QOd4QCRU+R
0xBQZuIJD+axbOySL5AQf4zrixEQ5PrH318o7z8jcI7zi9E52LjvyqjKjkvbaip74/UQLW23rm4B
B8xgYwSCjWP0l8BHbRN5Up5c/GkflLTvakzL4PnZwV3KBl6I/eb9CAknyq2IKbMVFmdr9gh5ZiSu
KodyX5b1cWIxi+Eck5Blr+HWvKi0Cs5M81dJH8DpFJl+aKzkVtOM8Qk+yen3b8+7kOn59TnCJNLa
NbiU317DocJIlfvSncfoPlHNOO/iEhFtEABsCTvnWxmL3WvBBQ4MpXQN+gMDgd0Pa1qj0LWwfd1X
hU82ToczaymC3ruMZhccxqQ/aLGZflB/iHkx/qX+MCxDwN+3uFn402vd9FP9oXpzwDgRMR9KsYA1
Afm2EIdxBGY2+iI/5V203bWdG8mOe+ATvbePIlf/6k0zbKJW2dkwrhpqvgl+egkZl3XZDIG2KXPr
ZBB5tQt1WJGlYR69+vukucnJMvQBQocXEPiHYSPPU4KPwuRbSh7ksXYnZyc80z7GwqFV5cTQ/SbG
DWNaXbXELT4ndfrw+0+azez9G8c2RzC3Td1jmfLNIu7pjSpAbXgb5c2BYr2bf+Gkf4Do0/1Jfs/a
NFPvK2daf+EPZGhqrXk0YlHey7F4kEgOPk80IkEqoSDyZ8aop3igA9X/6wG8RrQl/O5T0EZA48YS
0aueV6eIHCiTtOWzO8DxmhLUIjgpwXU2Rbr0hMDmPhnlwUrlYyP1nnWMSJUb2UAst6y0Y+EOcRgR
lXKRrQVXL8fRE1gZKTCW6+yFRNVXc9Be9kMG1EYj/NPxT7Ec/VM9dF/SwUBeHoRLbJU6di9v7dMU
JSS1ZXomTUbAgx4dWZCiixtA3WWSuIzCVdL65iwPvnVD67MLeYZGcOcgJ6LZaBRahx66U0dar3hN
yeiKPbGLBEkcCJfCTdGBqaLz3dMgRPhHWNW9p0/WPcTPfy3lZLgdjW5aywSf9+uDSAd/Z0s6BSZk
DiRT3TEivRKQLc179EcLY7TyNY3H71INaA5Y6ZYMSsnDCcgxaUNpbDy7ty/TlNiXcMItj4CaUVVB
iU6h6cAOz8QeWs/JhSxwrqMP1v2/WGalyUJnCLpAwjbfHKX1qTWrTs+dDSEo68lIkwu0+1M11VQL
RWdiFEyZQBK66mkMGX5/Zc9V0psFgWKeckAajsXm86Zt0NFCU/konY1q2+CslZFYFG3tbepYnX//
TK/HvLdPxaGHcs1lR0EE+euNn1sQvcc+ZcROKdt+82gNreMoDnfFDBnq+jH7Apv8W+tI55vVwlkE
bk+cOfAN4s5pr/tiE+VkdkoTlNHsJFeFCwlTG59oV8t9mDCK8dtpxCdSGvu8KQ9+GRnr17LUR1Ow
0TvRnrPSsAgjMp4HLW+vEWlEfmS2RzxZLc4Ai5gl3W0WBFqlK69z0sderZzUAOJakkDiZmGyCiWB
J+S+aWuji8YbXHMuoWO1sUBZCutgInFMoohaaIX2otA57AbutQ0YHfSnRXCF3ImDLqY5IaI8/6yN
47jBqwptmrHFymsKZiouXfkG7aaek3X1+49h3jPffgquchy2ddeGXfZ2+dVlJljJbE7+RBknZrDw
mSgug5iIoSGDHaRNQbH+/XPOi+O753QMR9mc3jj9vrnA7bwD2zdq1mZEzX32CmM/GjgkCUnEB0kL
aP8fP52pc4CmlOJ08K5sMczGaZKgcza10egLFyX8zTzqXppYMmdU5gcF/l/8dqYQ1NOmSSPMVG+u
65CcBlwekUO4aZZcevQdK7pT5mGkOmnnMuX3v91ffIAsFjQfuYdoJ7/diWqvKo3UalCOqnqllzja
NJUxBI6ZJWjRpS+bD4oGOa8Bbz4+k5PoXAPqtLjm1vbPO7ZDjFfPFkZcVFmog43IxYSzceRY06Md
BLrdFncWMdqyNo1dgYRoE4LmwyjG7vK6z8RlhYE6AazeOwMw06klGCyfdY0pUVm9KqND6vju7esD
Hp/vPorYS1B2Z5aHH7oIrOs8Fl5ywy+1CfytRnBhFsvhLp/RzOaE3/P3b/JflZ4mLV6hFP+ntnt7
qkX5VrmYcTYMT+s9nCgX+jRbSZDOyrTZKR+SVbbXggCWbYuUIevHbwAFoZI75aGeHlAilPd0p+90
mWgIe8Ppg5vqfS+JDr/JaorHl5EEx7lfPxbmep5fua7atL4ud4Skf7KqAnYihUU5+R2uZ9aTuMoF
LWEzWAvMifsRnbhfZNNhtNJpH8QpiLdOPAwp+IFC9f7OD/HX1p6XbSNoOSresiXWIvd3v39/Xxui
b64p5mAusgeXOpA6+tcXL1GmtIQgqQ1+aXnPGR9+ZvM5KAXs3MJ5cgq32ufZiEC49qj2cXCBhiZt
qGvXeY4LdcrLbYqrTy/UaZzSZF/SbphUomH7uiMVTNs2sAIXWTId48mQzy085d//CuIvbguHlXSu
/w0Q4PLNfa/qUteszLY3BR78be/KZlFz0sVB3Kg1uqZlRDHSkT+xV7Ffr7QeFlPXxN02dnrgIMwZ
z35tfrA6vLa237yx2LA42COOpvPpzqvVT+V1MlhmFoeetaGub09OqZmol2n/xCSQrPKA2M3RiKgR
p9EgJi3ETyar+ElMWBSDsrEuUShQoJZt8Zxr93UHP2U+sG4cKw2J3ImMRVkCwykzlIsjdv5NoIR9
5lSeIgwC+puUBcrugMF7Fg7uNgkiidmO3Q1oT7+V9CUVnuLL0KNWIHCOkqODBNBCsiohvH5JuurU
kOPz5YPP6n3HA3edJWDt6nI+z85l0E/vior6gF2BlanHY7RL4S+B3lQJGvHwMKSy3vVuHdE7Iv6k
chry8armnorgg2JLzJfErx/OvKboNKu4bMx3JRDeSLTgZmhtHOwOtZmnJxIXktOUFwt0UVF1Q6Ww
5vgmNnTskn1sR+qUuwjz28T4oJfrvq/8eC2GLtF20ihz7DcXipsXgY9hwdpoqKgWkUOto1t9sfYr
HAeh7djrLK6a/UymfA2echFYbdOu+U7PQVpZsrQBPh8r1DpFYjnbzpTeviD4Y9NXxWMtrPDiKgjx
Y2Jv04jeACvZcBzbZDyqEstGl1ckY5PWtWg9OztqTZKTeMQDvT5yQhALXSZjVYaRfIyt53T4bLeg
hjE07sVU7eH2l3uzNT6XNJpJ03HXJZ2TPVOvR6SqJJpj+FtObYgGYjLrldTSbIfAlfAgOkFUKJ9A
TD2bZqDjDe2jjUZ00MHNU+ZR/5ew8+qNHMnS6C8iQG9emT5TUsq7F0KW3gRNkMFfv4eaXWBatejC
AIXu6e6qVNJExL33O2caD7A9x8uiF3LvB4Fwd0SvGbXMfXEZ1cBeJ9OetrZREU1KpncnALRX9R2W
0YkRFqdlRUtVREY4reuLyANvRl7j6KOJuElaxITL+1mDIulz2t93kVOgVUlsptftal9V9sCa18IS
7h9tyyCX2HvNVTZ3V8SugjuWfJucCyNR1SD+dnP+ecTlhqB3xCkEkAatk38+Iw3FUroM0t0xBobk
ueUZmYwGRVU3GjeercNWB9lg95H7Wbbm3tPQB/77Y/pHKdnSWRDYYtiUv6j5/Nqb5tWiS18O2cu4
oIy7L3OwZ4aGJ5LrmkMep9PT01j9pYzzR9ucjjmOX9r5HpFxnrBfa72lFVNNBIj9Ym87K4aARhEy
IrMfouHJH7sA+ilzSQmb25104KI5kfFskxXiFVfBIq30CZuRsTARl7/8+SUZzA+Pw/TBYT5pVzPX
Dn5jrAAqNBuKD4B7ymdTuuaDZUYkWkufca9lqpVW1k0Mq1qG2qQ7mzaR6pB7t07MUbmyH36swD+/
iKy1DzOH43lQ5AKsrlnDDXCp32LUjjjRM465G2FOMUbHPFoHXWttL0c8F239LS1JSCrLsWo0F0NI
Nm0K10reCphDajbt879f1z/akss3zJnDsdhMcX76vVRqplB0i3VvR9kC2qmtZbclu8obv0HjERx6
vWR6qU7O/hSTQR4FiWsBQW3iFrlqSCODbClxyeAP/dsi/scbmU/Gu4zWjsu1Z4v7z5uesPqQgTHy
dqXROqeY3mhNDGmsEcrUSw7QYagtmHJeB4AD6OG2n8ribszV9b9/Rdbvp48REGrhNG6X1ZsF6te9
75ZGlqUNK5SrWrVJl7hErC0+E13fNbZ3roX26Ojz488bcWz7hnh0/xzZ6XinBiHvBJb22kLBaGk7
vQLWkAdevE8bm5j5NBh7k/w5REnoLW3ZoxjidgsnJzf2PzeJWGSHtU3uowJqc+1RaPpLkeOPtW+Z
caFQ6jq0Lzybleef37QGhIcR/97BdJOs+0Lc6GmVvIxG+pUb6jlKhteiA5omvOSG0De07QIdGrax
v7xjzN9XfPkcPv1Lxw10Ns+/ByWYgO+gjJGTac2suyZjMq3gU+Sbuhs9xpPJbgLKKbYc6AlT9XFy
MUqY1YHeXzPm9jkfmbCBHCni8WLCWG3mvBM7jr7ED7JHk6loL6rFiaCY+Zdj2M8x6783D3xwTiI0
c3lVLRXUX7dqSkLGTegw7fwAzk5pxliVmEVi3zxllPJsD8PLPO2birw5wLFhG3Esva1Jm84mdPzW
Sf3N1Mj6KmK6bRlD5a9c90qq9JZjX3RTF5BvuILyXOKH20Q/GxJTQ09UTOUhoYdD777PTnM3Bsws
Z4LxBlhRbdY+G3MzfhfRneEm7bkZE/Cs5CDCfLTd69xK8qNyymG7tA8fkyk4EwFLN1FkDJuiSD2K
j2VxZQpGiq2Fzrhs0DBq7Hre2Gh30u4EwaLaoH5h5E3Jt75dgDpZn588771JSOH7PcBaMGVjqIOv
OBR2AwMAD8gDfZ8I8LjKnseZP8bD6p738jSblJGCWb7OkfsInabf8uMQ5fX8ak1Kxz5yyDZ29pwR
6uJ4mffaiyVbb9vq9du/P/Y/i+qvi8oZ3sHKxynIR2L0z6diNjLfs11h7CxLaHstze0rx0P2xHo7
49tsLloLNLwSKOYlE3S3VcoSaEbza8HJEyIo0IBYq4/5HJxHzM9bFNDELLueuGU5PePXhGSzIMNT
5rQffSM+ud6cX/jLLz9/1QXFikH27qRAKP7tkV/uyD9+OF6q9Bp49u3ftSY8k1JTeYMOBtpxhmIK
7iNoKsRh42XVev42XyJCNdqCldDb5Kj7sXvNyK1zzQMJtWrSINqW2fJodY8BEfLt4Fn93476/8+b
l6YeAR86TR7n/V+XoDLAYWWw6ndDXqRrJzUo4sWkJrnZq1Pa1MNFGWvQp4qYNJ6lv5MhGP/2TS1v
99/fVBBQ/GU6hIiG/uszQHmhQJb6JjPj8bCZ9Alb1FwEUBorkoV4EjcmXpdtavfxacCRuJvsVN85
c5A9ZCN37jBFf1mzl93ePz/RUiJkUoUvhi7X7wO6hi1uMjmTcUBHkfdT0s9j+/BzHOcwvLe6LtpO
sWUAWGSm/98fi98bQdYHnRMshQ2PlZBZy38+FXnFwPaEo343FP8p+JRSndIaDkVUdGdFk9f1GvNv
F+HP25WzGZ1oll+KEvzvn3+q1fUmOlsC7N4Ey7FyjQ9tNLXHxkpIqvTubWo67m1fWyCDu1epgwEr
l05HpE87B8Pl5aiRCIrq8TqN21vNUfVfiib/7+fjy+Ddz52i/2432n5d4jr2qSOT+bmuhG/dEQqK
VqkiD9YPZn4Qk93v//1S/NGv41pwISC8GVQclz7BP78VXYmRPyk1ELHm7ZZRD+PSEEZB7KbjkK9m
jvB6ax2ayDoO9k2DUZUYsF9C6CjvNVwnKwb9pkcwWPizBoV9IfVaShJI5BwDGA9N5RP8V/Dbf/nc
fz5S7DFMGuns7HzLcn9dTTnCY5/lZOzg71KWMKuHsij8vUYXZpUN3juMIQp0dv+K+LZbB4kFE5SZ
8EUhmIBzhHTi+CR11KcHE+rcTzBQRy+HX4u57RLzgX6Yeu0/f9d7T//+4e3l8P3r6aOfzMLAGmfp
zIz/80u3tYheECzbHSFVEerV1Gx12nKgQRExbfTK/mjpkZ18Wo+haNz6Icp9SCp++4Wa+ErOuQm/
YzJoy3GsgYK5720bB1MKjEc5o3mFG/5UJsV8ZY8dhQ73yqR0bJVTto+6dt7ADHwawX2umLeOb+TA
2BXVwRRo1thu47G6VTP1rdYSzeU8FQWrlSGPyOnyc5vaLzawy8uq/9YBStOunEd7G80LRhMuHIVr
4/bfv6w/CnEeZwqGwlzmpZYt9O9KRmy6Xs/QP6AeTWpwnJJ240D+WvVjEq3470ADSXQbnMzVXuqO
vNCHg6rd4g7wEHSrClbaaN785UMtj8U/riAfyrd1dxlO4qP98dj4ie57uH13mi4e40ghKgkQNUYs
uJwjaujDAWjxoChfFTuzULoAialVmDel8f6Xj/LHAseSSRHbshlRZWD55wn/r+LXqOr//X5iFxhI
hmR67U55B8WshrktG3FiM3EN7xVGmnU9u8r5y4vrj7WEDwAqZxngs+hw/h7HrbD69ni15p2CT4Rc
cvYvrNImrE/TIE+pYEdZN4M5R/hQTsFfukH2n1fCYFE1WOPZOXA9fj1L6KMUPGTP2RlOGl0FOVYa
Qy8X9AfYd6uFQSeqoT2S0a73+UBHvh+wnmqUIbRGwR+wrWSfF/l3IG3UuNIaDnbuT7d8TewIY+j7
41ish4KKRmhSNdm41EHXRpvJhXGsMwZg3Si2vltaCtUutk0LaJ3Sb+fJ2cTPhm+3x6whuLlsyQJe
pLFAz9gPPZLinqisZDO3MRP0opjEvb/sfQIKO3/cpzStgmVEjclcZrKWf/5fN0cMhJHKU2Dsan9w
bifHyhip8IwbsyOoStpaHvQ8k2fDZuA+QElqg3J57EWnts29p1lMVydZ/ZAp098x6Deuu+Vv00Bj
GtxS+7hSzGaOQ4ohqlmJYoweUsPYeymhLiupb7s4a6+TKR1OaWDrK45gftgyJbsHASmuO+QWaxOv
LT1953N0bOMWaXVFpVm4YakYWUjSYdiUtAfOeFLvwAoYK5+i+GqOig9HKbxuRbuYlTprVxiIi102
zg0WD5jDw5RBjbK5EcwZ5Zu01sNI+bO1h+PYMZFug8HIvPHdStuPptTbkM+8KLi7J8q1LSCDflWb
3Wc9R18yFZ/gU57qqt4l/Qn8DVDUBr5ygNk8ZKr0JkrNZm90xnagQhlbEpUAGli29QDBDGPTBd61
msnkNenWa/F74Z7DujuoJKSUn4Qs88gsZbN33UIxloeJTs4NwtMcPIO3Zy5kI7DZubYdTkNzlw/F
E1RYfofeWOgdMDS8O/zpPV6vB3uwdhOCaNE+ou3YUQLowtTG2z5Wklk6a/SoUQJ+iRdLu8fvKNOE
aubsIgDJ6LD7+bYbq4X/Wn1PjMVsZuub6cl7P2H8Ny9KmJVGu65Hm/oCLALkRy2xYqSiEAUZFlM+
AV2wdjHWl6KPFojxYK9FLmA4NJvWr67k6LQ7x8Xj1BSX/P89Ik4jC4k7rjQDIlj8acb9MhmD10p/
SjKiWr6Ed9Jp/Ts1LRUuC2oomLhnCLU/2D3zsYlWvQp9bPbO+GWOMTjS0XfQYMxv5NlRVY209uDS
Q6LUDGBHMPM3IGtu4UUcbLRWeoaPGxVKwKZvH/vtITc9jicJMb0iQto3vsfT9B0JdZCaJHu+qLth
260Noz6z9Xi3wNz5ixrXrlt9PVXjU98G2moGnuFVGRDrUbzwMgwTosSHHIoHrCvAnBrNE0AfSDHt
Dnp0dbJzbAR95F8gjp5XURsNwPNBtfnSwhSJwyWBOLzOJVQlNmWwe1rO7eKlm+y15N/ZeEN1oKT4
rTGjDmy0xj7eQxcne7egS6onawj4Csj5dG69EMupt1EV5GDNHWno6qrOxZObgLp0iPngva2q1QT2
CUPbAncGFe822rh2orMrygq9PV1Tw8nAJS2h6v6YNugCR0TB20LQtmwbTHySREbZ9GBLanc9oUQD
gSUoSln3rdwNnYHl1U4fs8QLXd+gVBMTmpcB2c7JrrYMgNwwRGFTnI0zvj19n3n2N0pJa2uWWFRK
9GNcV2zqZUStMfUJkLoXlCC0FZ7RJvS9kfuJg9XYMmBd5tHA9sFZc/Yx8XJXZ3hyjMPO/Wr0YA6a
pBWhYUHvzhf+HREfjf8qAKae24g9qdJDrmxYxbSFc29q4DQS/cJrdGtXJ0azin3kBcG8aYLxadCx
JVg8VOs5pZNmWx/UL+bNMMWv1TWDY204Tuo8jSxRRmM/oplEL+9r3HSmFjKD1UiuVKCwKdCKprPS
rqgbkdy32y8i/lcBnVXF+MC6D8DnF+0BPCEizdS4najyb4pmpoo9HZsfWCdkDsDIdIGJalUGVww9
WlGb5UaUBiDhenxMtCOWnHDmZa1sr9wgWEaGavt7dwAqLHKzuAKtsIJKcumkZc+khflIMYvftoGs
W3nv2JYu5xY69PJfm7yJ1vhSXuNgDtY5YEdGjk2KqvJL61re+sMjrm+IyJOPHd58L0os9C7eBS6l
4q0BZTVlSAWgIEQiArNMu7+LSif8awYFYIZNERfebmS6GBSwuPKkEYSTHjHZIp9ALfI9WFi0Jltc
GHA6AWO4QLaba9ckdeZMFWK2VmymZcn9+Wx9kb75xfzx8ze6W8erppGPk8/jVtJJ3XQy2GVu8uVJ
63bo+xvdaN6GxN3BgtnObbtPCaKsPMUDUyfphxVbq5+PBimR3gpfHRnrptl4U7UNuulbmzAT1sWu
pSi+QWsAbosu9MYwG2BM6wbF0Io8maRrJp9FFN32RHPZwMg7+EFw/GiH5cKtttPs4VXCx1Xk7Qe5
DvoB2v3Yn+eObuLsR+6KY9ieXgiQ4rnaOZn7iWFiy9Q3NxG4OPCA7RwafpRt6tp5xHCAQKRfQNDl
eMXj/GYH4CEIed/6FRDzaU6rlR+huJnLfSzhqkYNc5lLeL8cYCIYAJYwN8cE4AxGd8CD+PA4kcfk
FTzIyhRHvbfePR+wc641Tzr4V29Q2QUzC7Qm4aBx8q2ZEp+8reVUzAp0C5X4aEZpeZmB0RwZtKKh
6j6WCm1fZ5I2hnW58Wf7WNfymfv9ZvKAyWtUD2kATt60oh7+oA+kZvzyLkmrbu1X4olQIoMQUehZ
cYIpQD7bZkeo2iJO4FTPcUD4oh5z+GV+6tAOL14puYOh9KpNW4hPJdQeAaSxHlqFi61DySAAYnTP
ke9iRfXY8UVAc+dG3emZgZ3ZMT9do/5oFtByFdw5pSN3ZQ5uqVcv2LREWPuYpgy9vVW1ejCL5tbX
XbFRkXadZPBdE92WAGvb9qBLCQ0x+LST7HFS8VvQAFAbbPBDNEKtAQN638pPy9U4uqlN10fjmfH2
58nGlmxoKOOdnp6filWoL+XEhZ5fmlwkp6CybWX6hatnjzrTfTzCaBvKj4pp4RUf8c3M42s38zYA
5m4pjW9i4oIUJvlDyvp6sJu9XUOgCBpIwH6dP82TyeRqqRWrQOpksWebgAtosKBWKyNiWY0mbA6j
uodu5cKl0csdc4t79g/xpvXUTwCdf760LwYxkHymi03o1LPCaO5OgkUZmA+OmxR1nXzyYI+tgqZe
p6l4giYdb7xUXlDnWdc+ifcWtkNYaTY0THdMeeWaGZWAMWdOSa26ebKAEI8vs108pA6ygsjV+JBW
gVAo9zD2WORxkFsoYDcEbeMLJbHV0ywMyaJTacRColEvT6O5oEZToK+FLVEvj3SbINW0ocbwIpxG
DWpMgg8aPfxNoDEV60bixxGB98PmeeSPuSgVTqI0pEF1nwjv/edH7MoBGCVK4AB2OO0ipAtJd62W
V3IjmcetcIeHdCc6HgllALyfnNu+1cZjWXoHgwnEjZzMnmGPQ+tbXzoKvy0ZlgM/abCuCkzGGliK
GfWPWbJ1iZpTJv3iqm7td9qHn7ZSDw2jLCt8MCybe7Z/Z1/CfolmPlbsMs3QFK9DY55SayYnZrIf
Dbrxo3XkC9PvH4oTz9Y0X5lxtLc1tm8JSwN+PB8Wc9ZHOspqNSel2ugemC7sOmxKCLmrJti3UFPX
1ZQcLDG9N4xUz521Im+E1tvnreRJAIsJXc9pZnxSq1z2ATOphdK99vtyN+f+mT1GsOXo6x6LqNoO
UAiP+PBW1Oi5eLa4XzZdsLFhesln6aBFwCrNL6o/9G56hecPSCRzb61HlRiqRctqH6osf5k+pRF5
R97VWdeYvNk9gJZdjNqgAbmZZdmGFW6T6Z8e03NwpNlEAIm8ssz6DvNFfd1RzA3S+A4E+6GdzHej
EZ+uh2eoSvMLL2AoNU3zLe0antMmfSkXMAooubdYE6hepYTkfTMTDVunRAEXyvuu89Rdv4f4iW3Z
SUEvSTqAQfRdxHONFclpyHUEDy5fzGrQYaeIYTqT15ShQfaQjUn+PBhtv0Jr4G+gtdCEZ2hHnyGR
ZsjZ7ZTwjFb6PalaNnomOW/Di4A1eyN6Rqd5benMzBnMnBKO71iOwXYsGQYB4nYItHyiJEjSMh11
ngB74xU+oo8uuB5MCHUatuGQ48irHSBKA/RDnaQ8eiab9zr4dpoRkZZM3lNb8K4SgETYEu3cgEOy
AfNMaem9xbitNcZouxRI/roKLlvcUbu28V6FfZ246J0mOu9D2WSrwEk3XQoO1ZPNC9T6joe4BnfO
PjB97aridRTuQ5cjOx9LZpdEWn8JkX5BFkZDWaPBgZ0CW7W71+KXulUGbSO185zhIRNMxbM6Afnx
0Ne1eNRz8x7w8bNmJjs2p9j3ZpikXvUhHFxrnqu9Jb748uJo2MqmvDYb/bUIhj3QSSfUeJmE+sDL
SM+BnWsvcWATKi+0R/q3jXcscixtfjsEnB4fY4f7JHN4BUYDlCcNrifkFTdtp7uMG10UFO5JNNmb
BJb90l8KTd9COyzN5aWBFlxjyNo1Xy3GLMNm8KjgUrYHqNUPod90VpiZzkWv9zcqjz/mrNjWVVKx
xa04rAhNck5cmDQS+mbmBJBDRHEYEtrYdH4iLXtyDSjwpT99diSeokaFESL3mzylCRORR4tRM3bx
dkznt6r3YI2l9XnKzC8tKO9BgXy0es5D12F/ERmjUnI387DkcX9fSVGG0gSKJDT/1edEmBXRp9Ua
h4nnC51W4EPtisIRkIqQQq21aHjAsbBXWrexPX9aW754g130XQ+ASdMeZIkjbFiowS1ZxzUbcXKO
zhbI166yMosBgfgEMg6Ppw8k0x0jdiCTvfcCcJspa1ElNDNsavlZ6RqzPYIJu9gBTi9WlkwQbDRZ
dGjG4ElLWqDOwd2I8DyKwfx7sHgZ7n3wRzApDEou9i1G5Uw2crFX3VCyeZ4U4DAZn2sXyyXHsB22
DDkL44w/5mYe54e80U4svtmmceSbxRIcTnl5E/nmkxMQtRANG5HlSMnDhZY2XaUDNGbGXG9FWubb
VHEJ00jgmITKZ3M0ZXDXu+jbTauQbzithfijc6pNyZt+3ZqxuUKD91p2cOiw2l7pIr4QJkHUipHz
SePHN5HyAChmu1Z0ydabOi6i1Z66gH7SQgFmNj0ISzDT266rX1CdeuxfsDdmkivg5AirsS9sMhvL
hCH8B5yHwmNLXZZ8bcm5njrQZwCcwtEFNNaZ7IpAGfKSBMEPfIobI1qQlWVzC03BgI2rdysJtJJD
lFEcopK7RrVMqy3I/qCPo83svlITgE9raR8J5YVVBXAyBOw3rjKIOupU9ARnqDDWGxyfB8g4lO/a
7izGHOCsbu6d0lRhDYV6Q5v6dhhIDpf9bQ+dcT0wkXNhgeySACtKHwHM0oHsWnB1+E7wTr3YmiXD
0QESGIEytsvr1E6IPZLfXLe+5u8zN7o3qxZ/Lyz7SgYbAdhr3aYcbrN2kszYl/gDoC8FFbFByKZy
FVVOuRrn7KX0eOfXILZlYbJDwA7eQ0u7mgNslqo48DudvKKmHab4AaSOXCuS00qYMmyD+QFZzHfQ
carJdLKzPOAnWrhQ0QdCuLkorjVUKX3nssBpeyth6ifTPlSKRMfyh3k1x8meiHx29Mrqyiyz97ix
LnQdD7gvrjkV8ZWgOdUSPKlRt3jmnbDNQCj1vsarqPSmje1WYkXKn1BI+j5x+b3OmFCDTQa3oX5X
OubZrO3DyOcBIqW2gBG+U58Nl18wv9fW8loazgxGG5GWWXY5dSzm1dv2PDtAr4kwM3uX8DjoJryA
8S1yWSHbBd1DfupIwsC9zMmZdsXiLNKzfjs3R9mzNeyQc1yKVVYPPAFDXW98gxlk/CqrLo2wLXXO
zq7lQN2BBbgLWIB7jeUqKPVdJ+Yj5ZGEt6dRoblJqMWCShOWWTDrYH21qnyx6hH7YaktHxrwem6i
dZkx3BWMRzoxg9C+fxq9wruCH0RyiSn7PUXACeOguW8o3lFP9eEOL4N9amA6IM0L8pV+t2GYnEKT
SzoLymOMGLA22Mdp3kLuQ+sibCM7prnOcWFdC8xhcY2MMHYuPWlOB5VQwqY0w6LicO5LnYSEm/0O
bpnVitW9DOIr1+Ce5slgLfeX5X0cLgKj7E6T5dw5/ngpdkNFnaxTTG+owLlElEDRR3AIKfvgWZfF
qZnSt1lwfzGTfZYqY7uX3wyO0GiTtVdURu7ALfO2b1tnnbntMcjzy3rGre1OGIgkCPmg4Z/nMT+3
28ebPsjyTTMwnZypdEe3m34zw5dCGS7C1vjSjDho68ldsix9DFajo+yPXeEiI6csNrXpuEqkjLBB
kKDp3XeDbTwaRe/VaM8cTpghmlDizQYbkV4sEoLLVitR1GbFvcIAEeqlceGWOuTZptgiz4FVLsWV
ajAjWm77VTvAjNui8rZcCYB9zmdXcOgQfGVG46yUdtf3Uu5UlFypafyeLSoBgMNNfoB7I1kKQVke
Wtb4Rt/zInesvVi+91KQzWgn/eRT5OqT2IRo3efhMHjfzCCUK1/NPa9LSw8H3g+ppQUH0y9/JJeK
yoE4JKV8sUtr2DapdexRQjFCt870p0IU85rEf7ERwhhPVeTcTzO73MDq0o0hCXNhfMBlA2MeCfhR
9MaDkVAjzfEVmBT7SmMCttgW97laAI3TxiF4EHa+xc37Gk2oIKlhGqEInHc4J5fZvJN6eiHr4qay
b7ICzMlM9j8W6ZvAx4bfrKSkD9h4VdjqNDFOti7pvYHYPmS3UTU9GVlCI8y4Vjpbe+FpF7Ya9gk5
rniyH5pTn80V0FzvM3G4efqK9J/h31UpSHhRbvM8ZvDGQIbHVM/KrtWllyU3eRN2C6R7LKuHLNAp
1VTmR1xXKf8GahHbCb5oOuS81egcuTcK8qSZ8kKrU3efRsNphAZJInbCggZaW/jXPuf3PeKSwCc4
zEDfoy1mbmC/e4w5ChXqfgJQR4QRgiP4DQ9At72a6mdOi7zxtfijRJUBGZh9bGJdsdXc1H79Is3I
A7UN37qqwMJNER3mtjkXUqmDL4sbJBRRINaegTfZKNNHN5PlCufANg6SSzMTCP6EuhZTtNI7msog
DGggIHTJk55djpJhNeU3qXCQmsRsvltrunCZ2SJS2oPmszgrCyqZUCvftdonoBdQqR0rcdfqxjmR
LKumt5d1trFKKgqiwRBKiRl0Wr2ORXEz+3q/AsK9H7L6MVLj2nSNdFv4HwHCt16tRyamKZhnD5zJ
XoKfpoT0jtRFDqBFOdW5JHCRryVe6TIhLtkTXjFgzKPgtFhSRl2wWySUmt3TyLrTWzS/w3cfefq+
JoA68SzYDy5U0CAC+F8uhEJzY4PCBcBZ0HwqmOkmAcZdOlQw56eXylZPljYs3D/7WC0nIWAvd0J8
6TLiiAR3NwWhmiHHapSzuH1wqrJqrGU8jxx0rA2KcPRtsDRmSgYjL3pfOiv0MGvNi9/S6f8OvbpK
10Z3qbPF5dafXidKrNysa2LxHTc+BT0EuFOWlOR/so/cTS5Zwp7nUd/ItgF7Aep+RmqbStCYFG5w
7j2MsbFtMSmYNP57+o+ie4J0viY3cnK0CMaoc7T6KAjb6iUocenqSWsB0Qj2uDiIQJt73X7J4/Rs
AhXGcVy9G+nI7j2m5DB5rwF/fM64zJpBp0MyQ7ujQb9yh+ASuAo2Cy4HmJWL/iKTMuazWddD1TGJ
FKu9S01boGyKy2PctdvWByatSpZMkprHwk17/EEG5eN+egK2uGmjklk6zfb4ypoX4Oxbd3FrQ7V8
FB2nNqVxX1g5+p7YeeA9+EB6nbWDMyktlLl9mgvK8X7DemBG933LC8yZ+XD1UdXWoVPpDf+e1Itb
TPFvnKm2OjjjocT4oE1Pg5N8gB7fM2tFYSRttvWkrxeVYBIZ99rsbqps2OuNvMzS8c3WOAN7VL5x
DnxHkXNZSOoabfU5mNuBODzb33GrFOYfIjip/8ixDzlYvWbW0Vkn/XDMi/rB6k+FNt0IrXo3hbyM
7fZe1AkbEq2/tgzzXLreCUvBtpu8B/obh7HWUBDEat0b5k2QRteeKB56O0ZgaoxwixnEWz7G0Myr
ySMLbio4v/PjmOqHjAy5GoaT0FWEpGLSN9rgP5iqup8FSyyZh7Mh0+fYmWjKCY/U7rFpGjukoBBm
mu6gk2atobnHprDoXyw/3TpUrEv2p11raJTJcnr1+XCtsvG6CFy1sRJActGyqXDcF68qb+E+Xtp2
RwdRby5HE9Sqw8Xy8P4mgher07fJKoL5HxqjsR1H/hz0kjzHz6Muw8ztjzRrty14iUC+q3rZVWl9
ssb04a2apvxss+Arb/VgVficuzF0UWYavgxe9zaA1KXsVMb9exkPECjj+qnU53PpxdQ3lsIMbecr
WTfAcAm368s6FcQuJd1RMorPc9g1yTonl0q5oA7bWV5qEC6oTYdxkZ0pI10AjWG8N45epIsZely2
WI79UEhKa3pzj3X1VDHe7XEixN763qVYaRjPQn+lwSiW/dmOTcoKWNIQs125dX1bV5JXsEXOhUF3
C6hLlTfsjGMDAF9XrBHVX3/pMSSKmIEetgT218iWbgD/i7qIyloUU83lu3QHLAcDJVAnstc9/4RN
tXl2yw/fzB69hsdUcC7euoxu/ngrim1kCEwzfn0fLHV5zaGWmTwHSYvbtk+Hg6XuajuSKyROe+bz
8KiqIgvrCG9hHFjXMqZLOfTDdzdrrBUieuVItCoGU21JCl6mPqOhPug1lnGSoVLlH6DtwzoW95Ec
voJxOjKCGw4IvXTRbbiLCUByJh1qCj9S0Uz0EwZ9exM0vCNHsba4Kwe2MJPj7LWqpyK72BVBleXd
a8p9CMStDQtDe2+6+Ux6xA2jvndCy+kbbtptxW5+Q9ZLhIH8lp39ErOA8oZkrKzfT1H6iswgYod6
OXbpi+qbbisr8Wm0+SqdxI6zTE53opLnrEFh3vMtw++7Uj6VOyvBquMzBUiZCo25kzmk8ExFxTh/
deaFaMvxdjUFbgNcZGSAISoesoZDeWPRPfcpxknsKdQIRtgNL6b9lNBYWAGQv28TH5zoAUP1Ir7L
B37pvwmi1dR6OsLzuaRiZPnJTTZTNYhL/9rMgk+tyAjkUPU2ZHT2VUQXtBRXqXKibUQEHotFv5bN
kYQ0hb+cj12O+hlC1cTQRUeVybmC0PRgC8wJRvddTOK9yqM7S+qXPR5IjRUhbBpH3zZ5dN0z7q1X
RJ3zEqx3j9EYWhIp4+jbU6cEQeCKdg6HCzzfa5ujGGpo48POtStlAMfn9tg0LeURyW5vACyU50HF
vDinw7mbnhyq4fboPuStiVwcDx0vPfp7/XBgYW13wiRZsZh1iyx6ki6NqyY/S+FSSldPkXKvmjSq
w2jIzxMVKVrVydnSZ3pr4iDSds0w55PVanv4vbtuINlSUyyb9OJojmzCoxzfmDN2cAOq4YZ2321Q
Brde0dch4OwNvMJ+vzQUR5+XykhHYjXnxh2ZXiKbvCD9xDPDyqGw2EXmdITIyTALs5di5vztIIOG
+buy42/AvaHMUaIyXeysxiQ4WUZ9lCkdqf/h6LyWI0WyMPxERODNbWHKS6WS1w2hVquBxLvEPP18
zE1vxOxuj6oEmef8FstcSffkUxdXjV/ILSvcsw/kqgFUeR3SEciwfPjTV9ZK3CyndyIfvS0yK9Er
NAQz6Kqpjc8xha8YPalOxn9bDTVD1eASEpqZJXId6syFmYft6lD87gIyaWNHQ9/CRonQB6uojB9q
2cNbu7SxumtUmcMP8eUvVZPR27JoDyOU02Kmn7LpiRSuBMa+zKN/KuMQ6SM3+y0nfnGpToW6VtfP
pQQo0ua3seCQKmTzHddb+KRJZeekCthACdKSjkxc9midzMTDmS4xVWzfXJ+zK5g8HDM34qgunM2N
3MvE7gIzPVi1OQap3VCgkxwLbaGli9CZ62PXnpYMgo5ARAbjNP+XqDrR/Y75AX9EfXizDoHerUh5
VLoc7NUlJtvlKl3+UiWSBL3FGjETtN8m1hQKIywX6yxdkoIxzzSnhNBqSJSVNlm0lleZGQ8OZT+9
QjPkqE6/0nGideIcqr2B2ZGKlkIx6XzBSsYvVHnr7K6KbC/3djG5nbUpVoRBNIN3zfdUcebkDEII
y0XAY2TToUYDWhKuWp5e6PH7kwo3DrUVRRz2xkeRLhMvM0r4aRaPtg2RMQ40LhAfnfH/cR4phjqi
VnrJkkhRwewJjtVC0RkT6Z/9y1xW/6yJWjhCdcM+lZSk2kGcU2GSxI0HWEU4jq2NPpw2geQ8OXQn
ok5Mfhp7QSWlHJEbcnyYIzSdrf0bqdGsKSGRGcf8atSFH0/eMadV9uJO8DuLzVJqZ38NChWNbB6O
RVV/dYicKnoeopmOGZqsvXuvOJ/ZOD2QPNP6bjoVkT6Ql5sJimeWgcB03ptSFl8OHTZWjHYjUa1+
x7LHjpLI92lA5AGEh11oIi0nq184nMhyj2xDEEA6d3ywWPENS3mSoPbBoK60hNMB6XjzVVIxyswi
0UsnZFJ7dg8p27MdOTRkeP0RuppenZHtXlXUvU3mAFnqkv8e08JucZfnLCnaS1uDzikNgtKGQ/Up
K6gvB12mPBryXAUeGNt3raUnrlXaHKLbvOd5eS+Nhj7ubkGFYNOqPXcTScG59+z25oEk+2sebytV
n+Lfyylx6btTa3ec+b394xGpGpidfZwrd3tzbL926nGnVWXU4IFiVDBHMCZWTGopiHUjjCgmMcye
d5bTY+EfPAwqZXpby/FE9EAZJJ2ZhHNGTI/FJQS0yg2Qx6+rMn8g2scIbSIob2q/UWLzEAtijvMY
Xh0UzBOeJFeTT2yn4xrag2i4f6dHOya7XCHpZKemDmcTqbb8RGQAZTxVbK2VCPqS+9ghgSYyaeaK
1ZT+34mzwiiAe9UU4SoBukU8R7QDFbusr+OQWnQiyXJ73yIs0pKcjzFDIQ+iuyebV8gQq0Bsvk2N
ao78kYu9mjga54IKYD1pD2bS7hoqZU4E5O1LoXdMF3yYPHEOmuP8svSqO2ucpD/E+bNmgbxy/HV7
Hf2d2W+79/SdlvN6gKzRuq3iqkYbE5Nt7iPRZHaih3KfOfYhRjC5WCsBHNXymC4FYkrZqAEOb/pR
2lhE45RT2GyYv6iIupAOSshmZ/WzoXTCpg2oeiIl1RgT5uj0Ie7bR/I6bqbbfpBJtQJsIAxpNNPn
5BFhllyNnOZbuKQzDk/1LDEo6QoJ587oEANc3XWdebQSGdkfqBSdjtSmYiLfKC629xffopPgONdR
vPJcUHRSWPIuCzP3+0b7Eh2aDQPxtDN7QUMDucpV4AMivI8ej0zTtXjIJElRG8KRNu5fKrSoFUgt
BKrjTUNa4MelcYX7/uJRsCOt+qqQ8e6zWf0unXqfk6Lqo+S9i9iZA13LnzQCViK4D0pNMzMaSiss
W6M9iNWBbqAWVuYquYGbdIC29yKhxPfvWtjymikfIyXRvDVFT3ydfhi1IcjQsx5tvXyZVh4JKkJp
mEiBleuWZhTVEvp+Mo+EuA6oe+hlJSAfPLuyT84wvMcDiMfSfycDa42xys4XSHI6ZCpKwiOvVGm9
G1U732HY8HZ0Vi1GXXO7YZtGlgCLFOuRGstqN9sIQ3CcR0smyZRP3KsHgMJsjmnYEKhT56o5pPqz
q2QYizUVyEzprh6lDRTdd+qxmOCdCmrMSitFVtFrvDhwd7xLSDCsRUcbuezrpICrGgkc0XIWljbS
vO7dMDtSh3upEaHEC8xMnNINcLCQWaMldCpqB0afDHPzxQUzo6nJeeLAe1dR/F+bfrlU2YICU96z
YdjDkpZHFid4s/4uSpA2AgwQ5PUPJZ180eDoh0VlGMy5wlGCLrumK8hmwz3ZOWuzl4PbBqmeQJ/W
50ntC4ruVN1fHWIUhU4/XZEugTVRt4IKoVeKL10mzb4PWT0ouXCIeJO11cAZIe2zBd0jnLjZwFrv
omyMhhkh9JR8iHW1gqpOru1Qs61YD+tQUeTKiA0XS3q6aMrdYFv5Fa/7qUQ2cSm0ydvlujxyXuU7
py7UCDUmc5UamEkRAkRHvAynNKZDr7CG/mJilbZcGWJnyHY2CwOA5PDHNuWv1gA1WxXdsIbc67w3
W+s8xCKhgO9aVrls9D2z4xz0C/XA3TwrkWN2F4vm8YdUQoH0Y3nUKrfiTI0fHK0zjykaQpQTVVir
J/qK2fr6FVidOi4yJj5KlCLjotG/aKcRW7AWqMTCcsbI5qqkKu/IFy7+nIfE6C+kWkRTw9mVTOl+
NUb4Na29FcWn282o9Tz+gVXw9a/OD2Q8JjMNmXJL/jkDSrlGGVBEQMLxiz0hj45r6me8uPbduV4C
dVBcurPcX6/ZQuJb47IFxe7KTYCk5blPDi4jhMhOVt1O53XS/jjaxUrFC5opiYJW7geaXsdxOjQi
kVFs1GfVolBhewt4kZBp7G2S8Vmw7zr6iFDE3ZvZ/84l7WGC9bJRAAyF+2M7WYgAaLxW9vINLPFr
yYNnzjOn0wCugiwalFDQAj/wO9KXgBwCzpNKj0qtcSNb6ceoxFm1k+ApiKsoaDIGqrCE2vierv+m
vOgwvWz4C0n66pJ+UNmHvI78atr0mKQ86dKRFzWrl4TpLJMAPrwDQyh1UObJUqezrm8pe+LXstJ/
prSTUMC/rSbjSWn1vrXYY7AoWxG6J5V9ST0IUrE5oL1lh8vo6lbKq0vTWltzE4rBC2PTYqDSvMAq
c5aVWQaJS4kIH+KcNstTQrqY302wxkRZ8Niu+Rgt20TgmJ+OTEYU+hBqqkpdmSXNCzdH/tyNRdSY
BF/ko3dR2mciP3A4m851zK4oBpWgtcnb7CnOK1egvzX/WHEP4HjvJQgt6IFNnfjRQCCXk4vFtEpJ
1hIsczoeRDtEmrOaQUKKD6xzQETYRP2xaSANNUbK0Q78rM19heZAz8Y5Z5njk2faf6zR1gLbYH10
nLDUiu7QEjISuNSQEEe2qdJF7CctMZEFW6geV+1eV+qjPpD6w+n0OAyEIDRzJCb916V4/BBTx71b
SVI+pB7d7qMy1sFWkVgNKgLraaaKB+6QiJD0MGBZarUE7G3ReJ6TD4uARZ9weq46/aS5yqPTps+J
adlH00XFQ2wmcnYJ3xA3FO/YduTa53Sd+zAvq1PaWYTRF1AjtTkBZ83GyRYwiMRNUHdzdOvhlX7k
Z6GciIG8x4v1gY4z03RukfiPmZrPiT6A+3bKhXZq8vC8+VKl/LQtNXcVxeML1zFvBDtkQK7YT7GF
lCPf/bQMtfWdavwomJgraV/igl99RfoPspb1LtvsWQE/ryENZr1gElCMo9ra1N7ga2PtdIblAyHn
rdDzy7SY+1HKl548pWIpQlIkYXW+ZpUCMnv8dmv9psQU2ynWybLEa2HrDyPVpihcil9ZzoXfqvWz
Iv4qwMb934LvrPYixxXvlOf8nUh5keZNLLmODG8AK0hH5IvTa2/hb3f+L1fUySxUWz49uJDnIWsf
nlIwHrXMw4WiplBxuCk2Fh8dTi9phLe6+bzombZTDcGBahgBHaXGgXD8new03VdX+FYIp6DXHJzg
1giyQfOmtlZnMiH8JAchVrYTzU1vcQH14GVcKwYEP8o4DiwQQzzDym1tJwQOE8XLqvVNmrbim4Qg
+YUND9kysCrEu7KF8pZbyJB27ZuT8h+KbSL9M3jtp1XbryblaCsCXHNsFUDbb5kTgNYQAfpYFXAi
i/qxHc+lgpOCJAWry94aFTRatumfojOe+gLTDLlx0OOO3FEE+Yty2w4wfhD9YAbrHP9LlwG2XquP
jgKY2Z8wYL9RxmeEcw8S69XHlrJFDOzlpZLWg5ZI9HxgYuREQtn3nKRjvvMmLizaW4ooIf03r5Lm
UV0J9Z+TYG7Vt85Ep9BOTEeVYvw6OoVu2Kn3LCLNDBS90Kw+rPFbwrFfzlPYtxwfZgsUaaFTpYee
H1Q55pal+kMGAFm2LG3KMBzYER+wJrUP8qdpSaH3ksokm+xAqNlt7Ctx6vLuNk7aCFAq3xxap1Fb
ut5B48T0hHFUqEUsl/h7qFgGio4+pXnI7hy3D8nE3kSlZg2nhSfGtNdDyZfn6iP4jS4/J8X0m8kO
OprCfJBBh8dzuRPAFzo4zPxcQaOiJ/bR5UzG3BBvnOEdAeLHmlYpoSudnxaTcyLl/14mmyaoQGTY
tgi/RW4/Q5vyUOrJj6dmaLRBPUiH0xSMF3iMXfG7sjCno0TT1Zkbrhp/kQj0WcUIm6apfupsM3JH
g4jXIsB/4ELRuftFFcYu74QIlFw86GtK56MLRrjoyalHQeU3+ZA8kXp/ysnz3uEw2GfgLH6q4zXr
V+NzZZk9NGobMWtjQ4IEA18i4zlKW8Pd2UmsofSVUUX+HmzLt1K1BVhWfSnzEigHPx6DFZKc2i4v
zaQfXZCUVnJIS0sEpL4YL9YKyk78RI8gUUNUkcy3BBFMFI9OhkZsJU1XJ4iQZjy5goWPySuHU2iZ
rG3CXDpsI5ybFQDVToUyyzWBqaYslUj0Bp0whftn3M55bpIjmHMT5PSY7tCB8wuNmZMWWz4Dfii7
OWHpKxSLXvjKTgLSfKrHZn431Yw6cCz48dRfK4FgvVgWsN7EOk52+5X2ClSauexJVBG+XmRgfnFu
HQQuDNKN9LPXpyF0xkOVatRPSJ0k4Z0mHP6Gsrp1sv7SGucP4Y4aFpf0bpqLRRAw8TsUbO8mKhjx
qLjYCmawboKv97VR6gxDFtzxvD3fIvtnLkTjKnF5TcE0C4xQJTAw6UMuagbdY06SGvOceTW8zgKr
HOe9Pr127cjZNWT2jSouNAD9E72+oTbmF4lUY9YpDUyyCqa08v4uFdk2NQaMQSc6PzfqmyoQd64l
8GnZZIcRemVdWXTc1PaV4tLXaLL16rOZnXZPbPRrYdRsCjlVtrr8W1AcmOjlNyPXa2e3LGVLHTEs
sS9hLBm1Z1vMzAodSOGY24GZVae50NGsVLekAGhWauV9Sgjx64BRG5O+Rc1Kz5o1h06lko1cnjit
p0tdHsqRdRdEkMPwBhj2JpAc4K3zXvoso5qAAzuqJoT+c+Ld0hIHVTFU3XEKakNTwh6Mq64E44J6
nTPjakkiP9W+F7uxNDVfts4LSQrgK4WNmJzOE4TLJLhKAyrCiLMD//iPlWR50JiWQiV8hQhG/Vgr
+mU7LvK6yq/rMJyMxUBcEhuRYmihbXY3knwiWsX7oGHV3ypAbZgsVHqRNuA9a5BbJLpTh5OScaPR
zd4z1WDQ4YECw7h6CaK7euX7NNZP9O1bBY+6ujkWtPFvi7s2Uq00x7uAabI7FUg0EM1V7VGWKbqY
qgbjWMpfzYrv2ZYNWfV58jIkV4V3Grv6O0I2hFjVXgKehB2xTH4hstXvFv1u9+41uSUdZiwX5Ds0
JoxWhTUfpirtd0wTCFGy7lVUzoORY8uYEaYdSo8LUsn2XgF2DFPoUq4XqcWgI/ByQsZEFzmES3ob
AAIrIG8mpiHWTEs2UZl1hS86VIVxnD6vKcLEtjYJyLfR3erFnkWsDXohTkQu2pFtZhw99ngY4vWl
8wLwXlTQCYJdrWuCZHC/kP1A0rp/FaanVmZ/knK9GPq3RlyAb+kSPYtiUcHdGbRqZOXeYtb1V8X6
xaayhe9ZI1FGKNbVrYmI3NBpL2v3FOfOUx87NocR5HRbnXWjg8aq9CPR3yFoxwfS45VVAlE6B72b
pmekUHtam2XUGSua64bYsniu3lo8RxChYe/QwFo5y5FohEgFS02WAXbYVepolkDykM/I1u2r05fv
omISKVbB5i/m16UHq1CJ10HTiXxw4a6JuaoWwb+96JKKSWcuMaEmt7bM322Shw64X9PyjTNgO2ox
d6HS0EFdtc5h86vIP1KQ9aQwVv0iWYYKdFvzpvZYmY7szPtp0w3czxgd8FmsKc6aYbWGQGkBd1DR
ZWoPgp6HNJXflBEkPsOZPnfwepYJtwFJC923jtRixL604b8Iy70XdKpq+CeIJQ+pRoZJgb1fKzCV
WX90GyBOFGmSvEy553y7Ci01KaKED0nU6e7a7U2xUY8M5vhTNJssljRdj6cq0USFwg5exWlyPiYz
TBS3UsL16IcJXQMbstzPkoKvdYaadE1Jl73ZHyy7bsNtJkT+/lP2TGcVSLJfVu5tzhYKpjdeNu+S
LyUZjjRMwDLoYyA5W3YNWUK918BH4S+thvnMUc0sgpzD7pItfmh5W+V4qRtC4lFi7XObzoLs0FVK
2FrFsOGU+a7oGxGUNWlQOokHC9mG/c/UARjj6EJmCYuR570SiMX47bnGBhJE+3j5HpThEGvVGqiU
v9v20B36hRrHNFkdHA08SI7QdLYVLC7Kdt1WKudhpkUFZgdBRd9BFm36QEz7j2hXfiZywE9Zkp+p
7f3ADpeGBXJvrvA/cyZ+GVVGFOVFustTYUWVM0FP0nCn047DuQgvKRAAuwXWfk9GupWw1Q7gkRUe
s7QZXIwoikvtkvWULHm26yXORKXJPkTpncc4c7gH8dwNGSaeYUCKZZWgZitBD6VpYXApB9Bqlr86
twDKC4bSROKrRAZzxg+CaclKcR8SnAo+we0HsoSJptVvsz2+ZS5pgqpDJJJrKDs1gXNoc9wqnvJQ
qPkfDBedTznxe7MUb/NyYS8OYC2eGiIoFgHKNeO81BYEREItFX/T5ZS50e+Qk3a4LPL3GqUs4imK
2JPOoldv0DfFzzWN5Xp+V2L5b5DdXijOw5Ln5xbTrO9sKi663yFIqPi0EzZGmGdmmqQ6yD6Zdp0G
1pfaXE7//6GjWuWpYDxelBYArSThzyluFD6FYEb4IgbPu2TZvaUfw46V99F1nty4e51V9UHSmdq1
V6sZ3pQJfaSmuOQRjNhl4Lno22Xdn3NcRglhnt3MMoRTTFS3BXE2I8FErmtif6u1Gg1jJUI61f/m
Qjdx72D7kM1ML+m6TzKgA8VVzJ0ugDGxvu0m3RuCFrIpLOZfUkQR//es+tjMXrjITwQFhcBrCn9P
+hcCJoMSa4FnJ/OqDdNfbAtYNid27NZzbbDikZ7Sn7i2XzVjeAIciwqv+6h7+00FDM1qcFwdJZVf
U9IOe7/r9ME88pZiRq7Hq6mK0zhx23dui0hmvLK4zuCpyKlK8kYdvjXPQymHn4oK43m50Zq+RFxd
H3JcnvNEmqe8jH8ah6mxRSBvxMhOMuZeFPcIY9LeDcjwsBEIa2HXPa2pvEyj+p2J4Q/+zV8jEejO
y3/KYNcvliwfpNZek9Lb6+kGzKNEIKkAeSCNZAvoQwymtSsLj19VT+P9zKajmew/BIkrQb8VKCuT
uA/W1pk4tLvRANaCZAPjREQwWmYRgj8HY96DVHiOAyE27nMNa4UtrFuTdJ+9tL4dyXCZMwbB6uq7
pVEfrPWyWuqPjl9qc33trCaJg6Y3X2ZlfDVT5IgVPl5kxa1zlLR412m8OY8LIjqWFBIwPes1j7CT
j8InKPAuzNd0y99tve//6XdtGLAKaMbzKhVywQq4OXhCPyPZNc0hLfNlpCW4ooVikS4NHQUSDNLJ
DZNq67Jjjm2S4q9iAm+SUZ/sdJm/yF575vk5kFSRRmlS75r4h1DPYGUcGlPnjgCrq1gomPSe5gXH
LhveLu1Q/pBelJHWMT6hhuDYsAfA3UUJwGpubad9uXlz7ZJ+8ZvKumpWl5wgGlHqVnmgmDwoWBys
AHFThXJPoLnW2PnrfLnbCvIpsk05A8l876PURSuFBzCHJwkHZbJDMyY1ZbaWYxkXasgC8euSjVLW
6xoIAgF4kyOjwSSfjeZRquYjaADXb8rzjYN33COT4lpK54uzFo94ps6qTZtZIft7JUuGxeKupc67
gWtwEJCAXleboSgNNKVvwFQeKrggkTV/9K9VTo1fX/6pi5ypDKOmgn7+LmV2E2O1jYZoepMRV5c2
FYd5KZ4rxP9FpTv72CsR16jrhW+BS7yHLUDdzBvBmMXTdOJObAO3rr+9paUPkHxM0aA0N+5Vn3x3
VlciREN8GBNNtLMwRBsUGezARH5yMlxT1zrbWe/snVp9F3bmq3lzkdgEkP/QFqOy6Yy5CPttCFsz
ijDsnNIt0x5pU8mPrrsedEIRQ2VmRVzr3tv19atTcvgnsXdGyo26oDWJiKv+ESmHlxmNzwWLOKaB
ccS5VpPUkN9rsU8qHWJyqYpT0YlfN44Pq8NxMvW5jIy5f05JwtqpLYtZbJRPyewhEteUZ3yk4Zy0
W4Q5bX5qYfyxlO6f0NGIZXmFpWFsfKOGMFjH9JyXC831a/9qqOlRR/K+k21jRplr7qxoHtdsP6lE
hSjrJXOhHRCAo1DQ6AMvkBAmyP76cmtBtkh9Vtt3iooteuGri0pWC2MYh61IuQ8z46xW01vXGLRq
4xIv+jcEb+a+9cy9OVEnKgotyOyZcjDI6q5s3tkwt51yDuiAZGx0GbHLGhKu08toI2DbqgGXhrCc
WMJSvEjE8hlBiTxuZ5/6VbfINk99Yvy3Qid3c9AwsaitZfrSK/FVUj2ozV5yHNCziEkpzulEOKEu
sDbNJnXOTJlYw8bqgS5qyEGlXg+jQ0AC/B6qGqS5WY3mNRFP6Kc18JNdrYtkH3fKi8Cjm2sucaQl
4sSOzJoO08eUt3dkI3YxP455bZNd40G0UZxrzCg5bI/hiECJp5ZoL1emktNUImHDeDc41yT7XlAM
uPjXjWRqr0Tpww2Wj1OND1+I+GCWytO46J8DimR/46QQgaAzcA11IXmzPbX9XPsrTm7+6Lkld0ZS
o+Cppx+7LaqjXY6PWmOCn6ltOGXDgS6M9AV1Ug92G48hwZOpsSp+qZBXZy+4yxcZ6puJetsturlX
g8JV+QtR2/nisaC1fmyal2SY40O+rBfHNrHLkgLsAzL4wF2qT2ZJxqiR+YsxYINWlLtaZ1cmyrOq
zPFJH1OkekukcsE5MXSwZ2jRgCLZE1xk4G310V1VNE7YtFVNDUnfMHA93zOygFp+8ECfEYB5lTin
M9+6iZw/lCSrxn3f8vQRqYkC9lVmKtYomulJQQT8KppDj+ix9yB47K7OLxkq9yBPdCbIYd5vCSlu
PJMftZj+aCQJl8fyNXSMjON1IjV2BQZU6x6qX9T7BqWUXy+0GZYTBmmISHUkcG4lrT1LqzF0QI5S
mywjprvIzRkaiR64mzX8Y4ZswZhOGmdNKBi0fKf4oLD3iJoqqFwgHKMfPsp8+VTVatylDh7/dPhm
dNGCJG8fIYURI7g/RmxecqPKo4TJUKM6yiOnRrea96WlHdBQyBlJvCJsyjR0uuqmFs0ZNZl7rhIl
bGLtb1MTtNLELeZHS4uBqa19zrIeKXF96ASXCqIbGSb/B/RsTvzV1vPHqq/RBsRWxMOmPPTfmKax
qxEDGiYgY2wxNiLZ5XOUzJwYSSh9ylWkb/14sp0iBlNfqU0l3CQgTYKmZRBgC/MEdw5ama1eIlN+
DEyfJ8VI1LOBLpV3GppvplBiRre2G3K5EmLQ6uGs902YgdmQ+5AAYK97x8tCUFdy8Akfcha3iUTR
HOWM/admUsSvpqOpMluES9ITRFFtmn1CNjYhV7u5MnpoThAGhcmOtBS33eeuem/dORpr529smCtS
wbY/qUran7oCIA8S28dJx5NY2leBT+tkFOafnGSoK+65lA+ZSWSK1R0N/JWflwTRgfgCpzZ80Tuo
5AbAazlpiLeJKNqBXmdRwwUaznCP24u0b+zqc6n77KiOBqHL4EdeXRhRqohyN4ku3RsqyvWZEg71
O/eualvdZ7eYQ0TfiFp7TblVRIyfha5fjWZMIeIwKqIBP5Ju1N22xMoQnR1JvsBrO4QlR9RAKOez
V3NC1YH2ii9nMU4GOUy+NrhukOm5RyIBUXUmFSd7vNsQbMtDg4ds1zegOyUNtMtAxUScON/psv52
BbSma7+2TQEGlLKbzi2jMSj1c7EaUaGQvmfOwFf02OAG6DV0tvOPQuZDiAIGw0UiHr1ZHM0WCK2U
cgwbklhgSMfn3l1af5zPBfrBgGiOT1Vhp1arz7mDNTOnAhIOjZoFS24TIm2X2B5Whi5KqOZLZ4vx
JOr8LZ0c4Wu2YR1btqr8SRbGXZt52zzT/LG9arxMnTAP6XzzJLRkOgMmIZpDqY7eKZS2d8NBBoyq
tiJcq/yn0uCSKtSZaRwXe9R3p7TyPocGSlmJoZKtmk1+gcZBHx42TvJvsuoI4ux1WVWM5fqDsjzr
6oR2MDN49qTRBlIh+91pHg0xGEetrCiKXj5IpfANFYx34VMHZWqdXMadB6Ior1SXICjIltVPXXCm
knL5dZU/nIy2T9tG5JC9mBfIFZuyrHadXZDAho9kVfm1ec8F7nxAp4UKLTv1cxMbgFipq7G5dn3F
m/yM84zHzialG16lmkBsaJbrjWT0J8v+0jegZli1UFNYZGrJNVmZXdRM8x4ZzJBtHT3lq1RsLazU
SUBja1ez0c6tA7LYDDkMuuEGnVTvLLApNLkZuoo6XOkPu1rVtrnXMCGrNe7IZad6lPenGqhiHlrz
BRo2DSpdxyNoqs82y/7B1hRUhGZxVsv6a9GmLtSRgbTSXcE8poshky3yCu+5OZrZTiMGEW4zvTe5
GgpyAXZIlSx+4rMwMzeQRfKDJjxIKyD1BDIxi19Ewh1XK9pbkshnbgjQtzT7rGT2Vbk7s4EyN+Jx
YPxccaDZ+XdHiBhRcIYVpoTG9UwjwwxkHmNb1GKR39zJbh42/iE2NTeA04BDzv+HR33mYLQbqCsU
yNp4LfE+9Nu7uHShp3TL4cfLQOOz7KM0MhFRy6w/dfzPOQNxqJkFQepVckG1hFm51y9Ea3T+vGKc
gApBTtmICwuouBDlIi6Wq6CKU5rn/zsT/v9jUdz55EjGw95ixpk855zbCrc9nYQ4VJofZy7+8Erk
678i/6L0GQ2Y3RG/QEcfRoUQNLwr8yuSfM/vaG72De8RV+nZXGZy/Vb1hpDlpZ4WD8iSdQetOGrw
vBv4zVj90SrIHlcmTDjul62s1a2y9ZvroIUwGVm0tf30BvWuddUDcWKI2cUzDTmHBRI8EplVBe64
HNK0nkJLQ5y9jvFJgW/MrfU5Wbc8yHUwCemLLYiTlTaTRXkgTPa5W511DwICi6KFLm2HOy9t6X/1
dD5bzdRqEjpG5nd1MIk38b11wh6wvmmJq2M2a/5VeT+fp1xQRBST4DcUXymxf14+No8kvWjwLTxz
s+mdytaao0l2HwmGTwcZpxm/Q4kQtd4WuKm048pNEdDXVBH/OL50HUem6WELThO0mk3d6i/Kkr2O
qzKGmblQELxl+TaaUuMZhPN+1xQRk9E8Zs8mRDU8HyE61mPXbNYlgUiT4T4ay4+2txSfwd1CiI8y
FCD1lgGWqzbyaS3/xDZLCl5yUbAw7BYL+a/ZEEe/CbI30inuyAXpjL+OJ8yTB6FjW+OvMQOrufFQ
3xlJviwrdj8JOVyB5I33NWlUiiDRsEw5WYAwH9RpA7rXOraxWP2uckqZLKMj+wH2mYUZfTTwgAcf
RiVCThEwObccL5vpaLqO3Q1TKfppLMQcW0mR4kKT9qNA8bvr6AnfeU51Fs58yo1Nxmq/tSooIDpG
FE9pwlJcrEAkQ9cFgwA6WOp1J4zGpGeg/5G5+DCxPM4edtek8PxxkDN/KztRxkZpJnHU2Iw8Zpbu
4fFRRnTtgcqGEjLozVBt77LQ2zmZSFxxn6GM0RPtNEocy7qa3i1Tv4GPP86Nd5/ifkSQye6SmUTy
8tVdKksaVzZuJE80QMadQI0jtDJw0e0evZgKMfMhd+b6222VS1KUaJYXvv0Rl/KYYFQwlfdYQjT9
x9J5LMeOa0v0ixgBWhDT8lYqeTNh6MiQoPfu6+9ivzfRiVZ3H6mqCGBj78yVZs/EBvmstXbN4aVa
XoEHu+Igs+h+SlGNRb1+agdzAGZDkkFt6HVneP6GvHJqptx4bNE9K2lOp2Lgr9WOV+4HqhWZUBnC
3S6OjUX0XYOPgqb1UmmnB9/O/V0Tmu+dl92XAf3AQnJTi9xfZ3EeiPjNjeP00PuoEPrC2sdhBk/K
zNWqT5lYRa2DCGI+wj9o7wipXKEJvJsbaW1IwEUzGOZfQZjtreVtT4Pwmob1q1c2eo2fW3IMhmi+
cWRWtPrgCZaXSVr3Ou4eOqT4W2cwvpKW969vEcwqGhdzGpZUcxqPa4QdjlrsuWsmRkCoUZntFSCe
dflQVqVcSa99H/Ou3Y3er0U21X7ug6dwolFqCXoYJnlEGoQR179yE43hxJXCe9L2DrYQ0PiJZdUh
rloHunmVVfaYZo27NaaLGpCbo5nlgCucPzLmTEiTwl3HhOmtXVX9grtk1FjAe3Km9G7CukCthhMn
KAShqMN5KqLsQmf7hvBTnEdMAo0dKYBemo0yBUrYIdXf40bYxiqiCOIo9DKhEAs4b7HCma01epJU
5SQGIr1DQzL1OdI3mm+YOIxdTdXRLZCPOryfAzwTtK4mKmHm5zDFUbX8CllbO0DVij+Guu6IRfCK
NUkzz4FLqBcng6MYp4fhbPD8hY9tlPngjYS30mPXHiCwbCwC5Hhy7gPf2PSZSR5GxNorDHo9g0XP
CGkee0K0B4mJkrCOvxpz3tX9FB3TPn1N/fAVcvLfKFl/QUl+jEl4FRD2fOMNiP8A1bx4Q/Ft0ezs
LcKcbEtDvmnqz67msAEt1691WJ2kzczOG+g/+i0nStLQPVbuHVQSyexuKs+y7M4hJzYQlfihc6S/
wsSJRH3d5/ig3TiCOmVNZ3cmuiJUZF3kiO2hO6w5B3DeDKO+IgbM+Oy4WmK1Tc+zh5O87S5VPe3H
gHwb080HJALJUyXbctcscRhVQMcYV/u3787Tzqz8+lLZ+9BHAZb8eH1cHn2PSj4R4buYGlzqiyoM
zkwKA5MGjEOJAyVS5+2N0QDOFAMpH58sc0B6nN5I/4ZEbjMrwlMoBFL/ijoyDKyL5rWdEUhEtzJ7
TlAz7LzcgqgsK0JYM5DNIdfwsJTBulPpY9bCngt7Nrx8qHLIeYBTs3h4oCU3nOOuOo3kaEPMo7Vf
42tYceVy2ueoRzgWO/s2w7BNAFq9HqxQbGQbPEtkIJuIUT2aaeuduZC+mgHiDsiqnJ0mipbE/ctl
FZ7qHkhCgZGa8omOAkrrHnD6LgnIP2k9OtM1jckwsYNtkFl/yhoAQs2MWbOhAWExUOPQoW+RdQ7M
teGsxKF1S/Nyn8HhnXs9bbqmFat2VPG5CFSzjjUZdSog0mSAebUlJeI9Q0BGVSOoNcjyBqbKeMeM
djGVKZpfk/MPF4EfLNGEGlk0PyG7E4RSLmtaCelgewatEzHBrT6bFGe1B7FRplZ00CCCuqfJEiOK
QSYlHRZ+GBh0Um3f4M6+RG9nWKrQUp5N5qY7W6HmJfbO2BZIFrc0PhU3l32c5i0iSbVQz/p0PepG
cfj5kOwgerW5NrGjpSxVtM8BfVp2hWLlNv3zNLYuAuixupV2SvOrLJt1mnrkMMf5eChi/CdDzIxf
l4gWSywAq9Sar1k2f1pOS7vCrxCSVebFQm6GgokEjVoxJ4gNI9+ObmMzgIYbm1T+dZR4srBXmURp
HdEZuUNMKxJZN2SeYSN0tk4F86qQ7LhtUgS0KVrwocLmMo9+jxu4zSE+M9JOmalv286eHxHsc6QN
+OMykLINMdO7ShVfddZkRML1u2zm1ZAACT27whfWOtlzjvb82SQREHQihzC+PU8Zf/grub4a2aas
x3LjSQrBzu/Ote1EG7/nnPBGqCY2DY7VWKTy3KT/rOZzzARAcQvXLj3emcO5h5iQIualQjiZ4Wsb
hAnEBc3uhowbAQNrRizatNSh6alS/mVAB6ufuo/WQ+CiT0XFkC2P6MQQzLm1yU5mow1PfZ9+l6kZ
7cd3w4MX2oXc/sYn1/FQ7kuMVEglwHiuvaaKLnnsQ/gtCWzF5Up7NOge5wRJgBtNjChw5wdTZsOc
7qxzM6bGgdOv2CBSx1SjpvfKM9UBWD84JQX2xoC25YwPvQ6fMqMgbkATwfTry3i8ETQDTa66Z/tk
EGhSdWMcz4GebbvkNUPspWLXO9Q1QMm+yc4l/eV1UQ/uzo3R0nmzOzJQA6CQOB8k4fUYUrKHCbvI
sR3EWbZ+eZcO08U241uPBKNaSJRGKDc+alOEkd50wWvJUmfYQxu0tYODFbI7Uedgg+dBGfsTBRUa
vPDU2nb4YWNOV2bSrKdGhweQJxi4BZgeiqAVBkxcgzEXaH8EFOV7ztodkxek2N4mtYAhpI59CJPy
IA3n1jvJc6FRRhj1jNbExn7ra4XptcZ4hyqW6fCqbSYSXdLncRDziaBNUB5yPpVm/xZS4zzMI78B
KgtkGB2XOF1wBousXZj0/WHZXKayeLEcbd1Ko7VuswPSLMyp9LueeFb8zlgdufeUlDKqAxMcFmB/
2pbJgWKoMXqPwwxpK6uvvLAIr5RpIewfnuyZSsoKfzN7+io70IB10Z49N1fnsjO/4FHdY2brr0EO
XZIIiv3Iigtsdq+qS7eFMsH2PlR5Va2nLnF3BI30iyWvywc2IGRVskWlLo238ktiqzh0VUYXlOlT
Sv29wy2Ih8HHQezI4SDNIl93mT3suH1yfkY0//tZPusGSzgp481GBuJgL9HzeW9jCyvatRwhpdO4
Wvl+1L178fDaOtEttdVDlvQvPvhAq6jfmCSRRCte7cJGN2Cb3jaKvVtcJftcAYksFqezYIEkifHX
+dMli5RYzzY7N+2h3WIwu4JZXFvJwp2nt1Y3Gwx7tCvTRTtOC2DLTwMNk39w3d/iBUclHSJY9c2A
KT2ZHlWeEDXZvMymxmrWFndx4XJxiYr3SNlcA8MTDWFj5wbJo9WymIrOfLYDYmFJo2EG52pxzszg
bBFuEIyxt5ZVW27qzrkBlDJWg+H90hL6GX08PloS7VXX7qdtw8odi6LAxGZEx9H4AXOH8TZwWBBy
srdpa1trbWKs06Hctv4y3108op7NTTko+2mTMbTiFKOgzPtInBi+oYaReH8KPDVuI8Sh7pJbrwR9
H+UC1s8UAiJIy3jIEgR+BtY0BqKAHWx8XqkB7zkdVhiBEVXLiKRTnNh+np24W90c5eDUE+5fPTrD
OlPjHazKe5xDNpKFxNtFif3sIxHj1oUiBXHGk2oMtjO0uEmbW2+owhi4TC2Xl5j5aDF9jDEPUJE6
wV1tZlsnDobl6bp5iSe2dGyZWVfMa/uZUDcZTWummp/QKJ9sPUuUEuZTDimBtp/+F9ixtelb19rN
V4GCAeGmZnLjMXNI50fDmeQmz4yfIKafARpYHds6O2utL13SM4GY+nkTdO/YcxA3eFG7rjPJCAJ5
30oC7NpE0jva5YwxKP3ys/EnbmdcYnM/72uMB5X92Pq9iY8NWY058o0S7MuAbQHRu0f8i0rv5sp/
dvR4hqCDtBVS7ErN9rGOPW5Y4aKfrcIRgTEjL1gLyGx979U1GOSdTKGpZ2N10gxV0XrqDMt/ydtT
z3Bf/XbjQvtaz4gydzid1s000nzT/9zMZt2ydcNJbxgJtuooUvBmmFQmzXA7SUt9y/HC87AgFrLi
F2dZYyOUKS5cMFTM7prKThFNY9ONM82dpSawiwz71dScy8Tq11Zb7HCDRWvvzWKmwzfHV9GV6bHW
4bZsLeZP4AP3bY2LLRl/PVz9+IK74Zy1zFjxyiL14s0yxMnIQg2jariE3w7GzA3J1wN6Iw69pX9A
g77DO+U6IbbR7ivOQVNoHDjGSHEgFjcvLd51PzhncIy0h1MofjOUxABfEzU+JpCBegIbWLgesc5R
z+mj5dJZcQzY3FU4Y31p4I5jLiOSotuiKIbNnWfMnyShs535mXJjfkwG+0EM4uQjZ4wB55eegeEh
Nrk10TaRlZ1eLV+di7zqTyHM012R+d/6WvNIXHSBKK3N227jebm976u3mYy/ynGX8/gaFlG4d9Qi
Mc+Lr86y0722FUI05xKq6dL4zJkWpU4dP2FvurM0rInCHcWuAGZ/MiWtikq9qtEusS/m4dEkAZFz
nQZU+2DCSphblGcBp3ETJtHWdZvdZDbtPpT+jMkuyZZbCFeOCWswlgqK61+jFpjIg/FnnLLHIVpi
ekx91WLmnWU9YF0EusVEZC3SgKs3hibenR97pBTVKUBTxOicEc49wScJ9eHQHXyP6qhibrHKfeOu
m97RfHg3MxNAArljEhjA+GXsYjClmDCg2TPBzZRH0dV2GIWHfTfRj5yweuN5LrdpaQPnTPNhk7fw
VTojOjlj+G8csRRBfgTMoswbl7U/CH3YuqPhKQnu02KEHxzGMdOeEq6uOeHhnrYJOIxlcM/AxzPP
zRBZaw+UAioxJlItdiyUKJNtf5k1SzZhtKeiOSTskY4PeqZbePGaeNpUM41NotkSnvHiOA14Djq6
y8XiQW0rT6yyhC72MsyBKOB8EOXxMdCAjW3GS/rkgp7cogeq1hq41hbdCJsQg30Z6lvrCAo1jVQz
73tQ5J6NtRoIBH7hVS8JDRkLjV0+flLpYFJecIi79GO7YfK2uJ4hzxvW3qddl+VmgGjZelVOGN3n
fo2AhoMkrWd324y8G0Ml1QEUszJ5e/IAX21duA8T7QzGdDhncgrhmrQaWRFdMTnDD1EwJEjWM3rU
iR5FIproNcqG9wi8eh9VMfNiMlHghGCdt0vCfpoAnNO9E1jDrgN294ykdgMK8S9jEABaWwEAYXaI
tvTHbmL/MPoFQ58647wMIpuJlys29szShd1/azJ46m3Ftcjnp8Ci3tVt+NbpfnEJM4/JC6i9cWKs
TcIJD6WyAEPkbsmUvd2aVh/tDDMg0DAproUl/w0M0e9A453KujlLW9COHFP8PuM9jlm9j0dUcji1
iG9p0cQFjb/CldB7Fb5L95GGNCkuKSMnB1vyRjCpXQWm5VDQGv7OgYm8VhO9uHkSzTpvkBeMRLre
lQ060nqu6iNzPfhKDAYcNAIAW7nUcavxFNFJgWVtw6a7k/g+SDsosH5CDztPc7x1BXIyZ4i7vaRH
D0pFPhaWuc6OEsMrTZ4FR2D2Z3jYza7Myb9c5IWp7f7OIX3GFHlnO9cLCQgLViF4nODBk80hhvRc
pTy3USR+w9bERmw6FPhp/I/sD7ArPdME5WJ7dSmxYIl8UJyP14IzE9D+a9M6v6If2D6z8YmqPDpl
8s211a12mbZq2eTbgbicQH1FRARtQntWe+GMv1XWP7RGU+7JXg0RwE+3KJj+qUL2h7aV9LQF76wd
yaML3AwD3fPyp4CwWNoQ21VMSoufAWYiL4EX0SJjNFGwkb+IfRcdfIwzp56D97kNd45FckIlcm9j
u+EmckfJczeC+A+Ic+FTHMuU2xPZVCufQwut0V9diHht9/l3gZ2vVdYuiP3mEk0euqQBEvxcJy1/
I3glP3zM0NWSr0fcEQj4dVNmdGjtBL1DFrxK8VkvYR12ay4t9VqRY7rcT0FDcfCglSNIEzbWTI/c
s/Y1/AlunKCMguJeMbtPXB9HS5Y8iXZGsdUcxtCI93ZDJelSfzNMQbABID4rrvyCgMf/zxX+LiS6
dXSV/jrpo1PQobpTNcCOuaHjF5BVQGDHdRD2g+W5SyiTwXbsJR86726GD70ImMK0grNtHMz8Eg/c
IlI2Y1Q3xr8JaSuz8gnakM9CM8co2MGGvarCULTSBKOwoTnadp1ftEBBW2SVh/mg52Pw05bfnY8r
x02wK8J9VtOBdmxhfkNP2ZjpX1mq+8l2PrsCojAkxFEa5yoGLlh1bnBsyyG/VilU1sEp92OJ4lc2
iMEHco8OPhlSifRxzibmnwuqcWeOzcJ6NPxrUmNUhaq9s93mOtmWs7PmlsE8FicOfoQzlIWBcpes
Crc7dV35hGKGlxsQyeQh0H1rzFsbc+nHSXS2PQTXPNc7N5LixRhQdea4kKbBLw/DNPB/lLHxqOrX
QruXjBS5bW7MxNmmKc6W5hOr7X0ocByGioNoZpqC98w7NjhzavQGUpO5JLT+MlJM470bIjDsW6RQ
XCMOlvPb1jRuUDvFT3lr/OZqQXBLM9m0zbkDobkNNIxBS+LBWU5nIzy3SABlpjhPvMHf0en/ST1V
7+DgiE1V8y6EXnsmoao/x8NLWyCYUP0jNr5ia1S4yBj577wIuKmIL15fGyeW9oHDHCynh2oJ81Kd
gxXopR65LTT3SWwPe6djB3BinFooVkkZqsFILzyPiXZc7WObRXad75kEvQaF9Y+7RXJDO4f+0D73
3JJAojHaw4V7aN0ZG4zXnUFKu6uwNAZQPQiMjIbKxaH9usm9Zu8kjOV0kt21HX0X38IeQMQ7p3jE
z4ATnjQZlVgV7riXIJxPIEeR8emesIZw+J0BK2c7wHtYxlL0NEnDkVgKcaoZSZqOFexx5Vln543+
crgyFf1kOYmnkZHTaWzSWzUzvgTwRbjNQKUfxQYp6UX+FDHp5eFGypM1PLbcr85xYdbHsecTFFBF
L4kyMeEM8luYXEkGH0PFDAdvlVHg38Y0ovNulW8gPQEdJDOOfghBRzMeSp5qkJZpVBskdOpTZdYZ
9gBXMTu3aTJVMtx3dgOSM0IaXKqYqpxOH8FtiIgHGI9J4a61IUnnmorn2lDgZe0Sv70jn6mRU8eU
59KYDsQR8O6cHMeSu0jh8YXCxdCjy/194eAs1lFd76rlDoF3ax2bZnkbig/d04nEfTAeRgK8Cp9M
8EixN5Exl+2J8YpuufFUW3s3DcN38v0w5KfTK7GR0SEupkcjx1GVTkxOuhFPQD2l/8mmEMnRPN34
2CSxXcg/3bmEiEClXjv892T+pBtMBiiaaakmUMouqhAbVSYPTLKubfBkRaH5JEYS/QhGOnahWWzs
0gru5fwZj9U9avgXZ/KLLQ/Mlx0qydNDsWK/lvg9bzZTliUsdyOb2NxXZTbg/56PhguwmneuXEkn
Q1jex5s+kHIDjA6GLJM0PeO/CVHy1q9EXfgry41vTk8MkgUgyO+lQferNE76ncwM1PhIF7dmARg/
PA0thddMGYVRDGKXBdTeK/Hns4IyRA00jqYJuZjEyWMxQ121ts91QFXjnUWXxHLzZ999LSmuj4Hw
+nVuoKuMZodMogxoAVHgdDKARWjEGUFAf8lD72eje64zxFht5mGPJ1Idr+dAFYPvjeoSZYq2mLYC
JoVRbi3mjcPAj/YTn81sntgM8hy8RDWjONoW5fiY2/rRRQi7pkmMZqQu9/D53jDBfUFlREQtxpUT
0RiG7PiEEBN3cTj9sIZmErqOZW5vTKTfa0wVoJBpw/OY5XRsu4uL5gqR5iVOR5IRXCte8xTdT134
0Tj1g1sER5E4X2mvCkp/mjdEpHGYtclJrRVHVlVAZhtDujmFa1xGkqeID9LHUimslrZCxxe+GVbs
XKrRPnuj/GLGUm282t/rPqe/xBjOdN6KGPGlVRRA3CxwqXlc0WrxY/c60h3LI1HsMwn22pFIJRUd
mDkg2fHaGvKvL7EYwCFsN808P0Q2yqO6/rHghLUuKrfOHWAsYJ9boQXGK53T8NM/yka5WCsSDyvB
sFgQ4CT0V6qghREriYy7gwMFtaKDhLKru/jXToN7FeeIPvGU0PCZhpOFjHg9mtk5mJoL9NC3Nkae
JnqzZ/it99EcPPimUV2b9j6demdTmvwd3M4P/BK8ANk8BahFdoGu3vMZ9qLV0Cv3LfXoVhU9CoKH
OGS2XBzUqS/e+qyR6Asi+Bq2gVsHbetktOdeq38APAxw1GRqDc05XZ73ZmbOiJP0z04NKoVBeJs4
QFXiunOxzV26qbTk67z7ZnK9tJxSjikzf/V4PqWDwCprd6SO7ouOh0EWA9PUOnxw4PuhMMFxs2xS
POMWuZXmb5y5FOB4woNtgwMcCa48zon9pisBRwzwwNy0lFItu14MXRVaZnmejdnENEp3RvguzadJ
dfjXllLBh4EX/eVd8tD66h4Gc3XMdfZc57W9RWvOJlzHaLbA3ORT/CW9/q4f+mTPkOvXnhf/XfVO
zLq1a1SFuwHqhlcFD7o0dmZRPqeVUe+iGvFR7XlUwtFnlftArZgesVvTGakoxnzPD9dN0N4xikmP
eDxWmW6SfeC6d+UIUYaE7rtqrr/C6LPRTrqpR9ehR1nuY5decGgy1BnqZ3qnjA0hF5I/6f94BX1h
yZbNQqbTzWoBfstzqfRCDSv7estlBosFvAWm4TfI/+Z+mA3EllzCSUOmgNuRZW6umRmCS6s2ddW+
4hpNTzhkB41auYrDJxLcTtbIpDIvAYwB8chXVpd5TIo6sqG804DPbYrx5KUSawXGP1jlxsfY8H6M
zJBXZQssckohiVlO+uuY82NCf49R2Ha08aFSc9xPyUffOl9FM7wCbqCCB680u5c6L68VOwt67ugx
rcIX2vvcLAJr38xFuKW3CDvRz0Fl0TeV/Tk0FaGMOPnJYrHTmLNy60xO8c8Or+WYbVNmml4XMSNB
JYTM89kMs4IxEh+TNNtL5jp3k4dUzHOitVH8TmlMRpTwyA2MqGiG+ehxmD/Gg3mgAjugZTEZWYEz
9CYn3zqQZJ3rtAwD56QguSNLPvJy3LRTG+8kcn4ORnBViToNgT4lOXW+Hh+y0efC5+DiCxusbY7j
DMcmfHL7+RVv8dr0CeuhEnLZw7qD0+AdZxWjGDWnXeEgw7NE+6QL+4mO7y8junvab/94N34865dy
hVRbj4a5cfDoimUK+MCAVrwwS805jya+V1DTJt3stXbxzyToBpFe3nlW+qLIu2PYWQB8zTEtwZN3
SFKKUkTKnAVS8c4jnwMpWRUP7RI4WrkWfT6Nw9Qy9TsPCYwYHJLduytg5UVMfZkbZjt7Etw4zvGY
vDq9iUoQAqPXWw8FIzLDAvqt6+phmvKtiUsvtbCgyDqhhKgvZYd8qx/qd1mSXonRvm8euobBrv+I
3traZuN4V+GJ8CJ1iee03MAk/5tdNtx2eiGmLlwNiiVIPwtvSlTfaQG/jyJqr3No0k5QnzMR7GEO
3hmdDTxIhd+9ZT2GiIotMnLYS5npehk4zkpCf8n1YSzQoOSzU4BZCAX9W5tEzwwDm2rKHc7M+0n3
32MNp7cRLWwU1yJCpiVkBLEiu/90T/kgHkQ4bH0qg1U5k0oQQnWtFWtzorWdD5wbYOjWOje+G698
cMi9ZBCyqjuGt6ZyzvNUv5dDnK5zB2hz4bScbs133eZLqUnvULN4llU3ieTUd+1byGpadUwBRmIY
6sR56Obs3BaojXvPusyzpfcelIcNIuezbZf2vqlQKH4gJwDFJh+Nunkg2xLLj/Noyeyshiv0MCJH
HHPiWi4+ek0pXJkfwFzOnYkLqM6ngz+Nd/jWw3XsklcpuM3ISv00FhPhTrivLYrkQFQvRQNW3kdO
R6qST7FA43/GQbI1rqIDl2U4IVoId/4k+WvlFss9OrF/LCd7AaeY0HNkKPlLl2pBvLbopVmjlB0v
OAoSHLyWC3yC7IHm5pkRqsngFy3uPdIh+FRJWe4CssAgBRK8rgiWYvB5EdL/1/sBK7/Q1MVV+k3I
sMNzya4qlrSsCusD9iNofbQkYbf3720RfeKSuoTDSPqXBP0QG4ghfe5hkUV/Bhc6yW9IaaOmXvAn
ANVI2YFRVesPioqVtsV33KKv6kzrmKXGDSXXVcQC2o7k5Nf6s2Mvl25kbHwlWDBoxvAeFoncGUsM
gRVj+skLPh/jHxgaZE9sdSDYSaFVkWlvYpOAz1pH5ioQmTg5VnxLHOhApd9f65Ezg6CQe4seB6ZO
QBK52tWNKw8iIepuit7GCZDa4HWfSURZrVg2xtDTh2TYy3VQqOWUs9Rz5KODUDo6gVdv1tkNTWSx
qUTwN7TwpEooqxmOoKPqp9fCE6+VSBFQ1eB04ccNFUPYxI2/Cyfce11rbLOYPq1tsUOIiPquBQKK
V+mTgCrsz/YizchrGrm9eZ7EbxCWPgrU5Br5kCPr+SNZoJ9KkqmnBFgYxnWbIbKPJSzYte4X03YW
vSLrZvaDpa23bUyFZfGpmuxPz5QVHVUtDgQCcM13e+RsYFflzlPlP/Ec3JdheF/ZkX1wZnGYLVQI
hMOJDZI4f50HAsVhjy5yw82U0X/kX6Mm/gXKwS8zbPxSY8ioO5/tqUrPoN7arPvqYxi4QyQ+9PxW
ENC0TgI2Lhvhx2rKR+S2RQyERqDKT9WvGRaoVthAq57PI45q1PAG/mor+Ne6Jl08fzTPSDy3E5rD
DTIAnIii7HkM9qXjvUhidKyeLpvwmVeivueShmdJT6T/WcIn3inQ977/aXi6uhtAKJmMbC0R1DgT
GoO5/y0oYm812ASzZNVPNJhcycflZowUa6KW6x1jn86FIipTCp55B8cwUUXrtBqLjTUo1rfM3ku/
/VZu1HKwU/DNHRmXxfzs43xcNyapibSjlyA9Bp/M+d9EPNr81pyipmjx6cf9ebAr6Mkx4TqUzjDX
QvMvs4tDXtglmbgG8QqdPmQelnxIagj7JwCSUwhLbHTVRaaudasnaGvejGE1xptiNN5lQIBy9OuE
1PT0Ntlmc8tTrDwFohxhMd1qoWH2bVydagncGkJJLhRUnAKLaxCEZ9D78wlHx3eFP6bRCVnHRuFe
BUQzWdMxKIBA0ULixmSYBFARGNTAJCBCiVITTOu2WVi3o6js3WQxbjbpH+xkYmxKg7yWuEcVKIX3
I7EDb0hutvlsY4UChtKuM6NzgeeiMuYX6pfiMvm/EWh6xpfD+xAH5PoK1KV6yvcaybVDdYmlgyqD
iHYOuWjpH5RYtFy/eyUl8Q7c4jFu3ScuyIK5Pi3IQJ9d6RRbxynRfv8O3cxWVsZwWDHHRKC/t46P
FWFovJe8xJqHXu3Wgxxir7efdOJhK8nbYMtEBkDZEDx0I11ERkL8//NT2bq/YMzDrfeucwcQqJFc
IpszPEF2vskMNvo61qA4yTLgx4DLMIn9TrXx6+M9CL0ALz0BaCnBZ2P91wAv3ljRz5I+wGZHfrjz
KJwOu2kV6wM0cgBI6DOdrP5XZEy3MHQMqzhXHcYFF1ZJNf+yBiFqsL/T/uKBXFx0kV84+x7xriMI
6suG9q9TU3iJtXoTicvNUK0BHqwMSLn3MpdrmjbWowHpwh8ROcWR95iWDMI6MoRa/VIpPm+aMc+B
ics8GbN96qdEZ6f6St8ggNxGopLDcH425ZqRzGeix+mssogYq265tB4SC39zwjKzbYGiXJpyW8jg
YPr12SuxHdoZG5lBc3mIih83FEvYGUbjnLV6n/+WbW/fBvG2EFLOiJ7OZWa/zglW0dCzMc/6J7Rx
H4ztpz0RSuJi9Pf2YDZ3RhsFh6GAId9EHvVp7w5nBwPX66gU+r2PJu/rl5lMz1XVIA+PmEflZm7c
+6OrH+HnPjXFrE406D2typvQaJhsc0rOcMAutsp/HWeOPhI20RIvyC+6pTuSFGH8SfMlTbTctGEB
VAr1zDmrYm/r2V72KqPmozZAJ0NKuajECB8tRQisIap9n4z3s0jHbyDYp0D/F97CNAX2FTPxDNNb
lrneKfdci5eZHKU3TD91MjMrKb2vMKx+wuAhTDzom+CMH/770rjchFxIoEcJBx64vH5dksTsrJwY
62mOuk69S7uxKZsZ09eLUzKNXn04yzTqKu/OUQ3TwBF4j6xMdfboYLAWW287R1LeCVfaO+2Mp2L6
zktcowSjqyvowe6BeuGXOLzyExWQjZ2ebLmxkvTz3M54NRXEksRxyQCbrs3cxzu6RdVNQf7DGEIs
lksTlR67t6xY/LZG77wjUyruywZKxxAazo5qDo23d6lSWTynqJmuZDh++S5D0Ljsz1nPNMyas1tM
5M9923Q5yiXxXAA/Prra+fCcQl5RwMlrvXxxLKboZeuYd+gsmomFJQze65aIvefUw1BLcWYfuUcF
fjB9kqhGCWNB9zGj/qBH3PzxPEyfCnV10Y3pXkwTGqHBD68xDpsriCRKO6LZNsATAk6iuQYg7T5i
/9KPzAKjx0TOzHczBELJYEWP2fIFcBtXrphGr2F4BmTqhP2J830XUmpuo0Rmz301YiON3YMTACUB
btEgsU6bI5rt6cHGLPCABYk7ybEH8vDSzAr5JoOi7X+/7fL9oSr+//vJ8v0JY9xjwsyU6nkIbq5I
81Mh8p+xS4Pbf19gWeFzY6ZaAhjFYuz2+9Cuxb3TVurUGoB7GlNNCJyBBhqRMd2LKHsY+rT8njh3
oCnuZqiGpFyM2bMniQWXY4Tyg9nHc4Q3ew9YPt78949U5t45lQmwFtmRoz5l9YFdTRE77v2PsfNa
jpw7s+yr/FHXA/WBBzokRQyZ3ieTtm4QLFYVPHAOPPD0vZC/Rmp19MXcIJj0TCKBz+y99jIZYvmC
Bjk7moq8UhGwoJM5zt420H5jKo5JAPKzF7smBo6gynAb2DJ/YZSDkFpUyfr+UZWXL0xerdNUxP21
9xFuagzmtaA6ScPrbn7rH1m/PdVG3lmP6Ju0oQVV0KrxMXJxibQq0fZ1G+vrrHMXVj3tK8v40lgR
P45Woo7Yzap9UTJZ8H1eG1YeuOteHxGj9fzxXEYfvcnXZ/VeSfed23gJUUoFo5FftC7HgF6SNi2s
7lBXwfPgIPuVA8zBxAzkD9JYjg0jFr2KMCxj906vOCadhe9U7SVtkNg3bmkckT+VG+a6yR6DGlh2
M6WeVzChaMbwNwADebSr5iNP6uh7a3ZvKdLpT4JB83kqrK65g6bYdrx3z6GjvR+kNUvnwwG/uAQ1
1viOQE4/j9AbN3zuu1acEVk8luylgtbHSjTN1Lb5rb5jpYD5DwSTpX2MmhshHsqaY0nuRycLlCET
QXRjJrtdjgfvwWsdhCLt5O3A3qyENvYrBFDqUqXIcnBCeT9iKj50ec7PMWZyU9ihvGHx6deoF0hT
isJk68qI+Yqw26uVJdYl1DZJmnVX4CPdNc2m6Swq6+H+8fv7LeB0JzlS3Pg5kglfvqH2zm8tSHKr
y5Cmyp7blBS/hd8Gb7495esxgh8lknmxS75mTirH4+BXztL03eYwNvamZ7/waMDx3iYZcZpAqGHb
f3ptBHaf5fFWEoT7ojcVe3ClPiUum0cXYTRUccZ+MpwOiVMiKO2oaZTpg18dpjO4SugPP0w/Uzcv
Zp7ceEZPDWiBcsQoudbf7u+wzEBt+UYppGLCanQRbqY8dU8N3NV8REFUBKpdo6VP0QZArRua4LvZ
u8S5aLX4SLt80ZTm+KpZItyP3JChJgbTB0o2SjGNXG3DAgYEAZzl6PyB2KxyGgsV7ykaJDohCwaS
8tFjtky6h2lWNDToPIMpOs8zBDL6ygOxF6S63N+VJuN2SEtYtGm1wL4PpVv3rGs9ffUpUthO6uVL
lEP3NhtDXZoGgWCceO6uarBuxrljMM4pzHeNUGaj7rXnoai4COHIIviWxkNXWvmpNPXchoV/a7Kp
3wEoX0xl0exSBYctnEL7g9b/e9L5KLYzk/sZN6dLbCc/nLHokcbkObssbW2Uyn4NrbA/Gj0Mlq4Z
ThVULCa4c/4f8xnEQW796SdQtahq1AWTTgiKzc437uQzK0SbBZLAaS4wexZMLgB8OqtYOh5CRfvN
Rih+QIwfXCZsKCx5EfTYmn9BS0fys9N6CDsbb9/gll4TSvuMy5nubD4080GVOpahOPjou12v6Eyd
0NwLZjJH6JmMOur6DX9JfkERQ1KLhey6alLtInvaRqfFMpGanXYhbq7F24JEiIHcjyzRcC4pOm5f
1T3AeBNLRpGGjwUwIzmZgM+LcVyONQvEiaHnBt3LW9d03lqVOQh7x/tdSaP+oY/Jb4IQyOqraziq
LUkJqhL9q228F7ga11NgvfsTCU1dIczHIee6wVTQ2t3fKrUrfwDqXAd84BiTOGMTlaiHTfOVO7xG
RdyZL8pJsMULb/YfGdAH8kbbRgb9dh5MqDnsFuKJHe5mPjJ2WVCe8kcZhvOw1QqPLUGrexljNPBV
eHWaXjs6E6fe2BnromM9XRr2s297w0YnQWsN3O2l73eh5SWvVn2cbJyMRWhQsKju5BYTIYhKg9+b
An9S9B77+wHsFzVk3MllZJdrW3TVFQeMWoZ2j3sOvOe1cE45uOZLBbXAxTl6aNtpYQVyuhHNgcJ0
KModjtT8rXKHZzQ72Bdoe0dc8vfvxsZAY/aDr1b38n3ZqUcDeB3s148Mz9tTAH9kJ9OSdpn15arQ
tJG2IoGSOR8KvsWyztEBowdJtxCFlvfFBYEbDDWRFjyYvm0d0YH76yEiQImYuvqE1JqGzLB2eaTq
Q+zD5eyMWDL5F9Wl0izMQsZMADRdxBe+dlNk5CzsFMNQoMgPK/sfHhisTU9ttg7HlvgOM3pJJ2Tp
wqjVOndCxISBdPYt7JJcN8S2djQWGEY0qn1vsdlMe0yiesWTDxAOk1IWWKuwDspVb804atvwDnpv
Hu24HcGJojppGhVw2ZDJFTXG0gDPYjJy1rIN1SYKrAwteW5k76A/cKlN3i/orztVTNOBTfLVdI16
X7RcVjMAXKtMjNs6sMpHXbQWatDQf6Ssv/Caw7dXSTyIYWld4xop2RRgxtM0rQcqHwVYxCJ9S36n
iU3Ktt57NjKEaUuSZtJLWLsYu8oQHxcWV/1AtmIHQTcju9tglWoRK7pIlANkveJGM2CPA9qjUP+I
zqEzlPkqp6R4YqTDJNbODx2CiciqglXI3fQ9ql6iKRX7STWogASQpgS02nNiGgvUgdr3sG+Kpa9M
grba4cOSGjCpyt8Q66itI41MBF2RomqV/qWXkOWtHPy3xeqHO2L5UyAv3fZBdqy5VG0cbgjbesIV
luZzYdD0wBBruJGVsKz1pBy18mkRkC568kB2/Zu08JAYuiQYKzC/D15Laqzb5VtjMrqb17j91XBx
ObSqu5XCTA/u2F9KI7Z2rRgCZMpY+tAzG6CK1dgekvmAbIfgZaqD3m9JCPRCdqhphLTSnvoDYBHA
AxJxC50kzamKfdKdmCneK2UynIFmhVDQAq9vn3phfYhQC+lxSIhpDAaxRSmbJacmLqhKUeNaBtA2
tugPSOgJGILDfmu4lF9YwwEtLNdsjNJ3Ui2QUJjEYIXqlQUqsZdx6zw0AP0R3nCGFuMtL3taQMCG
W7vSUTe1wWevJvFhtmQycX21r1oUz2UOXiRVe68AzhGEe2b9PnZdSvSIaticOF+5V4Iv18Y9CZHF
SbP9s5e6xnZC+XaCSdVhy5tcFNauvkg1iOw1rxP63MJ5FpUL0jOoUyIgkAwkngVP2rExgwW+c57F
P1z0k7OR16ypanFFTyyuA9kgIEa/F9E2caYWBqMKvVM6H7DtgJgpmnVbmMTnhOTYNk2Db8QLkYx5
v9Bn+U9+HJ4mqDfv6WC1DDKcZjXiq3mOYVdEo3a1NVs+x6WtdrknZtGEeVBJ/52weefZLZLpacD0
jI3XeWZmHV31zuVGZDjcmgzgDibyKMRK5uvA1Dkj3bZItGe/Y4GXxjGrYm49L0bA9dHS9YxLrgzP
VuXvLL+x1oy5/UVdWBkQBmYKuNXnGBP3F8DlAlmLY+5dK/tJD9t/RKP1uyjHk1dZ9Xtg9Yeml+NP
14jf2OcVr7bUk1Vqh8ne5aZ7mjJOS8joK+7vS9yj+hOX2R+hsLRnEdX9qY2Ll/sjLzbk1Uw3Tglw
3fX7r8xqvhLpe+sQ7+EiqALuEKLBUOJQl7ioeXZO6W4Dbi/ompDCBelPoPKJkRYXsupCpG9YJhzW
AEdrPtj4PJaBo6OC6tE8RwYGEcQy4YbwKpw0URcdx+Idu09+4kZI4pQfHxkQ6KiLmaAVJGNwzSYt
R+RhD5G8Urjj0ZSAAJ2+V2b0WPTiJQmL4AsFyIrGvP/wvG4AQ6ppawDI9AJlt6+lcA5+ZnJmIjZZ
yJh+R3qjdi5o1LNEtqcYu0KIrWND+snAHMo+eWsfo9aP0B+2k9CQAQTFbw0rye/ZvpggN81cb7gG
HYI8oRfu967Kt1VGdmhOLoEsvG5LRYMA2Q13ZSWcfcVgLAJqeZ10HUMpsDSwkyWKuPlA4qYBn21A
pFZnU3Qpw2iZEuvKEuijcMiq1WXWbmSEpUOXgbYiJwrVv+huLF3ndYj3WvaN2meTofbJfOgH2CdF
nbTLwc/rY8ief0Cpin6VHZoe1CO3vsjed161gthEHGYNE7Opx52nucPbyIh7V9tk5rkV6TkpemVk
FMaFAWiz9BLOtKimEGZa3e5tyum9mt8y80rbDqgjSvLXF6QDElSjvqa0KC5ONhaX+1uDIVhhYzPY
ThZPClU4N3RS62QeJjvDt8YnyY0JVX1m3AzLx75h8f4+qn+20MqcvnU/VTlTT+Ku/Yh9UgfyqUzf
gho0Uc3l+tlqEVsz4P2ps6hY60UVvbTYkuivy+AgIcK+qAqSJ41kgN+NuiAuW3uBrbJet5ArRsbt
b6qLNzUsyV/4q2+qYoQkzcG4IDsZa8v70gZqgEKV/F2OT01l+GrVpm8q9d1FmRA8lPpaekJmkJ4A
32LPH+H/eZTbSy5gcU1oaN9MZ7KPe0ZF42ZIJdBq5OEst7mtoillp4bK1DQd+4n/uVrFedzTM3Hb
aqrOPI7z5qoOY2OLlZ8VVlq8FbCJOYlnDkim8rfMDtulb4nnoOLXoaaIb7Elolvl+OCBFJ58ZbSb
OrXeTMMrcMgb9mEwOZUVAWSVzH9DbxjehgbPH1xlhkzE0CHFZQpZ+LJ47k37yayzghTRWC3vbmyf
PckJNT9etGry1unEbqtoQZJ4vbhZc6ZPX/rFYRhSZhIOXbVNEv2UJTrTZQa+Ng7UvBsMQuBL7yAq
Us7INmOBGJNUhfmsPsu4ZPjYZNFHXxILXsFV2ApPiIPX4mzV6CCKhoW1a6Mu51XJFDsUJcNdqwn3
cHfK5G10/K96GiRTOUXaFXDHC3Fpclm2GbQd730sRXn1iqVWhRbXMogp9/dU+Nqw4cIO8CnUotcQ
lseGlWG0znO93LeufBJmnp90eK+7xhm3aS3Zt60FRdZTG7PRHhpNRyEmk5XfTOoxr6yNQ4P/whBP
7Wxy1B6Z93loHDxtY3ZBtzOVIuhKh8bTaI46GIwMDlQH6jAQAbxyTbrWf72Pk+YthjV/00Yo1hXD
JUgOw5EUIyTUwKzpHu1gjZTe3Bte8gKfwjneD5nymdUbmNiJLHCOA5534oDt8eH+UdyADsRCUaw1
kpweYFUAbraa7Kqg7l6HcoKCMdt5glz+LJly7P91UPPDuPXXrGCNk8pGkny56zWC2WTn/izZIZ9r
LEhnN83SQ20kDFFdfxURQr7XNIMi2bqhouYZADAwdaF+mJL+z2ak75Pi0OXmF6/k8qJ0iR5bN8Mf
OlnDhJzshiRMv8B74CyUwWPva3IL6CRNKFyhP5C640+LTun1C8YM1IAs7PDwiejDypmKkLTzCkES
RkSETAQDsNwVWqTWkYljr5iNFWGQ58dQotbxcIC9398KC7nVNUMA14AzYhfptMqagWTsmWUvysA+
4Kz/FebJpgnJDPPlh9bGJKZIA82H5+groQZEmfNiLyJ2pXPTiZs8WmSzvpJmnh8gLL4juZxWjACt
pSPYdORhBxdCtOe0UPoBIP7y/mhItPZ8f4tVZ7vPM7W/P6rnT6VRXaAcd5femM2rLpMfUfgs2PEl
NsxpcGlwAw6tasY35KW2cIrCnUNq1nqcQihQY7SpuzxetPz9HxoYyIeSZeA5hOO76FlwL1XZYT5l
ULtP0oL0hFqwrZsAZ8uBsX8/8lpv7toc3X4d8xxvfp+hr+4riEf4tR+8JiAGbUisI/ypJzkZ2iaK
pXuw+reQs3zPOBBRTYJHmTgtgd9qkA86YTOHvFQd6aIcuCpPC8OMi0c8KKCaKc64NKPvIzD20TWg
BigP3XJQoZWlrDmFTpY+R3nNVjdKYYfY8ZFxHj2akZxzf2wYLxTvrQPwVXcR0leBkLDt8rM2+Qug
ECSZ8ksvTcb757Dt/XnSfYDglbE+FvbSUohwc62+URMll7FicRkhuF7cH2Y+WZQlQVGLYd65DTZJ
DXGopQtIDSlix9zeY4p+yBg3PTJ/WY5ZmhzBdfD34ELNSXuAFk/ySY2ItY6Etrx3dX82eL1VyFXV
IctEkQXWuplfbdDxyd7IIrxudrFEMWceUVZcFPivnYBk/FRLgq38ZBMGcXkeJaYhFACSirzxnyT3
e7pNelWug09ROYTrnuTVhbS9r6kuwnPale7S0gsaaqPq3/Put961JCKh6t0FgAwAVWs/PIMSOJgP
HQR5/nlzIlXVHUbIogd+dZbfZRWgqMX6yNpKCc3ZdcI0l27O1p8Njvfo5KaDqdhpDvdDFrXicVRl
tbJK4VyyMd0IPXKeU5xjqKaKz87t812jl+vBNgqWJMwXQ0DE77zsqSpRfx2zCVCtBO0uMh9QcdbB
zay1di9L4upT6xfKIUnsmm1jiCoM/tnlz6jQzcvca1OWeQcorukKbzqe/JwV6DQ+C1P0Z83+MD3f
3ket+ZpNlQUAv1FrAOqQJgqiP3qcLo8YitKDUbVQ+l3dOnZGoU7jnKZLXPyIHh97x+TQNaO+Dc69
35tUSnjZ7w+jtPExfBeoXwrG0JMzbHWdCSKLSO+RiSzgc9RQNpXFSz8M3VJq1ly5pd2NPj95MAZ4
Mjg08SjTMVluxDDd8ZiCT5Plrykc2HL1FoTYWryO1riFLDeQAQpwOg9SY5towy/RcUoxGrfWgt3B
yUU1T5XtXotWDbC0LdTZRFmSF3Ico8bcjto8IGf2uy3BV6HuRQfA5mta+bMMwfasOQQWE3OcG+9V
7m/yoi4wKhERHRPpt4U4rt28pCXbGZJOHsvdVOgJCxcOXaC//NnZa1EKNrBxoYeNTLZkmAyvtvun
w0IcS9zARNDL5OQFxBnE9Yc7X42hGyKynx+OtvyAXDxcS65G5yR22fcOI9JhzsDHwO3dSzBiWQZw
5fX6HvRqcRunZuR/cGbdS05HgXsXcJY8VnqJlpHkG/Y0PGSUzvkUpF9D2RUnO8/25D35j0KSJYFB
PNiDnCm2+MHAV/EoM7ZRZll7ZNVvjmaUa18vUbkQwhASN8pGGhGZVN13w6zcQ5s34a2C7tfa8sqV
trqGUwCMxYPNjOzMOqP9ouNUIVMKD7JPa5mUnESbEGhmLPSUrbtv+JjWEJtHCp95w0BTwwBGXGNL
JmXY32Y0IrbbK4HdOZIAzTEPve6H4OEK+QOf5IVsAuh6zHjXWZ9Bw6gVhgZ2VQDm0njv5E2HCAVj
iUch0nSWd+jN0n5Q8buQBC2L1BU3KGjmpUy0RUUMF6T3Hin76JknGGj+TkC4eyhdlCVZwta/Lhkj
I73h/3k0wizZjHb9jgdPsnebtO2IrHox99lyjI1rj3JUDc7V6bPmRuenbyqh2wTehfKNgYRuoO7s
UOCQucM5aJtMPKHG/iReijtBB+rKCfLw3WC5+mD0Y3l2Os6syrfFg2Vr5ppA4M9WMEk34fM+WMqP
brQ+2sG1nWdlAWLIazmyf7Dzi8S+d5HkzYfSto9YPRr6XpLum9Tfa6GGvR27B8DEtm/WLHMEydN2
/SbN9t2Q6PSQ4Bprg1i+h9QwLUajDvKv1GM+kj4zysH2UKjp1QrRHnoGATHoX1w8Aj5aMWbhGmmn
607P1UqOGPaaIVWPUkzJmUjifO1b5k0zzRV2wQnZevIWmoG9NsfgNA3jrlV9ugP9OA89Cya2YJcX
gYA2bjI7PhRT+9vXIHv2fam20rC+DJpZnp3UO1UpXuF5+O1T+S2Glpci06d4fT+wl1PrwEFjpbkN
Q81mWxhj/4R4p0JdkX4nLoyfHx+7coJR/89DpolwLZFdH8wiH44MAM620kg+K7z+mLY4DsaizQlH
b/JrmyA+MjtDbSM7Ka739wHAZbbI1X8jaJSlV34yRUEnbrDTTS3jvZbhuFciejU8C4UDYbHn+0Gp
mNw/n46QrMP+7HcMQ50pQFTcm+Np1OPxlPTMSBoL3mvSjCeGd0vPxHoZR9ktd51wR4U9ojXnYZE2
GVV78FTV+CVqblQY8+rxiMvv0bQQltoT6VzkI5MPeV9dG2VdPZW6++r5TQYRjgJ9DJtbN4J+ISUC
yXAS1QfHS+eAsJAhfjFy6tVslO3hJ5ushZPa4+8Aph0qTHZO5Io8DkYZE8UKQ8rUpu4pDOuOtSnG
ijFkcSaxSxxZQ7mkEyVzdkIGuMQCXVH2lyENq0XcVd1bIeov1LrZR+R3yNBUhafOaNbMu66tmbbb
ZCiSUwU7rlb4PsHOdAdP+Khas3DAFe7KTQY/7SHGt3PVmqHeJWABlnY8lR9tRMY6es8fqVSS2GyW
hy7Om2UUJ/7GTAOIH/MNzTK5rmqTPATFey6m+HwvsXAgYKFvdRj3kMsXqQMTRGpcPbTEEPvaATee
ISbezjWZqbgdQYsC2Cs898VjMY38M9inqAH2KTdCVs7syzQXOy7YegTD6bQjVx7evO8TOIy1b3d/
n4zcakEvsKlCj2Kk9+rnYkw/DZTIXyr23qOusJ5bi71/Ynf7KY/HyxiZw8WiwLek+K6s3l7YpG7u
mQfJJ8JOfjcGHpZi6sTaDLL6bIohOWqyfvPMll+rDp1biwxtg7PHwf6bAP9r9DdcZYcybN2f8xvk
2HQnlDfTg8saYQ/aNF24bo4GXo3Zou/G+oholLlaziUTDay3K4o5BnAAeda25lWSQBNGLTIGN+pu
JKzLx9GxrM39odmPZGECG5uXXn1cJP3D/c26QOgGHr7fMnsPdlM1RMz6p3gJQWN4jaOf5hjDv0yN
mASfoDtMAw1/Mh0V3q1DQdgnqfZ1c4zngyoTaieLyU/iG82R/QFBWkNFsI0+ZIdJYIHuh6AFp4F2
z2X4tO0NqBhZ9XJfbYkkG08kUJL719bmWa8tZzNYbnuikCSNDZw1uEVMhhW/MnVai6a901edvrFV
pR27vv2JC7Z/DBP1VfOi0YWXPJXQ459QHYdbFRL3cX/f/YDztFioVv1IrbJ+GPvox2hD0U1H5RzI
v6BLnbK1nZL+1Pl9vsiG+MeENYbqYqT5JVxaaN5boX6q2oyXjjWlryBkidJJN52uNQ+RrdWXCsHl
BndItGRjX7LFSCgF7ehgDei4RiAiFjqQmpC2uI+dl8ToIJimuf/cmYCAjSm8lHXoEXxNpv19jdeU
warlu0CgCsQlK+lN+klWx3nDs7fMgV2TiL+bziSupiHcU8G6CpucOnFZ+Mx6uIYPYP5IUQmd8BGv
NfSAINGwciVfXYTS2LDn5IFhTwTc1xTW6AnTaBs7+kR4Mnn2xxYMdRcUlKYhb4W+9+olYIp0iK1o
hZD+ANetHz4rgkD59Y1iRUiseUVzHizqiftVH0tgb1lUjMu6oVoa5+hK2zjjnGYUU5PEpUehC1BJ
XBhbDs+x5cMx0HhGS2dlWmz6gRoL+V2rs/IYprwyWFB8mHzkrM8Hu/fTR2GnDI7mh5rRPmed16/B
itWsuNkXO2RIbkXUUncifbi6mb9VqURM7jaQm/Hn7pk4kw0BiIvpx6zoj/WjOx/ub+n4IbkwtqyX
Eehx9a5u+nwgteJFgPLDapJ9Gmyht3Wt3YZZMNd6aoutsN/eV1L1WKJ/ZJaoV3q8yqug3Pd6m5z6
YiCggyyivLHJzsjq/IaTBjB4OA7rBB8a2Wl4IuL5MA8P90kDGBOWHfigCD3wQBZHEQf5OQY4dI4D
+8bmxj4NLQspSFGAKwZhvI5NuTPFhqAaKUv7VVB0ffvjP/7+1//4Gv4z/EU0dzYSGF///a88/mJU
BJ4nav7Hw78f46+qrMvfzf3L/vlp//5Ff1/c/u/zH7/L6o/jbfX8Pz9z/nn//EK+/z9+/uKz+fy3
B0umhc14bX9V49Ovus2a+w/hN50/8//3g3/8un+X51H++tu3L8h3zfzdQiaV3/7xoe3Pv31jPuyb
wrw/HX8+G/PP+McnnD5zvvY5JpTtjzMqx6L5zP7XL/71WTd/+6Yb7l9MS9eZRtieh4bK+PZH/+vP
j1h/EYbvGYhiTcMwHOfbH0VZNdHfvmneX0wDU4DPrNEVtnA9/dsfdYlLmY/5f7F8gYycVtW0zNnV
/e3/PRX/9k/71z/xDyqrSwmup55/H+vbH/LPf+78t3qO7xJoaFg29bfjeQwA+fjX51NchPOn/5/B
DQqrkRgAKM36HeA0e50gSCzcWMPf3wCmHbs3Zi0hwBoEL0EOk6cciLmfYe+WukzJJ+zJRzkm8bmP
NH/R9xKUSN0zkXcKMCPssqt2Z2ZMtEFHuWmS7zXPDx9JkSKK2YVt3od7gD03bikA9+Jah0bRjHvR
P02ddM5jkPzoo3cVV2TnYpQRdpbvAPSmD0AdegYkSOK1stg5LUrDONrKkkSFOEALTp4E89DZXVgV
5ks3bRTy+rVpINbRCXHJJgfflFPu6rAKHglR9xZeAfOkG6Zjrem3ZmpJOSRZSWvxIbcRcbW2pbKF
RnK0inqNSlCAB2zjaqON3kVAqV0Snhg8WEn82sbTb116iLeYOAASx3YdDgXCjAqJIM8MNrpM4GB7
k1n6SR9A6BMegCa7pFUerdrZkOdYI9udRv/kOqWWxbpJv2SBjl4YwdUerXMYiPIoiO1a8XQ9MhVB
MNhFB1WLjLhMGJcGDPrAAEBmmc6mFmQnDLgWF8onDDuK0CSXqS620oMX32pgC/E6Ha2se9GqUq0G
XWCKst9UHeRQ5mbIKyrfpPv4b6+bf5yQ//0EdP+3E5DXm2M4s8MYMJn49xOw1IN0YoWISjpI5r0N
KamyY1MYT1W9KrNu2o2YezUhoS6Z2bC3PfXKEttam7H/MuGj2RhVzPY5pvKr4FHUVmMThxmGT24X
fulN/1y03P7GsBKLcggWUTfZC88T164tfqPKIl8kIWQVZSuNB0lyTRjDhi2r6E2janUWU4JNcNSb
cWswOsi49NPxL31dE7cxazZjlm853cWV2dhL1gtjTQIVXOkEx4s/5WCzExDcZpvgufbM96gAkI23
HRVGlCw9owwW7sR2ISd8cM0CHM4et+1NgdBhzbk5bcYobBZ9gXXG1b7bnKjM5zn/EuDefpuBSjDw
FLOHffC1ptjAZzySsjdtC4e/2YHk3mquvVewox4bKaNlxX4+cdUiZ/+8AKhFpT9qZACW3CsS70Ef
de1iwplqtdZ4TAg5A4nRQiyyakC1gqIO8BFFYc8k2RKss0eT1muIv9gTUVwDMjvTox/qukLpAw8O
YNRAhIOmp/Az7NcqFk+TGIzr5LdrncvIJk+IlEIB0a5GGzqnORDkPFm6eCYZkKA2HRSVi6Vxm/ZY
jGY/ZR0Y4AstxnkdhgndqUmaUOPFzLpq21o27ceACS/yj1nNAjbJpn0IYOAh1UN03IEUh2g+oKL7
VRpTuqr77ijbuj643SieWie+JVVKMiJlGW4Tl51NGbFVgX4k8RYZ/YwwiFks298DMz7qFSUUkTU3
UXH2pLIwqKq1jef3LpbyvNyiOMKVQ/9N5GZCvdpWC3588CNlNDC0ffZu4HPwJy3GG6FrV4paDb3C
oSJgfFE78xlLSUi0UZ4fMM4ZC22E1NX40GI6Jfpllhw8vnoXOpx7ztAcwIQPWPr4mklzVvB3kmdT
Oqg7nNKjJ7oFCYt9hqj2Wh9G+dDWQ3kVlRYsGuGenbDylh2ZaCtSiEZErm38EA4OfpokHQEkq8ee
AAFcwF6wKnTvoGmdee4ntZxIsllmRfAyNiaD5RClgK1Ap4aG3q08smPRETSYd7V82tJCwKskp29K
nYH5PCOrMLY6LGmquOUdBNGkCGL8rWDZKMkHmCkky+lunr9SOq+Urbwlin9JPzHHoY9C2+l4xFyT
VXhRU9CNNSEtDvLxhzpV1sNglmxpXRYZKQMaX2Jpy1r7EIawqyUdIeuXGCIKjWvDL7+xcXytx8pn
HGZbuwoaHyNDoyEpruQe4biEyUwJpXmFQgk5JWKXwEOEFZCxlmlK4joKxTpkqD14VGZt4H1vsnvq
w4BBmNDlB2sI7K3l5EgTlb7P5gPouFXZG84RjgVgmco7K0Qve8JqXgq36A52QJYKCERWsFG5j50i
2Qu10DAyFXZdXZnpYKIn/Zqn+0ulyNASKdxNl8JrwyoUYE6YMxxbOAsU3xkUTlh0sVkjnoce0gVp
uPEsLqOdbZO1OsHWlXWSrqO82Xh6erCKZFw30fC7NcaTNQ39Qg+tFbhZfVFJfK4we/uzrauln893
NBB4W3am/pIVAqQkg5yoRJe7LPWHRwRaahn7nrfkGeZl7Lef0u+OKTlRSxAE08oTGqoS+8kFX4Bd
+82GtHUMoixfWW34o47pKqO6OOhFh9CzNz9Hxpgn88lrC6SGmmIVG/JCruut7DpEGraZbovkWSZv
CvHBQ+A39tWdNCw/4xxTjR3nIXVT1uFi3Huxu3JmtSXhy9+hitRb5CbXhgn/3mO0hkCiqab6jREw
AU0Ju3K9zpYdbFQVReNLZnhceazxKLoItJ9GHdJ61bPPpm5XsLOCiAvRPrZMdkNVcgxc83tgmecu
oZFzMcZRsbPHXdN/iUcNZSIasWI7GEa3TELgrFFKg6CSmbQYcYuYjIEzgw2JjngKMb9dr80IkTyy
tWMH9bXlBejZYMX1YKr2UQfDRFTdumuMDFYUDEhK4FtqhFiDQxchdqovuWIHu0R8NPkQPiK6UYsg
zvP9f7F3ZklyI+kRPhHagEAgALxmItfKzNpZywusFhL7vuM2Oosupg/sHonkjDiaR8n00tZmRbJy
ARAR/rt/XiWsBVGhNdvKxDJJSnwDFirmoDHR8dwp36sLAshyNj47UVEuAafO65q5Q7WESYXNil6I
msqL2nQQj5vnsmhPSTEeJub0674gQMyFSc1LverMIDlrg303RECju5CajSmGAQDD7bpLt8yMx1Vp
2esyMdqt1nQ73JTFijMU1ZzsfrGoZNQ7Rm1OgyMWeghxXJ9EhLuiFmu+uxc2MOFqYDvL6xg82Ysn
FsSZgteBwaTNVlLLsogMmBA84l6ctCMipMwHvBiAqO3syBQH1UfWzwxlIk7vFU0KSIcLn9IPacHK
B/K3M75yBP/hPIJeiHjQYd/THun/nWFQ0bXgtMW1HxfpucxRPOM8lJS2Ghv4Bgkn9EveDHszF4On
iF+IqoDzqVUH20cKEjQkH90+kJ5hkieOsUldzTEs3Npgn5fQ4wJ4s1F7De79juxBQr9QG111kqEl
Et/IYgHIMMDuy1620zBhjN1OH52lcoTod2FM/m6s6FqqsFqsCZho9FwwwjUNQ9+jEl8RyYOEWyu2
mWYY4AUbhzsalwsxsMOtzcvA02CFPC3PtKhRsr48klRf1B4BO1RSzOlC3LhgcDZWS1sJMOr70oLJ
TNl3zm7TK0L2PcAoVRheV9l0Lifx6ENG0Ttq/EwgZslt2lGHbqh7faLXuEH1bRiWJ62VkMmp8dFq
ap87fOdKH7pdWUcYNoGTNV17VbnBdCT67NFQQHl3n/ZbFqCTgtrLeVtdUXJ9HhmQXlsuM23DuNFz
7ZNh+Rk4dbUxlTqSs+s4F/opvQeGAALuykPSB1hL2OnNgbjPfRgWjfK5fYx2L6iLhnvqf+Y5Pues
a0H7MBpEbG8V3ZZBeKtFbxhsAW6H9qcxiH0bkkxN5lNp6dW6aJrndigOeoZ43DmsoDD8vSAgKhFi
CICVSJg0osVZCcL0Wf7QJvl4DPDaHQXTsWTUTJ4DMy2gSeSeJHjAoBCHGtvwqp+bk5tnwXbMyrtw
no5Zs8nMdUcVgWDXHM4ALX2kPLSrnIw6Yyizb3Z5CbehzwJGSiH8JmB1XhM/2oKOKzRTBkdBsOVU
dpFGtVvw7Ax+0qnEUpGnPUnOJr5KmSmmwekQ59VxbN17Dp2PdHDEa6JLFSjHMWTWPlN6WPvU2GhG
t84nniG20e58QEBBHFB3HMsaXwPy3jiIaCdL92hSfcRnQiib3QEs5FVUNITGYO+A4Kf4oQVAk6rw
M2MKtgVZy6Ms0z6ICp643qKKCkqDsEJeC1CLUJal7vW1H22SMnvTIpNaKhfdvmM6Qeh+M1j2K80I
60xUcq0G7WMYKTYpkm+TbzWeqc9f9di8gvoDTBW0bZhb7GF7hqyE6hN+4OAvJYvcrX9/ihLLKf2n
UzwuCYQC07BdTlCG/sshatatOq2tCgJNDA/Y2duV5UXjDBa0TE91DTGhh+4yVTzKoLuQezQDqW/H
Pm3JeLAJIF88GU7iZRPR7npNpHyMmFwXI8ejALe696+LR7uvxSKmNL8qQj8KQv/rtCMTeQUV7b+R
jVZd++//9pPWtPz5P5UiV/xhCC4mx1RSWEg+CFB/KkWO84dtuTY/IuOH/2/5yV9KkViUItPGVme5
9IRIix/9JRQJ9YetY0NibmpDD7MRtP72uv4nOpFhOj9dYmhEur3IWFxcdIc7rlx+/oNQVMgEwDOI
mX1kth+4C65J711KDm6daPOjr9nwIiKi7NbnSOwdGUVeFE4lZOiBXr2iaLBNzl7ljBrNEgBr9flF
muFtn/Xk7GTJMB8zoNercT6NZV3vUmU9ga7BrNaX0xW+KlKaACGgyn0FYki1ba/D/qaR8hQYt5j7
aW7LgxJXDYyi1PALL2o4A7SmfLRcPd5i6QNLl2G5jVPrDOoLwy6BVuxV5kaG8gkDI8XkH6NChIjK
uN0UAZGCjk6rqs4ZzNfR2a2Ku0yL5jXbu9KLa/pTzR7AsKkFG1YwjVa26RnDnwGvumoxWLb7Dkn9
nA82IR0H526e0mwMHi9nYrXmKHctgSDVYoJCCaeUYA6+k1Srv+SsHYyROD/24EB7kTJHm/BtJ7bG
eerdjfL8Sxe0FATj30pYobxi6CgA88fiYLNuR7a1zQj2b7O2fLGjObgSjf3qZDHWryDbyJpgWgJ8
if4QX6x06r6uxXzn3vBVTdtex5isUmdrQPYkHk7cxMn7d0pWchIXxbgepukjk+krETxn3zpzfhrG
ZjMvBazWVHX09vaUgBlQRa1Oqm034XYdXkH+hUdWZya0fc8KYRUyhjvgGMd2+U9f6jlHsPAzj5sv
YRuaW8st5qNtFexla6SJ0E9puFLhS4yhZcqgY2pNRrRhSas2QUcVcAuYiGyS2hYbojkAigZ8BFf8
54XxdrybcG6f2EkP6yHFiG5iUDejiY83xCk01BITJ+130CQ/lJZFB+WALMngbnPXpavUnPu9UY2c
DTVshJbpPqBVMOOkP8eN3nBrTBuOExMZ7j2Vmv2Gf4MTDg3VTfIGMIgglkE4V5KnoaSkGDIuIE2f
NxafWXlbkwI80Gf0DDNsIxQqgZWBlHfCGISSxiIGCya6uXd6zG0JJBuGIfqTjMZnfJItlT8CoY9p
0iY28WT4zVs11g3e6Duf3IkH/cClO77LQOsTHEhRfwpXJ45gaxDQKn/No+cVdRMuudUd5lJ+w1aI
L6AD4G6qR/yAq4mY391gOave3scuEk1c9OKYn1y/cvd+q+20vn2tIN7YdbvlrOKQTaF2yjFKJAl7
3sbQ3M+z68aruDNf66RKt3lPfaiZHkbcVBzF0N4iOHe1ry61lW3AJvL6KujEbrmPa/PDHwh51lob
827VPrSxreWgeXNKBZfQf05jEnV7tLvh3Rbaaxn7X5xxIK9SET6wscIN4oixQ18FleMpJ39pDa4W
M0SbSyv7PTRuFDDXVQllaKDvJhkhG2O+pnsOTXtV3khRjKuEF9bJTxWh31HKTZUCghqbeQ4TlHgx
LfroHZGvA4M7JRlzOtyCPakqRPSOcS4XMhCWfBPiA8foeiZmsRg0ZTSfsR2WSFj5TZhRr8f0jiBH
S7PIOEAPysC5uimIcGA1cMIBdYGjLjZp499UhAohqnbadq6OjgVIMuTjILAGTXMwFiNBqEC75GZ2
pqSh7emBMC3Ng16fXQCMXvMa5RcoM3AthvqsyWVsZgXVnqbUHTmMirOodAAazoBEg5YvrTi7WKCP
hbvmS4b3KQzS7SvDJCKutJt+GQRmPaH+UgG+Lkr9Lu1S0hSRDzlkdDfgvVyvGkYMYVpLd25VXBsy
fOtlzRllEhxdp54ZwJw+q5atikMF3oETHbdVoq8ZceKfBDC9xRpwdCGPLgnW2NOb/LMZCu1OBfSN
RX78NNjp90614bUHg+BURfeos6BBYr0e6jnw9J6/NlNFlw8OQStLP0Qyc3a0PRVOsVVt7XzJjYI+
KMYBEQ/1DTkrF+VjHWOf6WYC1qOsHgY1EStjbrwupi378PIU++NLE88O9CkN4wLlFEyJa8A6qB3e
VMuclmriUtWQG+yqhh1Qg5ucA+cug+gHxJw2b+YY4hns8I4oDFSrOnM4ZBQrkZD+bor2qzkCqkxn
5wFBr74KkPqu0BifODKUqyVsbZhl7pnE0XYZgViq9r7oholZW4xyIysIpGleFF5aC/i30DXWtMx2
RTpfQClDf7EpDE7bHhzi1B9V1tErARQ1Z9iCO4ElzWlPzo4mEHocDKs7GUZ7D7vsq8boCooubUKk
eXGfkxNsCi31GHuRONPLx7JysG3TV7NKurr3BinUEdp2sqLdhTarsv9i6QC4mqi56GnQb6KCDELa
9/N1OjLCzOrs1Q97CvGckNtS+p9FUzHtJHPggVWnxkZo/S4aG5jwHO0NWz0Xxri0ZrLbh0I/euKB
IQ+f7QP1iyAaU9jOjfQfINNNxKrXTmxH121OD72oKGFuVHYRcOBObhttfQYXm7EDdBqW3FaxiM7B
nAum+2XihazAXoO1fOUqse6HfJuMTXuLPzA+z1qxglBAR7nobzhCFRtFrHafmo8BAVCjfbLFyBKT
km6bmXTkdeGFA16dKqYjb6i5HIJPSr18z8lSGpZwgeG4jvVjBVc1YGufU43qZaPE1DgB4n+TsitP
w/J8YFdEcqZorjFkVYeRW2UT5nLfAH8zgiF/yUeU/JJk9arxcfKTV4X2IR3WvonEQRjALEcsZyNC
cLRxN3jIMozKDvUmWvhKJ0m5n4m3ZFGAuoGNkvRXXu2nGWgAdkYsIJpzKBkMXHyaZfAh2WczBUBD
3e8qkXVwSUzWbn1KDqbj3NKTnu7b2v3wO9VvJ5dk1zy29HB340ePmnjVVzlBxDJfSy0GMZR2vOBG
XTvk/NcKCw6bkAKDYnZIDBdXvU/xeI1pth0Y87dh81ykZBGqxniPaYE8ZFa3S9zg2q0kxTvyJjfo
d0xqEtgFalgnsg2pyWCVFMAkCgBRTN6nhvUXlq+X+jrMPwur+2AuuOqZeJksum/ZMGGkGH1k4SF9
6RhCnbOlZqNvzH2dwzjDvb9BALx1k+orVYz1fiqNmKkIBy4pLoBG46sk1q+sBbI3Jf6lIwxQ+s4D
7jZtXUhUzyB1341Wyz1twVAVkrwvGVygQfFwH7RlcYF2ZV9CcFuJIdYmIyWc5t240Y29BHNJaiv6
CsCWYiVQjcJl1+FSNsgpXQP3adcvIxOFVGkuHTy1bl5ipzQvk/8pGY1c+RWTwKRGiyJiYte08Kgg
ueks7SWjr3XT+sI9kcA+1AGwaxQ19MActWEzyACWGehcgDB2tfKd6I1OLu4JW+1pOzObO6l6f1Pj
0TwOEdjVlAmAMQ8+nHk8MZCuOKsiDGDpYcWKzW27sCMdR3woQuOMaT6ZxfDv9sFnqI2QgyQvtO2L
BfypadsoJ3IUEziJ2g0rjgKNML4VjlTksoyTGYjjqMc+pZ+EQgFB0k1TuKixZSiYfqMUA7OutqGD
pQlwHSUcg9yNuuYfponWnchWH0URF5ugjE5yppuvozKZ61EADQTKhX9qWqPb8xLUUoE4tgfKuS2C
5+KeDhAGjCRjkFLS+2lU1bmPygNOoNu6FYD6bHnCynd0S7PC1E88l2QZA9+PyAwhsk5ZeUCceG9K
ZoqUZz51vu5zKjCvZ9PCbSNQgKPyQS/d9NzX8Pb7iN5PVxxhElA7lwWP1M/5aHSSQTve/bBn0oJV
afJi03rFEUcOxPTNtcZJjKXYjSFjj19JelFe0nIAoASFcgaI5XPgnsvQKDYYOr9IHaJQnV2rrMfj
JGhIa4qX2K1RV+he2Yww3zhMUdyVsiHpkHi539yaxzvuK1ovpWsNNzEmnkrPOEdFdbpHNn+BqoDb
E5PTruidFFoybE1kdnqMcK2VJcQuhn+w0lz8pa37SK3yVuh47QRKJ0UN8arzsy/ogM3OJ5xB5AC9
mSE0qCHcPTqK2mlOj42RRjtwN0jQlGaT582IEFqMZDNjugKvcXQVUGqh0eIzGPDsucIGGEH6gYYY
RPB8zM5GLiuvalR3KgE0qQF7g6JlwQodxXgXPn9Pebf2IRUSOY4tjmmUbETdgzP7+Z6nXOkFg3br
D6n5VTXPeb4jH9LgKxYk9wjMMlUY930TpbdGiDKPt/46jKxPjAAmC62+KQXovMlkru2OfB6RRIty
Jig7akZq1HqucKNrs6tEv2+bHu1YLVtlIPl4AbRkHVTyPIdZvAkS45IFGhH7uMm2oO3jbVOTlc+c
gOmmiQsh0rNvItecTeiEF6XhXM0Jbc9qbiBi5YCfqQkm0wt8NzeTHgsDG/aI7o0Kwg6nHlJIVfSY
WPl1VjV37DuzLQSxHeP+ZWGlMldo7TcAp62HLy3G0xvnZ93J9pQY8/htIpRPVuS+kO+LpwYud/De
xn63aTq0XkpLITyx9+qGnYg1Cm/G5moqB/uSaegRmUnYqKCNcI60TclEFUBTTO0EZQxUprbrDIaz
x6S+dYg9x5A55eKTsMvU2lbwC7yAHeRa0P+z1V0oJZycN7JoOcBh36abg3icSoJtqOG2lLO6zszk
SHkhyO1yslZ+wLS11rJpzw6QsJqwb9tkZD6SwfJQ+VscUqxB40tZZuqQBSmdpaI8O8eOc6BnWrhv
sjKrHpIgvm7otMjD0oakkcR8r0ybGZbN+vwcTXFxapdRLQT6NS0epqCndZSc3zlfFVwsyh1nrIpg
kOc4CraD68OsRP8jVbAdZTNuGKWfnukfUzNHab+aj7pVnRTp9Ks8/ZC0JQF5bA7NyN4yKyLm72W/
q0bNXXsDXC5OJ1QdU9FwxFhsehEjgHXpNvm2wtfmpWDTVJNWZJDoTa3z5trIrJfAzhJuvCIjzOZT
ySF4uQFNMStDDl8IryiC0gFblL49lJFmnDBWPsKCjVcBx0OYRQT5Q64Vjz4dOn3ouS3R0TyFHkbc
0D+Zox7tKNBd7JrTM59IifeWy1Bq4k4OZo+/ab4P6aLCoy6PRWnhCTItdmNTeFoC8ILijU2IwQ7f
KAyUMf+sK+r04LJrHiYgfP8ag2GVZSAseGZXyagfbZotSl3YDPY5QhnZSxnk7YUe1qnPn/UhD6+d
SGdAJModToGl6b3jhJdEp7E3QAo5qlwRbH9TNgiUigd4bjnmUhqtvHXoJE+yhJyX+3XpESeCJkqg
v9eNFxIYpP3zhynTju1cyM3QU33ozsWDdNhPjblJ6bMhb6LQaQ7LZu77sJ4xT0NNAEAF3RcUrXOs
RUpqvMmGnlCYQIARD8qENgc6wkzwH0ayUdVwws0AxbrPOEfpYc56V8Wr/9eIp8VzZ9q/1YjrLv8a
/WgpXP78X25Cw/rDtFzsWjpOKY6U1t80YsPATQhYk7pTJgCuuwwI/tKIrT90aUEC5QfSIB5hINz+
pRHzd3RTd1xXZ+u7/IP/mkaMY/GHIQS/11yeuiCKeRA4piMXq+EPCvFcanoojSE75PZbbKdbdJD3
zGaTbE3uQ8swdMWOS61ok1kLmyoyjGV65+rkq/znjFmJN8/lZXLj1x8+v39gMfuHL8t1XKGYbS4f
ws8vK0vDJPOZZh+0Jr9yzZw1PbuyXBg3Wlz+Odj4U8//B79r+Qb+7jMwdVeYUthUUsnl5z98BlXD
4S2EnnFodf8pBMsvRkEe1l+cj+R6Q3XLwdIbypEQJi1Cpe+PfCDpCZbPh4r1hqaBoF5b2rfeip8s
obBca6gF8JA+a+eb2+M9LJ2AQ7AwvwgTJ9jvPyvj50HS9+/Q5rPislBSJ2vzi8pvu1ox4T9Nl9PU
h+IEvhLt9J72maCN0av3QVEcHAtQcm1z+ozGcreMxX7/Iv7BF/bTa3B//gw1xQFxIgexACzrtZsI
JpHOLX3P1HFyYvz9L+Nm+vUL+/GX2b9Mzohbh2lSG+khDIf3sawYwWtvYX7oZvszxar/+99m6b+M
UbhJBJ3T2H1d0+Z+0X95cyV5miCkrG8f0L9L7hLEGdLPumpRaplT7EfL6r1yKrMNWVGQQ6JsDklH
Wae1eLJ60u0XDAsQQikyHKLxxoqjkOk2prHGYh/p6u4j8QlA20UyMbWYqRPiDjTNKEOF7Rnb88t6
MpFAe8ZbNuLNIwBJtKMmuKPsjqitA12a04mgU0bKWwCtF5Ue6bipDgMs2Q2tujsoaB/kDapLP+rJ
F6z71zmRWZypGFOp9Xad8gApabwQqHpZTl40J8vGlXuiXqeugTw/ZfMT+eDoUEDtXcucwnI7MKqr
wqCDOZ7HYx4S/qmwot0MWDGRVnMTixQpvZTIDIURCftObFTUzlLCZUMwCXp2987S0TBtVFC+0eeG
zSVpXnW/wNlUDXtlZJ/SESDp/PJ1DiXuN5AOSASr3A8G+MiHgpq8erJSxuX5ZzKU/Vaq+rUg2bPF
nAQyhJ7k1ZCZl5RY7ymJtBDG70saLk19ebPVexqOhGmA7QK+jLfkemRNXue4e5ms5/eyFNwxCpK6
hlorkxw/RPqi5/MB++W6jXCCUFKyS6cG9Cw6EJcJRHSrJtRKTri0Ik5QFN1sR7xdmYt0b/uCIYkk
p1I+0onZrXUjPI9An9appnU70DL1nV5SqWRWDHlaTH6qK7/YHUbhOaISgIM/+0rM2NgXsLPN7NO7
5o5Dy8pRjruerSU7UZ/yzvXBDiYv9djjBMUa4vgop9E3qg54GKnPsK4uabPXU8BDNlardthO+vAa
ZpS58XJAC+K2GH12zaPCMZ21d3PrcwTu4F0gmemrCoOmKZJtPYJZ4d3aO9sfNiVD6bhzyE9bA3+L
snTPjseNo6KnsOyndZsPrxRZq10xtc90pnV8Yu4n72laaRbMmrwqkdHFCEuAEuqBfB4qJVxkKpdi
TsMMyzyGcbcqDaWXye4BTsitU1NOLcf5U8Uo9YbARDvKeg9qsm6PXcMhtiiYA+k5o5DcwA6Tko5h
mnvyuQmWNa8KkPMA3mU8OsxMnMbZeoR/ijWRamMwFym4T1gLr1S8PPOQuzh2sAm0UkK0aYwVIXNo
kAszjxaIFWrsWxWkT7ExvFelXq7T8iEIaZkO5g3DD3YB7ZUOfqP2k3VSAltB0iywUGT+VT5Y12bo
wKy0nGaZ971nXZedUmp4wCAODyc90uVN6T99Dz5WwrhEZW8sLRjw5VvxBr3rSWZCWzngnlduxSh0
wiGlO8mryuXjXM8aSokLmYfFyWycI4Cg+ygYDM+UGkVBefBcEiS1w5pK2PrOTFDmugZbdI0bJDKC
GFsXKThMQZgNR0ic9tNIxzMx/9GDOCAPRkMCNTGBToaO/jzJT71ZvNPWC02J2hb62cbKG2MTF0ju
JhZjuh94LEX5Q2DkdxxXEeVdi44V8jd6DmECa0p9kJWAptCDaJpJAdN12beoIsQ22T1ZK4ugu2Zk
r1Y7n1WNlOV2xgumkYvEkLaaozI8OxozPovvlfY7MWNbmoNdbnRyi4Hloiu/w+4vwLsOQfXYbsh0
AsHpokuB8wdtd2k5T2L7gk0PrIHeUy/T64cWn93dHJf+xsU75JeCR8aglzchde2HJBg+ZmoWL5Bx
CpqueT4b/TfXDKg8CMQ2MiRZ5T64aej2AYkWuXvHCY81H8AxiLjhytigJ4nyeE8VOg1XtQZDPpm+
sdWI1mVgyk2cwLWeNFNilyUhUKfNac5g/HLt02I1VCFuLw2Pmpah+TOMtqok8gTPNA491S3ZT4ri
ctfZpBXsT3nAX655FiHgK9PJkJQm3/SKSDubcb5X2dkXcXWnx7F+TpP5TfnNvQOeDLgoPjNraULm
ATgHMxaz1t6k6ZUZZvJmbtVjwCPvQDxj7dbwMxrftS9IqIoJPn3v+BFN/9Yv0BhGx4lWqF6oBdXo
xSCO1yGjE2qFv+Ra4Ox0DdWDuLiNVyNk+Sk4bfYXF8nk2E3alZm4jYdUQlFEbt2KaLpTPcZxXDB0
QjznI0ezhKLvDcCIO5IR10gx6IOjeG8dG9kztgj59+29HhNiNNqDWxbPeVles2y5OzQQz+58RYPm
uGhHByM1rl30eM9sMvxMkl41s9uKMkpvdNToCoTTyvHL8mSkiK7NhAeUUs4leCo809b6DSMjZkS+
4a4RrYjlVOOzQ+DWolVv1WYlzZUNZKlVWJQcxu2FdNmU/Bvsc/r5JGXL7KdyKGSYnxsVx5jvUvid
LBiBDHViLoQ3e0QWp2Z1quynMvg2izDbWKP7lpVU5djztc8h86DXyZU/G1sZD19/v10yjWW//F/G
pmU/Koke21h1hal4oi0//2E/zUyJCRA1YdwJIUuPzsS/Mv27KDa2VCCJWws88KqF4W441Cu3Epr1
MhCKfHGBCXWNDyBbhxQ6nLsYhimOYwj+PCk5ryeXxUoulfHSqFDcVNK+97nShY/IKJypOeEgu7IZ
i6+kCFhtG6Z9gbkMRw3J+d50iy321a3vxAtEJsdwjxmWkjrqtbHWqXJjWExvfd++x8a2L0C8GdxM
SBUHUOG4PE0xUePaPNkNW5awqz7t4tmnJ4iRfEqpo6lHV4nqT5Otx0cbbMt2qLSHwLXWDnM7D5tC
uqYj6wmelocf9X0COroIJ6XH4+rGzI17MgR7X1kU2NQ7V3e+po1Ff0u+1G7VmwV+avVdszH7jHkD
s84huTNFfu0SJDoI3X1zRIozO6PfMMbJk4ZgYBLWMNkMNxqQLonCCsnn0NIwQm4co0I0ONjPLfua
LnZwytneDOpzu6zEYNHoCp73uR7F+27G06np42HZh1lDubOCfEf+aNxO48CC42iboUDVifHyazKq
GH/Jb2qo70KHBlIDTTYofIQvpjSB3pR79qswKnRt1VfS42o5Bykbsk4gjjnW2fSR5+h/glBXTOuh
kqSElKDgKF4IL3t6IrSsf11+TVLKK8zRq0zv9spml01Bc4lpxzXdD5YLelWs+LWpktehJTuME9rL
rhkYgbxYErKpz7bJ4B1Q4YLtJXj2R31vtdGlKoNnc9ZPfWPVK1DMZNaxwVjJ5xKLALF1dPA3arV6
yqPqQgYYn3eImybo7dvUJbYlskfS8DrDfmHN9arQ2XXU0rptiTS4E2VFdTa9DxShrhJF3ZUxEB+v
+ABMjU6VLOdpiMXyde6hLyXplZU6jwTV3mn2iLdGrr/DrrhgJHUYo9jpitt7DyRe21kaYwCd/HZX
9ddUxpUcBbA+bPKk+OBUah9UaEcr1r93kk2fQUih/Bgqvm3aoChAoI4GYAEgMPzZSy+fK7/GWHd4
a6wi1tStfQgOnjQ+Er68wDDqy1DUD9qMzVnvs9YbQ/dA+Okuh99NXInaxja7kUrVXh8QOIJ2eGv1
ODRynDa7SvUHlOL0UQue2AAIO1pCcDHj8mzYCPgmuEatdaGgqKaBsNbZEN2wNVV8y7zQIYgvQaNu
pgxtvhQD3YKND76RIDPdp2ffjS9jw7uKaExcp5b7rGv2HWo5Y7SQsVHCj2rKOrhum3ssEXfs3LtT
Oi5QDXsgYmwtgC7tFYYwRVjia15F38wmh7MTcDPBmnlJCL2DG+GOpEuA+ehB10uCyKDzFSBICtqY
/k0R+cHMbVdmGb3bmW+sZGnSCLQkCzuv4ViCS+thzuMIDyqHPyrDMTwcOT4zv+5LDjP5UZMl54YW
nmNdeTqR6J3qkw8oFzurcq3N9wf3v5QOvrz17dfq/5S9U4jfancPb2S+88/o7Uf57vvf+Uu/060/
lLkc/G0KCmHBIA786fF0l5gwgp5yTEO35Pef/M3jqf8hlWkgutiObVpoWP+p3/GvYfVdpD0dyyhV
DfJf8XhKzKI/rrVkgZHIXInDFIQXs6Vf9Du97EpcLlq7D8HiranNCLYzqbi1ryXFJZD9paV8dDTy
+JppIBRvpI4VGKYFquQrKns0gvpsOhKgGWPrbGadYWZk9eFh0BjA6FYT7fWuf2yjyDh1rQQVOdXj
qmbQM5c2QLCewU1FDuw1uR8Su6edKGOTzEBOP5J4cfY1NW44lsZzLMoCi3t8NEPRXM/pYlWv4/uk
bq1tlMhgHxnD8fc7EbHoMj9sRPhwTFO3TVy2BhlWZS860g8bEbSVsKemtt0XQxydOtWNZ9xBY6tr
5ypkphbMRn+UfTzdRBpZXTEXO/jrzR1FLz5OIHD7bt1mO6jrjJtjd7oPbfD41tA62z/fZxwT7fhe
K1M3dbprsIjxhB0AewRjDI9ZG+7RXWJv+v5/DdGz379D4xclzMFAjsdXWjjJhf738q1d9BySumLc
UaY77qigLU8mUdQSwO0O7MOT4cjyZQbHWGg+JcLW3O+hXpebmjkRXEE6Ti0nq7ECOlQCDUpcRW7w
7fev8e++BdtiI+joDu1A5JyNX03ICWgXkVehvTNcOs0wxFXQwLrmugjSntmrZh6qtgUHFWXnijeD
FxDu85S1b7W5lAla1PZqmOgJC/FH3Sm8ccjdPvZwUSje7rfNlKaciHTOYmDn1gwqp5t21KsDw+rx
RkFHBWrjEBl0u22sUvlPtEhzERt/vMh4e9K2sHkjnyvB1/HzRUa0yYHyq1s7DTCG4ekgLHYtVFOv
rqP0vunAVMR2wOnZ0Oq7PB/NC/KRdbYyHXucEVobPCEzuzfySe3Yf04xLc71BLWXbQRerpYr1m7d
BOxesx0LlcDKFybtUfgUEpKY56mPFUHdkVresS3cq2jBSAeE6de//x6XmcPPbxQaCAgDgTvdhRav
/6LJM3G2ROEk/c7RSpBwGK0J6BG9jaP7rqCBMJiGYTvQlhKM3d6vpmcYP9Enmuw1MbPsadY5LtdA
CdaG5ptQtXrtCJoy/icvU/yiRDscESxhcce7WO4UAJ2fvw/DzXHrl9SomAFt2qUxMWIMMPemGumv
788Ajg7xqg1TIh2+FrevISjtoeaWj7V+vAlG5z2gNvP45y2eTznHwJJIi00hJwo3rPague0sqvey
Yb43aL2kzSGItt+fA81IZeDvP3jx6zOeRIChdPJ9RA1Ml4DAz+8IdHfkt2Pe77qmzU9WpE/Mb0NQ
J7PKPmYQS2sykeTZr3WOoau56tudXIhepHjva0LaV62LX1c1enbbpkG4n91A7SZjPpY1LRX4jq17
u4yqw+9ftrlcDz/dGMsKqDDG6JJpFVmHn1/2YIU1FC69Q+MpINwvWlmg9ScfPrmXVV131JyOxgO1
tJcDrSqE+lKPQC59K3/3NaPyYlfzT2EHwbuYpvK10EHcMX8BFzecCzkgoedy+50HHtrAuS0wjit3
UF/IN2Uf8LrWrIZ7Q+uMR6MCR+BXxj+51oy/v9ZYwBX3giBcYTq/LjAT6YgSd2K9M78vexWj39h8
dDNaaCbjjr/VbKaF3V1NTX7omwwB1AUQRZnkLat0tfuOWstT43E0/9nK8MshnNuAy18gwFBSyDbl
13RRXtgzs3K93rHYy8OQ/Qdh57UbubJt2S8iQAb9a/pMZcr7F0IqqeiCLoL+6+9g1gH6AqfR/aIt
qWqXpBTJWGbOMWV+jJHXnWhfiE4oMTaVXn20Dac6xHDeNp5dv48KUiNgbormACi1uZrCsf74/1wW
/301u1RSnuDV4r/hQlf534dy7IUWwpas3eMGq2BeZvpBj0ssLBNguPFzVJM/OQ8F8g9hTQTpKkpo
cyUq33+oDGymJPnNTCjD+cu38k0vBWGp5dLMuJM6m00Awk2oeQ2+utzifvNuiKK9veLBwF6VR521
S4SmybTHl/6P49xNhPhEYh4viSfN3f/7x8XT9V8HBFQY3/VtZ7HjeP9VhaAPjTi6K6KTW6I2B9b0
0ymtFJZtMwtP5QJtcsenpO6q9dChGwRh9VrkCc1hU9Cz5eHKKe5x8PYHxxzoIhILdItgmdCa5baq
iKgVDXnTJtG4wvLek0W/Y7GI2A5NgBaIZU1eQMQ0NQT3JhXMcgEf4RNNn4ihNI/4dX4dyYAOfrYP
9J+WMhd1QSfFCLYnMnSjW2bShsguVVc85kQWrQVsxRVejwKhUPOWpCRdAVkhN/Uu5m7BwIbKTQL/
gKH7w2TrM/O7QyXCu66fh9XYJGf/Gmmg4PtGNY6BMrDcM+AGDK+CJVI0oeLBjJDtCIxUqxRs00b4
rBIkwh6SKO6Tni/tFvoHZTuC2fkUczGtJTJ/u0LVPL7BXIhhXBuH1B+cO3e+typkI1GucXyjDS9b
owY25dl75Mb3IzCGR5uYyUG1BIOx/8H+Eh1TUdx0LV/aHeG7khuCxJm4L09EK3nyYyDJM1bZdUEK
EBcbLEY1Diume4ASlbgpp0Xn5VHrxKTpZslMhxxjYUGGzIuWmmuIuADashdg9t/D7EXbLsTniQ49
TaxwldkpFtuM2PREfUXK2hATSK53ikXTZhBaMI2lmNtNlfFiuuF3S55AV8Haj7tNLNCTwd3bCKt7
y7zEBC7BvAff5R85qpXFDQM8kjf9csnlujpkfvkS+BAYEf/GG6EMxruu+Xe09atZK3EwWG/XOYDn
SAwNxtA8YUyTIabjxkmm8jXrzJVcRjHmQDSGf+D0vfcC9KN+x9jNybqvZCDzIre3s3umz9WaVAwr
ZWAdV+SnxVzCQRpdIAis22gQO4dgi5UjsTLE3afQpO14dn/jM36mI4Fa1oUrI/HKFferXitrlWYZ
XEREb6ZlPGunG8h6SItVZNgfEe7UdaqRNCboxXDw4rwv1y4qgBVG3s8JXHLVk+yS4L4+VDmzU0vR
5HuNughnfNMU/qP+4zgTOElXvTU8jKJOfaZOe1aNSx4bISDwpz+r3n8lfh14CKYWyy3AcZT9qm5x
CNXfcd4xwhi7t5gNwka1wQEbQropG8zZrgy3i6IPh4ExgHA1LCwrTMAH7GAc2zNSWrRjBLDx0B5v
UO8SwxBFtwnfAazEG4twZHTs5rOMSSvpo7hdG52DK8FSqwDLRxG0/WFq+fZRlIPH47Y8jORupzUc
N7/ca8HzofNmsm/y9tkrXpn52EsAGr88CLRp+A5E8M0FQgoMtQbUWdMZae8PFem4m7sYIGl53xpR
s83gCzyS93JoFngZRqfjaM16n1Zxux2l5X8VFxZYyTd7YeSnevZPKaXyGd3zKRuhVxlDzOy3ddKj
pUx9KCPDvG+0mLDCmO4zLO8dla65xkLHbm+pWTAjPFvLg4jnhvHkpPAEHFHAamTKKr0s/WZZHilc
Ix6G31MOU+XdNR9L4iLeKuTEN4FTYRUabO+9T+Gk4NuqzpHVO68dk3t0197OalNS82KP2BA5G4AK
autjphE2uix5huVO6GxbNesRIMOHCa5ipZVobjOE9jc6CsAMWfZdACYB04N6mOqgvwkM/cbeRxLP
ML/XTW49xp1jPvoJ1uRxAJAwRjd+GovbRAwa+rU5kVWUvNAmoOtfXr3Jmr5CGWR3DmL4+7AcXZr3
9HVeDmriCXD+Du3w4ZM+7jIc/DP4WAtrnZ5ztGg8EKb8RNiIYl0SiwcdSFwytPlJ1bKBH4keYTHx
XbvFqUwT93lwsSAtLYbXuTZgGhS1GkIDoNn61BudOk+Do86G3NrZQN8rnMeJx++T1gQlFiPZLHm1
cSvBojP3i+cGwPGDytVWhU2+Y4/voTYPjGcDKlRiipcqCI6dt2AmmKyyXjHDt3ZIHznn21/D8g9D
raOb1GF55iPOv43pbFczF+tlthNEedZIrmYn1UlEXPqDlFzWhLDez2ODmCAjnpxL7oqoL57zwHoN
aiv5dlNWQcHkj/eB4+fnuGIyVxo4wVThY5uKxGnSPBlW5sB+tB79N9rms/R5mqZQkh/aEoRxODn5
Liwdc99yuu1QkqMDLcqvSQu5DSg/mbm32TOhbo/XzwcaJEjGFBotYgwQntHunSNrfTcg6thXaeKs
knDml09GxNk3wn2X2O29EKBb6Z5gtUaqvSePvmX9YQ4nM7XfEJIPawkAaJstgU5yeXN9r2Z5aTv/
6xPsgIstzwePUHUGyMQziB3YyuyuWRDG1zdzyAiWm8RaX//AEsS5xtUSTRDM05nrfToLxpHEXYck
qKdEg1w/13L7//vT//OhWzSbUILsNkKS37R170uOW0U0+n3d2tmK0rk9EjvMzqwfFLVAt8mxa22u
VXSBRw6CAWl3FdXBLSvPJ78p24sW+lwlZA0SEp7ifxyw0wEyqNZGNVZ3bIrYIYwifQhxJNCiwf/K
2d97ylIPtcGZdK1pRyTy137NbwjF1q1xwaNFqkRusj8p0QgsvBMTXu+WobK554VfiPnS2jQNOXqE
A3/6i9ermwsfQxKGv37qUDzXKNDNoCRGlRICSLXlvABj1A8OGpDbDDAXFSLrc4BRVWBml38fZUNQ
HgoqgbboeFhABec6D4R3NMD1pL2PBg/Kd3xKiGezl3Q97hpJhEkgQybcSmFJqJqb65vrH1vL3wkU
SYVxPXLkcbj1hYVAiNcjTvL0TxUpu1szSyAH1H0bBqO8IVfKp6ZRv0UygDLCj1FVnvsUTT02Axa8
qN946QRI8RcBxjaPp/gpn8gytuZ/T6LKmcb7aIin3RVbS5VcbmnI2o3oPfECZ21XggUFRJPka9+2
65URN/afGcMXKSTlY5lBhEXjewCwvmmR9Sci5zrL9SOxatmjQJaF4rulhwnhD0fNiLRtLPSDNfov
gxeXiGg7dSNLe7io7mW+tg/aAO/u2V3yZFdYWHyy01DO1DErWB432BB/qX+ZlXUWcpSsearqUJ2D
2d0D+9cPSSOiU+RyRGTSBlZRDMw188loNxPL/RWIbjYYun1xVDvfV635C0Tjbw+q+Q4RP17gyYlu
gwFrK8765I7I8WLb10RCVWElnyxHfEJ9qA4O8MuD19tP7ZAk70Zts2FR1iOuELEZ676Cce9v/n1t
qBfqxJYNO4XplVTLQ/dW5nd4vWNIjQ6EnAWoO0QZjlgQpEyU+LCPWUVdv3Ug+9aWiGO6LX8m0oq0
TBiPWCoSlU2YDuvqkur0h2lXv79+ZAYumQFj6Rwrw2Q90WLy4OQC3gEOYNeqHBDqEl6ZRcWjaXXe
uW3aG20Fc79KA6s4SmAb05i+l96PSxz0vqog11E2pvcJxJO13W5RjiT3vWuvZlLeLgrP01ZUXf9s
8T2sJiclKwZH1S3Dm/9M0Joi/Kor2/txIjKoPdgguqtnBBCcFrcPI/qoR01AjLecD5kNQu3fj26y
PToPnu2vhdd6d9aEJXDGp69D8TZ76OPRbcK+aUvntm0D5zYpGassB2ofFmg3uVCf+zFIj6SUZvu6
GepXR473oGzsndMj4ovzIw91PH2845QW0obcPOQwNyPHH156I9MXxU25snxumCGW0SEF0fSoy3IX
APY949Vb+22SsEDijetk9//GCT4ktpzvkkKdm89NzLsUyNzeASF4BAvylYUu/zOo8n3PlA3DsgU4
ymREeCHL1IS3GcdHEgR+jFadku5dDXb6oSNPHtwErp3fqB/CGN07hIPR1o2D+FhG0xM1vbxIR4K7
8c3z9fefC/OvGC6134pXgP3TLbBBnEVAr6/jZao4cj86OGQybz58+O0HEjRQqYA+Y0RbDifXGd2d
GBN7MytB2CUP+U2Y+op8iAk9rR7c4/XD6+V5/Zw1G87RDoWzbmQ0HlnyzxuyMTV1x9i/DZD4+noM
3wnUHAfSgqeGODJ+MfYL+8P/fAjtTD7oWD4MwwDkCqPO8//tPSZaL25BSs/1DLa7wDqESaNvRl52
kSYPsVVdyLE213HOQpq1W/JU39lL8ZUPbnzjKIk0kuoUCjnNXlwW1qVoppfMNuz7ETvGnikGYiVi
c9aV4Tsvo4EghubOeRkqXa91kf7nveufXv49myU5aHvLxmlnZ3Zx+jc/zmvcJ4L1KobxMt+ThlTn
u9pxKUEGgu2nvglWTZfjBh6iSdNFFOZ2IAeEIkMqm99lTGJpSdLVkPXqYLfCvxS19i99m4NptOXF
xxhL7iiOlH1adn8czgpGdrTCF4HwqDOrW6thvySc1OCAbKrb6+dEp4JTLkrELoT7ZlPzUbB84nZq
YzZDVbFjm0LQ0LJ8mfESomzMQDum9YwcoCnv3SCnZejpQmra5rV2bOvMHBZNY1B90hKTCa00O4zQ
X7VkM97KCBC9N91G3fCfN/hJGA8sc3LqCediutPvdU5ezuTKj6jKcLO0TyPPqk2h82yPoAGXzzB9
luArkEPzhMvpGR9K7KcbJjXBhlIgwJrPCMKr3iqZGqBKjV+zUJoI0sC8sCBWh74iAWhK2J7gzC12
cQbdApa45OLQbFRGt8OfyDZ98DMiEVlx3fpCI2WpMBcKnMIC1GKDZddM0o1sw/mZcEWCwR5CrX9y
vKg37nJ05b3Tn3C2IC1V5vcw0h5mU42h2A+SS+kB+4jqwj7UJoo4CXR92w9+dZZOQgbbdR+RV2jv
2nkO72TkKtLRe7hPDFxvZ5YlgeONu2ao4DXAHH13+t8eseVzGSR3s9Xgcc9VvssnoCSy1RyTFkch
wTvBcCkNs1i1133XECBxayGZcjBhHHWF00BgWnr5eKxI70P2loXlnbRAzgAEx1O21AoxgIfdYGf3
Cn0D5yB0UmvohyVVb/qUZbzShTzlbeW+ZGpMt7NdEndqtWeZ9PpS/5pGRWIZVd9Q9O15cFiwI37u
MzyuAOOiNvnmEJw3gQ5vqyYtt6AC1YPRYnA3pTNuaq5HgCkl+kir4obsl281H/unfys8kWzKEgh7
FBBwNzso2q/Lp0JUYk+LOm0HRrsrXWMRhkn3wq/z14hd9wmc3J4ylJwYhUESiSw5hoiYjth3OO6u
r5Y5zMNZoZXJXTE9XatOE/tyArMW7UdeeSdLUdG22Hse2SFD4RMSGEePcu56QURl+Xl9ARFZO+ey
xes/WFl5Ytypt/+O3zmVegu78bH2pxLZVENG8XUKLTJ5TJveI4whqTa5teAtcOAfM+GFF/Yer2XV
5uxBR6x6BrIIOTnnzphQ8eAKtlWv9u3SybrA5k7FHPztl49mxpCrPNEgchlBnMKI33wXqWOvtHE7
mvInspjDzYk1nsbrr+m68vt36UQVcQVxTaLR9Z9SAjF70gXRIXbs6XN2W7JOQiB5jhjBHHrGbgIB
ekIa1sF8S0+W5+dvVsQ6gbC0p6iyH3uQI3uzi5IdBFD7bWqzm2QKqD2M8Jm4cVIwJfribhhuHHsw
XiMw9B54uIfeM6dt6CtkiroCvgy7l3lHpt7yv/lUJhyItMFVnn2DGshOpOiALayKYD0uk9drb8EI
agIYS25RgJoQhePiBxdvFdkD/IK85jEEInmQRfxc8kTZGSzKTpPPxjlW/FiaPKJhmufj9T2Sl8le
WD53fc+ockkm7BxtgYTgbMwn9TgWmMLRSUGINDtgd0sDaS/nD71cwZIEdZF8Se3li7OX2051zfpX
p4zS4lmfBjIWz3guY+7Z0hxewziyjq3Xd0w3v9LInB/dKFVHeK74A3kEraAgmcfrz+kVbUqIF+DL
pBlfrjtWG0HQ9Qi6vhlyvhJKRiJP1JatpH2OZ2/Ez8eEdoDyiBvft2+b1jJO3hJddu39ffc+xOZO
F0O7EqAk2CmAVudUB/ZRzjXBsdq9871SMdEpP3kV7Tujx+85CZekgyTzsB0jw4I2kBB0aGBklyAO
loe8zRWx89HL+sgQ/vV8XZ/IQzfK3yAVzC3kyWBokAW7hgjZdRknTHpoJF5H0jdzVtEl0lpwlX72
n/dii6jBehG7A4M4FZkxb2sOo8+QzrNiL/edEVPtpmlwSAP7r9HN5u6aKWPWtFHMom4LmbUPDOGN
dRaPa2ciwmkY3FNKQMDKyhzKqql4qx3goClBvOsAlPDK9EOEiI51qqTytrkawfXtfKJGNsw7cS26
NHeOEhlBf8/xoG4gH77ykPvyM8zCHEOMbszk4DbpYxBxlUc+U9aSnEvm9e3aPRBRwYBzAC8g54mW
b/QOcJXjQ8gRjZiYRjSJ4w+WzihnydIjPfLLKNW4TWC15MtAgxhCYktjieyuPFkLy1TAc8nZ3uEM
l8nKCEgOlwEiTAPbrEJ3UiUHswRzEGqPxorF+srxe0bVyd4P0daWfIQSU96NxpKhy0iU0zsGpT4Q
5WPWcYK2T6GHSywGbim4lzr6xW5bbmEsJ2tMa0S6y0NuEeOmZJLelOaE+j5J2AqMT4Nd3ylpZCfM
JEbUR/Ragdi47XYisGtlDLW7adhNBQFeURnybyLVYxi3PJxISy8MhrcTgTVeq2EZZfLLNSlshBFb
m/bHMrU4dm66a7X2bySZmBEbBYpAtU6DBrxrt++ADMD69XM8F/slFp5EyhCbAjpNRvxMVojkWBex
grCcQ8hkhn8cf7DikqbCdmRMSb301dskcNRGXPGYlOE3Ip7TFsaeTTSbzdolcYZQsvmxi31qLhG8
0CekGziSxSaQ3n6sinLX9dBYg16/+KgkzHA0bofUZ/8QBWtHFjZ+neaU5j6gzoYFXPpN0/sZ6VTt
e/urMDiRsAaenSDUq1ECDyr4/2i7+m20nFZs1d76VPByAnvcGeUR3od8bVgsrEwVviuGNPt2ir4R
XLLSTRlylzNqZ2WNh9mJIWq6f8ZJs+lLAfnkgQsEXlsHidR6VTDqLxN1a9cmCV+T2AmgNfwg1olY
TaSGoR/vzLh+1brexXF7qwlTOM5HUwavYC8tNkcSSWnmwMDCYLmKqeFCVx7oun+mBMvviOWc9ezZ
rYs3SAY3kwBrEO5xOt2XYYIFxUnlYuV+jYruG1bCBOJDf2VO8mIvg3Nk28AdDLGtCgJeoGDLXWpa
p8ZKPyCOTHt7mtnU8dIXOtL7wugvUKm+2Wk9Tcnvcq90HIho8g38+/k7j8xok1ZZsEAB9jXj2tlq
/8bSZzWkyePqpy+CW37beMjXRtiylwuQknft6K1FbACOKsNLFQw2IJ6UDR7gTeHzQPOKaY+ofdP1
qfPco3VajaLbuqr+ML3g2M6e5PnWvGUKMbWVq0dn0fL3cfY0lfUG9uFHE7XEZpvmQ+EArcLh4IGV
wtfFzJPdPpa4fKlA8RpXGKYmSqIAHEiUY+OPgguOjyePOEqKoXidShL5IhoXq4qeXIOItijmoJoG
AFKpt8xikuKlUY5ko2F9Ghm56gSyrLQkEi9LooMNOz8kpjKIIQTaNpu+KnbapZ/wYfJGRxHUzV7I
4pH+vdy2yH4Z5NCej0xyiAEPF6K0G28dxwHa35G51RZ/uL1BEuYtHXpLIlLkeWvpM3X3R3m0XOfj
2Ir4C2A5LJMJiZvRpKQAmEcwCBj3DRNT/jJaYUG19qOvLC2HjaFrJh1u8acX2t+AgIAVS66umhBm
S2wCjJ1fE6MkZKPMD87og51tio1Osw+Re/kpKcsvbR4T4hRgy+eaadlPJ1TO2gDKK48aFmWixpIW
yW3YjiclMKU4utewKpiHd/YOHXxL5ETs0KCmByq9F/PUS9vai7g4QuNusA1gYQCGH64ByIGUJgqe
wj67S2pvW8Y2D6Y072GmL9s55pIQs4aniLXSRiK3mcdiMxf6cXQ5RWtH7HMzR8LLmVzZ0DQgDIvp
mfimaTWPJHnAXUszMhNLUgqKprmLVQoTkDnSpjbztTKxMgzFoM46W1AniZvue0SaW9vuuAyGybvL
wjtLOX9Nh3lX17m8MqDvjQ4O8lQ2zwVBQpWWPN4DfmrazdtAPLD104fcr35glH8ibC8/RohkS9O8
IvR0OpUxsn6dAf5woQVtyCt9QevTMfcsSXmU4NJxB/SC2TGxz9vIM144SKYNMGfMgy0djCIBuKqN
h0GxgAly02TRBgwgl8FHOgroA/G4rQw2wz70Gb/JPoekbTZOnjIAN2tr3ybOp7TKtcBqR6E/b0bP
47RjEOuh26nmyVi5RKjt45CdJKvLAeZmIkpWnfA2sZjp29poCGYfqCiED4ebdGVKiuKPxyBSNz7j
lNmZ1j7D6rFLX1UhgYIIzCPa/1CZwGxhR/uQLnJmJM4K2wLKC2k78+1fdybYZASOVpdevrNn7K9G
wCi2q+9j1J5rJ7xNidI4J1IYW8YACBpCd9/4UXvggjnOoMpUqvSNuTg42nbcmy2hIZMZ3kijuBB8
Z99NY7ufOQIZG+t75mxHvvtuncxYJgn322YGdqq5Hn87S2/7PjjbSKSPNI0oug2Q0ZGTnZGvPWRd
uKHUtfZ93ON4Aslz0tNnFrNCnuPgEvKtmz0A/cXWZtg4pqyRkR0UXXp1tz5DpJx3iTse/DIPNzKZ
TnXTfhY8ICOXftP2JZuRcGSWXuBIjGW9CZp+pMx+cAJggwjLb6quS3Ztrc4DS8XtiOhqxeu+rsgs
w0FJnomRDz+ZID/CYKKTgtkqwdDAMFyzxP5kI9rulYJraRO+o0H6rexQTscCik8YL1jUJrsfgVdC
iKpPbqY8fMk9Yw3zu5KgzYaa6dwMM24repR4dlGveh2+6pkXIlXZd6mZT+CiXOWwqaAbit3UaEm/
PaznsHkoyNHL5im+CSOPpbEBWLHAkOOE/rTtBusHNmeyC3vzHGaS4lmnv2Zk3eeGaeztin11AhNl
67QRLY6FWqUx38aQcsCZuFQNB/6L6aBepORTrG6DEaHF3KDBSQ0EhVzAOsm9TdZhTXbqiQMWzxu5
09Zh4ATcFwWnivKsD6dMjpzq0aFJ5x1hCkwRaYW301g/o5Y+V3NoYf1tYOjHlDYdQShRtUoC0Od9
a8TrnE3dxhA/cZ3jmQEV2qJgA/HChGiiUSKR0llFcx7t/L7Yabr+VVKYr/VgAtcO03PcQSoJezIK
x15DOjRz6D81Zt6QdJvaGh/LZyZ0r9M4X6xdG2Nhpdt7gI+69zy6aWcSnKDkZyDX+AoCng9mrm+y
icGe35n7QDH1L0ZyLIlBygPxokJYMoJADxIGePSiRcW7EnMVVeiT3ZPRFe/CKJ7jdFpjSjCObvIH
/RAkAwasYHNK90xCmbV2UgcYEYQtdKd+9CZwlO9rOW0YUgMvcVpkYUX6MXmwY12s8OC8x4cY6Kvp
9RwpkU42TKEgGJLhFlrmtqXt2kSqrzb9WG3KfPyaLGuXhjYui5Scucxp2CN2fFjidW0RB+Pb7kpS
GeAGDZBIOCIPFKWUr6Z+hCdxY8TFh6zvzLb9MJjDbbppbmkPRmKfcGEYMc2ovZQ1Fc/bvbaqdif9
9BS3IbByBSq18FsKDBWwpoCkHw64Bh1gDDFhyass1iQk5llzEPo7mAlpICRN3pCJSNJHZpGyU/jI
B1naLksy+yQc4juaLN57PvBGjOE8P/3saNv6mYGKB31Qw6b03A/Bxnadsw3ajFiJVqH5btpFu237
8a6ewOSMxejy6knaC8/hAunhMKUcI6kdYzJJngWH7HLcMDF1H0supUMzcEEyFn33qtzZ2TAnDplb
ParEGZghedPaq4xT7z6OwiVbosP+wxm6i0W5qczpLivzneEO1WXEiDZakXnnVtR1NCfryRJMcOB9
rqPOT5bBFxvg2u9JiCeMyrDI1yhbp6Xp6C92wZy+V28kDHChoWKqk5sQHfWqIaWVlTm8NWt8HUp8
/DUbo7nFCEPCwFbp9q11vI2rg+9UhB9FjJwEh/QxQgiPqy9UrHNhW6oUW2iKswfW/Krs7W+49zc5
HnMmp8A2cDOc4uKd6Zp9sXXPNRizgnJCm1LA2pMz6lzcljyB8M5QUX1qhfPXBbVE1XpQluNxAuKV
LyPmQJ037RrhasAUMzDf4pQGJtifAB2TEAbz+2FnZCPEslKbO/jH567sfpweQU76lVdpBaif7Zdb
W8TYpjtnBN/DKgwIZgPE18gK1MzEvs6wBZkJQoIOJakSR3fC0RNl7LEabj0qDLzXCNwRXoUzKq/k
a4wj1MgCTm9Td9+GYKs5I+5LGxsBmBMstkn3r2GhC72apsiFhkTCp5AyH0LztwZtTHYMMVOWh1me
HvTA+TaeXTv+Zp+y8qJKnBPnj/bw+8fLvyemGDi/BTrfARTnYcyE8gdBSGc8JMNiURLZ90XQoUhA
UMLupf+IYpXcDK1bb9sxYUNkcgkg4GC6l0Gfb7yPUfIXNaFBSfMxpVO4dc+qlWIXYZRcN268riKg
KGxQ1mHj8Qw1M3Xqh/zdHNlnKcrO9dzOd3nu/KT1aO3MjmEz0SwHnHoFBrTid8yoX4Ia81kYEYM6
FS/oGbI1AqRvw/U/08F6dQHjctfV7nKfb0uT5OuAJC5YknsrIfxu4OtzFMUH+NSStTLPeWcMi40J
76VLJdWocM2tH6fF3h7we82D4HYtH6eMlISwNDZ0iDz1G33WbcPfTsc/lkulOcSwVELUzdR9HwhJ
GzKQcOO3vPimNKj9R9bzPAFhb3f10O5M24RvKGwGMTVRPtZ71/dqJQgt3Td2CU6r4UCejc9K9+SC
NSNPvuWNIqBiw6HfbtGP8SuTgM5SnD7kGHDp1djDhoK4Fmm5SA/ZIdSMtV2v/0Uwbq6WaFBaGp+L
CaqXqhXuxgEbK5qWpaIixMk7U5PxsGK04XelzfrD23isCZuQyJVgHt+YxjPXEUfSP1lvaErSoQT5
pr1hx1AvxzS/8YG/7cohYyxkAWe3MFUiK2H/wIBd2E/dVLOVOxRp8IqC0PA9k5nybbts9AtkkxQ4
7Yn4Cv6JzFG7yLoo296Uy8O7zGx0FLBcuS1McpEg1DMZgj0rsRvqRS4J17tcVXCXLqX8rDpSPxyl
4k2VzTvtc98NSXQ2i/oLMjApROx7VlaEwNZG4GUajGOPQ2LdwZcM9w0U3ZIWc11jUTQHc2+6MxZ0
6T+aop7RHM97u7aWko0D1DEbbunkx8Y4uG2T5qUrH2fmxDumcHgocXFnrnxNu+rWjnLM+CJ8cU13
0xdT+IiugYaHwOTJQcuZV2Q9TemSTVKZLaUNNUWA2+vBs6f9sFWS9FqSW/pdWVR/M4guDGZGH4nn
Z+2AsIt4gRpl2FyfNuVTQQ2GSctfS0TeaE7xNJXPWXto2Io/zjJ6DU02qhGclnXnb9w8YprnkXhv
2V21TUvfXy0dIB5PeSHU6IVdKBFcqkW1FQPSlFjYiV7BipzjtDcLCsBx8dxXFBUe0i6PQChWXOui
i/dDNU6bhhDGvRcGXyyk80kcMguHKWju+3DJxjZmYkRUnJ/Rd7LbAevkwRAwcnUAe9ajGwHt7BpP
qtb1tnDEvaHqNxWT6tiPIt8A8vwsouQF1V1wzGZ5gMr0R2e3Pdry1ZgE/GRYJlaIy9Key07K7kaK
guj5wHoBffA3HMJ1CHhgVcBJWrWVRdSPPBDeeYb00Z6JpT0EMRZURiugxEP/02jbdZLHT0YytGcB
I0N3qXiIe4bBjjVdjGCCKKGQTkV9d+QKhboT+/JAqwrHvNxKqKj7mufi1k3Etx2YH92gUUoDnlpw
lOfEzLu9wEfXq2SbgRxA1cgBUzcPSs+PswD722h9WAz3QPla1mOJ+1gPFSaoiAJ/sB0GgwA3kfUA
yMuDkRSUQHJ2Mi0GBXKoR7C8JhLPWdb7SnXvExOzLh6yLYHKunHFFvHzuJo4TaECs3eUvrVPzKaC
lKL1068/m+qJxcpLWKvoHBcBaYiGdRB+yxYxve0Qdt00lvuiCdXbacrvTRGcQw2nGcpJc9I0jm4R
pnAEm5tMuTmsptZcjDn1NoK8tLWGLiINRm0QK4DOHnymTqYl9zYHsY5ZFldz5rPcDLZ5KsSuypmc
29r+O3duQBQighiwGUvAE8T3Or6f0nLcGQ4f+WEb0OmInXQ8qHmun+9H/4G8u4S5sJGfUg5cng7G
LseTAkQZby8/WVg+CaIMGETZ8qC74KEqBVwWGjkII82OMMU3U9Y0RG35YxFzSmzjTBaPS4B4QRpA
j7Wo841DyfeyTwaDmhWRz9EJ2F/0BF4Tc4E8QnHet613HmqCtAMO+Kz1C/aLFlKkXB3nyEBYzqhu
9pEi1YjYKsmQfpLBLduInQkAZG0HiF19IfOzLIBF5aGNOk0PRBHh/KC1/9IxxT3iiLbsq2MZdAen
ibbUieVmIDlgjSSFeWVWT3sSRot1Z8Q1M+kB8EkX3ld1W+A0UDzK3YMzMSIjYaJkzDDZN+hDnwxT
bP+HovNajlTZgugXEYEt4LW9Vbe8Ri+EpNHgoQpTmK+fxeO9Z5wkutiVO3NlFuXOI2PDmQVyv9ON
916X/owtLHgtbFy1hpi5SSDxjn2vT3FvfeiypPeQl2PT8k4SRL2zeoy3Zss/p/aQh9xU/yaqj9dz
OdwIdXjnglDBRkk1bQIPN2bA/m5nNkTO5iTrj5JHfkWB6Bclf+3Z452ofGNiuLbu2KiQS/NpPpS9
+IWE9xSG/ITygY0QgZHUaGnzW4UM0bfCH34ENnysnM5Z6R4vLD+axk+d/UxSbNUVxrAVTrCf5vwe
ud5T54PTAJ8ET7jn5uBDlmSI5JLcVgb+Cck2Nmm4srIViqgGEW0yvxaNwrkSh+jFybxpzJJS9oT6
cJIIrEFDgZVyuveyi87jHJHht3cQowWqAOzypBaPcz+s8SYMe+4J6S6c6N+24Yw7eiq3Dj5XvBvv
TFD6HvrYBiSHa25hhE9DOb90UVkuJ8vboJ1w77ZYBXqHBq948LYysg7mgJc+NLp7nP1Q4thCUTlk
Mjkmuc5eMaFfpYeOr+Ank0q19z0Qy2Pbz/jUBMdO3fCgKuLQz3MnKH5bGAC6OiFV23emk4ANpX5y
EXOJd87Deyrsy0yvDmyLSJ51ea1HagAzt9zTtOkf0yjBwm9+51i3NhnjO29G541HKSHnHL8NGbvt
1KEZIZH5Efo1lXv8GcNvXLDjI6QfHnzJkJqHQ8LaoYdW9ZjL+YEPqnlTAR9OT8/puQgfW1M9E4Tm
ttRwjrT5Q8BWFx2ICpvKCJ+nprUfsMYcfVTTtDP/MUJcAYFD1Qfjs7G52a7cKYb1R0rppCVk5nKA
CwompASQsu6D3DqMCYQKuknFSxBEgJwJZs/d+JGjMO946NnQd5BbzPow1cNj1FlqLXkT941hrHui
xHV8NNOhPZM2fKw8NBM/N+mKTTDGtpn/hzIyTnzjcZySk8tAsCtp593HGZ9tt50xniR8ciCMYNkE
9V9X/xgLwk3rhS8NjnmuR+FbYFe0cmb9BlrwR0Q/x1IauMsdfBHTrI59C0V5xAKL8juuxVhcCqNi
w1Qxanc5reqU4V2amBiWWz9NEvIFZCSfwY1yAvoszlGDOrgRfRYgYjMlTqXHiGYTUBXhjFTc+yOy
HyZhjHLrpNbfgdAGcwJyqCPVO4/zZ6v/sBFwv+b+7jSUvsREQM/S/vJza9oRYmL35HsXxMQGKpj9
4wtHrdjW/NX4HPCicEGoYvOZapMDRhguUD41BiZvSD2Gu7D3PiybUuimhLuf139l7j5XKHhnwwt2
nV88um3d3tv+6mLn2rCzfiwbBMOfYaJvrRjFJljJcmwox26LdeoUhG/S5N6Mwt91Oq5PvnsaaGQr
U1xrwvX4o9KnkcUpexyW1GOmu2UyYo8ADFeM7Zdoa+cOCaTi5LL5rQV3Jg8YVsmEL62tSIrvSeX7
LC355hnK3Y1JSt0CN/o2cvJd3OgbGUseO4bnmf12PLXvmAnuomyTledhM1FcH09ujN2qmgOs4Jow
YDoYR/Kj7/X00Ms6ulPWA2BG+l+RXWCwTj/rSDwS2uEAGskOceOe1o7MsrVfzS+sUmPobJRCLa24
OFvwjH6nwsv3RdXzGLNl2IUeRS6YI15U/rWEoxYXvSP3y9aJmpIfku7HolsmorLfOg3hIJG20KUS
HrlBwh1T/qXVnXMExkBdjpZIH22yI7T2kImaxFtQ2Wt3AvdcxR6Vz90d39ImkBC4mAx2DrydAzP7
brLG3xi7x8ZJUvO84huEXpQJFwtnfsiirseQHpLPI45NdvwMMNTZCinRVdw/UnQKdmGdo8yWe0aD
eO3Qk7yZbH/fp0DUXanwYuS1fh4XiDforaJFG8Zv+V2nrEXCTk4HUmQtK5rkyXXo1rVSAuJpzLtw
4gW31k56AysBEIj1tzaezdzMXqBbGliPV3lF3mbwk10wUtlpzwV3oXqg47bvBcYy/oJyMnk/Fv1D
Pk8sNljnrivTTI6e3fMaGtWJU5EkwibN9AgWonxu0uc5YOFil6wv5o4tYxieq7g01nLw7bVlGk9I
WcnOMftXJ2e6Jy11ddvCuIm/iKYJnUC83PPhwMKEXU91BP/ODYPdhGpDPgkglz6M7MmZbR6ihya4
ZmmPVHZ0AvkcIlLsXXqQKgyFnjMSnEuxrjAc/EI1oL8AG4VfcnErUl6mpXVKWvExa5DeWam3/uRq
bupMycTB4jy4egabOjML4o2XLZnoCkpX7X/RWlGf6F0/943/HOYTtD3ZfUWFdcJ5NlNo1EB9y17s
IPPwCjl8ESAOc8akl2ZKr3NWPjQzGZZ2oNCW9+Sx6irjVNIUu+IB/wcMtAUSVbyWQeLRIcYaDoPG
xqDMHIr0DMnF5Duqvnyb5VydudhqzUAj5bDrTobqg9ku5x6v220mjcuy+LYBWrGnzG/SZ0Hhi/nk
tUjfzsRSz83eWIxxBZr1cEFjf+gN8YZCU+xYoDO3W6/+8CtxlIqiPAUJqMieW/2+N2OAQQdv6sjp
0dpZsN4BEL84dguax0p3WiU5bR8pRrGZOxEXDL4EZ5dMdoCXJ+mPhHa5kYRzs/X87o21YrrLgWxZ
E02hMfSBgmoN1XV7TpFnJ94FIj507vjKnWozFRFILdvlxPKsf13uX9iiPTjN9OrZhbm3apYmRAR5
4oFFVi5k+IhPIeUHWGMIXbgJWPOm4/7vwe49tAjHWsWoHS4wYFimz1ArvoSeHorav0wkolfAD20Z
cOqk3ouTeSe/j78s7EQnv+A0NCTVEnNxC3O57zImF1OjEWMQehEZncWxQjcxa7Unhwj0U2RyS9OB
RSVrLffK7i+O67ynhXUNc47m6SKVvM+9no5N4x5c4PTRnEBhmrK7LPp4W9jFQ9L3xbZwGYgK/+JR
VI5ix4Ie3CffaEyjlp18tvibFWgVLPXc8dkEXdNZ3/vRrfYwPvDp0ko2eyA3xQhoigmQr33G2JuO
6MVh/QTYguVp9YhT/7HLrM/sLTP51WY8P/qp/0pt97QfpTrAbyhP5gzCJcRXvfHhlEnb2GsZ7nNy
XURkSePacfA1dzblHpDDEfNs/onBs+3Pj4Ce/8Et97ctEnFK2Qeo8q3A0Aq6dWkMmTdZwLo2AhtV
YWAkXm4Wm6p5W3LLChTOCs2BT4ByX3KXKuS0dWEq5NN7b42XjlxP7wC8i30bqwUvcJ2itwEi3ARz
fgQWsOEM5OM5Zsfay3s2Md3WX2qy3bI9tEn2D4OIu2HMNtaYVWktMN8UieTEac5GRcQTMxzDUxa/
CRWjKLc9pkT9006PUA/3Huts2tNw7gvkk0psM5pNLfTpOKcoqK8TmqZLSLD2hQzsa2IDWW7eHHu8
hbZ1qzrbXrUWEFOpiMqGi5lH42pCdnr9ESNfhjkrvrCpIZGkPJZiEySqv2lAcighGow+x7MguYma
bfiH+q54D5qPMH7L498/QhnEk9KD8plOFKhvOgxfUTDvW9l9UIwot2mff3hl88+M7xRTcx/o8nhN
JbyVe5vCxbsU5uKxbfVrPlrvXoq5dmgKrm8piFh2oGn0AdL0F2Slt+OjdyLjee59DIlN+FpHaXFI
UF0c01sW9VGI3oZr1r6Z9vBTpWSHkTFLZbzXI69DM0L+xuhIPj/F9W5BAYpnUrR8a5wgS7aKwsY0
pSCIlzJ+XWu5a1MXkjvN+zT/QPnbZO4yMASSSooexwev4cBE0PdhLZ++Zm6x3MSii2r8vw3spY1r
jufBE+muSbKfKjB/Ea4+s7A4si1OttWAu0GO12iX1u6/OsZ5zvqddWr0xLtX4uqVCpkRC1BT7d3a
u5bkTTvPPnEgr3IhaCPqBAtigl9GzIoktLkn+9tsokODbZu7XJ7nnJRth7RPTdK+Hf7kUChpO4v3
AYb7dQxAtGE/vFl+BI6yX2Nbv1K+8uWW8Q8+pJ3OmltcJ+FiRj4IGNOVdP5FXYwOGDvHYIyel6c0
U+Kup38AGrCJdeF1ZhaetL1SI/dApbv30SC53jBzIC/x1uOQLEY+K16OMK+KLQnfRxGjswEFop4w
VG9+ltzJDmCjIXZcYfV5pY3ZXvmoz77IRmRZUu/0fCMrTdM6JLXCEil9UQHmSrYVAGYL4LW2jZog
UA/mwt5WuiQgjDYMvFdTe4SDBhEcM56VvKZQoleM7k86HcR2LNPpaCe/iClvsxB/W3CLKxs5jZDu
OsKeyR4FXMJ06f3sF2PtZ2Uj5YwjKbIeCh9vtrWZhLc69ZOtUORSUy0ITtGmTpX7jT/8Fgx0OBlL
8XPBdcyx+AridJMWW2MJcGpEE1VNK89tf1WWnGbaMjBnPKY+dwCaYD6jSLwC0g7N6Mlsvn1ypvs5
BdjjuuExK8aWfuyyvJQJYX6lgQK6wraXKw4lVBoZxIr+zSyRd9KgY3xwy4tiSJHvGsMmDcxYEyKY
AuxwMRO2rji2tIIctXFtJujL82yxzLYf4BDUrBu8975joR4ayysR30ZP/IqHrj7nbCEOxV14BM8j
ObDkqv6wWlsN0oIfOTJ8OSMieupwGJcCVTyqmWZ7vfenmkKzyVqxuKFC56iHaFvJmK+pGgGFADGm
QSjeDPijRzP/qxQXYmrN6QGavJ1vP2Ek8M5W0j/4g3nlP1BbpVvqp3VssAY2b1GIapSVE4O0LjZz
npw7WKwVRjvbLj8g6CCNtd9W0LiUUmnEAtwBqu/Ptcf1auDjsx8D7DpsBw+pmW3KjvczkFlvxeBN
o0wofmVkPltG8VVzWLMfs54HYlIrR9QlBIP6S0n3I6wOsgFzlvZDucm88RPSCdCfDm/IRPEFPevq
OpWL9pfToWHNZXP2oMfTIcVWxPzw/eHQhtMO+CBv8949WLHMHt1Mf2UV8WInSn6jOXuuM8dl6+oc
m9Ls0MOB2RpYsVdmubeHqL4b3o9vFT9B51y1Y2zMkjnJyjH+WpCI8YX6p+GJ+/Z1kLl34IGEdW1E
+T6Ky30dcQuwfN4UikbJHZXguCb6U2mb8kBMLN3ifX+1BugOrSOOju4XLfo0IcpUjrr0vXIfQvy9
OWnvrW9bO8nObI6rs0WCimM6OqnwgqYJXDo90Olzaxz+8WXbBlyE2y8eQPIUxQ5Y24/nNRNaGZfX
zs6PtURrV/Iw5MiwodB/Vc3baGm1YUNH8E+f/Mm6Io6zf52ojIqamvhQOMN5JQ0cz8VLAc8de9Fr
SYkSTgyo4L3Bq6HswnVC6Jmljh8fHTt9n+h4XLbrTWJS5ULmhr7RmPWNUZirTHF7DVocrQb2SOBy
8cqyxqvL8Y8bbfxKk/hioZDkTrA2Wkw+iivhKnFotRQ2LFZ7rM9025buEO9lT8plcuTyk67MjTDF
eWopsLfsyWerR6jX6+k6dUZzTTbqwQsw5qIayFM+XMupfjeFYZ6w2D4A3QH/5sln0Wb1cTBxqaJF
ETaa3hKfxSkG1GHbp26zof6Latcmhlw25vjG8FXjUT2HsRceUq8+JnUabQjsRpu6T/+kJi5mJzYS
trje49SxlolqeSqUus9yEdX5c1ed5x7gOdEnIzHwpblxpuYSp5V669WXqLxbT7Jv17dwy9OgPblg
GvCHLU1oHSgpUL7byS9vKEwGMwqtXwq5YyPxhR96AAJcwlgPzO02GdxxPUM2YWf6g0NgHwSN3HMx
xm1YkmSqaAR024YPMhlN8hcJ9b5U/aSF8UokjhMtToa1RTpy64ffBYVKO0yUZ0eRyfSiGAm7svaU
KdHkFT1we8x2kQ8mWfHeL+wloFJHtFc4Z3bTHUWz4x87AyYMSazr1WbiuSR4p9bCsZJ1mXZfhaV/
zapKdhx6XC+n6YUOui0Oja9gqQYzTV7zrnoEtn2aG/PadMyftDDsSbl3zOn0LnhEc8wZUWvx0o6S
hYYWkCYo6Lw6ZCc4ittlzqCGUsZUMrg5LY6G+JMjICBKmVjds7NLPAaDX3iTQIxwUKhHwxuTvZM/
+6Neqp0n6FRVfLclJb6dUJ/N3D0NwAvZ3404D2dKJCaTr9e5ioALPvxWSk4d9AGruzpjANK/hhfU
mAddpvVr38zFNtXzfOVN+j4Evd5pMaREaYDJDoQ1Jj7Yc5Ls6zyAzmIzpfB6weLkuvt5oEM1MPjD
kzy/FTUGu6jg+MEkOErSKoHnTqeFEruO5etklDlWr/CS+rgkx2DX0HtymYLkjwG0nDUpXw6ROPpQ
AqZuPlpBWb5xrD77bUMvET/KkXrJbJb7hCsJ2zfGRX5bDtWPDjuEzXQ7UjG58UfnwWnjbUct9nr2
HarG5hLfIANQVAb48CMeEUTWRvnxOQv/wDXj/hp2DrMLf0Mx9W9mwF4NyiXtjTG7nvae+3Db/ISd
JuLdrm2iJYnBpwfm4GlM4cZ6CZydeVL+KYjJlNXBZVzgmNpjdzkk4imoKPiglZqpOKpfvKGXGM/p
52qY5cfQoWzAGo6h+CFfRJwdOtPGT8M3RPElL0ovVdCQHlFuchh1gOBQtKDLCXoE4fxtLRZlpZqQ
56nNaZ0DZ8bWHyKLm1zq2LqrN47ygqkrtTjdHlF769voW0x36EigeVcR2gInsjD36cQHL0tfLcBQ
aoHb4tq2u4YIKqNk5YpT1H+3RjhcJovahk78Y/Rhce9UsKOkOAaSb8xEGRZQi/ytSexLEVDUaCwJ
ObM5TckL0Lr4Af80nxtyvGNCKAFzO54nVVFqIfmfXUsXcaz5gMZK21ddB4Dg6LerSb5wc4Su3OT2
EYTTLq7IkoJ1eOCIDY8y8FOUlIKcDDPTSuQIuTqln1Szk8DY67+0ZeKvmqBiM5lfbTGzB1h63UM7
g2jQAu/gCKO2/V8rA4rbMvEaGHgqCmyz/OVUvOUeNBxgSsZetPNzBLuQKiImyeKBqglq5/wBEvnI
BdirzZ8Ai1M3Gl/axFUZDBB5iToy3FpfsKMoYa7tq6gIRUvqFcyQ/XhSUIw6RvLIXqHNPWbybNkh
FW+imEvu1Xww5IQONCJnYITjfTRfYiWytfRqH93krKsWm20946SP1bdRQskJhvEHHulfNGlMUY67
DqjlgGPu8O6H/xHO5l0Sg0/N+sOyFEf6vIOS/jc3MKxi3aqhFA6o4TgA7LpsGa5OgMQ5KyPqRnDF
zDr9W4wR/cE6+g4cWkY0qW2376gZ8csrZ1N5YwG86SS1i4AmH/A1cJ9gHRkHJOtmvmltw3xjYCbe
RVG/lrMtyIlW0Xqg1Y0bYfwspsQ+OEsepwlagzgpkk7kR1h1wISuFMglK6eDj/g+i9+IGzkct5b4
LNrqvJ0VBvp06wxCHPy2u0ZR7m1Tk5k4V92TMBQjxcQZPLh3wEPrTCW/QZC9y3DnjQPcipVP/2Oc
/23M+jlLugKpoPjNhpbG8ch8EF5GXt878Xjuw9q+93X7RS/bdqo+czZR45hvu7p70Fq/jJO7J09w
YXa4V/HwkeMN7XsTLZCeW20fJ3uZWJV/jTVOdpU+L2GcuuCybBQk5GotMHjKdVD1H8IhsFMa5Z9x
tFAz/ODHNtQGJ90WRPiJ/rujQfl6Qotkac74WUjNWY1xSeyOar/Aerb0txr4iKUURObOR94ajzkO
QRsV2q1fdULNbhMwR/rHaqqdE6vozZDG9SZtPH9VlNWpszABcZE2ypkbFlS+xIYmWpT5JkaI5XI8
AiMpDUKB4Q30/8kzw7/WaOLXn9+NZfVBT/Z89Dr/ATl8H/WIBJZiBvALxAgsT/vO6PnrQohYpiqL
A9E9xoK+VAftzL+W2o09WwlWctzdWH/ZY3Us/Vjtp1gW3KCXdvaMuc2zzPVyWRjaud1QfNAcAn/r
O2G1CFXWZszd79BpH/2pBcPKfpAPlpJPMfwrF95JjXLHI86k5FDabGDqQtFyNzw2u3lM+gMT2bSh
fzho+sVFdPTzujhGEbrNPLZ6Y7qdT7UqeZzZPgV+sBULcDlwYblk+mJEYOt7e4R7+kxxSnip3fBZ
9cxbYZA/W6W42JrxN7f40WurAk7a2H/GGuNxHHW7eIxbxPpYLe1QdHvK6bEwUa38EL5hACPFLfN9
SYfcJnTpPMlwOst6fvALefIr4zVy1bULNLYX4jzIjquqr409rw7Oc4XE0gh+VI4dPuZJznVJxFsr
NpZ7728f60tsNsO5N0cIUCGq2k+IVLUBRBpvdbPzXHERMeRZKTHYmiM7IWtKPirPJmEwU2ZiUrgr
o/m3Bz3M8qtbiswrjB1t8ULzEi/5tqQew0uZDRJr5zvUgRaILJtIoouExBUXOXsMByKe7siqRx86
T/0iKXw1yPlX30+3LA5/sBL9yxU0zbIO9177W9X9WyumfDu1zROsHoLBUu4jSEWVukKbunM2cdXx
uIvTPd2r5px2DM0y1mvCYS8VTRHBRA9pMpyLGbQOFfZ40ZcQH1tS0JoRhn3rkmgyAYXn/bazwGVS
ZhOOP8FaDbONADvFfGu+JKOfgIGL511jow8FBm5zlqUItO0P4yTF08sC2m8ASuTFH4RNYIn8H8mQ
oMgywcTegu7r20sU0YahKU3nnCSlLa9BMcLhp2RrY9Zmsith7diCf15nffQJQyqR4BW9cJo38cnW
RB9jDnlBKOaIYeQB5hrQx5h6ELrr4aJWyYORqgs9VsYukBjHgmzY2JgPyMEEaynddxGBGuIvd8xX
0n+aQtsdQg0bPrgArM6/U02a0Q3SdGV5GKgHvEFV3l6K3q53Q+GeKGPfYUfeQjAy2SWtHKMxd3HJ
zoPSnGNpcc5Xcz9fhrg99SwHr7lklctkujZT+K1mB2zFm8gGk4Cp6/jaMx9wt3lvl+KBvM0AhRMT
BwGYsn6kk0NN9j5L0Klr7vXr2HCnTbtxdMw4acSfHqacoWTPR4Rjk/NP1C1GceIirAnnoti7kiek
imihctAA+bDsh87eF01CAqvMJ8QKXnppROZTW4cSkXsHXYwoIY54A46DGton2UzHQNBaO+XtPplg
4ZDvCa0BS9sorgZdSyH3NSjIFebvzn2p2crPOVZMYZDZSpuB/ALenMXm6LfQb7IZySeZ5DsX7J3o
0lcdktVGT6G7YuRcVfbRZndL/onfnqUccz0l0OzSMZHhDujDhoBYQSMr3e5XTUk7A46v96n9nIyV
PLiZ9VoEFJpFAhzUWIlrasgaFpxwdmFYbHKBm7LTDh9rPgBpD97QanFAN9mxtRA4tcnaHK0S4yjf
IWxZ5OjoZXJn3azdPFuoWfor8qZD0HXvmSK+jjjMtBZFl7oPyZ5REeVl9j5qSiYNH7WGnkAS/uB/
8DCVLxn9w0c8pAzK9iFsi3avCb1DZf5wikFfW++nHBiXyWVnGHD9wn4cWWnimqWuRTnqwDdjW6Tu
rqj5LGDWHHeNFcMB4+fPTezJtPAUlXO1n6LxKysmn9vHHyvmofXm4RPjxXVKJGjVub37rv3qxmwJ
iAb97e0IvYBQWN2gGHQh0LEqgBykJdvQrNhWU7AJMFPs2Fe8tu706ccIG9LuntrCYkNsJ94qiE1M
emWxj8xkor4bVaMa3HgVpdk7fUusg1wAFuAjnjRKJgZVvgmJ/xAJBe+WDet57vyLsi8VrottMg8u
u7FloVvNGJwZ9drk3g/1rQyNq2erxeqPiljjVihiOpmYAhHGrIsYm2YrHfe343aOZxSYfeLTNpKC
T9+ECZJNpIYblVjhOupoFem9A2YSssUztdyjlQXcBHAmStDDGx+HZSvnQ55+1ZRtcCZyjAX8YhNX
Bbak+BmKFktclwWo6fu/WR77B4a1VZFx5tBVh9EtDE5cm1YWBT0DjqM9P15g6SPLN+xNi1GIdpNs
zg4EYn0E6eYpG9kHJCV33ZSSsImC1L3rjg+C6DweJkJMZTRS51Y8c17O+4yWMu5lyBxmYi8GpJMY
MOk2JbeCKK/oALIAeytTMwVgRmKD4/DXS9izXsTyIJn7m6piKkBIsW9Nm7qcKCNoFXS43gh1lE3o
rkIYC7gyi5ocps1XG2wBFH2oPHods8DHr5xgHXOqw2BN2Ocap9xoqz3ltXHrR8GdqSwUrenjykI2
2khQ9it5SBforS0wnVkWvBeJbFP5XHs6nbDmrwi+NQKkSBpvTEicUjSIP748saXZ57EQe0y+7O68
8NrGziE1xHMXKirpWQTw9sdNGzlsfYMkfwqF/YTkTaAnAx/gpDUHD75IzKZ1Ft0TBkAy6ap9jCgy
RGKwqXqOC3UZg+nZWMJf/ahpMxx7RGvD3E893FgD5wyBrKMhsKo1pbULRBttrJhfzeVPLmSQipaV
EBgQLdmtOe/70GUL5ISPMjMgyFQEnJyMpb9Ckotuk5nWL1ykAxp71jQ1w1PDE+ROUX1CFUSxg8G+
EVO56Y3qU5iDB/pzAmLUnDyqYLg8SPr9xhQy99w/mNr7w1LriYB3RtecSsh28T2xi88soLitIQCT
5vFfPRF+5oW5KyyOrjIJjnrKi3XWYtOuQeytI4o74/lfXqHOeij/K2Uc2eGzy6yib5PaPxK6IFxM
8eTQdLCWWl+TCB9xArtxl/I69/G41q3Nfa0UeFVyTFnqJWq4mvky4T1gstKgBUrg/Yjs7sjG9WYB
bMZYWrMCJuzFLiS7VYMP2zmZIF1MEdcyVjedZ0XMbdk3DtH4gjcpUYDpi5aGbJe4PsSlfZ+lBMXF
p0WgdyspSVok6wOjJt3QoqmgcxlvcTyZFP8O1hENdCOXVLmJzWA1+CChzeEXaGiyDfC6DKnzMIqU
qjgSkEsbkcvVhLE0C4g02CE+UWcrY49b75jReOZN17IFMcxJ+Ree+psr5gD+Lhk/q5kvlQSSnHgu
TgPf/TCwjGz9JP8X+FiEgLuprVIn1IEWKqkFE8KJj7GQDXs7HiAHmTKmayhyaTfHLXAd0ujuQI5r
cvLdLPypu/DKS+15gJ8D5xTmQAbNZW+haWzg+PUztHDOirbQ8qsr3I1JvImE+Fbm5XNsky8pBuy/
fvprd+1uAkqPqn1qK4rlsoZij7zK/5QuC4jOeeCUHLbYiV/mbvixU2snAmzMrgOsYPaiB1lr59CW
PDdJ0H00Jvg0SS3GQiTIOawxyihIIAEBZRaLZA+lZ8Akw7FhTNF6EmSuxwHMr4XOEDQt4Mv+Zmnk
0KaC2Ofl3bejYCC58rkj/7GaSwt7Mdc4oAyYpox7iAN33TQwkbOiOrlAKkpOdEb2Gpsy71uHzjgr
w+1O6/Ud4Ommd8oXwjNr2o7Gk69r2HvJgq/KLRpgMXou/yStQJDqgGbWLgGnGHoQfMlqVjEOcpn5
TzIg+lD1j+6ApBHmSCm0XlHJmOdctjN2QBZ0Ps0StjEOZWC9S6zgfa6gGJLDA0cVJnw4yqZk50eS
M5zEQ1HiG1AC/O2tFwTVwyKL3hGpwKqC75ugVBSYuXJNLAUH2yprUCSQDV5dykCcWIPh7QmhGh4U
T5RwK2zgg/CbBKzJrTKMH/y4D14y/wyKSyieVXuT4wqmNExgwpbnKvT/4c3ideRW/TZw31qCL9Qq
et91HmGd9sxd1BA2aTnIbG1eyzx6zkf17fmSqFq7YoH42ngPIJLxjUs+PoSnbzqHPdpRCbnr5cmt
yaOykFonEzyJtFQP/oR7wtRUGFYUx0VFdrYy8H5FcE9nieslSB4zvlh00GlPiSXrjD0RlX9OykvI
EYuh46ASuu90Hb/EE91qlvuOhF5Hw6mvZ9SDgNdj7czrVBLWgyTwWk5Dtx9CmgIajTrmohpv6Av7
HMkFrd0M3UoTdvT9BZmapGSdQUSsXTwTD25H2Kc31x576hsZpRwhjeGA9Ghfqb9jR0GvblltiOtY
8z4eovSzGzvWm/pocNXsW/dPoP91qIYs/8Jyy2Htp5Ncu0vUK3Fg/2hp3XLL+IbLvUpCYn7g3T8H
kpPzAr3oZojbnneI++HMC83Vg9q09gT3MJEkLydchF29lM3GOZbKdD7PXC+7uV37qEejoU+20/yS
K3jx8C70U/4jfXv5zZxOSRDloC7Ca97bE4Kws9Yq+mwdArpcRP71MXVBRuDclUdOo7YwHfntwkhR
UFUlWIi5fPZL0R09GGMrWuc8fkUQVrizg/olSonglZTXsty8eWwVHLAZQkLE8e3sDXwEd8FbC8Zt
49IQmuDTQAeE9eLUEIHig89/WRGU8zAAoC707i/SoGbrQmDj75Sre89gzarCupW5JMg15KcC6GTp
lOfBJFHbNgozEY3aJYMeGKSd1B1Qf3w3Kg1NxJHp0tbJt4G2VhKRxQl8zu0X6ZYA6jAaaUnwgc3k
Ko6jP+UU2RTS+ZeYXuWIf2iEocNoRszelNdkvP8TYqUbfJRrkHJ6U9JLgpM6exQLAcLDHJsDeSlc
DpW+yDmkR+sGr+Ed1DmLprj7rngLdLPc6MS8tkPzO3OBz8RAetZSIT8U8RtO2d8wIxFFXB5+UoiM
7EXftdPSWW/usF6eNFjXsNQfczamUIh5z1k7WwQliQKCyt3kOyunnXA40t472uO9MeW1lhXf+qZB
76UG1gM+FaqliC/a5zyH2zEb7sR57irhhGway6CAwSNBT28CEVLfxMyMnsU2h+cSwdvbe1HHsdm5
XABYAYq94S4hNJ1+MA3dqgLVktfay3/GzmvHciRN0q9SyOtlD0l3pxhMN7BH69DyhghJrTWffj9G
9c5UVQO9e9Oo7IyMOMHD43T/zewzr3UeomLQ14U+emvyFJQ1OYcu1PdyejTGdp+4TsBBhT2JbjKB
pf7XYK5CVTr8fByKIPav2cLcKJpWZWtzKBn7fQ1gbygroPr20TTMq5AAQDjO6H1R3adjcy607J3p
8Q29xambPHhldfDoBgRZmK0gueElfupbIgaa2DX0QTYl0kVjbqaK5gdeBgbNc5Va3xZ1mAwE5DoM
+7ep6M5ui92lketETPcZ/As5Yh7TDQgPSq1pQ2cOFHy42vDkAZnXDY0fpjio4fk2s9uBtW2Mbwh+
7Jle9mm+KvJZo+mc+zoIz1rbcMTwcMWgamnjJqqnQ5uoB674Q8TMd9CoVC3gqy1FGj1amDqgtLB+
2MXLoEmiJl4KrWqS8HKb4alh6gEhlPNrNGGqJA9ZOvWw0ogs9u7equsVzt1V6oN/y/iY6gPu7YmY
igK6isQ+vzidjmzVuufSs5f+xMhf+ow4HTJvkeM8W4P96rk+u9aw/8qS7N1oHXpw/fBKL18G2AeU
hyzT2tnFdSqWysQS3alnu6NXtoQiJ2nJMTJ5BP2yQm14crtqVZkhwseut6bN6PUPXppfh9Gw6wja
WI3K8X8Vz6Qccb+KZ/BS51z3P0hwzuuu2iJDsqNFHcCWRBd0w9oyvBYTn0e9PusoP9xnfEUfoKnY
/tt8nEKyUzDAiEZOOAFGFitDe3VLILC9CeWhzXPycmXFs81ah0m11nFTsSbuawfMBQagINBu0wi2
O77yQ5RObFBi44l61JefC94hVOPHwuIaQ9+QETqBOS8XFQ4ekzEUWUFE/YeKIq2MQJyt78L2e4LG
4kf5nSwTmHuLqCe1OQSwdqXN2K1nCWjJULMSr7R+OlVUTU4xWWIRRPuoQ/Wb3+k+DV/jIXjoOGAt
ioYAUnsJmg8TahLxm37VRPmjIbud7pBBkFhEdETSVdubAMzK4mCm2W2bR2swWDu/65diEDy7yzvK
6iNO5I65SXX93cNUhQtXWJtqaDYKFfNciuGEYwmPcKl6BtDpTZ7D4iZNiolBamsgJEjpZHgKXFpl
OV57bUrcNfHPwdzk7gKBKVztQYsQTG0pkarwuUY3cTeO+6kqriTgSXZx7caSOCd+Jhx9k77o0lsH
gbgoDysZc70zWs976/IB6PPnGrWJRnIbCpBLe7NOO+mQjPdIWpFTP/qqA6Vv+4/OLARVAg4mxXsY
Bq/t0NoSSBwWHdXggdeSNfihy0ksocO+9K2bKBhjSgCXQrlffs0HJi+rcOk48kOrYBwwI3iIObos
a7TWGFijaM+B6VCpUeH+FiK6WPWmqsjKDLZ3V4CTYYbMASrwPqlWwwR+5FRMz4q5rMphh/x0LlMo
d2Fw0ydVQmny8JTd15a1n1FQdQvRoqj1I0s2TOU8hf1HmQSyTPymJdlNZlnUCUe3dp7d9DrFCtNW
RfIsB+e9d8DZDZKAv3zVKZ9bUw3AzSnwC3LDZkN2nxhDuzIqYC0xlQB6UK6KxngoVYoMW0CeoCvn
oDSUzyAD44tvGP+OcV+URn+0LER9SIrjSqRs2vh4Y0zIQ3EQKQXUftq9dG2xd3D6QoSlXgalx92b
8AkmcwJtAhZ5YXRsrFJdfpsNlwdip3HCELrI3PFYjbhjoCRZi0iJHbyikyn6N+xX7DeD6qsY790h
YprPMAtzRfNtxT6Y7LxDgr5rmOosAz2oj9hE9NL8VNqwx6ONJjjU5VzC/lVikJzdsJeeoBROV+j1
vA4M8gZCSTr3+zGTd35GzcEZe365Cyfj3qwHf9ORyjSrK5ZlnPUBu8XqPUBNX9U8ztYN0+8lybzX
eiJyRZrTlb676xw2p2RYvW7olknrnSwBI6F1WC44l0OPCLZJAnuZoquI5RBfVuJ9B5JbAsvhYhyY
afo9+pgXM6K2qkNcVQoIE/CY0dTuxqa6dKrUtjzMb6IxXAe2utLKqlsbmkZpb3KE5vus2GiTrixt
juv2GY7sXLoFRa/YSqc/90KRRkrro9e3J9fBMVlXNRkIoqSLBDl96vUNXQXsKRLzfQx8HhwYn7Bu
JIuQncUyy9phb2finJf0/aCs7ngHYp2jojSiQ4OsjmsGz50BftFpQnM1hTvbonzYr+gqtiuCjMCZ
Qt37tou0WZiIaVtD4+xUjcZO6TbgllojsC0ZYcnSti76dHRbLO/BGK6EgBjBXcXPwNPEDkknyolv
jP3vSxYZX4Uwk2MqenpmgmgpmOYvcovoNVrZYdS1acuuj/IVvSByja1H2hXm50gy/QOJhC0bwcGY
TgPPDAqXWhK3y0oL0zM2SAxFKF7AEBhp8JyhsGVZO411Zpt+KB1aFFyr4Q5X/Vugm/dNQy5KVMls
ip/ZlFeCLPrBNtnw66pHknH6icxec633w8BYxq5XEPC/63HY5D5nQ5HLPULXVWebd9z4BjBhg4R0
mt7BBXnPDX0LGYLBUmoP65YH6aKOnHBHNBR9oLlA42EzqsO4I8V15WhXuk4Ddj4ap3by30WdXOqi
j7CNUdSJsL0cY6QN0KUfEseE1HZtTcERGRdGy9F103J7TVVQL0PlHkOdQ3/Rz3VelvwW+vBghejz
HE+wTFd7jYDuwkpynSrs4NiNyZ5YxLI2tfoyeN2mYgrMRjStGVLhQUsw62TsTvO6ZFqbeZKpAMFk
OeRPUEa7bU3lFHoW0qKvYTCoCmclsuqKtMB97WjsSXrk1EgG9ToProlTog3o+Pw10fGuF0B7uaXx
gy3o8MKBJNVzq6sLLfQdCTt6PMpo1Qa3pj2Do5h+s3fp1hKBkE4aA24BfGvVlldekk480IY9YZEc
p6CmLadjrDEq8OJ+GTXAD5pEjWi82gemcorrrNcAhM1azhZBS+JQT5ENQtUkewfqH+0TSKIjLMil
lhS3LWQvOCA0sUV1xtfzDCdixkans+ynSID9yIZabjovuGJ2cqdKWyzHrV46DyEmuWUHppLy0RJb
M7EF9gY4fPrSXuluAv8G4L1XCiwOeCAqtwZfTiChGHriXDS0b4AA0qIxQ1o1jaURWLGbGtFaN8gA
J/klqXvct7b9ykTdnAuo2ffIJmP4jESkcgcsEUSdXp1E3Qa7CN/aIsBGG4xE4ujAiomql7eWCaCO
fksjImhVZPapKAzSOy4zAxclo4/TG9Mh1Zar7i3HNTtnkY5jPz04jXnTTiWMDG/T1E69pTPwe+z8
q37sWLDbZ2T0G6NvQLepZumNIts6JoW+0I0h4PPZdf3o0OF/6gnTekF1m/fuE05amIxdIJfFEs2O
qmyqLahw59fP8+6TLAGDMdR7y6UjD5OU5D7QlmzqYr6d627QaekCI248WnA7ySxIB66njajv3soS
S37ASotRXCGyTtq36ZRvwmZDHXoV5kuxM8z6oeMZtepkc9UFHkM0hv993RPorQySaf4XiXGcRuFb
I+C18GyE9+M392zzP1G0tqqMDkPdX5e0dUEpiz9Q6Lga8stOqJdv7BIlaHrDW+hvNE7pgM2iMFy5
EEVvlIdyV/m7xBk+leH3W6kHT0bI1Q20R70o4XMrdzl18McqiGcLUWrdxnIzDookfhezg7NU4Uet
NzeZJihjJvreWIx6cFzZeEVtgiW5SxzeMl87zTtWNXeXj+aJBU88t0T1/AS+pohxzZTohouQcRHO
2uEOXxBE3a3LSRv5r554a3jg1cjsxejy1MGYj95y+ObM96jNEepSe5ni4ZYlh0o0D6lmFOQ1B2Y4
Jj88wRZj+R47E6f8siztjUcnZFPzo5pUv2kMyafCDLbYTZ8zBgipgSUr01pYGaxxpYJPqtoH2Uzw
Q5A5Pf/F8Or7TnJks1kZCEZj7Q6Tr7pMQNZzoaoYMBgn/ocKEoznhK8POXTzhWvjtMOa8FKFVguf
IVw36Tz0GYBA+Va6L+R1WfDhqgZnmwFKZUDUMBuNWA7IBCLH3OtheVRuY69al21DmfobS6T+0na8
N1lwy9AZ9W0h3PO2pAf2xcKF22r2nOgIvHCc4dnOLXENOaFiVi/xz4KZajNOElo8LFMx7X0HB2uX
9u4mAfU1zqegkjmcrYpXy+6pvLM9VgjP23YTsWMMj+x5ebhAf2auMU1Y7IPgkkV2umLGAlvRoMVw
kPEzhUy8MyNycNEOV42ODq8cno9UZj8YHnLTyHNkQf7125BUu6iQkDj5gGWwrezxzvKHbdBiLhgn
B2XqJuAQuqHnDQOFjN5MHcFoKsKXaWbqMfnjJoVBkIbxSdktk3U+KhlOxtTp9ghVd1VPkZ7s8uvI
LnF/5hdXYKJF/CIxrX96rGG9AepmsmLMuw5lXTQRn+K64L4Ndy3QnkP6QYTkRbTEYCN7lgjQBEEw
Tt6GJdAKL5SD7CuTIS7DeIapefc8c90R+hcsCfc2OGo2DwzofLYQsYfM0RXW7JpwN/jqrjj4bcvU
uk4SgAYed1k/eaDSJWG9Dm/fz4HXocYcsZeRk8aU0Gzf0yHYl0UDpbNwd5XVD2v4iTNIkUEOCgpv
dZctqcr6aBMTahYTAtBh5kvcCYnj4zWMjWnj1KSoyuYlD6sPd34CBWISgGOnY5m8JmhUdHTxbLSZ
DK9xQl0RtB1Eu8K5C+SjpF3GlJ++MPBmOMnF849UzlBSNU0o8ma9jWDnG3wXZBG1N5hybgCqf4lw
XyX4M8yYUbhuKrgkTX8wmtuRm5OZGy82Wth8pjmu2ymTpomTSVBfY1c/WhMM7tY0SDywtwyJUDDh
Nt9zDl58aNqG+U3qn+qMsuSkViQ80hRYnoZ92E6Hm0LAFkmkBODSsN3ySf6WbIpg/wJtnQVZ7JMB
a8kSYEtESIw3Df+tiHjvNLvH5hWeBjewNv3woQsC71o0jz8FG0PX0tDVFWvRKJOHQvQv1TTgkHbG
pRP02KgGatgTvCZ4ANk6EgyEfRfSkjEoLEt1c8ri0F+PZvZEZHxlYa1Ztk943p8yCCDw/4Zg1frV
cbQQayB/gT8sW3DciM7c62jtpU1WAFomKZkE8wJoj+1kw7Xp5pMTx0Ldg4TtuMzc2wj6b2zLXV6N
a/yryXIczHTFasWPrjDm5sSIGlnsKoY2bE25qWCW9VW4TvviVkHBMWL/Ogjyt6iM2bdVxQeErEm6
aq306JEI9XQibLZKTE4gVCjDUaGuYYywtLSqEUtdY9oucyo+C/+5om/zasBfblrabV11n+TEpw1a
X7Nq5IWy7nTVj/4bM5FH5X5OHazV3sMc5+uyo/KE7MHgade2jjhnsJESonnQ9eq2VwHnvTlLZnrd
y7xoyBRK4BjYd0kUXVl++qEF+ucEeHEhYgQt5KTGRlP3WrNlFvdkdAzKEjDBXtg/mATxV0M57sqk
/ExAma0zkd/aVfLaOqFiaBrDLKRraxWr7LkehAWwrH5XDHVx0Pk8H9lpKaYHTvZk2EG9ciwyTB1W
73F8oEBsYAsV74PhzWAdDrPuhtzfM9bAgzfP5Cszf/NSPhKVtB47NfB40hwKMjmRRMo++PWTOTvC
x3ywwVEyZ5plNqTPZgmcJDrFWLr1KXvKXOiNbEneU7M8RBmirukhWjm8R7rumEs+inTPcpvS1Jvq
0SWmtYXJJ8OWjtySykHZc8rupzDDKg7SRYrwVriM4WojeRuC8TLUabSgc46z62TPwa147TWkVEWM
jam0WBNzv97IyPqkqCjbBkTixrTZjQ6U17EmKcKcn+zHfSigL3b5h0zhguUGiYwSH5jd6isqICBd
ZN2dgjWCDuncen3zXDO5B4NjYwxcqiK0OXRwJ2L4D5dlo6drbOre0LgLRqbfBSWecdYV1JHwyWZj
3Sw6FG045YKrFX5k7Aqxyud896ra1TbwVMREPcrezLq6sTr6PULts06g6jAhWRsWUlxedEQIcyhC
NnHLuu8/FBS9nz/0gcInWgGFGzLF3JReAF8W1xL3CjBmfKBhccoFR/545GnmTd0TZYxrqzPIuJYl
Ll9eWgxofct+HLE+2RYZ3n5NOO9YulZRzYhJ2BxHGDgN8AKIKKEUcuxAgxLTO52VS3xaUDnc6rEC
k2zW9dfUoO7PL1QWJNH8uHhVbBFWk2Sd1TJv7ebiXNWo97j0NUdnpE2K2bDhPMbM9hJ8+xDicKfP
L1iXzi4Hx0/8weBfx8V1jESfmIfAax7H+Sf7RpmuTaXZK7tbQSFYdOZ0lxPpgV6HLspNcUhBa41E
xNdlaNwGnCEIJO+VgG9GYtYl/yO2QtHi4xdfFifHhdXzGiKbBJYqjslIttDuV8bAU5ldOK4SN1nq
hXzsscczIuyvnArdpLo0g/9KxhNCnBQfHf0oUwa+yUsVrpahfQIEs4YpxgOXIZ7m1WJrUjPpVTNV
EWla9zlXamWBd1QSX/VM78hki2RqDyYy03zkDMRjnl09I13srvVSnyMOnpNdUUDDrJc+hySmXbKb
i3dCkqAbrP0Le+Joy75I4+GjTqVYmrosEPBxcnt+jlAZMaVFSBQbzTe/XTHumDdBEGgDuUGzJJcN
P8dFSFRAbxknGJB8ySPUMnxkLhSeym7bZ8b9JDr8Tc1wp3Jr1XqJ2LqVm/L0hds2ANbzM5KiVgE5
RcUHPRuSpWJDK1nRVyHDzK07XVmaojecIztIckCjxAcWA40+IFJ4l92QzbCU2RPTiPECKmhYVNNr
lffFhuhkxcx2niDP71SaPLk95n6vmRVKsjpk7Qa5JCT1DXuXk3Ek1tWAtpPnL8LJ955OiTDPk5Xf
8Op8CieYmeEb8CGrwF1lHA/aCCckp0+snFvXONBwB4+DAiLY8JFYTnq10iHaLZqQhKvJMgCV5kVI
r1t2zJ1Vy7U37OYpdxIdiDdbl8pkEGBO75TQXo3RVK70VkCIRu7UypFFevjGq/QeZCVj7yGgDoIB
VVPySl3Kxyg6ogppKQnKDYO/L0t5G0f00zLLpIyLJBcuDUXqO6C7qsqmN3A0amP0lKPI/qvQ+2Ln
4yLK9QnujCz3DJky7nVCohmmIjxF1XuNjrUwJjfbsKZ3Gr464TdnPEMQiVDa0JzDkf7RpG+O/MeZ
KRUuNMjXPHsuRbGuYtL/gWwlMAse2oBIsfmkPhu2Y+kwEJM5CQOvTDXktdlslBi820zvQwy7C3cW
JKgnuhfZd9NmCrWadqKAKj+8gJDBhzUxy2ljVy6qK3gqKEnWsh0mMhV8kpbUXPXrUHBUcXmK8YSy
t6X30DMZFS2IkPBBtE6NECvvTMxeogvWbYahh6nsU1Jmd5xLcMNyFeiWGkZ7Zl1sfnJrEVUnYwHj
gFgDPtnWOIUB/mg1sJYXiv2wxdSdvdZmmHzuTNe+Tg1jTSsv4zZi90vNZISrGw9Tqm8iKy12qRDQ
rDq1aAo619Fpx4XfHKnaxesXPrUhJ4vJ+8rMmv1DsxTk/U4MX56sGeVvkMtZTE3+wYT0Pe9mB6kJ
7pqKwJQswAYDd5vgAQ/nvFs3INhzHCfhVC/GBIULfcLp+Xz6HAew2tPCDaaA3A/6oDFHraZYY1QV
hVdJBFPZJKG8tDk9cFzrMxjstXFb9uZnKvkEOulIB84UltfCSuydPhEIswoS5EatmqPjivKaiNyt
FpGctXL0qizyUGgpcGhLiOfpyKIzsuJYI6Iy0e4HRun9qos7Z9v6LmA6L3yj/uqx6pz23p+QKxrH
vDK9vLtv2jjm44WDFwfjnpNg94Syd2wbrWHSZYV3ERZdMxk7rmUP921yUBIqgJGlaW5JJw+vVNgW
66RmREIJ74s3V6f1div3CmgANy00WGKOx9iK6is11gwbuzlgMQFSOOhW9GpMbfRZRfrFpTvqKRun
T3dAUVorxWnMxt/w4FvdPPRqbl1nAJeYhDBRi66o1kJr1CrzALlS2yUOxBKK2wk5wbZReg0nePfi
js0W2IZbfrG3ucPWNXVvjy6FJBVRYot0Gp1y3L+nYBxf8m6i+aBsnP2YRa510MTRmcsSf/7HkP5z
/VPKRhwXq6vV+OfQhFbWj2zIg8lHM3GlAlJna0wy9XZCZns2eqcmCQP0wEsZ6+BIZ2Bj0MvpFWib
UZivA5WmW6frvzqmCTttEv7Z0MCKVJIYcVKCI57/r9jUtC2Iy7uSMuJjNaTxMVMMqLGIJnwSbzyn
2nnGRI6jlVtpUBul8vzglVRUjRbcLU3CajR1KgztUpM3LIDqxrRNd+mHobmhhjUGEJ9Wa2mN3SXJ
3O4SAd8E5Oaxt+/nIsFAzDuOn7eGHUax5VayNy3u/b00qLwta8sXzB5hA3tJ7h0LuC2E8Djr/1Qo
Zz4EvIx/t6Gtsbh4IyjnibzJMrab+UsSnNkWOjrR0HBFP1L4nllI5RJO6u8XfTLlePzxyAjbji8u
RSBqDMZd0Wi7nybQKqN1OzY7ctZ2xDHTDc69skC/z/8l5QQ8LW4yUnUj+GkDKhI9Go9xEDSrUuj+
0eit+YGUAN61TeoA7JBcNc2oOyOZEQtzCaGYezx5a8Qp4A3YKpg8zOyVzRM6fubBFO0HS5tudLiQ
u1BqOIUYbvqGwwG1wpA7QkNE34my+1G5/n16W84PtNqkLouoVPs0KUJrNrX0Vvtk+EMpOENuDIrL
MYCwFv7UpflmEB/rGnPkXLDpwzNbpVUk9zogVTgaGMUbNl4H0aQYVbTaL69lPD42MvMOze/3bjpn
U+abOibRtytceedb8XCWIQ101nznYluJTqOKtEsyVI9Yo8frKK3Ds+3EqBNiDN97FJZFWODbwQSY
77qwro4ZFDuSBnzfsQMZmxIr6dmmAooWYDUY/bHxiILN75996Cgg7Q18SEyGI5Y1HdnU786/v0So
Tt76pzbSMP1iEWEW2Pg5RiCQ/p9pYo5PI+wIvRjI37r4YWryIuefG7FSFeYgaaQ7Ps0dLs8h2qND
MUyyJrAusiUamWefWtSwyuuBvP+f/8r8GNPKfNX4QNBU5s/gEzNvdn1dftqBsNYp9UxLg9/SJUJw
4lmb0UZalcuJAOQuqHznoIwPRIzhPIoiPabgsUSu6qvANO9+3iMgN3PqmskDrRX5adJ1dR9bGNiC
wnjp7LxZJTrHyBALoGyO3BE54Uzb20cPUVfJNQ0SvF8yovAcE+HC1DN1PzTU/ElIs5jWPUZRDbip
IDWXFqnoK8oWGIpAXnVEeaignV6lLbsPxy1vCKncslG3rnPLbh5KjqBBWqwmo0JvVih0cFSrk3L0
5EQ5FPiicYM1GfDnMJZ3Fm2mpVa8h647Ppe6pSO19LRd2O06rH0G/ckQH5UoGcDIOrqx3fJidq67
NnQvv2H+STaAWtqVX89Xw53IReo+OG9Ou0vMUf2ZHKlG5oGeYjLKwW3VOzdVR1dXUfe3kAGtPUd2
zFlxXzylw7cXTGsJq2Qge3Hne666s6TDgUVFr8Cv9GWkcQT2m/LiGMTvpYT5JJsTpFftKmPNnEun
0PQjE+iNNLKTV3gYaiFqXGCF6tc+wWk2/pNYgM3qvA3VQxfGHZxIjNIuALR/9JkI9kNFWKmwyCp2
Pt1NFnluzqNw8HTbH19JlLC1Dapt7sCC6yp7bY5V+tEnUG1BXhlnYWQ0ygzlE1E/AJARjEFfYc+P
GMnegfigAkBLo0+0g+04BIeqKayHEnftsoG2dd3H7c3sTl3HXV9AeSKub+c5jZop/Jqfj0VvxuHJ
Gyf91Gv6gFxDTSCwfm6aTrq34UojewSS3YkvzKqol6xUeFJBQm+jA3GwGmkkTITk9NHbx1yyhyZ/
nx4ahi0HMWKmCe51xmQgka1qOZV9ubeVXW2zAuKtymTOQom7DKT0Fq1Q7abYcdbKp5iJANm5NTjc
RIHBMk94MHIiSNEdRMXUHCiCZSDQA/oLsu5qwNkIQhWrTBhlDOelSy8rizrmRe0iCPYoES/hZp9j
Crl3CTUgGItyIBr6qWO92DZNr8PznK6Envd8DPFthoilazzMfJh6SAD9MIFQce1lWVHEW9NIvB5M
8lsWabNIq67tGKS8gwUXBDGkhqbdBfjawSreVuAl4K30qx6IxgkPl7uLeY7SMUdpCV512i9D8h48
UUNoov3JgVIKMDyJVykSlkwqynDMlJkIxFVGOAFNtoW9M2kgzYeKTW3qcBTqvIfWSdeO581PJ+9d
q9JpRmkxLGvr9VSq20q4/ta0XLVwC3NrZ7W9axL9JTPlI/uIlK1r4SwnB4Oga0LqFXw0SKYAkO3i
XcrNmEW+cQ4HGl1G3PqIaQ6GTv3I2pZzLsNelGnhW8oTStX4ohyDbX1Xp1uLm3IdtY2xzZMcf0z4
gg4WLljUySgRuIQ8fdem2ms4r39jLa47FnEGq+XVGFvnYETQ1wN9WolOfxRMq5a402fvlx1DWjzh
PB4eeTmogrh1cpovRtidtCvJazsboS1YB041KDCSbzpA/JjDMUyKMAyS6pEbMgcrP5DxPmHJzUje
2Kn2nWtwCw1VAgHpk2adgwEYGpygIkzoLen8w9CFLwUbdczREA0IMzwMRQ53fqIwMJ6+ByO1qavk
x/J02sCz8FaYds+6SZRsRnxQHxbsQ70nUzhtcrvn2I7stNTlgIRX2vNEZim9qDq69D4PJsFGRy9v
SyHObHhzPjXVZ8W43k4UUzWcSIWlEaXmy5QKHJqtU3s/GQ721vJZ5t5VY/SfXk+ItK6tV5eDW+yo
I+9os/VkvDMGgf3bHh8BYVEZGvdXWtaV+7ChvLKb1comNZjX4giuGAQ3iraNqCN9ALY84LRfPxhN
7qzhNufUv7Ltsozi5DhOsO2UTp0q8gjcGLywAoGiFjFTziJdcaCnWmL+pk05PA5C45CcGJJLUOXU
zlFCTudmJcVuygoSM3m0FUnz2YDIWvr+bWoNzWkIZbFCxjnJPKMBokcw0qxjF0Pr7qarNMXiXxnj
oUB23bpx/Tia5uHnhcQTnBnqGRY3bFz0s5cZ6UoqSh5pA2WZWIQJ4X5GsvSA192NHXOVNaeCRIkn
IC27G8L4yYp49oGaokcDGMRCdODOSZFSojjqd5EYX2pu4lUz51bsCCOjw0AMi2H8UrbsjeYaFRVL
3P7BzZjr/YsVYXjJPiLFFLCLIW7ZE0FlS9/HWvdIg9ijNfK8DM8OAGxA4AVcrpGeNlbi+en7jBLA
XHj2bE8hoG89OzZl9FHbUMZGYyN74hpScx9bOsp2BYsa5nmkkBLDRtAGN9HUvsuKoRZtfsmKlPBL
pmxCYqlxbY36g6VhQ+UgxcQnT14xO1pr6gFV1e4zdgeLMmcglJvMrjwQbo5SGKAdhurwHIG2RQxv
o1kd3mle9VGTJPFH9UbjPMSU+uf6OcrAmR2WG1eQPKv5XeOiZCBlg/9Cd/n5kOVVeYOGAsdjSmmW
4PW4gb7PMnzNKh0PzGK9W5/ZUWOFX4XkDOF2/n0BK4fqcs4gMtcx+1H0+uu3//jHf/3Hx/Cf/ld+
nZONybP6H//Fnz/yYqwA7DV/+eM/tl/55S39qn/+1X9/1Z//zT9Wd//7/rfvvPrtfLe5/+tXzj/u
v/8h3/6fP3711rz96Q/rrKE36ab9qsbbr7pNmp8fwgudv/L/9y9/+/r5LngLvv7+6yNvs2b+bn6Y
Z7/++Vf7z7//kvrPhfj9Oszf/p9/N/+mf/+1fEvf8/Htr//g661u/v7L0O2/YUGzDUvH6KyEIX79
1n/9/jfm34RwXRdNy3YItvM3GRzzgH8k/2Y5eMQ4/QJpdxzL/vVbnbc/f6X/TUI3sV2lDMu1bNv+
9X9/7z+9Qf/zhv2Wtel1HmZNzS9i/Pqt+P19nH8v23EMyeDYdQWqNEEoS/H3H2+3MCr5auN/mXZC
AHToZicpvsww9pBXy3tEm5m8IfN921NzaEDZXdGEUO/9loMAO3ZzSbXtriqVs9MAky08h8WmDfN+
5VJFsSmG9FpVpOuHhjSR5w18owmvYkJ39zZsa5xE2fTMMK55aNWkjqAX1iPTumMf+6hPjk1SCvDx
oiQqwd4B/ppdhBzS0Ywzql+g63vpmsjWU1vlu8xTxuYP798/L9MfL4vi/f3rZbGFpQvsOYqro7j+
f7wsbQc9IyyDekcn1AVlCsMk13JFGSYue9GGBDOYk9QS1FjJkBP2MdeK2gfAfQYtsnx6nzuA8aSS
r9iSa7RrzMitJn8KeySlOqkORchESBrmcqB3+EIqvMEC6YYU9IB9HWLjJqBQ4Ow7ILLmwyQD+xJ/
UmPaQErQSMUs0KRAsLaiG99H2n43fq89d66WnFydZjKl7R0l9pwA1QrWL0Yl/wsY9zaKp3yfiuDB
sqf41Az2+t9fOnO+NH+5o+gnMLipdAKIpjL/cukqJJXIt6sdjYbqSP3asAa/gtTLOZ23kYGutBaW
0+SMjEZAVG1K9IBeZs18Yy9DaCTrzvNogPKS7oFaKv/ikK+rmWDxOaJzCY15m8ErZBOekc3TMiLB
c4E74xLqoWF+/L6o/WlN++O94P7L76OkwyeDmYySulDWn3+fRG8jcwiMGoMnPxna7K60Kk7TZh5u
CeA+phx4tFQlu5RD1+XfX0zD+dcfrhRhbcG1Uoahzy/uDx/PxmzbhhFDM3OZMf8OVGKmzWy356X8
3Djj9NxFYqKpgYgbgCt5TV9fvOLkiCaSjVhn2mwfE9XXNK07I2CgM7ZEHv4fr/NflxFepgDcMbM+
HWn95XV60aD8bOJ1cqGooe+1aR+0GulYBnLe5B2Dhu2jTSCGQE5ebwxcfqMkf/nvXwaL6b++EBeM
mWnZFA2hHNisqX+8YPScSnwxCeZYP0HsubAqgh6q5rZDOsvX3IXXnkUoeWiHg2WwN+Nk9lV1alxF
hrpoqrnz4xHt1JLm2ZpIdsa0l5ezxduKqufM3kcSuJv9fzg6r+XGjSiIfhGqBoM4ryRBMCvHF5RW
ATlnfL0P/OJyeXe9kghM6Nt9ev6MSg4L5NuxDVNxB//gWGoMxEfjrkvtC6ML7JAu5gtYwrnNOSvD
/EFYCcDYVLyIJbDOVZUNx7ayaZToXG5FRrPNJt05Rqp9ozUq3MWw/OiFT16IhjX7JMFEQm5gPEXr
v1VcxtdbR4uBc8MYslpwMDiaU916uEIt+bFW5CX+GWRtXByr7w5egZGnBgP1GQcu44NkrByfqVPm
1cvaA2TI4q7MQhryQrBoQWSG59ESw55ZJ5zqdQqPpdpRKnkgmxG+kmv0UrY+xEigLap3YWJ0f4Yp
n0w7ul9Y54+pMB9mO7w3es4pcoW6J6L6yBtYz0U8vWciJHT0b4yalML3lr4drnibkmd1m7uAhBdd
i3ZJiWGRPhxz29G2cogoc9kFPYDWioquxSyGrdRJRmKUgK9pXN2oOnLp4DqVYjKWFedobhsQLVE1
ccrmKxHGRV+SfyCy602pwoem6z7Z2BL0kw7iMMk8MxMacxzjXwKsCaHBG1b6wGxNvFnaA/UTTJSf
5kA9gCx+cmDH+9l6SabpAf/owFKOiHjt+Pu1TDfuaGWxp4K+8gGjIeCztzkpgkNCok7U/VdLWn83
ZP1RWSyUslrzl40m0Cq6BIt5eCtFGe+wIr/FNbfeWd0S7gsbZKJxo8vmpi1MvrpcezJxIxWSoOC8
QEs29BfJVQSY7GXKqkPQ/QukRZiICXJPHydXPHnGPXJrFF6j6C5naDFYpIXybkm2NvZoChNN1O3s
PEdTfE0mCsCNyYEdYX9qw8Lq3e3w81/IQN/r/XyNtOYDK02HAQYlcBiLF6saez8JGbxH1M3HJPxV
5hyz9pPKuucQ8Di7mOpWrtRjB9t3O4bAGjEH46isKWEolm7LfCG48g/QukAmzUT7ZIoIBltK7LAR
VI4hiUwfnscqm65VQ6rRT8D5PsehLe8SQCC8t2QTgCMewrUGTlFVPMcGVjuEtY2J6w4EhnVf9/PZ
0X8G9lGQB9rCC+Fcx2jUcXEqht81pLlez7J9auoN+Q1gCcTNN6HbWjRrj5mH9WYHpc713Ui/WXbW
XQRX8qHG0LBIygMHOb9OVo9zUCuvQc7XpaBw0k+IRxQN+w3v3pr45parBkCgfEkwL4ebnauzAPx9
rV2cW4NzF4SasQVEo20FEYWy6P7BFqyBd3CXnUOGXdFx7sNjPqMkhYAAJa7cQw//YrJeSQHRsDlU
30lU/rawdGCm2ZeM/izUneXdwpJuxl3uU9s1coG2hk+N+F1JLC7gajPX1k6GkFwjU/+YdMEdL0xe
Sf//ccOmWMMUyYG5ChO1RT+t5VcrUaRgVotmEgTNWyqa94j4NLd3ps7Y1nwcj1eukVuDebEH2hau
PPCXG0NW0F2NJwmF/3Q1qlteigd7FSoS2F50R/RvQzViLV/AsLutvAYLJW+ulZIbai5Nw3PTvWfI
jLu408w9+rDcsJ5LPsGVvo03nUYnXD9JmX4mHGOLXkYPFAmoWR/ORoFnrQBdyFhCNBmYgaDeztDF
NrTl0qWbRtN+0YND5yRrE3pKS0s7/EAT5s0Rwqcl4XPKj3livLfzqLGqiXJnWcBPujg/VCCwjYJs
k/bi6PGNbucws7GeaI0/UJTmhRHRgQFPtBTNw7ymmoimL/doR6BCZBNXxwl67d5d88vPwO4QRpeI
MtyFy2lmAb7Ivzl6cuksyxt8IwPDIBPgUXugU2PZSM3tdkOiHxqQsASzO5ed0blms6JHY70vW3N1
ZK+kvVok5zZVOEgk1lVD9bfEKcGaJQP7YLa+yKO1i5L9YLsxTGrL3DVuSA81GliMwhJ6mBIIo5Bg
iUtfGxj5aVV0QGVICbdSNIrRRYrwJSGga/XZK/yaJwqlnkg6ftXNjUh5cggW+xOG6FERGrtnb/Da
gSSoHjr1jiYhi8EwEeG7uAE90Ffzj1tlgCeJ2GVzzL2M1B5TFYUjD+dbGrn9Xi/UL8kWkxQRSX4G
G36L2x+syMpfyC755NaHe5gSxoOiHbIYTtYIxGkW/Y6+oldNsvMAab8zHFpg6gpR1dW6Z8vuII+s
Ia4xeK8dVA0yQ1PZibPTeYsEfpMVlOWwAuy1Qh712nrutBwDSAjk16FdXRucJ3zg416lJYU6312l
Oe8LV3imCtpBxu2yi7ALtEv8YyQJ+HhJHJva3WtMymTvOtFjWU/NTbo7S43T3mqLZgcfc8RbQ/jQ
WoOtQEFaz7YEoxhy6pX6xOIC1AM+5E7aro8S1pyaPcYoeQkJf04TPWpDC4nNSt6cCmsqfq7mqGch
JWKKbkzaRUDyqbE7lkAdNq2d+81UynNSKyiLob0uoj6OeGttzXW3g95fpyUJL+MAstbqbT5as4n3
qLfWeRgX89JDf4yrJb5E9hBcsqr1q3TMfZzIAT06hKby3jiyrn+ryPrsSzfAwMcTW4SufYZB20C+
rL4zR3qpw6xJpKdS6n9atODO1NoAycw5ztTIXRu3f8FMB9KT5JdnrSq2bgCHFj3NeFWZHOoUGdRa
AD85Sevg8f5LJja41LY/scgee8mwEAm/xnzQtgRSigcnc8trRScabyA35Gr8m2v93pUsVVjVRON8
Eki85Zp27kM6AJs+g2Bv8MjWeuhn1EecCnduXxX9ly3QJQ5c2iVOtOW+dIfM72FDZBNeqCp5gh34
RUiX5uHV1MI856WRg7YJlPipeHtGC4bLUj0yJyScUxWfmB+A39C1okxJOSWBDvFoEqo4WAEQO8sK
P9QEpYV4ZieC5xx8S9bPoAwbXknlMBjIC5qrqJ4tTmGMP2jGNsDAbVP28hU/NBNRPXpwS95jc35P
OKjMHR9G9ecOxltjQzwde+ciGnzSjgEJ39bva1Hf0Zj4mYzqowbEUMY/qep/SSp8dMoY2bIM2oGJ
A5wA/PwsxHwjLGNRhuWzaAtauJp3eLsQBAM4WakshAcy40/Lm2/Rdx9pZGCeW/eIOepOOgXoJP5n
D7ggeU17PpPUqzfmNN40XTe9sSbF37gcVuvoTuUrbP5O08e7HFdLrtXBTus119PLBO/ZhI3LGnHc
YDwEypu81uocDcVLl8DnNAsTN1kGMtWfXeuhy2Bj9BP0zTRb02M8WC3yDmc1dS5hTumaOAZMpp2U
JIiAbqTZLWXWEK8R4usWRH5KJp2ZwFg2O1k2flI1jx0lb4ij/VNNhDfRJDbhepdZ40nZ/Quogvdp
MTEokzjgtIj3uqXqmdZmgDSuWolVE1NXPMcV5vd8DRz2GnU7JXA0dutbHKp7Bkro5Dm0zDiz7vGH
n4eJrp96/hdQ4hZP4ikzx3/C0U/DAkyQ5O2pJvvlUM9+0rkCk7pLDczjjHNAG3DEYfK01YWg6KXn
nNknHx0I6B5qp2O4Vz0x7m2wBYSR2EZ5B/44k05kKBhE2SZugbTbLRohjSK99AoZuMjGu1DTWQdc
58OaufYwj2s9GVuYrmQ67zHebCih4q8a5Etv1qnXrg0xtHdrHMaHp2qxK5jRBWQik8Nl1JJGzrrS
W7isPvbmeFXtGiy223o7dBHXCcyfNbbRbdyCPVJjesDx6IwEd1xg5ny3Dqa/ztzpZhbTz4tBiWqg
3lPqOwtH41D8zEF8JminNkIkv0xFuSZRl5Hz7uDiBFdbD5rYNZFLbVhHDqGdrtg5dk0xpTvDtjcx
2x6tzYzTZ7hwYyjPpRSkDIV76vg1XFYOIx9Qegs8oohuw6jK2c4ZErr4ZlC3cTI3+I+pZj+jHLf7
3HT+aNA+040KkHzKEsaC2qOowMuhcl+MsH+aw/otraJbwvq6MZmUUL/5LudnsyHr5WYdUQ4ORqJM
fuLFw5n0Uwc4yBorAvNS4dNKy85H6q49re+vSs/ak7JMShYG2gwNRUU36Rf+9Mk0zZMKJXiw7BYq
kDnNkmJpMTE+lcvyj9rhH11Ifx7FU9hj/l+IZrM0Ynhe+H/jM8egC7i3sNxrX8D3HUX62sUzXhid
PEXmMtgn9Xqcx3HeA3S5d6flrXN1l+Qf/r9xeBQUVd7nJxsVDJtovA2dsEJ2r9hv6MEAElnWhnPU
F2zLLmYUcxjcXcXytUi8OmU3b4kG3zTqOk7DzCnetMn3xjrQi6ymjSEvMlj7+U8SYMPhIzzaRojd
bbxoVv1CN+AmVU/YCKptmFyJLwCIDgfqJ9EJaFLEf1ZcRSOck96y1BrjPVftx8CBMR0D7cikpT8Z
Gr7OQIZ4bVftIW7r6bEo5PQILEaj0YlsG45wJekxr12rPSoaqfYdBgPPYZymcIXsGoyW+zi3qzOR
XOCeqoFeCyf2UBHavp/Kftc2YXACRHpuDe00VqPmucK2cUlC+zSt6D4dV1Fhof0kTydceAaDsLmi
oCaZTgSjl4MWOZg/RblPJu5ZDHAmv7GpxjOWHumSbfpC95Df94aNx4TDMQU+1cHtje8mY91MdQYW
rt5cKf1oD1FP8yjdqj7d32A6gvQxH6Jqj8uBZXwTGs1ychAWuPlKeVeJ4Tkr30sVBQ95TjK6j5Px
tOTTk9kEN4Rb6ieMOcQLG/vjRJWdKQfn0dDFRbirytZlfjxbV2nY1MpjZN4WFJX0I5d/VhQoJogc
5ISHPUINMR0MCRgc9Td7Yv2b2IDgZa3k9+BeBmjcndJ9tHL6kGJ3m2sxjGc+Miumqi9MAm8MEJNp
O6REu/kpSKFBC2/2jaFdiLniW5i+HYJSKTBUdB5MLM/MnpgAZk7HXlj2e1di52mWP7PBrhgzAhpA
FeCPoAxmng38a/j9QkbEq4X7U4r6AUWaAVvVrD0kCY1JC+Rn3q1nGR7GcgY0G0Uos8spQCnb6Lp8
kjkOjrgnxtcDtswpaiVLWr1E0il8WJ2E5SpQS3hB2GWCzwYxfHSle5IxjoA2JlJII6cR2NDjQI+j
kTWxL7ThEMXWC03eIzh9UiLoPM+dY5+5ybCadihlLQfvOrDVpq2EgiaikafHa8A4lB8xiz3HWIRi
eE9YIApqw40hNTyNCy7uDKKtSoOIji/Ei3rGGZE2Pi0hNTfwcOOB+O4ycLziusZ2YhwzkWanKeqA
vRvLVa9SxL7Mgf451ndFoXmDu+69bisoBMFFYOvZLW1+c11aBxdNSeJUb2cdsT6+TwhnEwV1HJIO
1ZfxbQqejiwZj7iZaTyYSSEITKqmBlKgSADnRo39QRqtOelh+jlIRphOOXGxQZuhQjY7clSlqYvw
2rGfqBRrU9cjY95fkjHBSBES7mijwdMqWBMUJ15gZOU+uSb8XGV8cuKcjtfqowbEty3J9GzKU0/3
r4fPl8UwD7YO/tEeE2EmOfDKZvnqOwwLkCQ4+U7tkbWBonfTec4hcHfh8BWDq/QYHMCJMiBzkyUp
N70s/iQjTV5g4yHnJrRDLCMPmavvmtzBxopsIpIuhv+pcvezSe3b9DjozXtoin7bjfS24P7nv1Hz
MuPZkRYVBvHRdADpV0IyRzexg8/mdy7kU5G1pkeq588qz2Uw34fzBOgB0I2phwlx2fzQDovcDJzy
PFdTt9qen7rM7nwN4rwhKkAlEiWO/VfMfe2JKlO7MQpPvL03SKXOpSvFP7cZuRBk4equw3tosVMB
qkedXCHCI3i4iIsgflfzls7yaKY46A2+eEhbOBsGCgNHWnHqnEKJIVd7WwtWL05n7hVnic2Caytf
j7AZzWh2i6HeuWowGe24e14K9NWiDNj+DkHkcsCu2EaKClF4mAGFl0O1o6dZkWz35/qhi3B/zZJn
sNLkc20FT7I2SZqlv93MsHjQ+GX9MRA9qPiYYu+0WYNfY+zpvfNsYu6glM85LECyXbJcbWntbane
ncgKDgJqTsv9uEsyhOFx6QFjCBCkNmQC+ushd7sv5sqGCCesPzKSt8XgYy6Upu6GOfk3Ooivra3g
tk6kPJxx/gDxsxeD2SCf5Q/Zkj1MKEGbyMrOU3VLbWwf5BWBtEVkQQP+1oLlF8z9jGxFi4i2JICI
nOjZMizOIXNyc/NBw0FINKQoF1Sp4gAPDjY1FWycAfjcNG5KKUUzW5LFM+8JFkK3w9jzxzQe8EjI
CoMqd3CNNDvQ3nyTZIWFriietTI2Z3w9vl4AfevmY2u0Jd1lbDNaanBLQrBjys8x0EmcB1rNr6Vl
LrdlZujf1twu8wzK5cTDuo3C4nEYtdxz6plKJnjO25ZWRmy6w24Zsy8oz8AXu+CCCkBJR2ni4rBe
JLc2j4MGun7Ub6lLcagAPWnleh618d8RsOUkQrWVvVBVMzaE9JM48CuN1CyyQrsdmVXFcKCBZ3aP
hT4T8TF+Z53u7QmQ/hT5+cAtpdMejIUEd7EMT10RkmQwSBrrdfo9hyewTGcLxpPOQSzRPDgjVDd0
vygLWG1AoXGjbME60BG9XuWX1U652DydvZtw4+FQq/iSNk7XpRfkq4yGMFiq/GSow0h7MhQTqVob
JoTR4W7HP6nTkQwl2HIGalKMFyeMv5Uz7PPUxV9IcY2LYVBxtVsUyoXgjoNfmjb1AIwcHRg9JxpE
/ezXplRLZeVvzMnMh+ZBuoJ0hPno0uSI1ktkoxST3FnkyLsHOJv6toLcGutUYQy9izAAX6HKRcmm
W3E/FA+lnIfjtBAlGVefnTskDmcYCkf6tdKkESiSDuVG86PW0AMerESBLu2nQ80TOY+D38TY7UeG
i7ue9BRDkwOR5z1BkDO1U37IEyiVJs7J4jv1NF974fLJiZfSqmEkaV3lGaSJnHCF4zZ6RrvXEwE7
r9YKjiraMOzcIkk8yfRiYU4IUNmY9oHptVVC9I2jnex5dNMEX5fdPBgx1xopK4oBi0dkW2YLKYGe
iadpcAlqRXBlt4FqbPIdBvmhpH9uGmWcYJMAWECa4JhrHeopi/f2nDzMy2LtsD896LHz23TyrnRD
zqOj/ZE0k2d043AwjBFmPbQqIq2bjoa5nWC0pdf2Y0DQhFb4YTu550UNyXlqZq518ERnu5IHQgug
3sk/t2jscQlYpRVUz5Q1kZZAL3duk1GSKPKBLNyub6CfsJDh0JwpPdAWkpFMpkuuymiaON6oaxzy
c5SknK3a3WQhiqBmMSObYpol6/olo8NBJT8WRt/dMBoVHXjUiMzUoDG1g54UCL6HYYzpyWF/DuY5
2IdBER0PzBc+B5XMT1RGOMg/h4HuQhAu+OqzRp7tlHNJ08yvBtVUPOTVxmpYm217IPuWMSHNyWvg
ik7hSLoJXT5Ukg+OvLI92JWjDpXOsdJkFcSySxCvYfW3A3FcXCDBetCRPXI4Wpk8wXnuwvSjTUjJ
exG5v5xC5r07pwTTu2JmNgjjQXNlv+tTDr/kWrbdxA+cTBwLK97WYoFIiDj1bHCVIZm4YoWy0XPy
Q8xIa5+CTu3116Jh9BIzDt+CIdotQdKfFHlAszYRXHgQHLt476YfehFAxGvRWwGjserzvwlL5ltX
wI6egvB1KYlYcNctMVKMfgZo5ZSl+pNUzUNSvNNS8VxgByUeY5M1GcRJoH475qjhGwmfS+pJrB7i
xQwEpyVV6ZiQ9wwGYFrM/xHdB5W/h3nSj8Yp57MhEJFTpTZH76AeTinwiAO0ImKJVprsR6fu1nwO
NkZIaXmFDKIpQ2yjGlIT9xfi8+5LQyV6ALZhjJ7cKaPqK6U8COadP+njE1aHXaHahxbVMrbJAWIg
wI6ASqAv5QPJLBRbZn5656BM5paE9gAKKUrXVguYQRyhZwdeR6RLlFc4EL2u3ZsVt+JGgAZabtbU
tHu3TzWKi0iW4YTcIZ0Qpi2RO/PkPsSl7jW6b4gueEVLOrd84/SEEFnozEMuyOMrbU4Blckvoc/X
uczebaN9G4aW0yt4a8cmECgrUOkzh7wtIKCSr5+vO50gw1LtVuIZZ4wasOONfXMN7q2KbyiKI2/I
ipcxJfBZ5M9W1Ad+HddPhP327OIu9TP24OW9eoaw02x5Qc5kqz3eOV6UcgSx1dnnDuJdJdhBdJ2g
wUhLzTqv+ixy4sSJhmZTkI1phrn80KIPlUHcMlX6nqUJ760D+6rqi6ui08+P1y+jsqAg4ETEiKRF
7261fJdYNa0p5wIGF9Su9FfKN8edG2uQXt7H3mWmMjY/QqMUvGjFfuEQsilzgvd1p50HaTD4YQZi
q2O43qzjkWOxFNM+R4DfG5rEWOAuNunZJTt0WG1d/Q+xszqp+U7X0ZuLyrwGxuIvoW1sdDscdxR7
kzccjGuUv8dadgrnWactvFvZIyiEg/GPtkqMlvQi20x7thRRH+JMYbovQuoYE3VkpzZ2iVQfduv+
swxQB233ZiKQiA7+Sw0EALR8CBV3elUzwdtKcDPFYrZJuc4DaJNzEDBIbN7oQ9iH2XAtO5gOoVzR
7Ljt0NKX4TBB2iKGyzPbL7IgfSVXbjOkA5tY3qwH4m62h0toj+UVLDcn9fmutNjkOd9qDk4YyNmI
U91jLRUhGnuNb5DOT63y0QxAsIBiMPe2m77HPXbYJuzSg+oeu3FMfbyg41Ym2lPtkFylxw1mW+V6
zEtwaIa8PjCHvXpmGtYP051uAEcOxLtKh2nTalR/y4I0QtMYH6lMXFJrGQXnRsv9MsEJEVVbx4HL
aNcrpQ7BBBTjaYFDtYEzXOBAoiUTpTDYeFCy0zO63eAF6isfHVb2Ko89U8sxMaExT1Bi8C+3KSJt
4W4CneR/ChMypI6BRzOm8QnWb6UPhm92gHOwU8codOI3QjSBVELwrYlJIokAAGlwa+bkoxrdcyva
R8dFPZa44NORiATZ3i3HwGLXW7a+BeQB5hScLzLk6Bn4pjcJ0Wg+IKp/pv5rwWDal5wd+jBKdrrS
hReaRUrFGb5a9FHdHrI1PcfCP0FhsNVpsQem43n8wVMA+tQZK4o8QSAOReMvvfvm8vPnW5Zt9hCi
9HJlMy4hhWBm80D1JpnQb+j62jGirNnQaBhxy/cosPEz7+kT2BEsYWmVkO+l0NhC12bsdhEvOYN1
wMLueBHRTU2F8NO53HMXb88EFjnXhV+U2NEOY85y59jzYx8Z/hRYD1PMdzF5zECupopek0eYjNNj
NL3QuNlvbTjWFMxU2O0r2exKXrStjfdAldRk6c702kmG7O6Qc0hIg/2YQIHKUdu3LSzWqOKUJwQP
JBUEFGGDQWCtGDue+nhl8KiAltxqQ/kXvy0uKNzTTB1rvEFXdvFcF3RG2SnfbgMEpjNlcLA4IbS2
/lGgPHgUIrg+dwj9oOXYnkZMzEVUYuMfAwt4TH1bYga0gisc6MngmDXcJtwBq2DRmscYrC/xIn9W
6+5Xi7dw0hHdbbWPE6qLE8JB/OZO8/VAv8cr+Bus5RF4xS5hrKL9MOo/lnIYhuQh/HwKAZkgIiwt
c3guDPJ5bvkAxIKXG2qvxUVj31KoE8GyIunDi2+E/1Ir5E2JnNeFI68xTLR5MZfh7NjB+c2MYafH
4l8JDl3PE/vgFuUJExQXegwalejoGB0SuMzw5VoHxcGh+7Aw2Xca2XZ+iyOjBE0Juqa/5Eh6ZcjM
xkBg7Lsf0U/BrpqgXzWLuZ07RmdcHfl5LtUF9izLcG5RRciwq9TvW7uhupkC7V0pKFH73+FURvo2
J/8ArIBt2Ko/84gIRMHJKLamAzydBVdJeekNkglyQqAFkcDIgacppbTTp3GSdLN91exuOKfp55yw
ZDQ9PME6cYTPrWHXOOKB7uNLpiEQSaiBOxOY9RHTKHefxium/tcYnGJP4y1EDcp/Qmdt+XJ6Jl5x
e6+ZPOecHubeRr6kqzgrGgXpk+LEdPTFhOpj4HQ5G/jQJtJ5c2p0B+XqFp/28ERBsMYdPRcX+spM
Y6EZYyzubQxnnuOGW8VAiYSB+suYAQ+x/struFnmiZk+NRQkTlHSO+UPJu5KrAAfocsWSoOcl2Xh
K6nugx2JeStIkm7JBLP2kNYOgZjic+aH5Ji0oNB1QIL+BstzZidLc6a+tT/GM+fN9puO9MQ3F7D+
yg6jw2I94VIg+l0QZ8trtIu1ynrUPx3CAD47kuKeVaCo2OGn0VWwvwZyZMHg1S4z51a3PsSsxq0b
9cIzgXVhfAATYeD7GOnfLgJKT8eWr0NO6iW2MTBJSjkqNTB/1KhlCQs0T146nr0X1c3FjoIRQIcB
nCBigwy1SNrhUyS/xt3ig86fT5HmP0swtgfwKG5R3JoxhzvTZpzvW+NI8+pzAxhvm1lgKFWUW8c0
RZec9L9ivmtFYWP+RW11gOB4AWhPP206czPqeXMpBv4exam/TSt7B74P40dX3qGVtRunV2rnfGoG
g87ZhNUohvGZ4/uVgYKx+eAQa+K2032ixcT74Q/OU75L695XEdcaF8GTBw4oj8bCW8Qp92iqSDZ8
bl6rJXdBDxeHMxklRg1Fxo2LD6qn4dwLOCcuzqD76XHM4hf2+0PXSuOaCGZ6JcuCQ22OyUnpoHUz
fTzuQMTQzDyjlcTqSUDMI2n/HE/Mtja/hyRtt4xWYXa0R0bdXwHg15O7hB8GlLedxYQxLlLqcwrU
8KV4hXvH6GZCtZ0NnK729D4icuCJzr/JQBsEIsgJFuNXR+E3GxUHDMpohJdj4QzbY+KCYevBj/Cj
TOtNK8Ovg7DMD8OZsmPqJHfI0IyzB0h++NT2jGqgY5jJ92qb93mad6TeQm/1mpAjWYp9GsOvoU0Y
gT6nHKFPmDpY2O/YtLFC5KAAF1xGTUVPKtBwot5F9sVV82glUXBosvisDQUuLsqC2DtwNzAtQO15
ieywfZjGVDCJwRlmarACRRk8qRTMbcZLwYCVNCV/rTlSspQE7lWlHqA7Y7/MawNp9hEkJQ2NFnsK
y0h/4qIYeliCxPCXmfB0CiEebLXSmS31wciTbGCYPBm5Ooq0eYybhoGPU79RuJdBg3OPxFzY+wey
nONagBSbzxxzdxhQfN0BAcmwKyE+Fl8pEDD2/HyuVBsiHq2HGtMl6hqs3TWRS+3EWOe/8TB/KUU1
NxaILYDdP0Vzy1JGftxqDj8OQZW4kb47gYZ1Ac88Uy/W81+k1qdmDL7whFzzwmh9nND48ublNZ6C
2a/0+CMS+snO8zWEg5vN0eSKBQ72MuCqEpvRi1PVX5NR0US2NP/GMn4VZpzR6QhXFWjp3SJ9elA/
qLA9m1X+1s+0LE0QMqYIocawfpgb4levIPPpTHMFt83Mjrj5t2y0rm29kk5tATTAs76JAgOWzF+z
GXhTyUWUx0o/6VLqENn0fZN2ne/kSIolSwGV3ZtwaEHM40/bTTFlH8BMd9TkfM9mSCpenw55saCE
WTG1mOy57Rz8q91J+kuj3qvCEpuaEqvXoDgG7UQFWEyadJoTKPQcBrjoDV4WuNsRnXtruIqBaYKl
T+PXeuNLtTHGsrL+1ON/EJQEndNrx2Z9MugfBETOHxxiZ7OoSbvBAIOC1750BDugkecwqTLbJ7XB
u0qOfZdL96ULHZ5XelZNRnespQw8Iqxfrf7aNQejoGCMFDhhZa61dvM2xrLw+pl5HgmHPa8xIPyj
M9GzM1NUOhYy2CZkPMKKyUdscQM1RuKrdecnhkj3fd2XBypYfduuvL4GEFYHYHlpfKjixDn3erS3
KmqNrS9a5GlXQ6Dj8hJ/zaTTSFtPTFZh9HcLtprA4hpJtT3kXVUQ+l0N05GPrGYReJkc6no97ENy
lxBd5DNCm9egqhrVXc/c0FVRdMlhpNTQ8c6JTlN8oGWHNYwH0QY+Vr6W4VXBb0y0zBO4P5XVJPul
Qu0VIxGrgBHMZhCFy9IE3FAF2d1SsekD3qSdseQm4gzbRApOpq3NaKvAi1BEmJG0KyLKcKZ8HlHc
ZeoeMxvF1gWtUHLsw2KMuFGcZJh9yzErYOsuqwYWHIMCBc5ZxNeUA6EadPguYfghDLAJLl/tjlAY
hFRr4o4ByViOQnHq4aJhHjRL5zEqULGVw3ofIAaadfzYiOgwcGLASwtIt+ztr9noX/H1nY3xmabV
5OJaI95IWi+2dpKTidnTuwuhLmtsD7voqVVmtHP6JGepQG4qzWh1bORvNDJltEHYOVFV48Qajf/K
0JoLnybfZZMVHp4qbGIIg8ECHqDUzJXLWbI4meFTGSNHB2xycTaou6bGqVyLam9mLWewEZUGj1dw
Zlj+t4Bn+z84ourpbiJCdJdBQd9q2M48xvUjUEQyvkXZAQoJD3BbfU1Y8qG7hnmv35z4L1uAdI1O
t7MG+ayVhnVOpn5dAnsMAbGMMRMClSdH3GUyvzZG9VzHZAyLUdZ+F5Zr71lnPfdkcYF88zG/WbRH
HkMX75M0gEDBni3oHL3+/3v//0oDBppnGeFjGkzmaDFvBoalTdin5ZGpCF0R7AE7LHNbvZ/wUkQ4
BrrxKlsc4fU0jcdBhY8Rz97FnXo/bx3tqNHZ839GyZx6ZPd+FmcVnbKi7x4FuLL/41gO1ga63KLk
VIUuC1IE9VOff0B6qZM2cnMySTI2BcYorSBJ+H9ea4rWPjcZvtmr9h33E+iFHrEnT1G18CRzKJ+d
9gIhaNdT9zuxE2M8L660JPGnTMrpuZKKIVmemry4vqeEVG5DlBRMQTLSsF2crJYwvu0QuXUKfYzh
yYPI4se8jycfrZNBJdoj1j2OMm0emBe8bcVWMCIo54kCNCyfuwSRdJdG/b3e6S/KNl+cBCapNp2N
abKvcxBV3jQmjdeSPt9Ks6WbdaBRmPk9YeLhnXqE4h53pbVvx+R7ct1LXxvRU5Yunxr3rzPJiP/Y
O5PluJGsS79KLbsXSIMDjmnZMU8MBoMSKXIDoyQK8zzj6fvzUHaVkpV/plWvq8osMzUwAhFw+HDv
Od/Z61kMuhxnR4bB8yEiZWNVtemlrNtoWzqt4qJCmtAjnTh3KiOFLHE568HeM5t0X+U+wLoKCFBV
yrM/wsfUOhUzA6iOM8k61/FM3HxvOXFsDX/9Lk9d8qswyHr1HHzRUReBlVnFLXNQaUD+h/e7smtL
JaEMG62YMpgRgpB46cVbA3HdMTd01Lkk/uakZ2YCkUZB27BD3Y9+iBRsKNfIfVvQaD6dEb487zJl
9dtI4X8AyWzVOveDDU8rm3mPaZ8ntYHJ4bvmWbTtzop0+6BZkdIrpu1GH6mnC89hAwTeLgkt8LyI
SxaRSU6mBm0DETHlYA6UwdGiSbgoWvN9rnqI8/lQ7C3l+ZssWmqtIffVCDHR1KCMTN4IfthCxxul
9Dgrps+m7woE64iAeXw5+hF449nZmpRsY9mpP4MkaG7yqH+9ebo85U/U4uDQzKwwsfSDK6njWyR2
0b4yCQmr8WZCAerKfaxfmC8RxVjMvoVosBAI69vthUFasLeyi3FbiHJct1jYYJJ70zbKWSTxyn9L
bLaSE7kzFBIQgGXzAFd14omIpJ+tTHMEwuBAD5nCgpbqwiMYDbHebJ/IZCPSj+6joGq0R3HpwM7o
x7VVikMBzO5OKnvkHJdo5KaEqcTK3H0w+mtqHdeeGOK8it6wLiZXy4A3MHLcJBY7XTdwmS+5455Y
ytH8yvrqFXT7bxZGn9YyhchgV9fMx3CNN6PyZvpNy/i+Lyjpr4l5rJbCiIsd7MCTzjq8tMyqJ8dI
VhThPNyFgbUT6JPjjH6Z1sX8djQCHrSHzWxHdDDThEx5Uv2scIRONmrTOq97cZbUR4vA6M52R/s+
UuH06vRMiNID4/gQqCre1COxGmOLa6ri78T+YidXo2v2SLgPe99eaWXW7Z3UI25wuGSxHp3BAlEk
UywFwIvET/LXq5GcjJ780u8ag+7YdcV2KmZOzqN3tQYKOk70VMQ2A0QLw4VWwFoF8X1xGss4SUjQ
QY40RhuQIA7BYB3SoTpGMe1HRGnNUnqMEL/Rhl0dhzrHovE+MlFZtG4mN241fTKnhjy7nBOg/5LQ
lf5piPuvIVtYwsCIiTn9f/Bk75v07R/f3/9x9/YHI/fvP/d+s2Zr8jdTd21XhzhFoLptSuyXP73Z
/JFLV44BIDEA4w1xMUb/bs625G8IIPFiYst0PBdF0z/N2fyRLnGhKtewbtl4Rv8Tc7Zylv7LSWtJ
h3IjWmuaNeiJdF71j17G2kSEbLYBmYhULgbrGaL5KkBOZ3Xl3xgn1Xf38a2ELi3LMPkq8D1/9Dsb
Wgt+gLcaNASMg1jAlsBQ5GEnnYqtEWVHmoLbemgP3hg8xZV8TCn9IQ3Ct4jn2cFsGtTfvUp/T9hu
hsn0PJOxUUFfr5Pk6JTxpaTsmOLJsjXt+suNvfz8Qn416GLC/ZOrF3iNHT6Cbrm2MoX+4pKdy4yd
f8om3636Fu2PIPyXWZakoIjQgm1KikiXTSd5z9Hhm4RhEkE+TpPoYs7RdTCOTLTPemmetIGpKgk3
7qvsqJH5UbA3gf3BeqB6jUBwFzrz3kJQYg/TLtUO0iyvqYPkQaj2NEIoJnYq+zbps/qUT0tbn45B
EL4OeSUWmo7xA3HXEV/Jxpm8I7XbSwXY1c3tV5L8ljBurhN+r6B3jxzU8KhaVPFKiGC0zOFq498t
B1ZkcloOk4mNT1VMaDTgIsN50abme5iHuDj18OiE2iOOifdGOsepGO5quG9sMIt7o2rqFc0yyDqs
BMAi32iN1sTfocYKtAc7jVA6C8BhBXFtOkHKOvO2GbzY84RgmUshb+RYJs7Fn4N9iyUvbgSpEcOa
7Rt2CoQUWdgc+h54K2VY0k7Y7s2CDQi8DaRQnWOcKGtB144fRE7qak4quhGeiX6l4Vvc51O5E4Ur
UXMA8LfJ4JJRqGBxxz4f1lPjvxE4vGtpPmZd+MkfqRQVPr7K5rXXQ4dvUH93KfGz9Q/b+IqYdCs8
+q2gOwdsglkAeCqDLebNZ7RN9FS0T4aKa89a5L3VGU8bVvRki31YtZ+P1Rysh9J+c8fwoQyKawVA
TxN7UtS3sRFdEAvSRx4CFG5FcPW9akNH7D5S0Rp+pO3yynj1R++UYI4bpDgFiF5QEFPuGubprhpe
BtO6y1Iw/RzXViLu0KoE+IrCnmpbxipedvimeimeJ8BUi972TdwX81crDAHQ2ddEDsimstpjy4Oq
qHWjz+5Un/FCopSkl4XATw82aKNomuojqdrwo8JhZkeeGciEqbxbPoj1biKUPo5LnyYqsnI/7iGe
YGDZWIiTNOzCtMpB2NswdCEbUi6t2pepCb4V1vcgnn/UJSXEYHhstAiK4vxcsZNmKCGYRWv5Yrfu
Tnh08aJY33Yctje2jXawI2orV08o6d7zoqo4y9cxImJtNE9GmqMVsDCTiNcM/ySVsvKctVRB2S5C
RnNzRKQxA2IEvk3T8wG9F8Gt9qsfeFS06ANzCLEXloE2iGPysiuSY4k7q0CNRbul/GLLCombh30O
iVuW3kmdEHkkfkihXPexscOnGh2ja5TfwmlL0OALivgL6Q/33RQfZTSskZPQBB1XI0UePIdE0YJr
z5dWYr2NZfJUh96DG0ZPAY6Fvqt2bG1W+ES/gCTFyIjBM0t5v9anO689+NL/kRraj76a2aylSDSj
p2l2r5aTXJzYerMl7UXRnlDd6Ui6qSK9tRJsnOccZ1O+aUb0bcrTQyPc93qA0Ftabw4EJ7rSfmic
4iy56G35HWDUsnSMBz+rdyLQKQU6x9Ql3M5Kn6vyIbXsXdonxI44MTK55F5qr11aUvoghmBqtwFQ
qCnv7ox5XDm+2Dc8f3hQ8FGZ27QUM5GfCc1rDjJNep8k1c72m0s33bcDulr8AISSGuGmaoN9ARuk
baLPssgQM4VKXXb0BgD3gM6Z2JGgEi88L6mXrzD27Fyi3PMkuTTztKnm5CKb8GpjRtNsNNKRhsS9
bc5ZFh9BD8CEiM+lOb8K4vsmTK/4wVeVE3zui+DgTijlKmasMnzQvPi5+ZqaKgmYkAv4BO0dCqCD
w5Y/MC14MXB2yIKiLNbSeiF5ZMqGZeXZ2wiakTdDQoLZ/FADQkXLXZ7rCjinbx/LPth0NqLXsXRI
Y9FPt1Xuv1s5CSDkf97HPdbRP05vefL2B7oOP/JzC+eK39wbO8dgf/Zz6+Z4v9kAKFydPdtP4s4/
d24emzqIOWq/ZzsufoB/YXWs3zzDsGiDmrTOPAWt+092bsYfdySOBK2ie7auG2wHDcke8487Eo6x
Fo5LjYhCwHcNfIOdCmTaN2BMaVOQkuu5pMb6TfjJ9dEBUNVYISWVS4C+9jrRvE1SJd52bJIf2M8t
atb3VRG+qF93AN2WdWjUPPSs/Fp5+eXr/bPd1Ad+i7p0wVaK7r/iqRhS/vHSE4I+UIPLcZ15vbGc
ArFP+u4eTy4Zb4pBk2cB5ysLEebcSFyftEBxMz6VVk2Jsitp/hnpp5ru6dbwqPPaaEZ2ekmBoQSs
vPX99zLsx0ukRfl2mN3t7fMbXYXKjZgJpHPVqmgC2qoJoWkuRXwEl4NyGhsYo5Ki3IB75it99Gf0
0hl0/9WQkZmWaeNrlgWPRpu81J1SP6jv27Rgi2fDRcAVXyD6NP6zffPtPgv2554OicTT7Y87z6bJ
Zy82unHddOi7+8R5NGM/3g91+2mw9ZFVbDhqMJ5+FgFLLzoPKHBWvrqUoSBcyrh9paEDsnn64Y0E
SN6KCdbEXxAt3D0Xlq2UO2TY3+ipk8GUCWtFV8ta/PV9Nz5wbm733eNS+J/4E+RREqOq0VqTtNEY
ItPsMCFa7bXXM287Zxo3ymATl3VFQNhhvKO45mzzMusf6jRkgs+si5mvbS1PVpgz7FVdaUBkqxzR
e0nLK1nlWRjvy3Qydth3EDunGxItwUdqSbAZG2/dO05/REUW/s3nEn882txukYkzyhWSrjj99Y+E
q4QM3LYGVWKXMRv0ASl8u7iNupCakQB6giTLOIlqSk5awCifohLTuq3vaqlPaMkoGrV93G8VuPCv
v3OOcerd/3XG4+roxTuekExZTFiG9+FpE3E8NhCOi7UPdZo9V3dAtT3to9yF9WJvmyFIn0Zn3rnI
14jEiF/DxFcA/KzaB2YqvtItSHZVFN3JkO63k6fetq7x31CUv8uld6DE09w3sXUcp8K9tzs0iiKy
nuqmxTJedvNKT8JrFvc8V0NwyPxLGQT9ueMwZMmheUhBwFoG0Y4q5IJjUrFqHb9YIcL3NqGLLt0Z
njl9fSW1FYuT4ipbbMh3jUVpaxCTtguGqFg4bhSdTerQbHWz98zCgiHMft51c/+lsSsP+Q9CHAdm
QcGpRmRf+4jiGbRXcZjFj7pz4Fg507ENapVBNMLutCNiFQgZIw5EUr2XNdzNLjeXcoSN2pYtGYZG
gwSCoridltPOVrrWSpudRW4EX4OOgkvN+xaZXNIJ1/awD7NVixZ3OY85aNCqvHSie6MtdGlSLdpR
SnqPOwQhTuRmmx6papgq+XWe3cFxzpY22e046imABqGKrPS/BJ0wiDvIHsNqnnajpMjfwcPyyO5m
AVIIYPNod6V3b3r9zxuAX+vR0JuSiLarpdWsChhfB5drja1uREzFkRTSprtiKIUHXoQctKTc3yrU
NE3cFS3uE5Hr18It5LadNLlNZvLNR5+gMdffza1bbKoaq0FSNgi8paYT6MmxBaEzR0ATyIsohyu9
yfVEpvGJ0En3AP8F8fsY1KoIPlh1z15cECOhxk9QnYfgC77e6EFQzqdaRqbi/vZoMeeBSWjBWmbY
/sbZp3ltDd569FBf+fLTHGVUVHtSngG8lb0xXoao89D2K5NyyQTRDvDCQ7N7AW/6ZudWAf5+wlCk
PqdW3d3+tqqkd7aMgVMEAXl1YueUw7jERO8/JGW9NaTtnDjBYNhXi6wTES7Td2SfzW25a8qaj1Hb
2iqatPmogeBIM2IJcd9r69px3mGMAod3J/MO9dNWwzL2tTFJb02rArNgXYM+H9KnOISpMRljf9S8
bz6hIIekogZuZmi8xTwMJ5jKHifkuN0Cba4fG0v/IZOto1HInTqMvr5Cu8q2w5I5s9UfEcKCj8nP
GeaWdPAR5kRasypbcNxZia52Svt606N3pLiu3XVlA36phqkRlW2z7bqs2Ax9Em+THg9lIiWpvaCM
TiRgQ5vL0D1OhX3ixo4XIwtey0zMR0E/Exny9CYziZiqSD5NQfQy1YHcax3f2RwkHUwFsm8K2dEB
rTKUGxAASAkfsLcjEyZfmuFv9c9jrA0bl28bvhbhMPP4XZLp3bqmAdsVqJ8RT99u45WX++TJrl3d
7gx+DeYf1WlBzUq/Ru9JCm49ErwZGzTPmCN4KkSBxMMdy0237kOAVgXAKI76aiDOCCr1uvkUxVx0
MLjf4sFX/y7unRgnQFvTg8LHz7yvT8EF5yiHpyULur/v2+xBlO68Jefrk96b4tiOtGb0ujsVfnic
y/qT5UGJHvocdH0AqOZ2xXPQaZu+sGpOm/2hG5r2MITFk+y86j7yynsRYoawYSohqx4/67YV3tnO
JWUk7dkZfePK7KVtFWI1doO7jMZc7h1jqJDrZ48cYoaNoDazJG+sPyKDWWbc5rvQ7jZwXMot/8Dh
haNoopFJ3HG76TPK8YUuPg+0i0xCMl59I94k8KSOgprfHpXuK6SUkLV5cFfGUJabQS3s8TBtB4jI
h9v3nlZ2w9HSY7hh6In1cTrgkIfCrLZdgRZZyy6w7263oKyU5iTzz8RplJvRixCRiSbeIIVxkDYh
bPWJ2KI/1cXec+IXYofqTTGrsKdkiDa2I1RZaXdfKBfIvUBepZWILI3B09aabj7cvmQ3NL/5VcNh
02QvmGIhRD4fOidWUZSxHAvQKQRsQZ1+36aVQwCUuMZZa3KL6Gkh6FwGbPUXwVi056IAFD13kIAC
S5Z3U0zdhRMkBR+AiAhoHWIf6GTvgANX9IWDel3i5p7JE/CbOd/Nhe6uBBZAvDjjORjzr23qKt1w
lr/50XdLCFx5UHPJ1Y7bpVMXqEiSVCdibE6uqLLucTJGXzDQ7jsbk3xMqXVjTd18NlTMX0wMLxLb
CaNqz862QkKvO3sBv++K8qA/pRAeFonqHSJgv6atQ4p51V8TLdzRC5P3cHkoQhlZtU29hhCu2RoR
nVffXZNh7MwmtTTU0wschLeHDN0VFRlk8E+5Mdw5cbKvs6T+lLYAgUAf66sO6e9KDPxyRmt3Aln+
HFqR/UJawp0eQQSWVf29yBBTgS7aaoY9PjdhtjbTefg00OnCc1C9OUJGT9xHc10W0adA1W0sfxru
mxqK9ljPLinfoPBT+9WYtPhbHtFMUo69YZibc96UzD4EwW67mu/LwaW0MVv5Eo3oweKMbLgKzkTX
Z5+wYIqdUfsk4wbemzEn1rGuIsqZuu09EcIIvZd6WBIkT7YFNWsusrsSmsTRyBFBGKUGFKpst2Ge
J1uPFWLVMMFxVJEnqLnetqk7qpY5o4wsEuANjOEus/yHoMeEkTV1ueE2O3saZYLHvS6OIetv22Ya
/CJr2wE5O7dV1YPhhJmtE3vZUzTS5pcA/d7RR93L7MqHRKjFUdEYwV+DhN9I2V+6tDtEJj6iJDvd
ntXR6N7aOIGQBvRm15OdESCKpHk078cIsFg0o/fXLHQmpP48GO4EoAcjFYPefWDh2hRJxR8NJSnJ
VIXpqnMcdXJCoIhTtkOmclZhoISRdgHJgpASOyFzV7lJjZLg0rB8ujV4Pau7q4OSvjNnEYKgvK3u
ku9q2trSS8LzoPn5Kij951YO5l4rEMhocXO4bbYQQl+Lusj3pHigfBkrHIT9tJch61TrPOSIK/fQ
4B3OlGpPnhRrKzE70DbktXnFqQRIBAwhX9hmjY6UdrR9dApnfvAMCR+LhHhUweBJQNFuBub2B3DN
4Nuq9EcxVdFZzeZBaW06Ht7HIrTu3S7NYan2+eo2v1mTjj9pKp07+C0vdj6LTRpybdQh8we3qu9z
9eLxVNrcUVGdNZt3RaUAoatwP1txYRCP6PrL3KewhNq6v++aeeu3JY5B9oJbX9T3do+0sACQsKwG
B0dta7jkguN4cNFSkO+dyYUpEK2x381FbR1pJh9siENU52h4Anpqr2ls1SvNW5ETjuTeqS6BWeGn
JOUy0bJl3fSXtJgxqTn+U4fR6T5p5WFq7XOgUzGw07BYJA66N4RDaP6m5jvbj2rrzMwts6ie56kQ
n5KifUcTdK2tUR4g3cNKwpC5JSyKmVe8wCQ3kXG5bE8MHQBZqflr3bUo/omAzF+ChyYjEfs26rSH
ApQ8PYAnVHpMIbL7oqtgzFJ3NVBbGqlmFlYxSwuw4JOe2xRlvkV6iHG4gJ8vJ84QamXxRU+GIBqe
TThKnVjWIAI+P99hnUw/w3PUAn8dVnpwNxroEDGd2qRnacCEGpIIjZwfTn2L4C576KmKm4h3glK/
a0o3XObSWsTY7AHqSXaYIWLCXuwrldCeqM9JOYJABR3UBJl3FqfZ20MQRDZ9cRelQa9OEcjtIFdG
EdXBugvuiZPeSz+pH5HP7/IZZGJQYsbXTVgZqBuztWiNfitd7SFv2uoo3a9Fn+36omgezda/mxI9
u7TGXYo4iVgOxgIZ6AvdI8zekmmwa2zzYE9I5B1gRRHZTudxCFaNOzh7TLaLMinPkDfkpkbKTO/8
U1s3pCWpRblPrM/SxWOKhjQ9GMUmss0UmYNd7kORXXH+P+tN83kcq/hMmDi9kOid/YK1NrL+U5T6
+kM2R1/qOcTmlKR3oiKkwtfkDGWJl7Dwji28IpqPgYOcqTctc+ekFi4C2/+GpMSBfdDc16brnAbv
B+gosayLMd0Unenu0zx5maXeHbK2WiG587ftWCMdHmJyc9T243aELFwH7kCsA6r06i1xPOxIjNy9
49nadvahCOz8S5XGJlYzk34bObeW8MqvPT5QX3dpy8S+/QhG5CGQqVzj0C82PT6SUwdXdBnp32oh
xxciMJGy5WJU0t9pA4dbWzOVjEvEgw6uiZBik86mZyjGEpcWwsQsK19vdZwolutZus0dJmQFpQ/v
+475KmzZqQjDPAlWyNOtKNIEHHkECjwIb+5JMIhZcipmbQRts5vv8tEFjA9TjBCZJz+aoLZUUt8l
ZjMsa6R7Gw6jRLpSkUlm2ybtNx+3ceuhipJXK8ud+85ew98moqp323VfQcrxKzwAYdJG507yHIwy
SE+yxzFdqWRomUQiZwvjM9xa88GYqnon6yRflj4sOtTVl8mI1zKf5cpNaHK6URYt7du5HrqAq0LP
0efYh4ZjJQuldARSEf8hJUNvTbYbqISRXf1ACLc0qFEMFuo4cp7Kg1GFL7zYpqC8tDFG9hxWyxbK
qpLLpLFPpd8s93aIk06ixJn1Zudqbbqiby/oPbObLWK8/kNQgFPwq/LFV3+f5vU+b8tunczBpc1A
7yU6K7Tlto/IWS4uvkSU05w3DH8oN3pL+66iBWrqIHxGu9MXhRWTHcLq5yQvRklixs8NaZFW6yF4
CH3y225Kr9Zm9+jPCP/QtLA/o55DF5QZnX29R6M+/jGSEn87rQIRerYpT94zjzxlCfEIt71vniFu
Z+AVW2/ymzUHWW4aGVmPeo4QrUmSGRDm9KY7Hj6+OV+lESZFbOWnUu9wWYXtJmt7grdq+memhBfF
5xe7Fn67CNAaYoH4WvYegEE9pQXs9kc+DiavoHaOfdi/A+277d+xT6ZAjmE+7oYwNmnPed9Gkre2
VfeoTeSaaRnYTkFVe/FzHrXV2g+kN3/Umto+NlXZndOKNl/WNpsorZ/nLhmvjmyGK+Eb1aoMOTKW
jXY0Wpu9vwkHH40MB6Q09DrIQbB9MGdOZxsBEKcDZbseg/hiFiLbCqTKCyPv0POBJVlHw5TcBeof
TZYWOMqkvu5CKz4OjYTjfPMywbpkaxXDEdLHoFzORqORKWbqpzAIxclh1U9sU7/LKANcdLB/IfDc
LTIzUnGSyieNRPfPYQxcYuAEiUZfETZ18t4n16h3tW+DRQHlgXO2QqJFottYaN2xbWZ60Ya7jdSx
6XaDeolys/Gt9M5KnWhtF/alb+b3oUv9C1sL+LgGqguvymBndESnOVZ7GoaNr4XRGZMDJx5jhqNW
ZdHm9uzmdh6vNacBSUstfoQqvFzuk9G9J2Txu++779QSf5gGP9hQb18UJdlYOvmKroTrdftocrj4
gZX9SE1zV2L0u+hkAFGOiuyNy1lY9mBrRq8h4xI34zLTqe4Sz+ldOqq9ysiYnuJxWQVtT8YmE9iI
VQklLiyNUjiYT208ZL6nXdwC2Cnny1WV3xGLlZ+1YDQfqMGHWzYo52Tg6qam1JfjQIE10IwLvRSC
Y9SCn09Wt4OIdKCCozEVTPn+9mVKVKzbYErfi3k4ph35xZyLBrcSn1Aeo3y0sCaAs9mx5fQ3MQjm
5ZQAm7dUSFtqn4dRzwk7qq8EV+Knn+iAinZCYGu1AhMrj9MoYqxnbjWeTK1/+Lnw+N0hjNj3p6q6
WQKxq7J+2DFfoNRToCrE4j+aMoVOrJUPVkncOTFO9u6W1lVkI1nIXfseQxzYxD4KkZzAlwMZ6svI
EuS/+fQ2GgoQK0gy3lJDrchHOTPF0zIYZbcFqAtdgzglePmxyKdnapBWr7dLtcPZWKNxBmFYHgM3
9knr68JdUzVyWynta1OawaoM5h5LDYpCw3m5ndM5tFyMOv6uDxSMITL7a5PcoaXegfMil9jE202N
rUavuuh8p76nynIMYsjMSJijc+I7L2jZw5UO4gwfYe/DsoIYi3GIIHSBpN+jTnArk/+39Ynk6peG
wb/liuwQg/zjqP7xv67/Z/2/f+2A3n7yZwtUCPRo0jCpeug27UslR/vZCRXCpOFJ81EiSNNNug//
7IQaxm+q2el6Nnovz3AUJ//3gBH+iGlctS8dRxhSp7f5/1R2v7cPf0a+/HnAiGp0/tLfcKUh0eLT
u5fQy4Vzk279Is3Kp2hqycsmEyvh6OEyg+Rfk8BaFvZX0Vw12KC/fEO/v/+vYrAP3ct/e78P/RTk
oFIU5aAThWaw3stdgKdEBDTvOTmyF/z/eDdbGLAsPdUA/NDmnfWYcKis0486AcohpFJOMDAgVMIg
DLHJ+JsP536MJbl9m46wOFML6ejiQy+r4dTY0/PUjyYAoxoEt539iPRtjDc8JjypTQFQ+elqAuFf
EU2K9QteGslEBH6SiQwKY2lOJslOJBcgKdSIX057c2WFRE1VJ1RUJSuc+pVlnfzuJPRrwibcswGn
ZRB6sqVOVZ86IOljpFBzpCLZ4NgwRUOcdptFZfhrH1N03kSLAQpdMLAtil+bUltboBJx0C9satTo
mCF+delp5jKhyOPcv9YzP0LvB+Oag600zjkcqN/iVdLpVb2lNvDL/DVJLPUiTvk6mxp4u6vQ20Xi
vxrF7Y9YaZlhodxxsX99qz+0R38OrF++etVm/GUgx7Y1kWKpBjLv6dmwZL4Km+HsXQcXj5gKYQNw
8tfvia3tzx4fR3pS2i6NeffDu6KPo/hMaeIoKL+HPocpYa7KMl/2dL/5zA3n165/6fXqvdFaQMyn
wAdKgNrPoEWkDK/cj7jiPoD2k9wEPeX+c4e95BxjjUqrE87x7ZTaCMyihalnKzfIEXBRTydqdrDx
L7FyqQc3j7T1SGRm7nAED+mJ0uBF4IdhiQCX6RpDdlf/SWY7TXsK7RayRLhOobaObG0NEGatRpb6
SZJnNrGJiMCTjCIIP9ztZELKJ/QjVCFkcNlS/WyqNVt4EowjJPI08H2GQSJfRz1dQT3fJlg/ZfRa
MGb7FnM3pD6uI0lfqW0R1HidpwyYXsTCTROwY4h38J7ajBIvGk0BHjWjeKMeCX5N8vS6qIl5r+VK
fRG+8arGqdlxdQOC1m1wCbpww2jW9av6PgdEfdrJpqXgMzD/+rabTL7/Pmn+ctc/qHEn8AJ+Ad7r
aFXuXn0+u6zWvol5jLvZBWRnqI/CKOAyXYUlbLbkwwMogcgKjpSnAg/3quLs3enlmrvybBjo9wXG
OIPbn2prA74+fH/17QdTvW1dDcqlMnJYVKDUg1av//oz/fnj86+B/GGmDGqYgVGgk6Md0DcdKRY7
qhAkyX8ndJ26a01hKPW1v3lbNSH+2/LjsAiizTBM2u1/fGpB8OPg76R+pLyiGBgkOnoQjeX2rz/d
TRTz8X2QFwhWWeE6NGD/+D5ki/qdlZTUdDkbq2dV3bViuuK97WhgacMr4OK1pXlrPTvh4eR3mK6r
enHV3GtZbueOudG2FmUDZ7Oh5uSxI5VyoR5zlldEkPky4tHnTttAxgYIe0FHFIL2FXYWU6h6NHQV
9k5wX25iQ+MtLJSckXo2MPH0rw0tjb/+0ObHrB0PmBEfVfc8tuaO+Lj6Ja0XTrWKHcXAp4ZilewT
yoLq8RsziwaIffsaInxX9rE3uXouh88fQ/VSi4GT8aHqV7UMqIm+5XlU00A2vaLF2+FdWalHU+tO
uZau1EcG07ws4vxvZtmPQ/P2MVx8OkI3hGUrpf+vM3uu1cLjaRuPCRCYECUnx/sFKxQxDJCKqWV8
ldPf7BvEx23K7T3hrxgGHXaDWsWH98RVxDM3jcecHX8UsesPbCg8LNvxZUA4D0uGZuFCPeMWf1Kx
FuosdJDoSxiutpfu1N396/tJIB3v+usoVldFbpfF/03yYT6mTeGerAAP6sNx1gDKuNzG0VwBVsZq
Xq8nhqj6PbU2q5WoIp5cbTaIkFvpxPHOMF3g9C7V/KHm54W6wgGBt5prb/MqI4DK4KpvWBqYWNVk
VmB/S0lkL2vm5zq7vVA283gwnk1SOPzk0FKlo+u/jxOU38FWvZpDydlC5jniL1RvN+K0U/sfNbMz
q4GzI6guX9oEMKjFogM4ljevSXBqKc+oad/OzJVadSTTYK29CuCiQJPUgqEufBLVVb10wbBTnzSM
OzUoJ82C/J/zjpD4xlf1tz0eN4QBm4DjvtpV1StnIiGHhlI+cvHM2Lhcl+pujgzfXG5rUuN98HC1
x2oZ1uuYArlNeknI1A13YBfJat3ZNLxYr9hoEI0D84Cr4kgeRgcSLlfqogaDTGbVEs0yCB1kS4zm
sSicsynAWLuPFqVV5NSr2x1r2bVhq1VrPp0mXJvGRt0ptc4ao/zn14Y9LoXHpzj/avpq6pMf3M0R
EFE8HjnlfUyIK3a3GMYPDUXDJoHc4WUwp8XGRGvR11wOYVTakCL1qgi+YPTSuYPX8ezE/Ls5Odwx
1DVLrScORLtOXIUaO8xN6stqih8VIkCH671tZdmiTt7txMA267ajVduXNq/WNXs8f9rHab+sLDa7
+qu6QWrGSfKAI7FYWswzs301YaCb0MWBVK4RZbAVbm8j2CsYXCZwLLyGyH56jXHXvfI6UZDuNA6z
anOitsLB8DJ7iJZcxfahSFGDIKfX0MOQpH+89IjLALKEZPo+K7SFxWCK2Si1wH/YAq3UvAbSD0xq
ukLg1g7n6UfolNtRr694+pfNTJee5id4Zx4tBpjVEO/OTqwCda52XJZzVbct9ICr8s0TkcTrmXAG
X3PQDGzX3elQO/UybBH14zF0Cxhm9hXn7Aq/HrRQGKkMX78ONmp8JbENsJmhwPeonk11q6TLx2ID
wK4mhGES6tq6GXi40nGJwBPwFHQzsVHnCZ5YPAQMeZelLKcJkyvAFLOUSpaWK/bwasmbkC/wKI+k
WavDiANZo2FHor5MNJQbyaMTjT8fffVx1CroGowWu7pi+7mbTao1g/4ME4Vr8XdTyDZm4DWClIFP
AiC7yl7My72aMuk6Pqj9vjrSqFnA5RbZ5tnq3nsyXn2Dp7Q1N4G4rU1qozeVwV59lATTuVFRj/G4
+YxbtesZE5vEOnjYUBTVLEecNt2HU9e+AuNE8o8miBHN76itl1rSHecuqzZqNlITiQY2t71M0QYo
1JPamKrNZh9WapPlV+FeXaOa15DPL9UIVXOg+tnbqsgXwyZ8wXsZnGnU16iGx+0J1dut+rVaLTmh
sVdQN7Ljegd2vLAqD2qQqS9j4L0A4KwLZgs1WMza33UNoijgajrPutpgwB8XqyDiySICqP6hniO1
cYb/DANXP2FWXw7JKzCWazFYZ+Ra9zBhVx6ZgxOzodFYZ7MxNv+XsjNbjhvLsuyvlPU7yjAPZl0P
TfpEukhRlEKh5IubqIwAHINjHr++14YiOyUGm6pKS4Y4uDuAe88989lbUWMVoGFwR7RPUl+yCTrx
Mt9LRerzr3tOIb4B05pj5jILS4hkstdoQ3tx75rQ0ADCekM5fRgM08SN9Tsu9uBLxaUH7bje6eXu
pgJCczQZNz2NG0NxlzV9nMt2D3LixhyD9y6espc2+xaEsxr0OjDktmcPej/fYp6tegyb4H0lCgFg
dLQeobfQ02X/NiyPp4t3n4JbzIAWQJPmtccDye+SPxIsAJAFTArgdJtGLi8HdOjNZSAbzFxY2VMy
YQUpvfJBq60A2wY48o3Nhqc9WDB9Tus3/Gz0Ko4EFob9tDCrYj9pgxTkKHA+LbwBCY5iAIYNaD71
4CWSxWbjzEsdjT0+Pqs786/fWHDLMHUCgGF3+j1jIwAaWe9dn+ICyRQiwgr19CXIWOiRVlNWOb91
XcJ0a3RQ/G6bzXbBI+4j7KEDpw6xnXyuKTttjca79U6oajSepKrCW03gfMVyXTB5yxlosH5/kuOW
NHsZxQunJDexm/Qu463sZWdKFNZAv5tPhXTCPZ5dUMPudW0hdCrSUwypZa7wJ3RqCnoVHMKwpqu3
sjJZhcUiHjlTe7moj2HBqqfgx0G1Bz8P2ALtnsSAtw86EPTxIay+/IzBAsKKCjcDTq4FfcK7fHZA
uaiogBUb7XRfcRJ76EahuZb20OKu7iaPC/wTqMBsoBYew/22n7UGHS/dLGBEQzvwScsx6v+z81eM
QzD2vTPS6IB2N3FOOCKmfeuC9DwowIR6eSstLVWqaPTCeHieAefBSQLvC+Osv0p/RJBDGeFTTOu8
AowStAd0dO4+yaHGh9UCywejP2U3dY920CoytsTJxnGUooLBx7OutKs6HvR1XulFkiOtiOzPgsAv
bf+LVbBeBrlyNn9YBedFyNS7eeAUhTcepcIZjiZU6hI8I/OZ5prrjOJ6M4HkQ9aQEcNLaG8d41e3
8DK7EpmuS7u7SwrVstXE//NGgIgFyd4pxPPH2kqfSRYTohPZJi2OR41FQtFTCH1bCCz7b742146s
0CVl60P18UII4hOENXMI/oTiebnCgqyIAYjBxkCjSWfVE4iK1zrMBmSQI3v/9h1ozuaFt+8Sj/vM
wURMGBP5/Pz0kAo0wLj387ENWW/cySgr3znJ0Qy/rhFJciRD6ybHlHAIy8OhuFbgLiOEFxdU/caD
qodI8yqYn8cOzpnpOWifu+bZWhg6tJ47aEnPqUf75TNDEtgaGmxISp4eq+iWP5f4uGCDDaTPzgjk
iNWaZ7yxb28/58sMNJvsmbYXMkHt+47/MtTqwtnqsgzgJ5ve/sGla66AVpKkQ95vciI+2ux+sbJ/
D6O4oktHP8c7+p6Q/zGgJHdfdIwG0Vk7eep71OoFLIBBie3tZwte2UPPhCWceSdob8lA/LyHjnM2
q6Ab52PPWl+iZyMgz0c/jtPegMUEzpmvXaHSfRU6HjWeeAeCBgYVIO+Texhq7xpsxCvlyukcu05M
AEkKiFpBGPF6D56Bgbqtd6DJfm9jrkOneqim4qHFuFq6xF4L6AsMk9y3Uiv6uTdo6/Uv4Eo++i0N
dazzwkXzIn8AZ9e+AbbuWqIx0m3v9KB72OgovveRKAA+cWu867a9S1Oax/nTepPKFJAociCR1n6h
2QjLSx4rA54UiMVNC89eMXg3AH3cxAMS+/ZCv5zTQDm4zJCwqxxZFMXLhQ6tUznFwzQdpzOVZfmD
6yJN3r7yny+g/hG76BxpCS+0ZtQGvSm+cWuW8S52mo/Aml8FNd5d9a3lTxwzFSbawtg6Sf5QG/aH
BHQhbRT7lY1wtIU+dK6lBTPRiRInDpB/k6OmSud5QGELtgLM/E13IZUGfvl5uB0rauF8ILpu39Ye
IyyM8cPpBjTOw/lMU5UoN8/BfZsE90nsfqCLBQenDvdDHv7izP09peJ6tktpCb1GFLCK7Q/J8sE8
OfS15fMxP9EXzZNbz/X8pTh/lmwYvUev4a8KP6/YE12T7WGkhiuvTPc/XHOmip0HYTEfleySa4vh
lG8KCrmCQeWeMoodCiVimF3iEjiV9ldVAue1A2lLz5Ctdzn8Lw4kxMejD4/WTDz+DYBMZiDCXUuH
vzwoadXE9Mgifz8RVQMKK3EI5zYfAUqJg11A3V3mb0rdQ+d511Yx7mjHZu9jiit5/xhbwQ3qszPA
QbvrkvMGN+0aLGrO9OMvRP7VRwkYXzSJAilyvXgUOlRmRtCD6QjAEfSqnERwDQDDu5YK0U3q/pFW
aQ4/8ohrvD29S1djAlZV329G+CyCaBOup5+6FOR106MH8pmxwCb86I30W33lmwHs0Slf1QgpNxf0
UZmDNYnjoEFoBbUeB/peh/JZRUS3/naWRbpxqxYIF4htzvlWU0bORJrlBBIsh4iq4y+yY7Yqhz97
bcjXD8uh5fpBvk5N5NWgq+EsED66Xgs41jtSNFoYInlFtSEcvfQSQNFEOgMxU6RwJgDX9w0RnTwK
ywcEAOcKj7XP3gM5TCXLOH98e+v+nl0EstIMfIwMFih86dcAx3WiVHUajzVJ9RGsVLSANmyGGA6K
xIe3r+a+Zu9+vNyLlWHMk1YG2m6P8kbjcA2TleBTGqb2npSGoZSommFBahoo+jXAUVmmmtL1ZEDa
Snc6YTRpP68JbrRCNum/rn3nxo8KyCjxKVJaxo+Wsaum33LzPaE1kOrx5UiefWZU9V8JS2UBk+ap
ZScc68mjX11pTF5t0a379qM7rwkFJyQAQwar4DsvKjWmH6Y5nTjTcR5dwKKVqAGz9VZRett9o2FY
qSlVMlUALd+dF5BIEFPF92VAxgZn3bWe9IKhJ+/EklDUk7+ncRtgnNfgE0i5a4/igNazr/cJ2LfD
RkmsLCk+vP1Awauig/QoBezgnb5IhoMUUM9MokxHG24JuXumgu3qYx5BdAm7VoDqrBvUDd8LWJSH
kT7XiRxonuvpPdY7ZQJNG0/DfZadk+ZQ3J9kh5G9WPoTAALQA5pYfMvdOycbVLhHg1CoxZ3kVPUg
4OeGv5M+gT16O+ITSD822Dd9dtNTLSLbJ99DDkaZgoNAV8Epe1fCHyR1IJdT9eHq8wJj+vQoVaFc
qvxNb/CvoXNec6t67VBBlsATyl/J8Fh1UJixvI5bPGN+jyN8QQg7nq7myno7nKS/EKa/FXvlY7gm
4DuUIjCea1nwBw1jATqXQwc7H+nA1CJEFCVpl5A+zVU1S+X0XHBd395z95UwyPOswCIYAGfIfjnx
bUZdAQ1NQyDQvHPc01aZO9VplTqTJNfLb6U6ozFfBSzLYJ4z8U3Kj8SeBFjZiplbRXJ7OjO1z8rT
6d8lso5zFd6nDE8t+eewPR3y01OXurQ4dlcfuvHDmi+mY3TNxhNsrtEW+Xr1Eqi6+vaj2q+FXR6+
AY1jLiBO4UujVhWM1xpxDCHsbO/SgGQuF2tncyfVky3erTLvinopGAB8llC6NizKeQMJvprCBz8v
J3IqIE+aRQYBOBUtkvSM7vVNsSahVbcxoN7r8o/KCEsp6HzvLsY/LD5BicW1+EUSxwqIsmU/DJC0
SZywt9cmmszogBVm/IFC7Zr8naiJk5zTbaliKykOAD2Uvak8VG4Fei7eDNkkKRcp0iHMDqo2Ku2n
6ohSB7nl32hTBgJOX6URckaqP6iQDwnYHkaGjZ9TCKZmbIfWuzxvtsqpKhEp86ZLybHSXdupd9uU
4c1kUtPh9yBorelxpaKp8DEuS/mZ3o3iezJ9rfSRv9ECeG13bR0uD54BtEbzG4zge8QD/Oqn+fKu
z2nvJGUZsDq6bofroVKMAuR6gK/D/ZAC1ausJ0PVKtMrPayOD2XuHBPjSrVAPRDYZqZ1WaGFYVuz
c98ploApiU1V6koNBFKhmAWl55TvU4+AEs4kSFyyd4NHXuo2kmNDWfoCZ83U/ENFC9ValZkJZ/Cc
DvnY0YtpH23DJgnuMm5JmR472LETyrA2+UOOZKg7QZU0n33T90v/pOQWCipgidVvoeKmNP85YGZC
JaIzhS5qp9L+Dl162jZlFRHctQdjpkYnkZR11LOpM4buiJEWDc6xxBg01vz0qBtxgLgBMtQdKMRQ
YGBQe3WPJXuyjc3CMs1877HTJVwJ5/oXtWLrNbvCwYvI+lDZ/9ucO3AWFUOwClRHwh7mntQ2oZ3F
i6LOodOH/kiNVZso/1GH2XVYYl2KZ8U3wFT+Qhe8rgp8KwQMn+4082Uarlw6d1jqbj5m5JCnZqPa
yEy5UG0qShHTW8L2rG4ICuttReRE8p5fupOEKRRhCStRuy+8ayMv/Cp0yL4YyV8VOcNl0s7ZSOMq
k5yDK2iW9VblI1ggyYXC1NE99fR0ycFcG6ead6rhKQtPhKOc4L+CHmLIhuF56oWKe3SaoP5Y20ay
jhwAWktll9Wp9xoQpJ/0ow7ZX/oEr9SPKKbxphTofPkrOuK6L6kSio1wjP5Du6bCg5KNWd7tpYHU
xdBTwYxJoymPKkWumqWU11q/DO1bpdqG0L09V1SK8AxQj5LSEUUFd5yfBps8RMihKFszshwKlXMZ
8js07eNqIUb/Zux4OE5TPPtMLV6v3T6BVALZS66ro4EOV/LSJ4vnt6etakCqsysnPZIZVt0ql0ea
byYPAq1LDhZ3DOsco18qeqNRpINKzlD50Ay/4USo9KJuO8bNtnEkoG/ZAgweJQql/VXuJYFnnuzd
lNs7Ffa0LTpQXU2Sn4BTGyFf+HTxgc1Aw7OmIxw5j0Xp8gdAQ+2nDl3AcViLO9gL7Xc3czYps1iZ
cVB60tW4Adn9iNoBmZZi5jkpBcvfZHBpvZEiYCt+W8grXpg34sF5XU+nj6pMMhIO5ilhBDOYT4wE
Pa26vg7uKz8/DNn80eLTFxZZN65AWiXGhqpgN5EY5aH0IKeEf6uv0kkyLTIpmeXdrHo+eIyrdquV
VGqalMAGgugbE+7YThMbVXaw7PxA7LrxzqQFKapWIx+DPnen9KA6lUO82ydbXDjIfTcq9eRN8Kkh
pRLCtaCSCotUW9QCaDm5hLgl3MOJNS1cfP/+cS5tcKLcjQq1ZZsDEtPuu+J8k0LYVMfsoP29NEVF
VQU4u84Oq+aldVJOjRHsIIRfn7WUvq+eAqQoM+Pn5BLchFgPlXlXnZxgYs/W9nK+gRnwYCzRwbSq
bdHcRT3THZDpSMb1jpI7U49BTgZJgYq2sKSqMXtUR2PnFkKKGIqRboAaIa2uZns8qNyzWhK8lKRn
SAF9T6700vAjW6KePRkeVY/7srx28Kb62NnMtBfA30t3N6fKN3cqeNSguZ/mYF26qrWBm6a/BvA4
Y7xTiht1l+Pg9RQnF6I0iy9J8IHpOWCiwxuO2z7Hh4d/2N6pLqoqqky0+j5kEteCBkf1NFKrsaiZ
YgBV81OLEnMuG3UIZPmH0mNOzTtdIYoxQAY46j7SWWVwJDHUDUEcM+AUCblxFYb+Ff6sBnFkdJwp
SKRdz1/goqixSV0eWmE5AhIcg55FD/JhN4E1kKZU3LG1UoxvoPNChkhOnFwzqSZ7ujuDsR7SWDXA
2CI1KOukgiZodNfVcgvAtn1c0tPGDR4X65NZVhDuUDrDtWhPFqMGOGLn4AbKtO1lnu/gOv+FuXBe
sxaRurWjiE6rNWz7ITRIxmk2nXzCVmGyiWBoKngiQlBXi/uEspYTEJMlimjvkHZV66c0horHGA3L
R7rRPTpcUmsqZV6o0unc1FSUFG/L+Eu3qtxZZPCoon7lyOh3Z5jY336i4LWkAcaP6hfNrUG4pvN+
eKKTA/iHUw3zUVq5yXeAL5Ic+b4/5FNktpQ4UI1e7WXKJ6RUD9SlQO5Etprnd4OnC4QNfKc71XmS
cxpYj2q3QdvRD9rkX+WUylQN2VdgH7TrFNPkKcteSYMrSVMHxqEsrWNCSxO1l9X3ZzgFwZaeU2Q+
ExBWHPRlWXuzdPZVHy0pzqlQWD+ANctIHjC/VMddTiNiplsnPcEda4m13KoqyyApQ8Gpjad/thFJ
7UYo3gyTc1PBr5yv17KxgNvSfh/QsIfP8XPmimEyy2aQ3Tx22bg5/alg3K0e6Vw2KpcOLCozJJTf
3l7r1Wv61JdoVud/LwHQIAQ74+/Z5rE3vQ+kJ00WbnU34YnTHl3iZi+bJe2NXZXVlrOrfl0p1HN9
6/kQ+ob5u6nrf3Ga3NdOkx+QxHcQPfB/ldX5QfbOaXE2l25iQQhhdFwUoMmMM8myDWmXUagLLDxJ
iWYTwQmIym2Bj5eQ/avlQa0rNG4qpycRsgLSyuJmJepRz4LSHF1Oa9aA5h3/tCFDw1eRPzU3uAxI
5OoEoWmJSfT06vCU+ooK6s/ISkUAfqqKXzz6a8WwwCEtyK7YkRm8KLqWSwHQY0RpiiNj4tSlsMep
dKf+9VlzC9bz24Lwqwu+cHPjwiW/AtfXcWJS7xJ/4/8SclUNSWaopvP29V6LM358QPvnrXVsJuy6
wFnWoiZZIZdjrkyQ0jUl+eq3r7amC1568T9eTpL2gyQxhOidwNNaVMSOYT+SZ9afwcev7V1Fr7Xc
Clpc9WvCYik16Zoo+zOO7lRcptgv3SpDosheTuvbd7iWPf52hwyMMAPkatLnxY4HkDbY5hmYH899
Xmbo/6jlOXZ8XEV8VtXNvloorymZD2IO8Ci/VzBboDwZVL6SjFw6tRCSzOFV2GQd14Vf+w2/5gOV
P5sXC3zfdbAHrukeUozBCmiRoYxon25lwN3Wv46EsMCrNfWjdJoEQcn6t5/YflUEfJfhnoBED18/
7wmlmdx0zyFY7hRJVLtQvaJynsv2W0s+XA8MveNWjxPH4Pkg+lX2fpzgw027jV1CfE02k9nGHews
wCV8OVfDWmaJcAiV8Izrg4tBpRL39p1brzTgkvdDIQGcQA7wbw24kO34zqVBemUhlg7G8ZZGDR97
RU7Je88kDkwsCvalPFSElFejnVTLl0JBE9w0WTYlYDB+tDVS0WQAcnVil4bYB79WjoGiTDrKyMvL
b2vmYqO3yV3gt7JTCj/1oyIahSiKG/G2sa3SfOrIzoiDLvTbqIFBci47qcYe5pZ2art08frllC0V
3Eq0MXA/6isC4uNwGmAVIiCUtpSyS2fGqgkZHzW3g/UnJ04OQ5pSvV6dTZUU266coXxlXVT5cb1T
v9PfhBCkvIrpY/tVhnHXJl8+ciEWW3MjGfEEtTLepB9PESuMI67HV4hE1IZPJcUMOAh26AkQCyp2
zi8U8FoR+Nt5ZHrLAxEvjIBb+Fk602i4xMXIeZQjKquoLJTtkEJUuoudUXe8ep0U9zvUQNZ9wRfz
GQ9lV5squS4gKk5nRkKwG9pQRUeiq4pAGFccjFuoBjD1ZCnsJsel38YhS0dwoDCxL26s4DNGwDl3
+7el+FWN/8MDvjh+Mag8nn12l2Pe5PR6IZvxt3OFiQHxTZW8X/oar1bmQjOyKf+a9LHYL/wbC0BQ
ZsM58EwKX2dQRF4AaorglJnAZvN8g844kD6oGqjOMIRgA5VgG9DNgkNHs0tHreECevVaNKA3wUyo
T1NvxGu6koFSoeDtJbJeW6PQspEAhzEfeAR+FoL8QqXRNaLl2HmP8j0UiaunTXkeEz98IuxWql3p
SPkHHBftoJqAdOKVNJfcqif77Tt7bS3xyh0KEK7vmX/zFTnTp7kuJ7plKnOTfjTegyt5dW53FjRL
w5GtdDmMk9etDdApuUL5Rk2YbVWRZqx5q+6NOLH3B5WFavh3Ge1nxuzb2/fJWsmSvzhIvslcT+Q6
jmt70ctdz4bMP4OlcxyidjeBxOZ7tIF0387jP0OD3Su6XWO0O9vqdvP5OaNwa2Bd66rZZcU3q293
1fh7N1LSSOFVB16OUfRLM3/Ozt3WSEDzCutdMPS73H8fkoIZ2R14enZ+/KFVNTU+XSVBs/Vd8Wq2
2wiy8CWCIts2yWgytHAGQB31lt66yl457dYm92mVlzuW0M7HfZManOj+eNPkLfzq3S6qh096igyW
dlW0UhvKQDe81vf6MolMGQS8XipslA2riNNv5pG/QXw6tI18q87tSNR0uyWZ9rrJFtyRqG53Pf8a
LeG2RSTOREtdfgqicS+Bs6nT6yWp85CNFl+8O263ftNu9cR614kkDoBU+wvUCkB6XEXL77kVbKyE
48xLhiy7jTxUJV39Td8QZEGewidOl3G/rikJJtc7357k4gw5NIoeINrDRr1FtjVDiakb44YJS63l
93j+bSbZxurULMw5eojOzQYgEWIlwBF66AW6XbxEzIAyMgYSaEz+dnZmJh9ZYgM+eZirBpYlcKY9
0K0bs0xvJ/otHH+5HtmooC7uTl59FTnDJ2010HKHap72+h5a2LtLP34KiAw8j21hK0B9Aoydx2QC
xrKPa8dFDk47H90Y0z53wU+Z250xfrgIkIkH9SGQBqUCNvF5n7Ao1BMPjFUc3BkmZx+KCnFFY1vt
+djwzlNhPng8zPg1W5xtCo6LPnvMT1eBc75NbOdeDZsgkKchEJFpt7tk4Zd5XB4comFjaa6Wrt3C
pQB/0/muKLNbvU0SBoILezc+lvm0d+kMrx+oIZOJQfbaea9baGHMmNyIelKD89ruLh3pDNYZXJ17
GkF3boXrgCQ4fKGvDloDADius25XB90ujPuddaE1EZl3SvOhJnga+J58DDNyO72TyYkrXc1H3GCr
3KTp5U4ypB3Tv2XtH7p5eViA5cU/jQ3/y8WmJ3qaqPY+6pDhctF4cfQ5RZ4FhiqZwuCT15xoSz7Q
2HrXz8F9DcZXA1eCC3KCRDIBLxkCoTz75OrOWR/9JfPHvQQuhWXW45SALLhrIAXsJpLGwbjX3s3Q
/US0RZfDxvyjIWGVAvMY+e3HiGyPB9B+qN3ys9u67HfSN/78xTHoTq/3RsKMT7kF9oWnhto4ON/F
M8iMKVJcthzdZieZtdMZfqRud+7yOz25VsQeOVUsavZ4qZYPOihu8+xU+S0UcAfdVn9rt+neoFlU
9afSHXkIvvduvAq+SYZuEINgejjZVL0t8P9YN51/qT+V2C8XnnR61kEe4GCV3hoSWGX6h4sFFoUF
sBTyoejcUU7DcA7rO5bsVned9g+Vx2Bu4NybqIYJyYyKBoKYEfFuSP+Ne728RzhcRFIPaZFA1YEa
MGuromsMaqv7znmIP3v+vOpFe7Ie9L7T9CEATSeIiQe9vbQhYfO1QTJEskQwt0lyaGf5ZGnBkkqh
Hs0AUFMifE64MzYYKL5txlk8n0EUPGV3kJbtTe4CTM0r8LkpAtZX0poFoh6ixtsTsD3obF1Lu+2m
ALRYw2ap5gfSGQyff3PyCubTdtV5k+ugIdZn1l3oU051v96ZMyPaKCYtW2EH98Bm7sG2BqfIu3Rb
6dkYpGD1REgx6AjZoGz2Rb9z0ebSv1JHYTGsKipr/UPZjPv3ER8fwyuHvdF+A5KykVpzvS/RnF3r
IyuWRs2Z5YTqaTYOrfOyAekEtX169IzrliMxnO8S5uovgAq2BAKE3DqK3pjfaXUv+JB+4R2k5meU
pPR3ncNejwbqebmE0o3mowOepNRxyL5PI0IFgIt25JzO+5heUVgvcdKfzRq3FGKrvEr2mZ+Q4kf7
ZdMxSBFYOixOLDzwe8cauWyXetd73gGAL6TMpIGM26qB/EWfkCICn0b6YSn+WOgoTRLcI9pn6wfQ
iK/Z5nhsN3qAAvldLQGyajbZ3dxP+64fji1X6Kb6AJy2LsxjX2zooLHTnONVGZkNR6LdSr4mpwOa
ZTpKKciWny/nr17UPS69867KPy6cj4ot0QNfKPtITOjvvZYLoe2ULpMxy0L//rxkdzLMuifw/B8a
8uBxNG2N6UKeNbuzODQSw8Gor5wlvV0PSkozD11DsXm3mr2e3lwA+xrsoRawcZvdTMXl5HyV8Kd1
985ZHypAnPJ43Eej8obj42L2n2CYh1LIA58Yh5c9N7FD3UDqNIKl2nWOjr93rZsgK3Y60rWd3/mD
f1i8uyngiBr+OQNuwb1uvPjPoAzvx9D5MvSQG3qkJ8sencmz6Sa7gKOC5fQR+pPAmy/xAQVAMhFM
6gTQDQMrjfQ6yfIAveROZlLLLiM/wVJ6uh5vi4QWntDbeJ90OLXCsePdT7hd66v55LxA3TABimXI
+gfQx+8uJp4oijE3hg0QaYeZLjC8La0TsfNNHn/RU/fjBGSUe9AulOyUxEe2XJpVljhazndSZRJf
vUZeD1jOdxL3UxUcKrYgrU0gWXeS+gT1LWGTPrmc81udRT2glEOa5bcybPky7G0NryzPZvWtGitc
ATu4SSfnkOLg6OmmMrqXmilQemu7JyyCFlrdvJ8oG1nV+U+riO69wiUPk30Lu/QOfRksHv0YnMAq
u7NpmXaGj/pxnuejbJmLDNVjA/EtXQs85DJ/8qvr3ik/O+20H3S+WBo+x8Bn0UXlwib19CCDKBPk
A6wFa/wx9udjdD7ftDRJKTBlhvBqmdK7cMFDc2GxEto59l4nHY9sa+L9SYCrEdD+JrgfzH80IyQt
uABS4XGb3uncpBiIIpu3Vjpe6+w4l2UXnd83WB4Uto+Lrn3RXugE1dOw1wevBxJ/xALTSGZkiuA/
ACrLiJxDAgyizE86Xu58monNM8Z4FH73dCwBYSnqftdeTqsjrs8kRN4W1Z9p672TSMw0Ra5vPzuH
96fYeuhAm9Rp7NLiTmrdQReB/7R3jPwOmznb84MOvD4KSPK9RKOs+PgBLL1zv3rsi4Fwc4ycpsuu
iuTgYlfOGR1t6W8tiG56OYXvq2r8Z3lhqPwpKU9Hrwtu4FlFJeTn/KseUndmEasM7bDJ5apglWS8
R/SyLNWAozNRGjDPX+sxhHHRPfQnpvQi631+v6DOgsm916N1EXU5dl/efpUXd7WV3mUYJWnedUUQ
ATntrm8fyJHfK3zKCZTlOcn5kjdyOS0U878qutG9QZaYXMnTlgnTmLJJnTFCNBv0jhF6/xh58tFu
750YbwezVE799dAt7XU/lhu4QnDjhnwPaQX+FfnEoTj6EF1aXgkITePU11AXA/ySnOBWtCAK7zza
bSLDuj3XIal0awFYsrX+HNv3p4zP8m0TEEIIo5ehhK0CXJIqKperNu2PxgCBe8+w2emq6OIQqt2Z
oMylBdRsNh7pE5qhSBLFR517me0F+ZGJUNoP5/5Opi3kyaTtkwKErRKi7uhKixO52W3sjI8NGMwS
cngMHi2jI980f7Yi8lt9jusZAvFPSQp2Z5qkRwjpjXD4kmAjBoM4raXuXzlfotr7YsbjY9/RTozB
hdp77xtxcmWfzd1cowLgbsiv/XDaZpfLsaMlij2ZPuuO10+Gr+9YnwjO/G+pDxEW1Ga/tUuxJ0Hg
e+4h1WgzwiW3SKfJxWXtUeSmeeVn84NsvsKJJEpv5YGk3fw5Gt0v2YKp8FPcwPZBH1N5D1nifDZA
sF+i7BgZNwXQJFedmf5pF7R8YDR7SfiUzNs5IxogER5PyWNr3ohZwVzeK6Jt8LWkduMZhWVOj1NI
mtmMNsn8ee7TmYzz+X1/Kb8pHPHp25bB8NBLjIHe+gh1PmV3Z6qsXYGsQmSG3z4UPT2bT9Je0s56
dWm6h5zoSVpKGkufpAMd4fVmmFgZlcSli7GAHzYgx3mhz9LoP1ngVziF+dmc+q9RAkYpmtEqx09A
A1wpZi8gx5L2mwbvnrliAJO2eXdaI70lgDGXEE5GoPfm/YSymM9MV+bhVQafdjn+0zGyY9vP37pY
dgJSd2NnpvPjGl32D+f+oYqVTa+vgKqFwZekBJZCjqyCqj5L/tRplreR1cEX2zEfxrLapq49Xxdt
sZ2sZSfvt2zBMG2+XFLc0jT+iA49WI49XikgbkASpCXwW71M0Lz9LsdZ/lYf9I8lhIiLuc/5+AoS
WSso7uT/XNr0a3VZHrSjdArvY2+n6Dm8GVyoWi7zZ4ePzUAIn+zP0BXdF+H02MUA811iVjTehkH9
ezKbD2lN9nQertt+uPYUK7FLsj+DRYPduYfspNuNp1jjinh02Gj9UUYpTvI/HVAgnRic0gXSSyn1
oggOCqQUdUmNUVg72vP8uYs8+/MCK7TimCTEHyK5sPpVxp5AcDzKX5kSTIsi7ssffXMBn7zqPkVJ
cVvx68AfduTd2GxCeaK2hvBCy+FPMLCRUGB1JEcqZiRVzwhSva9j5yAvQJ552c97bzE/J0X4ZUmX
hyi73M0E2bLchUaCgKbyaK+ZH6zBOtZteqstnfpTfi2Br9qZLiASjWcCXPi5O9e/V74CRO2DF9SM
GBur2Mr3K/B+/J7xagldV5vH01LtnmX1PBCCtSihgeNIQNjgvMcMefVEn/KiKHcepQuGutu9nYh7
ZZgVCJiQRKFPTyg94y9SmZMa64IhQbe4F3wyemLIOqtqP9JQkjTkL4GiEfqC5TfYfyoPqsZzkEy/
2wtTTH0JanBS61rAGJhKAKrRa6ZVfUTKiw/Wb5W1Db/Ao7B2JmtEVbOals+8pjoCsFuquqrRSJVl
04g+rZ08jbWj9q7mMpqBbyjIhwR8uoJmxSz6oN5ejddauH1oYzV44XliGvs5sRvQUl8uc7OsfRoq
n6x9B8ujCh1QUF9rmjinI4n6wttXFpbf39KhTBaCPaTKEaX+n698mpchsQoUMEn9FAwsj7YIpmXy
Pt8aRUmWaGCk2bpaLP1Moz5d8KqApdEH7xTuAopifUybKwUa5cFh8zuuM0Y08ahcp/67X9aGX5ue
8H+8Z6XJf6ieXvzycvZCisN4+PMU7xraXid6oFW4qxwOBaOaNDeriEA9UjVIbwZ1HuciDK81Yafx
AM0WprywxWWt03fNSPLFfNZv6a/cf++oIHAOnoPh2RypU87fJ4rK5/9GPVj7+zIpjWq1HYfOB4Zq
X+zC4gc15KdYWtth3ou6IZMDAO4w+FCuT6MbzuN1/q8cGEhnKEd1ESEiLjQAWLxLtVST+QNVTX9d
H1/v4O93iIgK6UekXz+vuZtXcTbZnWhfmE5bJzmeE3fYDAARqROAHILwj6bEuL48atYSX054fXI9
3GEdqXhbcpWn/9sNgUVpWwxXeab/4sjYBdxq/hR8H0PWtGzQroVkTTe+fSX71d2JTGrDbhQwZ/Hi
2WvQ/S9jhXMgAXPwsgbX3YdwujAjVfXhjUrBsYvsTczLooRVINIpSOWVcDJqWFu0PTFAYh4FJIda
yNu3aLmvrAZwkhHTg1ZIs86LqgbkEnNpkiNbESUzskLzhVAXrgVV3hcmagwz2worTd9jSBtmC03j
a+3frjfyP8JcvTt/a0pwd7r/rbd9K4EdOMdJt6KB/vunzcf/8+k//iyb/7j7uPv08pU/vRHc0L+u
L6jTn37YXvBh5w/9H838+Efb598vAsSoXvnf/eN//LF+yqe5+uO//te3sr90+rSYjvUfoVN9lvT/
zze5/dZ//WfZvHzDX4ThgfefFm0U9KkGK2CAjwR9x1o1Ivs/gV+F+NtBjgFhVUPbX4Th1n/ym5DO
PRBCPUZS2PO/sFahGY9g3LMi3kBjPN1I/yOw1UC11X+fJQaUoZIz18IycR/zPC/O0imG7TU0ABty
k/ZjU1z8I7AH3vf/TKfwgkv7/37+95+ryIcXdoGUY4bE4HNOruzabDP6Z0+AB5O3MKAD6PGszunp
6FdVdGNHSXkDGRgUs/l82hlpH7xvGTLYwovUfoybZGDCeah+z8O6ArrRmL/aRvAwNln5ZwPNC0Pq
NV0w5vOcX/5RwOgGEVcFyEoaFg+D/kOtFySjAf9pmb4k5ewfGItp7oMsoUe6HIEdSYLy+Nfv2uae
5uEeexZDfdMlf/0UZPyhcEz/2FXl9vtbATQ+nE7deGUGTXnfhHNikfAy/bum23z/af3Dipcc+SUQ
P+Vm1kuHMDz8IFYP3zflR6BawfL+vFcwLUQefQBMCSNPL6EJPbtJeqh5nK0pFPvslP1GSbi/9uuk
311OwOP3Y+ocRnfeBjmZ5GSIpx2vpzOaQOpdjAdbQD5Kq+bkHv1TQqRY9LAEmct5nxjtvU0ExugS
s0uxhcd7ynN7P4Gqf1iqtN+WPfXcuvIZRo76928/mfOzRkcKEX5E0QfewgM8ZHVVfjDriT9ZVlX6
1pYmk3jjN9m29WB09onS9+FgzhvXDpJdWyzRDp6ffJeXZP85H8bvQxqAb1geY2vKPkFI8kcbdudN
3dLO22X1Asw/Kbsuy8vDKPoqCAghqonSL2NodZ84hHtCy5gscAs0aTtd9pFJ7TktnuJmIrsEbQyQ
GibZ1tbatbHzZ+NDoPCLh39xBBnpcHzLj7wwsimj09/Ktv/w8G58GbxgNMTckPs7N6F5uEnwcJP8
ne0HdHPXprc12+QJB/68H5+i9Y7Lbt/6WX3Td0F+646nPdO97seqLcqbyR4DHGnvA9Mw00erp1yV
nmEaMMyPRnR/iWF1qgPmBRYc/5upIDQMqAcRrM0f+/7s/8JASVv+KLYRjj7KjBSLDQqC/vvz8wXt
CKFQF/v0K1we/JDkc5Fbzp3tlJryC4/nZNnWDiyGuZlEwvv7vVkyaE/hoXiXL93TSpsQnMJHrzoD
wUR38ObUz/S2mID8XMUFSHcpPfPhhejfdc/V7xm71thQlwksPvXOM7Xdvrg3nfCfHqX+BOCcoKoP
/RlgiiIoR/xsUMjH3Nn1iUlqenICoMs9ApHF8La1O4BOMbRwlfqxarwLrEiX6tGYzem9CyUIFfjF
JZue5qipYnpY0nPwLikaeHujE3nqIe0+IY/vV6j0oqu+uVld3yzl/yXsPJYbR7Zu/USIgDdTei9S
XpogSqpqJGwCCZ9P/39U30GfjhvnTNShLlWJJNLsvfYy/btoLO8Ymgm26OlDqa1o5Y5189Fn45/O
kH/fz9yz/39f7Z96/h9HPc8hgMKKLJ/wPJcN96911ulIDUE324h3fGnSllopYcMZRIzMPDjuH5nB
K2KsNH7791TD9NckAmwLveyDZKwNG/JuteKY68RP2ls4msbKjhrMCcO7UW71CvEdWawiPD2bJvdW
9vM5LDBt+MklClIQM6Y16sHV9U5qB2jFk84mFW0NZMAFAfa2tIb6PE3A8zXE9f3fGbJz6a/Du16w
j+Xen0r8+suGfzWKpqu8Zwb/RHr8bG4dj0h8nfHcufNbWI/esRiNeRFkl8kS3dEKhdp4SQJXfw4B
HosUNbVSsMeGYTfb9sFo+/HYBySNppLDnd45V7l5aHv/PXG1OkVdNiASuAtuZm2eYt+8hwNNb87s
T8vZ6C2iX+0EZzmj2P/3M+JfyjPsNbFWD+4tImUCle+/j/4Rn0GjlZ6Fl86DBuDj0vPmFbCHuRlc
+p6pj8SD1Ga4yUp/XBaFjo9BrYZVG9DK/fcX4/yr5Px5NZxVNoVN5ARIYv+1oyVuI62OPR+Yd56u
mdEwBrinxrpzMy1JboKWpIO/vNJwrkWakk0X2OaXmMpoQRRl/jj3xci+JeRM1IQ8i0zdujRu+DHz
Q6ehgpVVuxfLwOsiKIujayaQbbKi2DdGcWwi+NMTIYFHjEisRRmheSnygSgn7MOcUB778NJWIOg/
+Zt56sLHRiCxUpw3SzUsbU9FDz9fHL8HebsvE/D1eOHqrlhXdphtx9GP9lE0Nku3BmgyvLHbjspU
+9Ezd0lN8GYyOclJDPl3FoaSPcJ3yXTzY/y4DMMgwxCXnW1qxw6m3+wYL5+eJNZHW4zUsMK8mrHJ
5WaJpyKXKcKhce/Pg8XYJQUmypjSB73lMy6LyCFRs7sfHWJCZiMynkhOQGPaBHA3Oy94GPR3Ykzz
qvXK8iFtnafYdrtXZ8AU8SdIaTbLCb2p1wE0jTh5eszMnSZ+kWny2Trm1uiach8LZyNDHT3pu/+z
iCqJQ/bBqZHode7UPqi6m5Y9YbuLxhmqaxFEH6mfamhACdhENjvqZAUjS1PFby6pIz/3k5znQyrC
/IadZ7hzCSgkZsJYZ3bg7XvOj+HOk+CSNdewjQcmSP20qw0n2mncNBvoGps+bpy36qkK0sewCKMD
qWk5/FK73yde/y6Bvquq6s5UXtCearJWrWxmzphXNjEp0YQOPUUKGgw7En3aB5xtKNfCh9JLKmpd
ckPc+ZrEVrS2iNsl2gtIz9Heai5VvvVZNrdxwgh7TlaZFsalFP5b6bjV0bHKak2QoYWfIrSQpB+6
Y68BqOJY5nujGYI154mA98bRaGQR5Rj0pbi1nF23inpVP/h4cE74PD1hyZkxx6DcutuFJmZmLDNj
NlYkniD2ELm5jvPhWSbzcIlrPOdCV6crRaJUZU6Usm12m4uQhLWU6be8b8RZljekX+oWw3475D+n
fGsy0Va6+oCVR3gHgSKnslY7w01anJT9aj8VXfrIzbvzFdAYe1bsdd3Y26SNBGS1DBgXq/hEucFu
aPR4KF7qbnQ2Q+RkT6KyjkZQiSMpwQYarL9fBawvetVhr72sWQqSzzZu5jePVdJtkzAuF4YhnJfK
nutlNYYZUivpHlcMq+qPpp1Wld2na7S7WPXFrOyin00Erto9WZmHUMaf/P93MaT9sGhHm5i0Gvf4
JM7CtRkgKYVz0zFCd9OnpMiaTTkT0JLN5BbGq5CZ7Wu9cGzBYucwR7ybEeKmx/I+bE7VLbAirker
jc4NVhq7ujuV8JKvsOTLhQwLCHjKkPCRFFeHfBCNkz3gdd1sqsZam+T7UbREeOHLMl3bg462dV4y
k+ce3ffSHxBrd995LsaTYYtPiATJubWrX3nZVbsgwA4qK/D60bk9b5vGJkbhfjbhdpEsw6EclgUe
okp73jEgr/dJaeMvbQREWdvZTOBqUD4LDTzPRXI0vSHYEgjuE9+Y+ITg3dNchqq8Rx2ZBW+YuN//
fieEdyDkP4sLXOFC6LQePaRrR/8qLqg3Cm3r0sHEYByWMmd8FIbZqZ3uXUPC+tapR8nlknYxc0Nc
xWAQKznY1ao1FRBsOtuMVJ1qC7lS7TOVpU9DZxRrOFuqIdCv8m5Mkr2dzqS7+fu0HLpwn7Yto/bG
i1Yz6n6MzLFw5Km/eCjL92HRSUwiNY+Ykh+iQL9snSE9pXOkGQdK7xQWOWwd+yMWUmzD3iagLJiv
A0P313DAoTq9F2g/X+bUXOUDCVg/r8Z3BS+JeMMRRC6xonMi2/oAU5Cc4/5C4FzNnvOcS4CpQtLc
899aE5ldWXXLNpnyhcoKPpHSCLdTPIzxptazONhpklIQAbtaANkFDKtt5QM9iYqeKwzUPu9SC6/l
jr/qN+gr4V4w+BNPsfWrs6LHSGMLpDLd/I/i48fB5V/PFiMjACYeMObj/h1I/keDIme3Y07WeOvi
Xvr+hJKz0QYiEChE/Chae3BX+xoepOWw/HPFwNTynHY7JFDn/UA2h5SprDDh1yVJ8plZ42GI2JFR
rdKNbo0vGCHi0CTigUbCY8rOdRySqZf5QiFc0MORzN+CSUbHTzWuWKmBAZhpJkzN/Kx9aM2eiU08
Z3CQPwoW4NHNMmudYF4bW+GzbXgkXDhNgt3QuOhNO33PVPi/sEKs2P9jD6CXoze2g9C17XvUSvDv
LhbS9jgGuP6sExcympH06ownbUxz8fNJ5bSvy6lsp3XVQ+AS1tjth3b8YvwxHVvrI7cCcamUP53K
bv4gkva1tTP/YDGuJYR2iJb6XjZY8yYox+omdbL/Kb+kKeYrvKz9pAsoO3k5HUnrm69RYc80Relu
SAPS8bwmOKoCJLtAB6HGuD4kApHqXTMAczNktjo/SyedH5gArXGUcM8yhyXQNts41XrTwCFTZS+O
Zei9xH5/rmaKuNxsxM5qm3ydBFGz7VwSnhBSVMupZTszzTDXbUP0NKPp73aqR3hg1TOVo3erGJTF
Xknq8B3LCNGAWH59hFvxFTCOnTz/Tp/zL3Pm6mUZx5Bji5aLwBTVtZpOVqgFYTROcg4wMqDOvcBp
GTG9wCqia+37y/HVwjNjvacWTBDlltaiqxPrEd78e4fON5saUso4LNdGjiTYqRDrZV2DFXBqxJtG
WOYZI48VdwFxZ5Ecl//9vPyX5OhnrbAUMEnzHQdZ3Q/W8489xVTcDdPJttfK1hO2C3BIvCo6j9GY
oDVK1rlTjs9tq7KNhdjTsEc6ttzlz2T5GeVJvyzqMT78HFmJCSWjyXFNa1LMr1rroiJs0bqIoY0a
tLmDPtgS1GI0Gz9onQOUDefgiLD4H31B+J+NPu/pjsWzxTGqZZbhWPc//8d7SuVgG46B5jme7vRQ
37Szr7wQ2z5t+v2c+8QL63VqucXHT22OXIYx7zh+WWGid6oGwJoqTGy6Un9aqmMy7mT2PhP9k5Th
xlRz95i22H6ZeXm0ygY/mATCfiLKTdGwQOYpgumR5u4FR26xccphWqZhgeut+yf0Zfg0FshqzeLc
Tj1HBq4razcX9jqrlXWZMZCc38v70y4ElLXeib2DK3JAfmlcfur1iYzRvwHHypTnn4ZzrizrOfWI
0vU7pzs0vDMrT2ZotQx3jZzgIrdaD5E8VgrWqXgNIfGcap3Vq3avg8p78mfs+MderH5C7LqsCA5B
+lZzjKDLcv3jWEc5GXxDfsLHMNqlfYTKP46CB3LTTvZY8hM41eIG7VZbmUfPYgwOFp7QL3EZvvyP
FQvC/O/zjUvTi0JM4vB9csMfFO8fz9dgBqQ9As7XhE4t2p7LKqmafd0dEO5nSwuargLSXowzl3yV
W5IOxjyI3v4dZtBIalPi+hS1NYOJkeCBtNtbWUFjFUANpYAjoWDoI6gTht9jp5UTgxfdy3R2w4o+
FIsCEStsVqyEYGqkOb5rrkwiEtc8KzifI+EwFpNuMmUfpojugCnyyfSZefSzN56Z/2LDlG+trB0v
HhO9TTjraT2R7dlMv+pSHtJuHNHspsm69KrdrHA/HUWPx3e9zRIlD06VvrgMfuKrlxGPaNkJOl1Y
LKZf3QZIXrUEIqrT8A/wh4d60R0RisSLLHwJOVPWg8kVaKXiI/fidqvwIJ8SCyoorF0udz4+8y5Q
16z/0ZAonlnfXYxpCvVbf+3J1cQtLZObkjqXyMP6lxOHGUe+V2MDZIz3mNNk3wIucv1imMiGGDBG
DlaNmf12WUu4uiQ7kYcUEIVN+JZDUKclVb2wMgPP765BxOZvrUqDIkNCZwwYb6TNqIiVu4i7lFYT
0aBVTsj8061UbQZpEJqbkTWQhdOyJS4UD1+6Bggz9y9Ks6e8+xy5p0D2onE5Ox43H7W6hEEEM3rQ
K5jhvWV85n79NsZtjh5v+u1MxWFsbY1i8ikIdH6i4SRF2+g3crTPGSjOPUDKWfpJvHdmebBHwjsc
DlB/BB9xDT6CxMrw+3cIrVZqa3NUwEwU5q6TGaYG0ws3hPPSNeisPcBQ1Bjjp3YxGQHDbFfJrjDC
aDdLjRVfbTzJuAtPyvQkluNUi2GBTjDVVYwVAL46swbXtGzYmyPRrdjkWLfGw3jIcH2sUxHFrPJq
TVsfLsY2dZGt8HyJs+0QmFX72IFMbdfibCWTsarMi+P+NRqjdVVd+TXGqDKU2KoU7lOZNG8uPdGh
0N4rsZL93oHM5udTcM7EF0f+vFKzk2KA91WFsDfswSYUwnSNY9gEp0E4jGJsvBHqgGcETHuA+nGW
oR1v47kCJG+sq992jAgrBSuOxGI+8HCf15CVjSnFdWd8kkbanX++tLNi/uxEyGPY9oMoF6YFDy/v
2xESFzISDRm8JbrVmCCdMDQipaknj6txiF9h4ODMd3hNngYFSF+H2lg14CIKUcyya/t92HQTdJz0
WHWuvSvztNq1RnZ2uuFX2OlxDQi+6OuiWbje2C/Anr7s0fhVGPzLKcNw+jpiQk1KrWSQFbnP/pPJ
MENzJo0eQab32EsViqNDZ1FYiqeddoDlYuW23tpx7qP0IGYG4eIFFhg9hi0CFRLP2wUfIMC8ZMuU
6hI28AqmgQMn5zXbZkhsKamFSCajZpk6iXVm92RrB0vkudA7M8taNJrGcxjEh8TMn6tg0ovK4fe2
lFZEFpUXI64+w2D8rFIgMk57Kx2nZe2UrMnMrhd+wQELsrpOmzbkFmmHU5zTYoJ0L/259x5TbAgi
iddwnbM6KfpWWPQFy9iBKZkQmgwjosC7fVZLINbmWO7SnOTg2HgC+/lmRgn2o0qB3QmRoI61Jqbp
Cr8sQAPZ5lin/un6gwkJ6eCmibXysrzZNDLaCmGnq3wOV65Z67MVQmJ0+nAXAoTSps2IkT3K4KY9
U7PTxuTGh6cTuYKknVAQngablsho81M58jLdKX9p5X1egQz20tXtKkU74AbD72AgmiIIu6MTTvHN
RzhfeZS7POJr4ZAgb2T08Ca8wEKm3SV26mcWC+SouGpWnjeVj0Kh7MJATlET7COGeH2U3aJU26fa
Nc6ybUcS7xxzF96tOygZHR0o5BocylLZA8Hr87JDLEo003QaMHhknfmXGPrXDUqKse6ZNq6Gmqy4
KrgUQTbtydJMT8zlr5Uou1syJwjajPb8891cpBMiQTL3biJND6FnZ+cqGMbFlCqxB36c90PC0Y6x
Eooj3pD2XZwPfTHeIpxkDNuA6le7tBeuh9kJjOXWjfUqqOSI/9+vfGiMB9J14bqW3utUcvP0YBUX
18pxnmkJNLJBi6vUvBbkwpaRVT80Lr6VrRGvInEXZXfIisIacaZ0SA/uVo1Rw36t8DxrTROjvqy6
jUu7qO8YtKjRe73HRVYvuzHRW+A28ybErM9yjvY/32lVDouh7Zu966TNomLUt4p1T4R07OcE2dqU
pmZv3YKJQZaeY/rw+7eQjlm6M6QYO3fgKUO1X+kIMt7onkGpp8VQ+tatFqRV2rWPQ9QSGPFc2axB
0uN/VZlvoj4Kw6sVedxSAgru7NYaiXPWLEoopwreTyL1kihfkgE1dORsUGdLJebO9KMMRWrjPnoW
L97qZnlxmzRfNfx85MJnL+NbUA+slJxtZbRiM2bu8FDS827MNHmxosneBI7fAJhNv4Q1qd9l3R4z
ob69bAiuFq3gSgbeJqPtwkRmCpd9BlxU51aH4qef35x0uOI6Zv52k+7Wh3G/VpFwt3nJneO3+rft
ETD4bsc9fZIhL1OKFYoKdMOFkEPuS/mFI1yUaQB/0lMHVV2q35mqMG203HLHb4SR6dsRMsbiHmDe
Tue5RjyZeWTqoMMwy6x+TayuwKGLIqRUhIKb8XCmnpFbQj5Qm1liYwjdLYsuI2mkTSm5KxJCLKax
K3t01qWfV5+Wk5OKLeL6XBQ06mXki3tbOK66dj8bGFLZDbHuNTZFZrX2kpYZXYGviV+WzbP0umLb
B8TBM/2FpZ7zajPfWOiCOzV1rX6R9pXzWKuzJu7928pNBN1Z6yDQa2suz7riVbY+yz6eniZ1m1pe
KKj7eCQn3AWVIoTp3qTGyWcfdN9ZMP52p649YwuiMGUL7v2kjq5hW7478Ee7LrjNwHKvbl//MSph
n2LQNEibZkww1p+CbmUtB/dbdkSgxtM+H7SzCHxCnMsmWhu9eRgNWpJJVc84a91BX+bOsnuabGhM
XvSS2eo0cHwGQ5ws3SImLLoO2uvc3cM5VyqvMTBW7yIL+0PKQ7vWwtdXOZV7RC3hyRoSDEb9VGwb
UeVXO+Gui+XwC3eKcemhPgDbhF9e27BOu2RMr75emwDa+zxPisXPb+rbsrsmCWYHirtddtGmaC3+
smfqjeiq8DqyeBf5lCbQ/pkXsk7jI7jwBQvY/oJPzgpa3nyBN41TaETyqG7TdRzdiasN3soTeDR9
rMw4pvITFl5mWu6dwEA81oG+Bkc9bWce2jd39TmxvsJq1JvJtWao4dZae1zThcnZn2efU1O+jjZF
i+x0hhos0YtIXPOIo6jOEkwu8wc7GC81/gcV8fV96DKVkreublZDRVEwYwpqdP4SxVI8qSdjmE95
1D+lHB50yY95zzBHo23aOHX1XkKDmKrhQZehWuqgHnk9Qc1BFC6ZiYaLahbhQbmvgtScHDIZ7NyQ
cdMsPgbUHMjl8qUvnWBfRka2MopbMf8ePAD2IawewhZgO0guAVkF694ETFRpTgQGyWwmTNeuaREv
5/YqmbO/ZrPZ1loe4iB8a7rys83AP+l82bieCbRz9BP5Mo5NecCAUS/Mrr0WBSWDnUPOnsOF3cXf
hJsvy1osONeQhgZ5AGcmYlMEZn0vEYgLpWvRycg3rkMSuN0CYd/KLCXsm6z2NvbP3SgPVogFV0Cx
FbsVBUwZLmZlIPzLcM1uXyeG7wu4ixdcFL7g+XwQmwKnP1hJTVNRuYpMeC5hI4/IXlPHxudzSQTe
WTJaRsOEIZ57rq3g3Crg0mgO/siI6c5UMxAzgz9VzcE+VvvWC3Ats4y3sLNxzZ6NZCFA2TgnSUrv
jBdTmPQ6peVtPLfYzdl49f3+xCG/gjc8smhITUjC/po7xd6L478KYZ20n5zMqvDoKzNqE7jINcYQ
jHjf9IRuzr1vw7ZllsBEX+s16D4qyXw7e81K5DVh8JhRjsDE0IjNK1B5Asc0+jVHE65P7kc5NO1i
yKr9TFcUj9b36Ab2yjAVlrDDNqyCG+yTXVjG5tpIP0ik/53J9L0KnyL8sRDHUIQVUSAWviw+Ay9f
tq7z0ZhIVWo7+J77YeeMmEr6VTFsOAweit56Irdj5Ij31p75nci0PCVm+6pmmORkyluz/176yBNs
I8R22LPPqY82OOnBy6v23JkU8p3FaJxPyI3ibRHEK+2iBFCiXpUQEpFTDL8n5p0XXFPfqrZJDxxq
xcYYMci14nDVhdl8ccLcWXZgpkuv2qcZPQeDks8KHfayCexH31cagkrygndDs2nbhI3k60PQAn+Q
yoQ3AzrFtUytPy0Bu9vcyk5e+dJbctv11kdf6keqsb/U2DwhTTMYOoEeGvPXnAnqh5r9E931H2bj
/4ryDR3HFuXQBXf2ahVMzrgIcEQpZfGiVXC3rqj7dTZwFzrDCCVhYCCGdsQW492QkP7Z8s52Z37P
yEaXXi5f0LpmSIJRHdbVNihYmXGabpF2XaBymwv4mfHer74FFxQsgeQzJ5gRVsSRkVq40wKWJrdK
gvN48jmFfPRS73JVfDlr2CjMRO4GC0IeCzNINj2yDKOsaCrVe9PLbenEDNwD832Sxn4wuEOmqLra
fUQTMFgHIoHZqtNWsONjt/uoi4QrcTVwJsNsLxiRO/bWDSV3dVitwzxxFzzvhVc7NUeH9RrJYT13
QUlyZ2NgzeFsoaXRsqf4+fAyGOKjyRqj31HhNYjeTTxkzg02vISfoa5qtP895RywybBLVTduAWyZ
/jj8HebBz1r4x9a0PHIGekG5NXDhJf4LPvNcaNkyDhEnOY2C5OdzlLbcONtIfIjB/JIhYHlbq1Vv
5+9jO23inuIpyayYSKRxA6D6G85Ri3Keizeiq2pi6t5EVDtVcPoD5BCIgelE3wzVarTnc+T19My9
exxzGFFqnhel7aQrXInwVwN8GMyBaNBxKak56vv5kBeUbpJ2gDuewTwxA9asGBC5rr0oq+nQKhXQ
B+OHqzKckbwSo8cNxZh/UsU70yf5QgSbsUDc9WeMcMlNPdDYPLfFJRfM5jLg+1m7eh0n0UDH1pg0
cLV+VE7zxrwoxT6FLLmAo2OXWcxlDFsz7PB4M2P7IhIwnCTh5MZzlDQ7PkEQ6OSaw+kb5k4SSJl3
O0/1A1rm4MnoALHGFOWv25kHwxHbtA3q5WDN9PVUOOSHG/0eFfVeF/2tB+V5sGTDY8Joyujj/dxG
MROv/MtU7mFWeJDMWcX952bQgiKEymm3M6v2fgzgDBAJPDSc33ZVlwt4cQxtRmebdmi65smNwRD4
0AEEMiuC0sjFKVPnKUKqtpVdHC8bA0PvkiEhhKt6M+bWwVHWnsCPu9P5tBeliT9LwN3cTxExRZIR
9x2cVRg3KcMMUHWZ3TGmmgk63GK5WxMmltyFBoLxX7NXoBxsRgeDR/07swExZGu7y6A7pTl1FYiY
s6hrlawEMoRlA5kJT9aCA5+IRnxDq0upSFdBNLc3qmlY1AWYFLGG1znq++0wJWKTKvVnyhIsDnvw
i0oXAWYod9ZZRiQn/RpxAZSDdY0NKdOu0JbLrOiQpAs6Bi7nMHMfcYs8AeXjTOWG48LDrlkoxY3C
yqXyEzhaunhCjP1OfOV2m12kG6er2sFpVqpQPVbzsJ9ayakoLL3ugy97kM5TSUCeGeXpsbb9P168
7NXgI2RGTFQ59THv85099sQmeH26KulkN+UUv7DvXO0fi6Y44+mLLNMKN6oPzrLKUNhPD1PaEGCZ
XJuKY8UPkehlMmtXgiyhKPSAMopwYzX+e+uwOxs5PVdH6LuaLhR0FdaS3MAKXTkzWGHnM0hIy3Ap
mlNRifMUee/Cn79TpX2i6w25mGaGoakboZscD26e/nGC4s3K5FN8H/90wsINC/xtauNgHbvRX1MS
iPVYwEwIvgo3eXYjpP4wjhdlaOULbQx/VAZfIn6KlZsDjbbOSbp1z5SiZd1p7sbZX7WpvKnOC+80
k23BOHdJQNlfhe3Xa46rt9BTh7YKCfeVb72oUyyg609DBo+9Md8Kk38+4bqDDAezMU6fghpemYvi
ESXce5Zoduui6fBRCHRMBSbFyfbwu4xq7zvBzSmKGdWBY03z9DnJ4H2c4nNu0A95eUIxbv+R3Zjt
zWm4TP7griw7p+so5badkveyNkf6pfj8GAbB1XD2oi0WpuwwY6iQrfri2gPGF+Z301bVhoOVNPt4
Xpj049yT7QSNq/Y2lSVvOLtlDMr8YVcQtJKMEKOt2RRYzqt4JehCSH3zQxjhRFeaGs9wY5/OMcci
EKCReMwBNPGXKuLsnwBR8RajitXsnsp9jvLm2WO1LWIseWB7kt47LeC4qdXMPHUdTo5Y80xns5s3
rUOZ2DVSbeeXgXbnAS75vJl0aCyigpvbL8mETGW2Ze6MTUCrs81Uck7O3uxtBysxQeCam/BLArRc
0Os+dIpL69Qrz4yKU4zRZ9QkX64MqDJtH8IHh/4qFAd4GQONDkvTznDW8PFfTprukIXGa1T8kTrI
1yN6003VN1Sas8DJOjJQnsaHunNbUHvY7o3XV6up4bxFivmsJtoFI+4wbOHPRBf66ySRFiOQqF2V
Z2fi/zq2DrCirmiVYINb7tQsdMAOd82d18uAtUHTDeV7TkvAEpVdm2jYmV0ozvnIGcEoBDsEfKmh
Dm+iuuCqLsPX2B2Y0XvTdM75750KFmdXqDVioz3T2rpuxaFX5ps4UP6C0R13gb8ZTXvnmOjoWtFW
5BcHF9koc8s3D8JB+6nnbz1kYt37xomTfZNB2ltos//jQbHnloXQUdZHU5VfympzqM7s1miIvitj
6tdW0xxm6c3Aq0j3UyDjLkqLE1OEpiYHvX+FYdLtK9HBJY6fe0Fua+0w9misO6pqNRSqJuOokvmB
m6ADrMLK2RfA6DDh1INujGmB6cG8r3STrUkZMDaziDdmgm1L4MS7AU3hiplLBCl8PCgM49B/UxvW
vu1vCVp9jJoRu8cyXIfJQUy+89uwgseGXGyh9Goqq3ol/VpvLMOmDCnN88Q9TWZAlSJqTrKlLDEv
tkZqLRVY74YbBEuvd/FrK2AAgqzcYlEMFzMfLrRuAdLcctdqRJ1OcJuiQO/8RECZJfTVClMip/OA
HeAmMdb/3mcJFXTN3U8bbJtnSF0bFCg4OjnWa+/1zWKg+9/S6m+pRUFaUsh9kw7OQsAzqqhXsxru
PKLFeeEZMtmmKekfATYUdegirqXMOXE+52rM1qadn+bIMBfhc5BjWuJNVEy2Tu9wd/BWgG0tSj95
aEJKeXLOWJtQwJzRaLGONNlVDUOzsGXIP7WMxZgTwPQWxBhgS53y3jej+xRYPXObmRuojqW79/Sw
L0a8CNKubZaGXT7Gxd0qdYAtFuTGbSy4icebRru1mwfniV7o2zCsdlm0zSHoJXOwitXtK5zESQeM
ZwwdEBQL+CXtqTOTvyZhYQ/p63Y3B/3nXQLGJo6pOjjeXwyoKuvYGodtp4T3MhZZuJoLz94WobVN
7mxbEmuBNoCGt/OYPwliO+nom2Jf1s0lG7puXZYVoBDlGczx1Lv4LiL0LkHMJ/t6/uyK7EklHw3N
Bo4szisa6pUdq/aoPbWpyii42MnorWeLpcX2qvu2+XL6Nlo2GcFVKuFvjE6zzTpHb3+m1CVFjOlI
ex0EvQ1uSYpUqu/6NIu0GHyNFcs6fLOKt6zIm48yqFFUeL9HglVAfBKLtGDz0CsS3Hv8Ah57zCG0
SOsHwcgFVo2xTKWlb5lpyQ0DbEmuYmqfB6xa/uZdynj7w86MtX/otY5AmqPwgQ3w9Tepgc6vBcKe
7o03FlNN2Y0vBeLfIUyHt4pleq5AXBe2M7xURIPeVMPENBV1fzDcsMCA4FLyBg8N2YGYrAQVQwp4
EHs3IO25tsKtWRIRQKWvtzAICPHtXHKr8wiggFe0lLVh7Tiy5CEPh/BY0R+QMQUrTRNrxaU7RY+Q
QQ9k7tF3JRw0kVk+Vywct5s2USvEQzbJ8rmQ46YwWzbq/1F3JstxI9m2/Zc3Rxl6ByZ3EB0iSAb7
RuIERpES+r7H198FKu8rBkI34qlmzyqNJpVS6XCHw5tz9l5HH29zmXyj69oXWiyNREFxbQ5mNgki
KlgGCVMvytKCe3YyblpWfVxHwQ8pv+1L17xs1EKnYuSkJfP3RH7E0vsUT08/EvKqdxPZp6ZUER74
Wr52o/Ktj0JqZPfRQ9FX3QWXAjIheePfN2pbUuFaIxIRuAaR3pRuTaqDgVSPy5b6W3TgP0jpDzXv
+9vajsRdMfpiL1goBVkMUkQUXqldkV59/uBYnl15Wge/qBsetEpqLpMytWHbwx8wR+OmFWq2LrX6
O5Llt3ISWtTTD0nV05vkVmNzW2qK7O18uzWQKEv2pWcFJnfeIr6SkpY4uMVB1yMkC1K4x6ZNoihp
CCSYCIgrQ/rQ5OiJejQu8eZvgUyUuQXIddPLWNdLO5YdEyiK3MokGGXR7ImdkiYtEVDZBQe+sBst
bj6k15sES9PguSU4cSkAl9JF8FwLcd+a7ImJidfE0/alIJ2iozVIhJRed102ol223vK4jC40LyLF
2TfqXsvcEcwcblihJdp1mBCowgYTLG2TLM8YNi8hWTQ5qavrsYiwoU/WhdElIPHpPUp1FIk6nIm4
pAiKULJ4m6oGobqwTx5NP7rhQNVyafPRCCPpcQbOjEaboAei4He4smw3XxKRCR5NO3tVRmXKuEtE
j8zI3oKfeO0avbrp6e81kpg3MIEXSmX510pnVfdGjMmozuIXSyYsnkpIdBQDfTxaBHuDsBSBs55x
961TZW2KyL02kKMvh55YrJ03wU2Aq75ug60bSNZ3GYhFYkSswnzO2y5N96XeIYJBakctD6RrGhjx
la0k2WVreM9jNe7XvpHrv/WWkakal3ZTbCsh+vfJcWfqAck30Sbb3tfqS1Gh+dAa/0GtVzX3lYzD
SkfGQ/bIApfVgGjAap2uUR+8vlMe5eFBL7KQO0pXXHuBfyPMynZQ/GhcB3aBL5k7lAGXukElC+Hl
nNN0sPGyFPqPShd8jzU12eMI9h6D4WcVdHjjMdHfmDGSFlM3ODxB2Yhk6b4vCmZXFOsvA9nxhdVj
cUyKUVASAHF1Ag4sr01Ox2p9m2mkW8dwuENeRybZVkgPWUzSlKIyRe8/RFQEKfO7sEHA8WlfabXJ
ECaU9yA2wA1SGhxNKxtn3ITrCqrVhiFnNWPz9aXRc3SsypdyH7prpOIjYXZU6mOXZlghY5ujvdKD
dNPQ+4m2jZZ2w/1b8313+/l/pkPgXknZm5TFya/GTqgzoAyLjlKR5E4MXyENmtxlalXsiLmLfWek
/jqN125K3YjPpycdIP0jOvdD1dh5lNDGUxZ0MJ0G88EK7NUIfuMKLIo0lUJrjLWQSTLIquddoYxH
FuRmdzkWD6nON6ZXD/d6ofe3QRoh4Esi7QVcCHexTnVaLhaPZjV461A2xFKT3GvfHjrghKVxaSBy
uU8Bj3zqa+XcW41jeClZ7vDa+sV1U4R7X0z0wpI0o4u6R1faF9ZS637w8CSAY1Qv8imB3yM+zVy1
dGLQQ1CUmquUaPkdHe4JKm4bIIQ3o2wPDww0/MwiXdkkaPaEoiMCtYkHHuWKauotMn3zwyVe8kaG
TVvQnLUjDHvt6oB15C7QLqu4vLHWdaszgdS8xECP8VBVkJ/FyCLX1lBf4KAb33Ib0DDByoEzGipg
KRQVebiMlCcKv39+pV5GRthsgjgnvSMn5gqeV/DYCzMCHUhp2bDV/Y1fwjfG99s9uhWaexuh2u0g
OgiVZD2pqmTx1ywvuLRbGaAabpK2SSxHqE28aDTzhizbLtaK+IcKmYfiZB0bI3blhaJM6sW4HV5L
Be3/oHu/xh7nZNeN2YtM/eF8UmTHKQ+rRH175Q9M/WhMzIU2vemy6vxFmff5NytI3/tGxq/XIOvq
RPRRWP1ugItvsf1fhraX3HSl+WoN4pEtt32sMK+uitL9IBmobLtWt6+VQjZXGfLDGKLbXQ/OAoFY
X/4I2nDXas+lr45vXQQAU9dlMkn5SKQnka5aq3tvmYEUjlIepTL0blycOhdqXm+rFgFaRqbpsYh9
96YwvN3n7yR5+Pa5S6uuPSw/df2EOr099zprpUW+TfBw4QaC7OMELusstLxYqMpdQf5674IT2CEp
zoBfop9asVlTdzi0spcC/azjSsV15055NWLxD61wCatlnDJFkqM/UqSOojK9sPdmV1dLDNDsC4XZ
2I6ndtXNkL8YrE0XVZdrT0UXrEJrCFksKn8nB3J8Fajsj21Gbq8Gj7Yt8nyXDvbVpwfjt7UxtTGc
qIVVYhvx8iXlxeJnE3WIoRCbNuOuutANgxttnAwUmqqWQk3tZzabTVO9U8phuCoJPt5YAwST0csN
2NRZ73iFhNNwXCtNzFkFDQK0/2kd/vxReeG1xVa1/TxHK4WGVJqFwilCZLEhsCbec21vLbcjUJME
w22G/HufGcZKMkzmKPUIi8nH7o4AcvDd5ptCtlREeBTeZvI4SFMJApUeGaLyc1gsLmsEID6dg82g
P0WERfcW7q6Nzsf7uRBHsUllg8/FVintRT5I6LuzwN1berjNqOtC9rzTrlkEOMsk6ZuX2+LDQr6i
pn7oL7ACRUnpPoV2t3drPVgqPuaqMpP6ldH5yk4Lh3hBioOif9OubMMnX/m1RqkuJVmXSZc92O6t
Thx9E5iKdaV32qvS9cZbZA0FNV4L3CtloL0kRcEVEGHwXsPj+iQMa2Ox73LOqvtbqeFVYy26lVs0
DbVMxj8vhyeThNgqsahHAotKfh4Gf42W6NnLk30tkmbpSngWCubLQEpOwi7fIfvKk+nwQda6BvUd
k3HwR+nWLohoj0n1lJnuD2ET02hkCrZWfbYoayo42kX6QZ6NKAXiTLB+6y5qb3ODjFVQf5fVStoy
NIi0CqXaeriAl1IhUdp8Ij3V+aoz5btuTF+nQCI54BtLK3m7ISfxLDXfC4MNt4GIRZz3OpX8637w
BTRAtDJpF8AOC/VnI8s4ziSjk+qFwCofPWjJe9PU2s7uxqvcwyuTi5+2B4AwVQgBuUV5N/pUTeg9
61mfkpXJkF5EFItCVf8Kk9OFEO/fW1r1DTHete1qHhkFiyJYmtSSy8cEUTTSne0a+zoWjyZiTMjN
oObRjNkCRSbVU3DJcv3Xq+kOn6DLIg4scQDGH5JuQ59fRE3xJMvRhWWjeR4Ua5nV3nXclf1FHg0u
1R5h+0u6TTq90EtsQt1bkvqUeI9qbFvJj6ABKa5dSWSyC2W6rYkbDCfBViRMBi3vfpnUndsGhrSP
2vKqs9BSY4aKCU0wSaOhfhCGdJHEoYnXbtJraCMXcS4UeCiQmI2wULzbzkfnMQb13WiNLvRrUsmh
X1xofb3y5Nq7qDP3xpY9xK3M5LXXipcSKIo5+Deohj9SDrxXBB396Y6bUuexMB3b1p51aZOgAeNS
W3vLNB1/+Nd+ZjpxUPxSB9tau/FNhUVi1cCtII28jjF+I9LZYL8oF6rNqblO0y0h2Ks2obhEYv7s
pDpcR1FzOU55XTfMFwZ1dZcc9J+oI4SOTx++pZp95ddGssaVEO58i3Jk+XaMkwslAGSDXweRmJc7
ImzTrYHfO7SbF9YqEhys8BYBu5WrSZQxD3xiAmyWXcGqJMehM2TgBNzxRfbkqwCEGV+idx8W5U4t
HLmyLysj4RagSY9NrH0fSGQQuAlfOfpo6IFeIzyOa95rWUzKkeQmWihp8ixnarQKVMbbEvmzRtW4
DGlkMdjvrEo/9MolQJ18A1tOMT+yW9Wii7vLLE93EsyRZd8TKWqIPJRuuyVIBEizWZJOaR3TX5k9
9+t+KLqVVW7RBOoElpeU6ruJCJ+Aa0t/KXL9HMRgKe28ReOsuPfkEw0xEbVgsUHrwkbrqe+e3f0Y
lNtR2P5KQ+FJmqdYoYQuL8m6IOCx1K2KOwW1h0y2CZqZkoYPbaYvSZa9E/P+MXT+U1shSIn4717I
Ur4BkeVrnFVJtoScosG8Fuo2F2JTcfio/eiOT3Qvx/kzafutWqIcSLNVm6C/zHCWZ7l+RaIQb2ac
vrfWVY8NPxLU4vVD9tTaXxVD+zDKoYxWUflFkPJK9GDGyj4ccdlmH5Y9jTfXs1RDO0D0rePigNy/
CziecJ8X9WWMbRrFRHEjxSSOi6pEZ9CtTCqzLOysvswr/ZlF7jZTJ70pyVIrTykQXSL3s+v22Zd8
ZIdCxaFiP7boiJejGa7VxN11WfGoxEjry3SvmZS2dBWk8UkyAuNubj3d3RaWBsxxl3Dk90i1JjnJ
my5+LdToKY3yCETLQmTGs9ylr+DnoSzsanToGOEW2kMjm1dx5t0DOPlGbZiYHG3BLJb9+yzP/IVq
hmJhZXkPF9N4rDuSXBmn8WKQkY8E9t2YwAMQQXbpaglhyLZ8awzUXUG4rVzkcRryalPo6rJquwdS
LD+4kT2BB2CFC6pLy6CgrlX1+kUlF+HC+MhISVhvUdn8pF5b6cbdlT7y7Wk+1VfaXdeRQK+zBhFB
Mv2RxwRtfoKopBIHFAcywdHVKEGEt5apK734XnghNDKZtkt0s/LFswFd+ca221vSQm3Dmw0ybP+o
gVbGlOE1ZH8Txj6CiXDiLPPukNw43P8WA9FWtGPjC+9g0Uvld8uViJ5PS7okZ1jFSzQ24Zj9tDlq
okFMphRZ4ei1yevMfEQWY7PsVJ9It0rQXlUok8MZ3kNGcBHWXFYFCK9eYY9t441ajh+BqX+45nRv
ZO9thamwj1tXfkM1h6HnKE0FdSQK9qLJAkohFneePB0GFL9H45nDMcW/3OVms+vi6SBNuebKcn9y
p34QYfADy8AvqepWKAmwhclkvIuSCtVZaG+mdONIPbFYMqiVHL12qDVK3iE+WNsOn3SJB3fr9Aka
AmqwmPdCwcgPETDrcr25FENF1m7km9O1cqVPwUZL3TWhR/Qjg7OW2sZzNV2XZa0l9rQyen1LcPIS
3sui+SUUNCIjeT8qv1grDCNITIpd1QJYLnL9ezNK30oLtH9e1De8jOj6QfL9Cg8sa7SRK3d172G3
QH8HRzhDMmdR7YX1uKyuOw26aAMlcxmbt2RJLCqGV9jEp4ieGVNBqUol9aL2XgIzm2CnsHCUtHYA
QzQXbsJfC1A7rohyXpsx0rGS6I9b6sXemn6oZXCHveS6rLNhLTcNvonSbN4ZsjEyNpFP5dtQcSol
DFdhZ91QVWDFJ60vwZBEyzTz0IsJg5w/uvwlaqpAbTpmSESER3u2By/ZWMpbaPhElCC2jLZ0m3c+
SV/srVLYLPOOnQTd0gLiABr+hNx/mQzdCksxB+5Ofg9Hu4auIuydTEo4krvbSM7GFaGtRygzdz1p
ugK39tbkqGvXRbcgKj/CWlSfJUipG6T3T9SbIPeboLRVyM7U+TcwZ8iAsQewjQL8VEpKDuVDtEtM
mLDtGHIUSdR1JQXpwjTJRXkEWqiZ0t3aXfaIoPUGNWDCQkh5xJFPHOpryFnm07j0DxfsH24SoLD3
L8Cx2W//y/mZXb8lP6s5bOzr3/mv/9+wZIqCCft/55Lt0o/g7SuV7PPf/40ls8W/NFsoumzIWLVt
qgr9D5XMtP6lCPhSmBuhEuH4hVb0D5RMM/5FZou/wL+vmgpe+P9LJTP/Bc5Tt2wkGwIfCXUX/s/n
C/F+Zgcv6N+//wq6mjMxycpZVJ8zDUumSIiwP4uefTGa9TUPXyZW5shD4P1wo0JyUIWwv8RVky2s
VuVPtEIik6+TeFbMSWSV4jP5Mlz/PNbBYxx62sXnY/CJw5vUZdXUxAxzoqp1wReeowTU2wsT8GEH
sDQha8XgbIwhf0+H5g2u9z11X3ehm1NZi8qkSUiq9y+fhEybULmKMSgm6RFjhr3E0IhPLLfcldIi
UmEPhf9RTNejMm6QGOGwzVpkQd0QyuiSTPQjbeJTnrFAbFqJcWnmQj/j+J9M3/82hQt99kjmZBb8
8o6gFluaXLVTIsqrtmTJw+dS9vTvlCTu0zNu2aMJocg0p1GyCRGZZjI9DhsTwiJA5IG8suXhSm7q
Z8vO9hy+PkKOfukuUSlt5Y1jBrXoHNlgVpaUfn5t+rfp+0s/m0apcegbYl0LTNsj9W/A5oNFWSIZ
55JYGs9tYhPPI61z+qUfummnAeZ/qkW9Kov6vczAwz5DFfBCHx2d4xbddQzYuSNrN0Gc3+B/iP+k
MeBj0HzgsCnabIBhbco1wLfGGTurfEiot7FKIq7EreTlt6WpKL8XZdbT/8dPfOodQCOMBogHxNGM
HgqbEwHCBhgB4W0SS8vc5TxtpNJKosBobsobwNA36MVw7ETuGaznDJn5ObRfGp/P3bJI1RTQHdbR
XIO+wL1Vxpkv/Pr59CucRu3wG9EhbimgzzRsuHy4h6/Qz2u34FRKtaVRX+suabdEnThvNq51Nctf
+1AHu2aH7pnvZf5tGpYiY8O2IOlZumkZs4WrooBTbVRt7hjSmDt5ikZFwQ6xjoa+3Z7u4p+a0uFC
UHoSmLihzZryEluWbD1t1rZZND9VKQoI7giCNkMDyO50W/NPceoWTl9KBBssBYY6+yJ01hsMaAp+
QVkn/gRlOx2cBKhXnCK9khCsN2ItDPkMnXD+FqdmYQrDvgDkOfEbDt+inlBFsIzBJRLm6d66oe2Q
wVow5AounXFexVuzMQD9CO5/pzs8n6e/WwY8O23JCDRmhvpR5rnioc6dAouBLnG/lYR4Od3GfJmh
DQUat00TEwfLmrWRqtrYU3vCXUspZBUPraJ2ofRpCU6giTBouJXh/f2cUVhlDFB00x47382IMSqa
rhm1w57bk5ya+lViWukGZLinezfRk79+gVPvVMVg2vAJTmVSD99d5rV6nql16oyygiQHfXP/DT0c
32GxNKO704394VvgSMVKLT7L5uqzxoK897GFZoVj6UPIpYADdLwPqyItP6Js+A++PDJooBZsQ4dM
LGaLC/KIQqeAReMgAPk2SuqvjqzEom3DMxPkT70yZLYghk9AIJ31CrNWTSC/Aw2aYoK22h+6fgvr
+RwG8w9zXbPI1gmAaBQSEdOff9ln28gDIttklZMlww4Z03XdUTv79As6bgMajWkK0+CHon7Sxb+0
geehZgespVXVBhEu0EAh4DlEdnxuAT7+qATZYHkCMsuypcxXRYOJ7ZPbTR0Da5qJ2zv1l6PyOhL5
Pt2j45cjiKnJNCLg8YHgmI0aZyFoUDGhPsrwjOk3z/iIhp+n2zj+hqiLDNbD5HCPbX2+/gVE5bW6
EJojOorNRoCWHvMozK5cKY8ceFLq5VjhEfjrRoFNqLwvodvTOnjYsShQYk6Tpr72UasV1OdV1Wu5
2HvgBjn3nm7reBAt1iJZ0CCVCXgvh20NCIiGsieRlg5kx2CAvCI7JdMp5++nG/rDSPLqCVubGrbK
31zFL/MvLUqJRJLW0qmRaoJEB4Ogeg6y4CIdOkBoYb4+3eDR1mVb1FfgFmfqnAY4bh32TJA9k+Mq
Lpyk6e80A4RQDz7OQ8pNjhoCzraOtTODefSNsaBPlR0EM4VfahPt9ksfBbVr67Lh7qYPjZRfecWA
u08kkWT87S5iw8Zm15JZMiAGz2kziRj9UR4oEYGKSHLAbAe47TXAqqldnemTOs22g21kakvHJcxa
y1yc082Al7ZF43r6pq2T7kdoVGW+DJQeE0ZehxpUxQk+s+9cPXgpZQAFiHnwcHfroe2jtSYV1Z0d
Nu61R/GCh1a38vcYuh5ANy92b8lrmsjPUqEZmEtkERLDZTE8Rxw6fi+HXZguu1/eCxBHN6UyW0YI
DzCGKcXvtQ6i9vR8+1zYjgfKwKRjqNDE51u7P+DV8K0hdeIdJRIdGNm7fgXI8ELbID1c60tt1TiJ
062wzayKneTI/Kra6RtlDTthOa7t1eknOro6cmdkV+EepTFLuECrh/2uVZ1H6l1w2Jpy3WM07zPk
GYm3TMp+yVV9qfUk9DqDQkjdmfPqn6eNICrCQsb5Y76wIMpK2GcAkI8RC0sEzPi7HyoamZYifJr0
xyu5ydwNhiRk52khX6ShqJ1aqe8NkxLoY40eIvf779SUW4R2uUptMkddWJJ4sMvvSYyM/PRoHa2E
EOepCMI/XI84o01//mWSdMAmRoKAJU4r7VaNmR9mHt6hILv6D9phqSW6wvpuGtNC+aWdQKosQGe4
EYqYiDZl/mBSU0dKhA9/3Q63Eo4V0yVeVfXZYoTCZtSNuMdJG1IoMlS/ycBlijRyTjfzh29rYnjp
fKJCm+bbYXdsckdgOMrYMRqcBL1l79oJL3a6keO13OaCNUHD2IpNBu2wEZ+aP75dYTBtSk1cJGra
X9YYDVFz+WiYtLJ7gflBda64j890bz4rJqiXMOEnqqals7BP97Ivb8vVyrQakaBtOoyV8kelKa53
2QsRVdeyDJ5yf7qj89FEPscya7Cia6pmasb051+a00kEtGPhUjEqKi66Qt2VmE1ON3H0ZTJ+bPWm
YECBa3BOO2yjI/ie161fMTEIaYssD6moEqS72vAUl/yxIe8jzAbkatL6qfT0+BGIOe4RwHMXHMmR
P/R6RqI3o4gj5e2WFijWTVuW6qZtK32HeBnagiH6M6vZ8dCYfJrs5NR9EBwsZ48t2bWECJpDshQ+
KeY+kn6cHpejN020ALaXpsvEnxREqofDEpAxHLPMjx2pBdYXaU18FSuutrRJtv7lZYmOEJCeYiOE
ggjtzQ54Af6XTuhh4wRkX33q9cTUQgYz+ZehEJqxNc4hnBFYhAkpH/bI6hSUaMIGaUiBKJwVTk1x
W90ozzQzP/BPzbDIwNfSYAaa80gP6Oi0HySutDnYviFRL5RO+kgb963J8zNf4+eZ/usea06rmamC
wqR6Fu9r1qWwrcoMmWnhULd0iQdg1e70dbyqnHgVr9JNtAZAtAaVfOd+9xztQt3Uy2yVrcAWb0rH
X8d3IF9W/jrfF9vTs+eTIP+/Pxkr4uFgtzJLLaiJbs2et8DpAxQZUcbgL4bc3CYSCgpZe4VvssQF
j4hHRQCW7YMwWgAhGtCqp9/UtKFw41ug9mBi+fww2CdVs1Sqp7gt9ugr79WwXsVk20PX3GDpXSch
yXttbRre+nRvjl7p5zATyNEVU0xz57AzSqYmZPUoVuiHnjOOlr2IEuVKqpN1W0f1mcV92vBmI2dY
hk2Yn2MznLFZY8R4fAWukrmhiCTk4XsQXNAFkitkOeuikD9Od02Z9r2j5oTNJJpChNb82ujVegOb
p2PfqEodjQcaNK+maX2c0gadqBYq8tgHdOQC1nkXwzCIIn0XeEP+tyuaQQyLGAaXIWI+xCwPR9ns
JakgK2hsbD8enzujRI0d4vQ53eHj4VW4BXF/5ZsRSLNmi01TSl1tKmXqyGGOGlFpXcAOwNUCMrSb
nF4DYFTlMxPoaDE1OPFhhSJGMy0886VHakO9kFSmaTGpU8zWkAl0GZQdCPCPa5K6Od3H4+YYR7pp
CqoE2LjGD0eyo+6JHA8icdKcbc0KnypTfZsCe6ebmZcD4+BBO9Myx+WL4P18qgo7Rj+X4A+I2lTb
4mwJHBdu+QXXGG2t+6KdClUr3S73hHRpp0P2PLolCTzZsp5rYKvwsUvwHRIpqjWFKkA/unLwwnZX
nBmQ6Zs5nOQ8qMbir8mkjY6CMBqURmNQ/dHJ3dzEqu2O5JlBDD0g4QnvzSxJozO7gHL0Dky+YM60
+ANZNzhyHr4DaRRQcNpKbJoYgyMuEK35CVc8jxdakCecZCgKJSZ6s/atiAkPLqo01nHkw9OSUfRJ
EfIKas9CRi8H8d7nEVCRpFTk6syD/uE5uc7iMCDHKzhVzr46L09tCQxpgY1nQvHqlFyqonurq7Vz
s+VopTE/L86cWUgQ22yShyNCXVjTxd0DY1IHXDlkAmpw0VFaIyuQ8w0TBRydSHoP76O9aDE3vchh
0RkLVcSFfKbXR6vA7Flmi6zb+FEtFWREsjZ/KxCBgYYpnMaIgfm3ysPQizPXnKMGoWVPkQnFRmc8
HawOO08V3E6hTHTkdFaMETdS3kSq39h4OarIfYTWEp1ZTY+m/NQgcTqTIlV/ONb6uP/G3ESh2A1b
g2JBOEAdC1iNcOMzXTve62mKaz53kik2fHSvRrzc4mMsdQBrXl3UVJYF4tWtVBMP3K2WChRufdB1
LlXQm9SnZmsd6z3SbMWdiD49wTgeD2WyvobUZZXXkPSEvikTuzPvG0JW9aaW08lNh5zOwjQWN91D
nlIIg5KlsGN/BKgY/WcttLPwQ+6KrKMqaiOg7C+GdnTFXRix+m5lsC5ewutVq/yjim1wTlU0GAGC
4lZRKYaa4TEd1TMT7fg14Axi5cEcTgKO1f/wvadGN0gAyI21n0mUCJKepdpbo5vj/DOceQ9HNwKi
C3xhwARtshtHKcYULXuGqlBakSm2lzJ+9F1uqPGZz/gPHTJkpOVThwSL//QUX65kwziIwbP0zImw
ScjRgEbOoL64Ss225szYHS1NU4eYvBaBZkUQNjlsqimqWjHSFoWHZHbrstXyD6vIx7XUDMHH6a3s
XFOzXvnYM/IBuyPme2srj9ZdbNf1ckyN8EyfjoeP+lfoY4iiw/RR5uuABc5WstS2WRclKl1sWO3o
Xdj9UwM98HSXjlccy6IFuBHE3lgJZgt7jNjYRqsHb8QkuOT1PogTryRR2iQrXq6xAOa/O92kcjwF
iXiQAeZOShfJtM3emIlK1o8tJDFd2G+LHqq8H7iAly1QnnujxHNpIQLfulkF8mKExiQpEPaksQJo
inMfEXGeI4MbO4xep5/teDgQD3Gs5DTEtZkc/OGjxVjBor4mD2PCOksSCACU+loPYe5TglkJNW2j
YzJPNjnUUPvMl3k8uyioaJGaIW5MFGN+HjM8VcvNpEDhYE6codAPUO5XRvBqtR6UnNMdPZ5h7OWo
IWVO81wLjxqrFSEHQiEfIxkoOnO7HbAy9bqGrC6phuscQ/DgnG7zD4NLVohwF18rdSrnGTsp9uXW
h/rqtNgHAtR/EUCaNliZLWWV8Cadbu0okEs6gbIK01I3RSjoz+G79HAy+0AU9TXQKsnBoiGWlK4M
bzjnJY5tpSlQdK93LMz1FxJSevzhHlzh00/xh7k+beUW+Zs/aQHCAS11FaI/05E4WsuyrE0k3oPH
N326obnWYeotKUokcFOS15hLVGowtcCi5W5NidVFaZkXchps0kjaZDVW7uxnK6OEL8ozUoc/TSPB
l0J+iq/GmIfe7FDpMiuJAYu1Zf+eqaO90PJmgrByS7+piEGeifX9YQ6xmxA8sTWVkPN8DnlpJANK
g0NhNipOwG1myNlF0nRgiE3LvWr699PDOu+gICDJ2kiUmxWBPPP05183Mm/MRVVBkApc6clXGmLv
4XePQpfqGJ+Jhsy/f5rifE/w2Sb9QMR21hQg5iQbw9Ccyu2NHgtvbozLsYCXtMwbbTh39JuPJCIR
yivqGl/IFKKdp5zbqCZBJWv1mmrNzUM4TpD3rkigI1cIegFrlNElJGW4j6dH9JP6//WaNTU8Bb+p
+0OCzJqrHvogIfQ9+NYmbnxK6+yq6AHHKW4OytRgO04G7HXtrZo8mLjG9e5n1wZLKwPqkt+qKOqk
6k7FWlAOL34DzjAGk8RCbWcKjkmQTqGyD7J8C3F9GZbqJd40DN/+JvbApcJZIOwKKa5z+Og32nAm
RHk8WdRJ0TSdeZgvHLEOJ0tVulSL94zEid23GmpJE8O0dstlQ0WO04N4/PJIz6IRM2xzupbNX545
eHUZk8un2CmUlExaNO7PQo6WesoABuX6dGvTcx++MWKHWAm4K2g6BWtmMzOoo6hsqqBxLC/EI4Ce
Ke/HSwAkt2ofPCX5cCu0YnW6zfnCyYGY5ZubkMUc4aNQD8eSBIPFvDRKpzOiJ890YQsCKT7dxtFJ
BDM0p9NJITtplwm9HDbiWdRW8Ct3cEQvP455ETnYz4FEaW25JK96x8EI559mUcnR+1W0EUEKCftS
XoN1AggQYXlQLk8/01G/Z480G2uM+JbeFH29YVDAhuUjWeoSBcDpVo7WGjYbikGTeUcSpqrzmIxW
exjOE5TKGBLt8LtuPbXxmZXzKGZIZPJrG/M5aqs95QzYNbBz9ImPbN/OrlP8KS/WUFGKORoQwhmU
13wdkqbSIasYUD4ts/NVSkYF5vfTPT76YoiTTofOST+KpuCzYObXhdxAeIfN2VsXWAlwNsFjoyJA
KZlOZHXaW+ZG6b5tSqxhp9s9ep+zdrXDKUbmK6RojFI6pYzMmvoU11WdntkUj9adWRvTM3zpG1mk
1m6E2zi9GsYPPsJ0oiUI32uvyH4MEjjG033681hygSTzZphoYGbtQYtNDYmoYVgbO7c1cE3ny0Se
OO1EqLTbv21NTPqXaavAgSys6Wm+9A4/VQ0lpgodqjR2SxxuUxFx71axEYvI6W1VSGdm7vHHcdjg
bBmPsbnUmVxW6yaJKfSjPRhJ+B6J8cw3eDyK8KkJvQBiQ26gzVdVT8lCyphBX1NSa99poNAB3YQg
/KOX1sNJCYP5zNpyPE/Qa1JrjwwmYSZypocjmUILjHWugmuCb9TS9QZNoV6OKmnYLHEL3MWUDTwn
hflDLyd7CPEeNKPoAWdzpVf7moJkce64WbyUKFuSxDvP/6kCg7Y9c3l6qvyhg0QMuVmSU2M1n99m
1axXMzFA4FDEeJMltwoan0pOlwhjz7T0hznCQY35T4lkGLbzi6LqKSX/cYNSP6O1s0VzTwgHRqtx
Zu4f7bzIC8mhT0cKkoXmfIPqY7joQUi+niP/o5ApdBLlFOoJa9AzoZL3F42qlU6Tt0+nB/Koe8Rf
ybWi6ZhyA8p8pgiYBGkY6w3+aemBKrn7oep/itZ4/ctmUFnhJZr8A0itjpphrmaVN3a6g5ItJuoQ
a0Z7bQ81MDsqW4BUOPMBHHWLStbEdCFIoO2dpuXhB0AxklIFCpA5XSHX0t6OhwhGslnU5brBka38
/NvuoaQzTAU5DzmQozNMkOdSlSiQwePqmyf9csu74Fww5ahHBAxVg2MgV0yB/mF+ghFhoUHMYh5a
O0O8WvW30PrLuATjxD1rmojMP4ZuNmhKXmli6Lnj1fpPUF9+/kwlqjMnsfnt9bMN1sLfOU15Hi9M
WiOgxJY+BZ/bbeHlq/5OyinAvjNb3PodkNsmOfMF/46qfj3WEmtB2UuKz6JbKoLHw9lgGZmnt1Ye
rxncCkaOVlBREWwhuV3S0NBS3NEBNjaG13ZLVHhXxFCCPioAWhZ4T0lrATAGIShkTi1+X5jrxogU
O6JwgixTXVkxXXFd6kkYq7siVHrqU/pW3cZUCfXrxKYkHVBFSv/4hqSuMGD8N2ln2hs3jrXRX0RA
+/JVVeUqu7zEe5wvQuwkWqhdorZf/x5lgLftcsGFnukBujFIYFoURV7e+9zzqGoH0VmHqIR71/zD
jwDw/iiswYmeR9q4cBATvRrvU82hnzQwemvALNPiKy64/tBDhQlHAYNlKlZ4z+ObFrh4/8qK/6A5
/gWYL3Mk6TNhqx9F1RcezKgmm+YX7IDdVMDH8ocmJTcx+OKtAeUP7VKJMeP3pb46yt8OnJMchIoU
NJkjYGwN+l8tGydEdHFKGe2tSqomvMq72Vd3fZvNzUoT/dBkq1GQ+saLrStUHK+KHKpPu9KjyeO6
YvmdYUfbwah6f6IvWdBBPkLAL/D3RNRL/7RupgOcJb0zoIpZQyIyoCC0ICz8ARGmenM2p9IANmM6
U2Fc+JOJY9QlBQd+nZWpkFpGq6YIo9lf64IWQCrkIe5k5TkwbqW6y1ZLUmDiRTYJOYIW8OZqH2bq
Jo2AZzaYnok1Sn27e+krDXrBKpuiMsNskBr8LrTqXl/PJdqbX8iP/OKqZj59fKfbCThJl/hl03Bl
yooOQps0sKcICiPU4H63Nb70uAkaAy6eGf0M+rrus1J8d0Jhb5yCbl6CVE1iX1ZhrX6Wl32Z0rlI
yBD/wdDI6s6isNPlXT8Oot5muaf8c5FKx8WkQQuRrYQyrH86kVDyIm+oL2wHs2zzbZVpiX6rS6/x
7+0eEdLvFJY8uE0oH0P2OvmNsLrFQ6EMz0OnUfOFXg3F9Fw7tT/xsVCtnXAwoFsbWZE9ytccReuI
nUMlk/DOTQpAwcaEd+26xoOFterqeYh+WUyhfMyp7U3rzte99BXXo7TbqdmLdwNKpa1IfBG9YnOs
TS+kgrGcDEiUZvInFuOOdZUYYEUvR5MeLxQiNR7sfygCD+DvmmQcd4XfeWo3lHmuP2d2W3lvKYAz
dJTC7JzwEqs6YzgHAVrSFz1fS3oKrLMM2yCx0dvQG9ehEcn+vgplMlxjDeuE+14HBnOpl+izf+QN
BUde4TBjZiY64UCJweBjEjeDr/Xt64iJxvjdMbq8utEzto1hbRVGB+s1LEP/Bhpsk942gpnY0GkV
qyspJ7KtK7dRabf044vW2LeJrs2PlVZV6coTSp9XU9x60XOst7d+Di8R1IlVuaRorUca80GuxoAz
INsV4SCW9dJ1XXFORi4SGxnOenIBFDHEts6tlLhgD5JQAqixqSv8ix0MquJYqHSFtS4VGr/MjFd4
oexi2FbCEIAvzKcKkMHqK++hTpXnkYmxlck2we1uzPTLkqI2N+QEA+W2qt5sOFszWXONG9/jhI2U
TSebEuniLQvEhExN2OeQLyenCr+XmNTxO1dgivxLHxW2D/E4FbGA5en3A4ogI+GeuvectBRnpoMn
ym604si7hMAACnW508/whbzUxN2sAJkfh5l8Uj3EqALShjcRV+StN0AdA7l+IQbTUKBuCmGvlC5M
YMRThXNbnvjYuOYQtFwNNAV+iVkAHCtJ3vJZ95Pr1Oz78hwDuXn8VuEKA4e4tD0hL0VY6cYjfWWe
+TDGLNfrgl4Rua80YWTXAru6Pgn8ou1I/0RyDGPMSfrB+Z4Ulaovo7mO6p05LgQQDt9xyinrZ2W2
yVhO3a+sg6CK00TvN4AfymEWDQURDsIF5J8YrL3J4tY1x14K561O4xdFarJ/7Q3aKGEaR1Zq4Vnm
xUMQU3DNQCboYMG7uu9vO1gmKg1MltSlazKjm7x0ZPZHTamMbvXGEwZOVvi4yABWlm09TFh/6eDM
yCmvIw+03q/UgQT2iKewhz1Yx5li/onjeBR/+BFVDFa2FS6omMKZp5+iwfLoQlbKye5QB4b6tZPm
pnZuG3PU/+zMRGk/Gmn2pB31pAk9bEVSG3wdG0oHZmXVCh+Tm77gWOQkMUrHWM1dNLZ3kWZV0Y88
xvsTGGVO+bfduJDDQJcbuRWl0B/MLD9fOnvmN1HgdvRHg5Zfv7gKgvi2AShLBama0qZ8Tmpf8y4s
T9G6F6QGYIoGMJOZj7vU9AQcCkpUWfy9i2kZmEFC+BXFKGhUbfetlpNmvWrj4Jb3WV/YMNw6Nmva
v9NZuRckcg33rKkjzBZWjWkpRX2ZQ48DoYoMhW27Z0ZtuZvmBPkVoKFSV1f8beoVjt2N7UaSabFf
4yoNzbPUbIzx11BlORKVIiJxBu0CQph9m0dJN127YeIBkes9rxJPKX5XvbmyK88LRIeaf9807lSu
PZLn7T5Koh8++uNHMr0yXheRIRqIiw17k99Y8MmCKIsd6FYp9hIOwLcmBw1T5pBjL4QkrYTGnCRd
SxxRuvmIs7ZnzOXeE7CfK+jQkJ+jQIcfPrBC5nCOzjLaZIzt3HvN9FKQokE/ZkoN5wmHwKbhs+qd
CbsQe3Qn/h8MjVGH8pj6LSQZsw0rbSVsvLZ0Om20ycKwB6aJ81yGvDusS8pYu9bNtiF1NqhSlgGl
O2Hdy6IreTtt2Qx5wK5VFb88o8VRZ+XHEWr6oPRbn7pPjKxA/9Gk+lSPLIARHXgwdNUCvKtMM6zP
KYzmxmualga8PatMWM5B6cVl0wddnhpIGSpjNsCn2HMPlhJnMC/o7bzDdmQ5A+5Czxcefu+kuNZV
7RrThRMB4PidFko2N3aJJ6O5qZHU9zVVhjF37pVMJJkz8pJ+9iydfqjh/MFEvkuGWk3XcxpNPshB
6fovjj1S47LmxHqJEsMZnuYePdkmb7xUPBhUU4dVlM0VYC5c9Yx+NQCYdp9qmTbO0+TF8fy9Jp0O
HysNScqOQe6nptgbQzcZb+3U09epl+x6q3iMZwcXLjsUQH5CpktsoKbr8Q3OyU59Cba8D3d2b84k
72NtGoqtoHRvPSBYUljuNrNBULCTU5mmO6MbZ9wAAADY3k4vDL+A7ZZG/Y3eGNBBMDfCPiEwMVyu
HkIy/ADs/VEfOpaV5bfRhVUzGugSrfLO5sh3F8d5UXvtvlJdWn6Pxxz4WTU6U3KbSOmqjRK+zrJG
Bu/vUQtEzVXV5uyiTdjMOgHMYBvlo+3GmnrCjotOkGBpqYCiMANtPeswKlk7fmEXGBe2Q+pczV3S
aTvqOXadn/ljm9tI+iPdwGXAgcCAzdhYpaimYawUqdjJmhNlxwmYZjeOyDX/oXOnPLkrJ0BSmBBZ
TXuW6JAx14PndD1pmrD/mTcAvm+imOb3jSf8LOo3vkVr0UJPtAHk46wA3MevvewaI7UofXRmWksu
LX7o/G0oiNMWy1VxndaWkW8jzW/ra2skHsWJSYt83nXcw7D7UztCGy+h9IHXKqfaC6+4rVX6mgSO
hFPjVppdbYqCp1w7Zcti4FpAOG0SETQjrfGuI0yMRYjFbJDzpjdo9zkcdjJMIXzRfA2xzIVSlsJf
w/zIiptvpWYiJrUbB3ytirq5vKullbtWUNbt0NMH2ZsLy7GH3vggdJbnujV0lV9Wfddaf5iVIq7X
Etp4/jDODYgwEEyT2FC/0q1bq0ZfcT7b/aguKoJBzu4kcUM2zbQz6nM5aqH8RquvzJKNHmIb802b
ypz4usj1sTwrvNRJLnLMyNpzbdAKfpE2k0iKk6wuIQWSqHQuS/B8I3JE5duNsfZjzW7XZGzcCr6l
dNpkm8SlFq1ry52rCzsLsR1NBrfAmyLXQUAnhQBwFzo+3Ljab0uAaH1kUhsOjEb1UI9mrP/YPCOy
4Tm2naIshBV4EfZpmDjHIiazJcpyzvXzpuSFZWt4TymRUapntDGtOIKkfbtgDPXnFrvfWN165kTL
1coCEdVdmH5qN3uZZxU/ltxVpHFDTWD7O2uE676A10lolkTrKqabAwwb8UcH1d3MPe93ATAEjl82
GsV8wSyVWNVm02jchm06mjeTZyftmzdbdfy9pOXKvnEb/pcHWVXpzuVEmsYnTi67uMKqaPa0rTn3
MoSD6EyT+2PocBttgtan/fHOrjIjxpkITH37EJkish4QAxp4rIpKM28nMJYzDm+OUXMKyIQvo7Fr
nN30kQ33oS1C4o64BLO9acZoRCHu53TbXZZLk8K0siSKvCIQfe+auKhPKHz3Lf6JA45hCeysQdZV
cQ9/3rMv+mrE7DTR9aah/wBzc8CRs6lsYALQPR6qCijjeVSPGmxvGWrIs3slDPOidWP8EFjvJiSw
xejssmmxpT0rmqhkw3GqtsRMdwTFbAax0brhs+q6+KHWMYnpV2ZHbNoEOWxk4yeWIL28FQDIFi82
HyrrJtaN3nAQTA6zqgKFrMUugSxRkt8mczxKSqftFMPoTPMixU/C6O2HeGrDZpuCN3Qfaq54GXxj
W1jDWkNy2lxB3O3zb5Nu0AaxUKyronzAQsHzXtXkeZu5xrf1EivJSjtrBkKaG6fOe/9ctyb5Z8iJ
5BBOh1aJuWk9+PdZ5GsYWdqR3V1It56bK+pSUbRNp9FLHlCKC/9CED24V2XkWBkOYF1h6FygRlF3
MFFp+sJIiL/nuZDSMeXA5WFM3PFl1Ky2h+tVyEaeO7keebexV4K7JvQqjUILZOQXxX7IjLChwuzy
AcOUiisdvmGNBd29GzsOzr88DW45HX0SW6f1bDR/lXSiP2ZCeAJwJDew7ci6xNMvEpvbWoQXUTjX
7aaZnFb/hqtQaalVq1IA67s+QipbBFw9bQDks660lNQJPXR/pgFkBM1CDYXdt4JwzlqhmojVPsMM
Sjz7fdPPv7yJ0HfjjEU6Xbbm4PFGYa20zaPMnTR9DEH5JPc5+t/ksS5ql9ZcnOa06GWuTGm+xUDj
3YKdpeB4lW2Rx3tyCk2EBkYtCQU3IWFcBok/IGwN0KET4AZVDtLorcx8074oHTvFCpjwnIvzgOyA
lj5qosq7gTc25iubWK/bhhyd2m9vyDr3PMTEZLrrm6TF9MF0fntT3lcXZCPAmBTYGkBiKvv8F2kV
tz1XSY/bB7hEfzNULp0ZRSq1i9oB+vs2Ws4U/prCfMhfjMnGVMZysfQ+V3M/YrtKxCBY8lBfZqjr
me+8aWmESXEwOKOt/8JEAewcZp/exG1GtfSJuPgVyMAm84WOfkgizCmp8rF74HkJ+SDjkJu+dxEO
dS66gbkHH0A12PKJyFURGlh5cxM3YJZxx172Hee36w/5inJhv9cTkgrcoPq+OnfKdOh/2bovpssY
1Vj2knclPiWB1uihixeu1fmvsK0N+74GUb/4q2mdVsHmTJuq4bJtQ2SwyQpyehFSWn7p/crNif65
0U/n3F9lSevSdKq4GSTAIkD20TUIqzttGxKjisw5ZAfHwQ4MhqjEkLNejCpXdaHs/nWc+jiVq3Do
uzANVOMNyRjgSu8ggC3rECuxoNeVmuSmEnFTtoTfkPXhgs5MVbX1uL3WZlCQ1XGGVdUVDZduEBq4
lKwdUNX2j1KpuC5PJIQPy6bekptdeGKWoTncYg6KfqnkNpVNNHxW8pJi1Yo3cSL/+0kfRhWMQ5pa
MMp7VLeHvXH1ZOsydjsFYvan1sXYJL+a8hnI7UqvflkkBMmVYft5iltxWBBbhuVu45C0R79E8Pcx
65xFsTsLL/G2RCXzU+yXkY8zH4TsRm/yHscxvbjWJoDqX9ciDktjy7A+rR7w0Za+lkN92KynQ9QX
CzuSbOpVbmT+hhPa3idR2O5bbPz+ZY2Y8dDjLh00YAI0pBwfHzOy22jSBxyTGzEFfe/vPf/GmoYg
0+HoYnn/9dN9Wi6MRpRNzU9DrfWpxc1yI1wdqKhuO9dJ7kC0hXQFTeJE+ejIHFKFJjVpo0rxKKN/
fKZa0BOIUhs1Ueg4O8fuxWYqygrv7EaWm0gLxxPyusPqzjKJ7wc8mER2obLHqkdtRgMOLM7Gwpue
Jm38l2W4ZRgkoItY0jY0kHEfn4sHziHD2M7ZAhbiAmGTatuoUKvFRUfUWJ0oKCH34ge+q7x44HUW
OhKuMygz6ShZmkDelfR9t4M2rMb4nDjVSaLzhMwT6Z6pikDaq4pMFd7MoRzTGG1fJrKf8m8KIsHb
C9uyXisHgKbco6S6NBLckxCzT60IsiI39sbMzyhwNDX39d9sR5NhVLC3liQIXBIuFXD7Tad9EEOL
9fpmIPMdnlMX1MJn1wtHsL7DZKQGnnSOVTk/xKzH/lk0iwIibDLVGfIUGmL7NcqsEa5933A1dLhY
YjenIji7+g6ELzsX95NG1ivCQdVeePrUO5ejJfX2ysYVQ74WdGrS0J8Q1BKEi6bvMIqm2Sv6QX/h
QFBSplF3KbI0F4+S/QsE8eCn8J09LgPGMyUnz914bofXSdCOrNftlGM5RAAYYVKRBzZnhtglNbMF
bc+h2L8SoRMNG72yM+eBvmCas4PQsPBLj8bSEfsqh5cY7pLMwmhIJ8JZrmsYF3xTo2kW2aUrtRbO
sJhzw3jpJIfvnaa1uqXW+H4DtW5QSkKJ7wqfqM6UHcScbrIQ1dCjBAj4xcvcltSgSiZCxCALU+wa
B80EvtoJLC/e6EsH249npGbuUQGG+LxTxrCDcUJVXOKPOUbFlUpaY65WPl1O82vZkxPbeKAf8XhT
tpH8HrzRCyV2kG1i8gubYbaPKcvou9mXwOs72yswMEhiJ3l0UlMjE9L45lDhMTeYKoEjX4FUz2mR
7257ODq0kYZ87Luvd6u/YqP365/uMqTX1B7hZloL9efj+g9tkvqWqKxNlFbilxFKfe9P9CwQ0yb3
M6KpbYrR2Z3ezclOS70R0IcaMfQC97iTujrV3bUM9+nXQbMIj5NN7VMzqVUq043qNiOuM88Q1F72
drYyTPISYgc8PRBpcvb1DBwZ0eE0WpidtAV9KvxnGoZa5VCWWyj43p/K1UoyWMV006SJ91C5BJNY
KMUkSk23sx+/HvvgAPaYfJTDCGBQTkKTOFRp0r1W5ymNclvlYuhq3xLSBHX8k3R2pl6+HurIYzKf
jEe3DUyJw04HSjPZcmtSGyGaB/yPVzF9KhiT71qRPxZNA+9FnVCMHJxR/3k6dwFLABX7LOs1C1V0
3MWqbVT8bgrAPZy3KYZYmTrFEzs4c5eR6JR0LZrHUAjwMj8uYpW67FAJdBIfB5IhkIaETezHs96e
CCUOTsH/DETqAkgeGulP4oBSuunSN+WddSZl6R1WqZ6xjSUx606QCpLXX7+0o8/Fkxk0gBAfugcB
Wh2j1Otxnd12UxEqMvYNp5GtzfN4IsY9shCRff0zkPlxAosuxQ24zka0G1nyZLtgx61OWJRnMCsL
KJ+Zm3TWTmmk0LV+/tw/jHvw4iAOmJFHX+M2o/mj2Q/kw8x7w54ouq+o12DZGc993D1rhR3jt2b1
7rAeOtsZ73SByxnclVSfi3vHGmqSdVMcCfNn0lUk0sYGSt+1UYlGXxMUFtlaVVMUnVPrJEpEMpsI
6zH/myF0/pMulGqmdWOD25qfzavSttrKWDr5+WGhHyWYXAvTzr+LNiy5k9gGJsl8OHPTXFbm0Pu7
KNYTKiGSDynfUmhJ914fNfFPJ+m96TxXvMLv7eAM8zZRQqlrTYxz+WJRO/bXcUiH7w9uoNjQaF4d
+td2lI6KRiOrCB+bQszdWWzNKjkTjt96zySyVY+8QJFPDSyjBqAtYrQ3ZHkNa9ZvGrerDao+PJm5
h5cxDX+kqDzzsbHS3Ni1LfbQwO/dyI+fK6Me59fERdX84idjaV8gU2mgy2F5XHXeqidtN+wnnWrO
NZYqCtsOSy982pKzPpJGoCnPGV+obhnZJQ/Tyl8Yn/rNIwqUeH5uosGK5baJ6Hx8k46yUgJVDCRl
kMoU+D4EknxY23PGbRtTd8tIMvqr52J4EJFZGte+GQ8yRY9o6zQJliGmX+e5SY1jgbBj/Jf2JGri
1XK/LaijOMXgvBVYwrUUKHLLsH5YtOQmd5YpevFS29y0v1HtzuWGv2Rn39xoSpXEt5eS6hO6XJCq
SSniPl3hDaPPexyeLaHhtZu27mqYph5XeYyKqqcQVb3+EOVYRD+WJDJHkORO7yAUSpNqE8Uy2g1a
VMpsExuZm5AIyAgRRWc580VLbW+46WWtDWeDm7v4pNe+F24xVh8s0m6mtNX3vh9H796TTu6dx4kn
u4u61vl1A+VjGH43c4Bat5DZSTN/vekcCwn4KLlXwHK1TVs7CAnoSPW8rBkW8zBnH884W7g1XtBU
X4fVWJo3yJicVdjkj009qGDU09/UqcbrwglPNWgc3x7++U2W4P1dcN6ntdGMRZltG9/n5U4O/hmz
fgIcdWKQv5fzd4PE5Eco6JhAlpCOXBgOPSFkNCL2k6/n9ejZQVP/X9ASDNGDva7wy1mfBzprSbRt
5qHcDal75lrJiSPqyEGPSnNpgnKgBH3q/MioyHgue+Qmtd1uHfcKw7rOeFC2UwZ4fVI8UG2M6iBy
T6ybY8+HxAJJO3cO2zyUYpdyzlrHWxSNzVMR7mW0N6wTl9Bjr2ppKdNJynLpPbzJL8QKdwSMtOkL
LcoCCmIYj/emnton3tWx89CiQ5CRPMP4BA41Jpr/i5Kigm/9bsdhU4TUKb02kOOTJrv/ZuJgGXjI
dx2NpoCPq7zDAwn3rbzaNnX6zY7bdVJpe308BY46OnnLs9DQSabpMNK3Ml9gBZNn2zHi6jMXzqaW
tLP/+0WORAThsw2rFIDIx2cpjdLzar+2NkOT7AonucIldlNxr/56mOXDP7gmeO+HMT4OgzlxVsdc
8TYhTkV989wmT4V1K7rfXn1jdvRXmcOJBzu2It6PeBAhZWWY+fkU2lg7XWTlnU3a2HUwz/2j4v7f
ZZD+BpnvhzrYKJqoytPcl7SR44SpTdeWfSLrcexLdWi1XdJU9KUeCuEpJOOG4Y3Uw7n8CmT/li+3
478ldfznORBvk6wn+/bpZjWRbTeVP/EcrdHTUKf+pM48ryvSPideztEHousUyCt4KQieH5eDlaYu
3p/ognWR4QSvUep5S1OUC6uu88vqfxzt4FSKMXWGTVpUW64iRoavoBDYfJmiQatmZ82J0Y4uvH+e
7bB3Sau6dpwJRTfcAVYm5HDqp+s2/UHsxQc8nNiLjtzZuNksLfhAhxa+yseZzLh8K+HY3dZu2h4z
NTqhOuwbEwiO0MKtG4w9tbuvv+VjL4+rG+EWhwcL8mDLgNjkRlLL4zOFyyMZzFyLtYdwzDW1JzT0
7PuvhzOOTej78YyPj4gmRrkZOYZt/117Mn63P+rH9qp8NF+TH+Muvin26XV1He+KC/e8Wpvn8W12
Uf3ofpQ38r58/vp3Ofrof/sZmWl67Q++dPqHUacURbZNbFPVgRo08bOxRw1js/nUqj32ZhfqGp0i
PvSgQ2MSmYddn89aDppQ+1k4iqKM5Z6NEu1Y75TliT3s2JMBcVioi6AXqWp8nGTpu7OV1lmz1fQ+
0ChTtskrddJ//W0ADyfIIXdLP9YnkAsugwYLq7Q2M6gzq1uNvb7yYpaNtc1fvn5Vn6ePfQxxG0lp
k2rCYXSToRuZstGvKVrgiddAtAS1KF9ix0Wf77Tbr0f7HMQto6FFILNB38ZhoAPfDDslrEi3cnKv
4T8EGRaGcfIcxZh9tm8tuIKvB/z8vhjQXQrb8KboETn47kstT8Ia3utWT1AVTFRlkDEY/80gaGEX
8AJL0TvYOAt7tKVdlTatraRKyrSPp1WFJDBfh+6Qn6gkHH1h/wx2mPAqKN83nTXYm0qPn8gFxb91
hISvqjXln0bCGPt6Aj9HV0zgu+EOdjGlzNLC3Mdfu33WjmdaacRbnMhcff2/jXPwYTktQmE/hzCq
3MbboIHq70VmylPIiqPrYemGolsIFIC9/Pm7S1E/SdwWq1JuDYkZaLHoz0x9poQtxdN/80D/jLS8
x3cjYRjpdkaroYgjuS2niNtKemLOji4Fsp6klZfE3WFnUlVPzVCVoIFbfds3uHgpA1/4+1Y/tR8d
G4gr0IKX4xP6RL4oYrwnixhRlmkM0wZ/YyOw4iUkQEkU3Y+io+3l69k7OuKCy1oaG/EXOZg9a4iw
IXY5QURjX9rD76ibVlElNos46OuRPh+bJlBsHLcWHCHXr+UDePeekraPWuQ91RYgUJJhFRXFfzRy
PN/LCIQogkWr+B7SJn/iyndq2IOFOMVqyvpxwqspK2uUayhpyFTSjaAbD9KrSNuX2imAybHF//5R
DyYVtAClbz4NLmSG1zxbXq1Pr7NsdPNaJ0W1WJf9v7fZt/9cW96bdS0z9/Eyw8yCEQFGhrEIE/xx
ZsNY0mBhe2rbWijAAhN5POgEewAy+L8NdLB3oKPPlGYAT1CzfHCy/gyx/uPXQxydOlxfCCIpfgPJ
/fgsiddXboT52LaN61UducEQ068iTkQXRxfFu1EOHsSidkZ7JQ5MXDWT7Qia6jaxS/WbEmL6MrAP
XNDkkkwnvrVj78leIAUm5QaiqINbBtmweuCcqrcziTAPh3s6w058ZEdybyQdQANAuXDALxxGaZqF
g2XtlMU2TUny0zlyjcqqCexZrjxZ/wSKoQKnTs4pGp2L0D+fhbnCU/S/eIuINKCj0Fn8GUaR9l1H
95eyt6oXhiRR5VXjrY0urvg5TPT6nFiXxzaxBeaInJvVT0HyYNE01ZikKe1gEX1467yO1lNkPyob
v2utORXpfE4dEAK/G+xg7dQIhG1yxs2W0ncUQP9s1klnIl8N9X5dm7jkUTFATfYIOPzEh37s41hu
qNxxllPosCec5h0ggA2tU12KjH4ty1b/nZVjpwEarrp/X9NZ4NEacgpyuESty2/zbsMm9Mjyebl5
a/IZO9GAUvhukMUm856zU5yCI4Wcj4MdbJkdNqpOHPJtOFODy/qYnY9S2yAjuuqzyj3r7O586kS+
yVIXyeLk/yFwMV9qr9FXBQ1OK13M0XPhTL84Qb1VFrUTkjTtlxdO38K6/aNSrFqNnoJlcju71R8X
wPHKpIV629oTpRnLgMFf0Vqn9GJnJePrqEV3hkr2kVedUN4ce4nL9YmYyNcBMR08aZIXUdxq7rBt
GkqN4WRfDLG8jrry1EI9tt1wWTNhhtEwjNHcx/eXdXqS0P8r1p2rDy8oJYaLwqGD++sN+/NNA+UL
8QoCN5i4n3JBvAZvhDHsr5NUPWQYQQStp98YU7Vri4RtNDKCPsxOpNwPBW+khpZREacQSpAcOozI
agl1ioiC0jDuwv12tM/lj9oIqNoOyToHS3YKUn18RAg7Cz+LYuphYgOxfoKEeiG+5WhKgmE0+1cy
Dd7OEn17zdVIbTtDxneR1yZnZBeLa9dqzRNr55Dd//e5F2w8vYiYA3zKwY46+smx41ps2X0daPFw
Jdr2O6Uz9LC+oa/40zMja3dIoPqVbYavcznchjT4DYW6xPL2BRWsHbikRqyWDIHel1deNK3JxQ6n
TqJl0/0YlXCr/udXPXxFZTij5NEqkoSiX/etHTjVWdyd97Ed1O3FWOEDr1MM5TP899V8RrYx2MBf
gyups5z+7zYu2gjLHIVnBWNVvMkyNjaS5ocTS/DzZ/xxkIOvC5t7hOYx4Jips3bx6HuBa08vvR//
+vr7OjLOcp7zD6U0Nn7z48PYpZR95ELdE43P0UL5jsbu2KlPfMafj1AydkyaybpCznNYXLKaItFV
SHRuOvVZadJlPoV4rthgI0/hsI48EThVAFy4CbEPHgKbMlpXZy9sMGYCldRSro8wcx1OaWI/737L
6uNJ+BeI3sNgy+xKKj2okrcqKla1+5Y2Jw7jzzHkMgCnMSY31IEPlYaxYQnVILHapoMZB0oD5q2F
0RVV5iaYa6QqyJ5P3GWOzZyxeHUR78PM+nuIvlvYtBKXMkp7c0MFmYTYToFJG6p/v7DBg2igJtkw
YLUcxDeJ0meOYgxdVKVvQ6c/681pV9Le/fW6Pjp9HEqAO+EhfeKXFMrD9GLwm60hpk1rqQdU8k+J
qs/y0X2ddPX49XBHp44aAjWLJX95WKQtnHye/VwsfvT6zoqmCzMs1pIejK+HOfIZLcYCdKUt5bhP
gizNCP05S2y5ZXadW+AY6VlTWfWTXTs57VGmv/t6vM/BKIuQmzvaHnTYn7KKcKVlp3nQCzjZoxXy
+PY2pRnkHMZAuxODll/S5HtbWvTcCKdrTox+dFJJHVAt5j7zKctYW0WLbCvqNlnTPOtDcdNU4QaY
gToxq0fXylJRACW5UF6Xb/3dusdlzI+hwjfbUHuoomshafcfaCnW38zkhGLq+CP9M9Ty5++GGsxs
TH1QI9sFCjKfuymyRfqT6+SM9ubulBXwqQc7jAXJaonQXSwM5bMyv/dGvvdtFJISk5L2lH7g2Nq0
uLqwy7NAweB8fDRhtGPsT6j1E9lXZ9Y40txq9v6vcirJfGtWfWKDPDaVKAjwACbl8zlGU1Mzedqs
1ZQhr2D30SmChI/ul6+/gL8H4EGcAc0HwiJlAo7IQyV7hRflOCajvYkMkAKFfSlsa4M4+pZU8Q5e
3QrVcCDqgTjEu0/pkdDon4zLE5HZsYclewte6C9q6jDYTpjZPiy0btvS1nQztbUbjE2l77XYT05E
VuaxVUNNlPyFRSGBK9rHF+nWfprSz1Rugbk1+f3Qpe2wF/E8iyASrsy2FnaK+s6um8Hd+5SG3K3t
pPGwj/ps0mlInJRzSacD9+SQfUycA8uJjFVVJWQJejr4aZ1LXenudLousaiLyjy7Y9DIPmOyi/Ip
NEplfLPSOcRLIFeaf43DSWjdmjAIznGy7S9gBZfh7x6DzubFpBfHvKw7EEUv3Cij5GrStVLnKqfR
CplGs6N/Y0fOx5eSkm/x7ev1ceTF4ITBsiA5hjTiMNqwJ4Mex4SIGXdKSvvj/dTC9M209u3rcY7E
G+yDMP0cpE8s+4OvK7HIdvfhWG7dfL6NzebC+j/qzms3jixL16/SqPuoE94cTDcwYdLTU/YmIEpU
eO/j6c8XrOouZjLBHBUwF+emABVF7dh+7bV+EyuXEkhn+sIyX1ytAcW+teVBprOU8lSz3CoeUN0J
cUqEd6ngVBfICKe+36GzjRF60hQ7i4jgeJX5chhKZj4a6DnN8YPYdYQ0UxQaCCL7SXNB9lE+1xrJ
JygUCx0FzaDj1iAEmmkldek6V/TBuEkW/cuN1QyVtTGQbnFVvZ+MTVgPMMqzptZwGBkVvc8fpKyt
mh/mWBn6hyTOUE/OMBOacPms0RkOpDK/7ecw3mWoE2FCHki5Xu/b1LKy3RCpfbgqzagSt+mEIM9m
DADWXaVsE8HBiz1Pnn99TMm1A4lDL+YtXhvVhRBhP7Kbs/4jyb9pATI6wd+YN1yY0dqjogmQ6uRh
AglCihoTi6yqQ66hnskER/Y4XMo0npswheopDh/Act8gnASTQUIGNV0b/dDcJ3marMbBkpB7kKyH
90ft3NubLUx0Qyi/gJxO7v++KJjHKgiJcvBo3OsEUsa+EsxhOFh6MRd3CBkXxifWRt64GSFt/RQG
cSCuENMW0gtL9VzHNR6WyzLFz+D0paS0ptVLIuiaLszZg1HwMFQyglnGhWD/3IGyCFuigY6fMpXV
4x0hKp2C0R48MEEt8x3PgfHKrBrr8/tje+Yu4bSCtgCRacmknAxtkKKBhTc4eKtY/yqmGmTMWIV/
HX0AavExRgrywvI81y3StBpkkaUueJoW6LIlx1J2CHfiXJsGw0a8NEFnABqEOSpLRYIfTreWPr+K
4fCr7yLUwYxV3uRr1A9WONitKjN0U332UILYTWH1qRqtKz2ckJdF6CwtaqePphuZurkNpQK5FE1H
gfqGkiykZNFRgu+tbHliJ4VuQNpOL6Ael1q2kdpFb6lw35+Vs4P0qgcnezhd7nKrxT+hHXXJbgrj
FpTYhQvrbTjIO3IRaBcRXZTRDjweJbZPVY2FYayZJyPd+aTqBMEe2ymCyhSO4/hjhO8o3b3fsxeU
4HG4RrMyhrTLMQhUYEkbvZocwZ8FUrUx3BEv35prZYUXsBt40VWzmp3RQzLHqZ3QE1zzwoPz7Zge
N3yyn0o8ZNDk0EIva/V5EyhSuyUCiZ7e798yaqfdo+yC1wmHPNzhE4jCLIwRET2JSXNuoD5V4kZu
8qemalAg1JXnoZCuGk348X6j56byVaMvWcNXY4phaGzJKUXc0dBGJ0deyCb3ptvY/z4bvvnLcT0y
yVAeSL5yMIHOOZ7BaZjRR7ag2qXGTTUsHlbfBG36G7MFLgc2HLzpxfbiuBGkb5IWR/LWayhsos4k
WP3XNhQvZSFOHd1IqFLRJwEhyi932elyDHOIkZwC1B1U/14Zo3CfUbDqKfKgbII4nKlCrxfydJNo
2b4wg31DdacACeJOY/hR0ttN2mNejZTEBwXt7ffn9e1Vs8ANuMzYMSqQ+pODTJcLpNoEM14HEpqN
btn2au9ERl1NDp5+PPjfb+7tXXDc3MmJkONHky2GhyAFy+JgKlEroAwCl1MYA93re0MYnSKI5gto
0jNbhscGPhHcYQto6aTZgdfKWJb9AhUJFVfPIuWqMerwyg+kZpfpsrBFwcxcQ0hJL3T4zL4BkIAF
B0rLIDtOVVP7qCusJGUlA/iydiru5GvECuaNUkOpyNXeWr0/wOfmE0i4xQtcpd3TKx3901oaqM+u
6/7z2CH6ZVyn8+f32zg3idCRFTiBLB08Zo83TlhMck62CJxxoYeIKcIgjQXpe4g/n11NaW4bZnmh
ybdJKAD7VHph5YNceRO7K4nUxzUEp3WfDpg8abwbUHSOQWXJQXwIfN3HwVshgxLFrd2NIyXo9/v8
dgUZOOyhLK2RE5WQwDvuM5WgMKkRg1rXGO7tY1luWKfDY44aQtQpH2YUtKgSaf6F6Xy7fI6bPTmj
5izIotYvDQ/WTXEfkn27qhpxwfJq5V4ep+xCRHi+vYVsutD5YO4fd7NQkHPJyxYlX0wsbO4gdW+M
TfmgCQLVS+RZLlwrb5fr0r//tKefvADbaaglFAk1zywRf+yuW/jG0iUjsmWQji9MGtEQcyAQQZH5
dL0ioluiRgfYzVescVtWQrtC9vLSOX92hWC6TiDNk0U5rd75VYGiicDlXwzq+FWIxBuUDlddoSbP
Uxw++P5EglScZPf9hXm2cwh0U7mB6f5G8xwm3WSV2pCs/br9QkH2ZxFdMmo514RB4omUMxoV8FeO
F8XQVfNQJYLqtUFrbXq145VEMXv9fkfOLYXXrSzj+yrC8JVBX9JswaouJsR4LYPscij+6HN0P99v
6Wx/uPJAeKLj8EaYIggKqSa7VCOqUyGMOhSfGyW8MC1vz0hWG8BiqkO8QN6EvqLZSEMmwHmUcGGY
zftW2eaJbhvJsxH9jYEDB0OM8VKyPg3NJmtCQLXvqDsQlAVhhPLNvdFe8tA5N2ivWzkJqlVSfYGR
1q3XhemdIQffkAL8/v68vD3kySm86sjJvRKEeihgslCtEWslKCN1OA0rSdiHxQ9B1Ndiib50fskQ
8dyJB66NA4Ks9eK+e7zsjCFCsSonmk6rO7N/EqZiY2YigrHK9v3enVnfRJsyBxAKITxOl5+/Wt/q
AAimR4mMx/Z33oMqLqXGJTLimTPoqI2ls6/a6NGkS2Mh0Vd1jh1VMX2CLviQ6+Jn5C03eWltoFdd
mLSXc+3kdIXCRzBAXg1o9inYxMy5o7A8atZgP7bGPvNUT3X09fwZC+Ndte73ums42aFbIUrrGGvJ
q1bJKlhxTrrjOrpR7y8N9NlBQA6J54cG0eY0e5IPMZBTbLPWxtTxlJ7862oUPOxhIfImu1RodkZU
ixfigzPLyAAVhlQLhVNA8cv2eTXysT+YGtIroCZG6wYBufUkVRFClv43WR9//vJK4kUNuNNArh4M
78mSVXuxK2S0X72iHaRV2yrielKAmSaKPF84xs52SwONuNBeTAqOx91qdXQWFQWEehGU5g5N+Hnb
yZLwoE5Wv0pzSbvQ3plThjQ6z74l0Htr6Vv1U9kIg9l7cRPfIq/1tVSMT39j9NB6oDvU7N+ko4iN
RfQkfX3douDVHaIxQD8Q5bB8j8RKeomleeZMw7Ea9wxACJCVT1MgvCrCqRwHlLmaz7K5mDNHjmU9
xsLBUIW12D3oWv03xvBVk6dPAO68uoticBayMA92lLSd05r93fujeK5frD5q69QhkOM7OWnmcfLR
lmsNLxxzzw8yTOmKj5yvgtPK3Tc9xblmblCbq4viwjn6Qiw5OXDAYVL55r0qieBcj9dkIFAimCvq
pxq5j+s8K3uUyEYgoGFa7PGMSL/qVZpd51I1eYU6Cassl+DSA0hxBh4R7hwXmD21RvX4/pCc2yuk
KyhjkOjkKX0yJIPYNkFiWovzRx/hSp8/1XP62BTjJ0EfL0WbZ24TPHvYlCQ6yfOfnjf55M9KMEvG
egpFM0ecYBK+tro44QkmlyjBvN+1s61Rfl+yJFiCnca2vIsaI5WFcl0hteZ0Y7ou5nbfdO0lJuG5
MaQSBIcJbR2w/CdzGxuxHiY9YZM/fo1QK46BnKaIH+DNceFhvvxLp6uIJ+xSRyNR/IYHMRuyWuWF
qq38TENRHpI2BaHZzSaWc5wrthWmGyPxLzB+zg0kBagFZcAZ98aJUBSCIjcyju4KkmJnB5U/P/io
XWGSjIrCLwMNUAJcFgeyaCBBT8vWdTuzTs1e9cos+TxO4U7IZlQM2/6XT1Q0AReA0pLkgCG5HOqv
7r4B082CJA7ALgleoqAj4at7tdhs3l+Eb9cGYRNaPQBaOXRICx43o4dNjtQIKkhCpBle2XetjWz/
xmqTR3Q1Lm2wc61R7Sd/je4aENCT3eyXaTIQLRbruS6NfYDRxSepTrWnjAPvQyAn5YUi8ml7rDdw
10ttEtEAGMknL2EBJFmSC367TsJhZw7+9ZRMO6tr76pSevi1gVya4uFDBEGkwq10MpDkSYIxViPf
jWN46IIsV54fImVZZv1sI8L/9DeaA0OEUAfhyhv0RFZSVEbBBN6e+qPXqhVw4rXeJE4lX0LQLh/+
ek/TMZOCDzW8ZY9BUDheIWYZNnXiWxAth9xTy+pzbxVf3u/M6QZ+acJYYEKLHyTAsuMmRq2sA83P
LVcsIjcfmhVkwe/GKHrvN3P6fFyawXGSZaBAr3wTpPilJiBpRkpS0Iv0oIDvuhLRs3aHvotBmPfx
OrfAd7/f6Lnh4z5ZhEQB5cFaPe4bxUC/ncNMW8+NPw+Okhvad2mS04+/2oym8igmPwlGU3wTU6Ym
qVgSh5qnWZnLRW7H6Y/3W3g7SUQG0HopAcGUeAv8y0tMbSsVmQ+cePBbqBDvTExEhoXV+w292bQQ
0JFFBRdEOnQxsz0escpKGkWJ63adKqN0HSdCdphFLfxKqrDwRLm6lFV40zHKWjKKN0tEzp11CpxE
nn7MBQKZtdhPJJH9dDT6jWnNY7yTokyIfvG2MqiNgIFfciT08k0Zhl6E+ETMeCxXBjY+GMZsmlCu
HauepAsZ+jdrb2kK8U4UOQCeA9A4HkmyxnoYVHmCPEJ0Rw89sykv7Kk3kwWUiVoStz3xGWHaSRNN
61OwDbTO88FTt24CClV7Vi1kn24MLc/wsbFCIzd/8dbikQGqgAnjwIC7cHpr9fzvwC/yZu1Hxgdh
xsex1x6QiL4erebCsn8zhjQFyZy3GqExd+VJB8UY6Sl4gaHXqYK6G4QRS5duCj784pqHF8BdvwAT
gKC+Oc6JcKO8Bri+lswxSm87dJYruPMJw+vq2KotviGZVCQXFsibpb/QERZIIRaBZ3R1skQWEWqu
DC/OMgOIeqRWz1KX9JYXwo7QLkSHZ1pbmDMgMBY8yBu9Gz3BPStV+4461XVUHQZIsShB/2JU/fL+
ZMljC0tS6E3cNM4tbkRq0ntqY/xEZH/TBPmVIvUXjvUz694i901+GGALKZpl2bwOz7AL6anXdgjI
o8/fY1E+SeWNUgaancLx+hud4uqlWgPBkXS7fNxaE0/ZUDQWWMg63QVWNdhSXN2nQnZhsb+5IXm8
s59QUiSQhqi/9PpVr0JtqEW0bxGFKSb0TXmJhMQWcaB/zSf80C5CIpfNcxRbLLItqP6Cwqe1N0d9
pI0I0uu8OtPJWjVJ5KrpkyLB0Es9Q+nc9Pn9XXamuQX2zxaTlgPkdNLG3DSwEA/idWeUtZ2U+YaH
g+H5jQLhafbEunqCJRReWPanr3qqwAAmKGIg8cROOz0ilU4UVOoIxsrvkxErDiP3QwevxfmzWcef
224Mnic02+9bURA/pV3jx38wA/7P9/H/Bs/F7R8D2vzrv/jz96Kc6igI25M//uv6W98+V/+1/M5/
/s7xb/xr/Vxcf8uem9O/dPQ7/Lt/tut+a78d/cHLW+yd7rrnerp/brq0ffn3+cLlb/5Pf/iP55d/
5XEqn//52/eiy9vlXwuiIv/tzx9tf/zzN4mj5T9M6+Wf//Nny/f/87f/zrEjSVOK9n/8Y//+jedv
TfvP3wRd/p0i7lKwlqA5ofzMhA3Pf/xI+R1v4iVPhknxUtgiIZ8XdRvSpPk7jz6NqhrslwV9o/z2
j6bo/vzRgolBV0nkFH0Jjf7d9aPJ+WuyXrPCTyCVC6wBNyJKgpjSkoyAEHy8CcWSFyaeu7rri5E3
S9B6MK2Z/WRtyffilRZ8Q+xyLVednfFYq9QHASDpYFXYayVegwSACsnEGL5aUboZotmunTqp4ZTJ
TmpmN3106c1/fGYsn0tWhogGHR/WOUHN8ecKYl/hJIVS8qj/6M0vgcTh5F8X5mzPwSXVg/NtwRAj
Q8vFr56EhkJhtWPQmaobRdsyjt26QBppFGxgaZp4ISV2vG3/6BdYQQmECUkFxFiO+zXi9K00RqS6
4Oy9NvadLHhILDANEWLEn3KSQhFeMq/W6Z9r4fXcH98qL22ytF5CtcW21zzpn5gSKoVxoLrz+AN0
ig9ot80/jOHt+828HUYagVnKYkb+/80KC+tMq9D0Vt1YPViVKwyhrUxXRn/IcPa70NQy/X8d8UuX
lraQzyGy5vDVlm95daVMc5dmVcuUKTiy0V6i3cbFV0sq3EEuD3p0rSQf2lqzE/URv5us22dQGnOt
Re7qyag/mcGIHcW6aZ/a4TEMXTicTlU5pfnU5AkeYBNZrH023yqYmkZy5k4mQYXk6rGXzu74rfKf
qgAnkJ+aLthTnzktD3RNRqD8rsU6t8NZSGh+khV1WzxSWxlzyTFehQP+j8NTnu2F/kPv+caHNhjW
GJkUfQhF9VHm9uhJek7Cd+kZmxdXyFeE4Nu+E+Hv5xuteYr8S3YUJ4SJP0aSehrJJ8T8mLiTy7nq
EsSB0Dp3pVh+aCsfoq62Kln9ihGsVCHYKL7vWuO3wJrAPw6bAhfBvLvERnmBiZ1OKF+wYDTJULER
jydUCK0yyccJ16ziUdSxk8rmdV2EKynSVmJf3mNH9z1Mk31iYnyLQx6GHp/9BvF0Sf2pNk1nIyb+
sev5iSmspCq8z8bp62Blt7MkeUYcrESz20XmU6/+vRF89ekn5dYyRk63sWbVDRFaMDPfLfzaNnrB
blaYRawQgLgKjHsp6bYUS+2sHTZt676/H96eKrB4Xn3CyWmpLPBNteAT6rH0LL1yq/qbWOIzI85u
EHXbUhAQecsvhCDnNvzCjUKcZsGgSCdLB228WUTXTXV7SUM3WFVSO8s+VSCUoQZgVZldgrwch/p/
rlVKlyZcZw4aaxmG17teDMRKiyq6mQTOOH2EcG0jOniB8ni2W/9phVfFcSvhACzUjxYDt56a5LMa
fS/8m0w56PEFBM+5hhbYJNc7rDlqaMcN6ZOuT0NKd2LzA45y4GwrJ+osaDhPdXoJnnT84vxj7LhH
Yb9y7VBLO2mstbIBpfRCdYf6+4Ab3Bx9fH8Ngnfne0/38KsmThFC1ZBlyGHRH/LjyAYVjjp1ttSG
K78T7HbA7zQL12EZrvAideJwWtWJ7tZ6vvhm27Iw2Mg0BEPtFrHv9b6+yvVxUyoIZErdTmnMDVYZ
D4M4rSYjOgAhwquzsPGG60rLMeNy20lrtUsfjZYjvii+ziG2R0n8mCY/x1zcJi5qpfs+7hwU0Fdd
kK1xRV4HGFU3rYka4WALPoaY5Lpm5bnwH9SSwrdsOsMcuME3vS0caH+OlplXlNi2BmbLnd5cZ760
b3A+rgYymUbulMBFO7+5k83JxdHJVtvGjtSvgRrs4s5YiVaC7UF8aPPMiePOJrVoJ3m+wgphVTaW
p0xYHSUDXM18n8ojblwdLqvmKsr47GrcYJq5m7Nuhy72XZw2N60yuyj8uZWEi3K2mRvDDbQezn+2
1gWMF8WPhbhTSzxeledMM+0IZT5rMDdil9vIortTQ9dDJgpn0K41rpAxuBfmcZVNX30jdorO9/Ki
uUE85mBI+bau020kxocsQPEVmewwE1cIzQZhiTWwbOcBiEmpc8as9sw29szBvEFYelPrNa8hHc+2
BJy/uEWN4F4Wkk0uNHYRObjCe1d4791UJqgHpXL1unZpbiXA0MFVzU3mzum6yInH+kM+LxbNj1p7
L0WPSX9jhDdTIXpDdidnTjreNNPDVHRuNlxbJt0jDDEg9n5H0JsrfXY0TExyOXD76QqrL8YDOcHw
Q2988fUNwg2F+oBnlT3hxKpbPxIViV6hO+Tj8rbz+lh1jPFrmQV46iXooKSYnzygGeSWseYOpivY
pao7mnCTdqu2AhgV3S7tGrrvNNWw1bL0CgH5rWU2d4o0bsUqgg0XONrQOaZVP09+sJF1ytzGBqEa
F9jTOhSSn22h349NeKv1X6Me8rolPnaUbVoHo5MNgD27bvGzVibHjNbTQW60Qz5b20pDlTmTXHgM
qzwnX9HLKxNXLR8zLQjfKwUEZjWIe0WK9tQ9N4sXiBVquziPv6j6E1N1iMr4FnfBQ4sPvRSC6xls
THPsPMtwjEy9RJ0Og5Lf92YFPXZ8isdgNxTdtSm2TlyYOz3UN5paf05BJwaSbqNm540qVp9ZvZOr
eteYllMX7QbZPqxQg3aDhPoK4Bzi681NE3rGPD3qpn+rWQ/V/HluZUy9JkfzP5FydYqwZYjNXZGq
9hwCfzSalVmNa01bJUq8SqNd0f0gyXsh7jzhHv15inL58Lyj7gl85PjIJkWu+2PVceVV+X0+S4e6
FN2gYlctYyt0m4oLGMD0Y2Xev3+8vg3iyUv+1fJpgNQrsShVSaO6U4kBZtMSW9wHAbV7NBzfb+nc
Lfu6pZN4BnUJLEtTWirSylPSEH4hZjJ6uHq/mbMX0qsOncQskxABVMPhmeH75o97y7xwH50bMKYD
xAPq4QSVJw9eIegA8+PK6mrGDW6Ogogk4C66JF/xQh86vfQWBjVGYNRuoZYdrwhcElBB13lcifOE
WxIeYLqwStknktp+7dBdWSSKDH10u2Z0sSdwmxHoNYH/RB3bAoOK04hnsvuMvEMaFxi48L2vso05
16vB8tCR2mVy46ITbmOy6TWx6MmVidGs7KZ5uIp63+m0L1NfH/o+wxBlMaqlNIiVsJnmPCGgcKnX
oz95QFmC6G4RT8Unb9+DaUfXfYUb9KomVpXqg1B+anhNBTg4xfJOtVYdUppTM14HQwez7jrwR3c2
LbIBot2Hul32ItCJ5H8nreQ+/PfjP34W9T+uHlaP/x/klpBjeLU93iSXvjxnz0e5qJe//0dqSVN/
B7BHuIXWAa9eMqj/ziyp8u/U/zAUXEJIMkQGW/nfiSXrd5EcA79iUPFagD9/JZb4LSzsFoQIsuqL
/MVvv5BYOjkSSekuSHsqGFSeyH9SpT7eABTJJyXXB8PWJyFB/7vubGPWAwj2UnQVRNC34tCZxnKw
VeStUGjtZe/VUJ3Jb7w8NP7ag398AglfEQKbiTDOkkR7/S7wm+HPT0BtadNXwBqkIOy8qjeSe0XC
LFaByzZnc7uL0rxbzVF5PRpZ5Cp+W6zlPBe82De3lti3uFQbm/e/7jgqfvtxyzn46tECcqUa+7g3
bFxjentugnRnGXUC0zDKiRx6LnJD6+5ma7jwvDh52i8ts4qoxFD4hAcBR+u45UD2xwA3AMuO+iyx
5caPbnCPSdZ6lIhEpsMtPvaWXYzTtU4UcxWZPwDFR5/yzE/soZn9C/fKSQryj++BukQBBXaIjJP5
8fegvGaGWT9YHDFVtccn9h4LHZKImLk6qiC33mAm034Ogn2yWOlWmVwvrrruVIk/taisPqVVbDei
ODjiqMluyCQ7Xd+tZ1kNvRC4i12DSdlmhpC4ShGP3sA33aqpeqG+9aIgeLzelj3F03cpv3PFnFwt
klEufOfUsmnzcTDz2CuTqN/WM2bpMp7yG0viPdE3ereNTV4XY+4EmX4pZ3Kq7vgyv1DWlsr5ogOk
new8gQHozdCycBRs961YKLeyLzpx1hqbVNGuW0UjXo3TrZ+Y0arJVpisBE4eSIn7/go/9yGcMqQg
dJ6zKFme3IGpXg8ZJsWW3Zb6Q0Mm52r2496NAXmsBEwIr/pYOnTp9GmOO8XGkXFaD3HQ2LJUXGKH
v0Doj+eGGh1JSCALGsn20+OoE1qxGSgLIfDHnq/myilMLbbLcaxucqMOeP/0n7DgVuADC91qmGMR
1QTpOVEGwWnmbkDMTZowvuSFCM0hRxV/UfMSdOVpLnPXjy/sihft45MPBvpMSh7AAEe2dXJ4daWe
x0OLhyOuWTOW4bK4VxXtZpiJD9RqGA9V1X8ulbbck8Ir9/2t1c7j41wJW80qhbtgDPpVF40ZNvC6
tdZkkkvYy+KerPb3Wig3N9NijzQUCFOm7UQmcZHZGKTINebUvK2C5rqPx3KdqMnkQYstrzD+juyy
Jvtd4F61H9v2MIntdDDTZrb9IZM8qIe8WefhuRNq49Bk0mEUMHePeX6veTO78SD3u0qTb9W6iDaV
pu/NanieRz/fMZjxTZpEApystOHtN+hOiFfYhVFVj4NY9rW0XAYAV9BWWBijJ3ujSyWcaPVOtxEq
cSwpUQ5qWcqrPMExThogTtZZicxwz9sjkHvhQCn0INaycejjwDzkcvhhEYkT1UxbISmn2yZULjfM
pNiW/X68m6brqoOyHsWzsYWzZKudiFB8IfxslUekP3kUdFazCifhY2vVXxA+1Tgo4r0oZ58yvLVW
ZRBQuWvnnaxlzXaWMjf6odVm8UEb63kVCMHsmmEa7LAiO5Rx8/HCjj0Ovl+GBzQMFKSlRE/u7iT4
FsJWHrKwghQ8aDchXnPXTctQdLmEA2VvKo/obn63GhkGZhExiG2YemDU2r1aGXdFqRq2nOiX2AAv
oK+jrbDYImOHByIIu1tdP7kgSrkz6n6QNdZuHd4YPdImwYyUd5n7BwkQgDdmUbKayy9JlIrf6r7N
vWhUVvjxBld6XXwxjSnf9RILWkuucZQ1HZwgRofs6ARRdkC7VJBFmF21CaQbDVDE4vZDM+7NcjJu
5KH/EmhkrFLfVK4tPxqdJjdkNwtG0xOikHGp57tqqMnV2VoQ6a6Fx9yFeVneVqcjAP948VXkzYIq
3vEVKTZ5XWFKqrFssx8YmhU7v8oqR4lMlOUiXglZZKk3kZ7L6wH8/bod2mSTJeZ8IWh5wbocfwhn
0uLro2LmTDnnJGqJGJ9o0MDY9+FexN11b/nT50izusPUm1h6pyapoHxcLLkR9sf2cqOHys9Zm7RH
TalJkCG19P7YLPX7N6MDuGnBRQCn4qteNv2rUMrX0l6sq0y3J5zZ7sgS21HZTFslkufdqFiGM+nz
6GKLazpTmQbryqhL7PFa6NkNjlxjO5gr/NE+a0gQXRUG5Btl2KfGwahT1SmFzrgnBlz1qVDctDBk
71RcCw/RULp6V17JVtpB0C03WYxgFkjJOz3sR7u2ujsj0vChK5LyPiLJNk1mB+C6GO1ZKMIPcyxs
psrKD2jZyG6epq0rqcIq8ssfqCQVjmmEIxUVOOSmGfeHOCAPZWoc1JrP2y0c9M/zoN5Pahf/jGWy
dd8mDN++601ENlKphZ2hCVddFeaPk9x4Gs7Ku0RIrtR50ndMDcARpNW9TCzqK8vEcp1bfCtYAgJP
S387Gw6tskWdo9qEierbUTZNTtoXulPVSnNVG5/lug9WQUUhK/HTa2D5/bayytnVJ6orhRoENsoz
TiNI4U1ViR28dFl3NaWJ94NyU5XpcxdmlavOGWeJREISz7AwGO8X4ZTPYedoqRpdByM2gIWOr25T
Th/LoQA1hNvdtkqkhwUkasmuikbvVahCOqUMX7toy2V2UqjlLp41EnZx/qhjV+8N0qPkq/GtYRQ1
jlESGj+dpB/w583tKGoqW7FmbA37KbCVRvthNmbjLnvRrnvzqfRHdQ82SuF17LRTFt7GktB4aZaO
W71o3ZZv9/WBsZPSxCVrVvT598IcG6jGoFjTAQ/guCpWxZRHdynqandmLLZ2HPZrJfPVjQn156NI
phbnwVHbIZa9DfQ8u+XIS2xpFIdt0deNO88k6MCd8boXB/Gq14PnNq4F4NMjS18O+vssKrv7uOks
WwrTdo2oqR2BrboeC7W+jrm+1Ojq5T/GTGWmM5F1s2IByzur2JI71r2oTW9rSQ2eqxxDcXaikxZN
fiNo8mYw5OZLphofOziKShr5H5Ncig4hzydHlEjkS0b4BZDQB9AV8WMmtBbLZ4vXsLomQOx22E3n
BwMR7FWpaPk+ycwvZqYsv2uETxjFuQPmz5bWk4foIyfp1e/yiACbIaj1wZwab0Z57IBg2OQKQTJS
Qd0qcatuYzEZbXGQTW/WLXCNI/vTlCkA+OQRKx1YmQXCYYegyCMc3mHPOxlNQLEW3bnO1Z0hz3cC
z4Z9WI87Taz1VdNqOC5COdiLgWAeqjrzgr6s9tGc9auhhZypFhQeeiK/bYyBZIuX9HVQQ9/VEYqy
OSUaL0OykkzxHK2mEUEsswoF+q+itzEE+HiOukfKiDTP8mVKkhKQJvXgTYgX7Gp9uG8MYKeZIFqu
HJjxtTqmm6g2wZLLk2aLZaq7Y2dqu9L6Ibfs0hQ1AtR6peQ6mpeGQhOEYmDt5a4bVlaBcHU7m18H
NRI2xHfGdQEpzTNGtMGM5QNU7KZtOUgHb1QMxREHTXXBLQ9XVl06OWynuynq5Puwupsj/VOMdfWB
FRI9GMuqkepNXZmqDQeqfBx8pd3HUX7lj+0HMSzn74ZWfdEDK/iQINct+cXtwOHctMJ4T5zV2lKS
jfj2BsqVVVb8h3eIGOL/IZpBuppyU7iqCZWuUmR5dvjG3Kpia667zmycNp1n6kRYuxBVydcv/xGV
AhWOOItZ/X3j9E2Z4qrezqz0eTY2SNCPB4S/r0uJYK+OOCMjVQwfEqO4VuqYGBl60VyE5iHr412i
dtG1pjyXeHLu4LNYXtbM2ZdoSLykVcwnWVBzR2yS8hAb9aadfHkjd3W1Z59TVEJrbzvId5HRhYfK
T9tVb4zW/ZSEgY33NI/SvH+Shg7g74NZV/3PGIXoVJBDe+79dWVyKbUS7ep1eJvGrfWgh52+12bz
UCb1U90Vyl0grcuZrTHCCcUsNGg57Mqr1ErFwyw/Z33nbwu48hRbg+m+r+onOczjwyBy6XWB+C3K
JPVj4wu+i56H4uCj0Lstl/dh1iSs9HJt3uMMazm5Od2WbRKhU10n26AeU/KGXb6PZG3wlCFqbL9J
iytfnZqNHOg/0sya96OcJiBxUcaYJstwO11M72Ur8rhnU1tKVeGqKM34Cv7Z1QBK7UoSkpVWsQ1y
lhylO9j9Qg0HFSGJvTn3MmZd/4+6L1uSk1e3fCJOgCSmWyDnubLKNdwQdtkGgUAMQgheqx+hX6xX
4h3b3u4+8ce57BsiSUjlBNI3rMFzd4VDP4Sdy7vdo6CkeWBWLjFBzFIPbuZ1PhzgHbCuQ/TM+sa5
Nr2cV/Jx+9VT6cONpf+cguxjhhILhIQPvf8sK2UlMrg3Tekk5jGPjNpZB5m8B6Z0k7q1tsGQinjm
X9Hjm3ekhrRJUQe3gBYT/GVn+17OF2j6ulvTSAhIwTthNQCLulY1MPFyFMVzTrstTBySAb4xOxdX
emS5XrU2edmvK9LWWM+G9pCNBRR5NBpRWFwwNxrHxA2dh3VPeP8UFGzbiHXn0fq7cIuPqhhjEATl
U0+HIoHgxmvR8/DgMOcTU9aPrGVwq4DP0iZo51dgytK1X/NgnVpt1JquQHIl0mdl2c9Veu/cwr8P
Hg+PsLATETd8Jb0ePCCu5433kD8I3EEmktnJ2Mxkh0UtS3AjQAt0zKeogYwQLJQNKsqZW/0chj7c
aEce/UDLrausMMYVZyLLachz561SqG4e0WN95h1SMJ2XKeh9iFSxxpiV3cB2uheqvZShAx0bKCSh
0whZcJjet69+Hn50BBjRDsr8Z9fOoPCXeojaoXsdZbARijjMYVZuDpgUncs0nkMFL11d7zOFP4hR
zVc2bTeYcZq1kg4QF80PXOLupudTvmV+0a1J3pcJPKJB7aLTW9chwzHw4Tt1gGsIj3RPlR3uslFV
N1aNPox0cfuEKOFLoKiei1IGcTGTHtZnlhPNqiq2meeTa+YnXPvZc6Z9BA+CP/Fyiy5yc5Fak7gu
SR5XnsniBiWd9wKuzNGo2q1C7LZd5idrRHjSg52MelGN4KZP7adl4+t6NQK8EyuErPA2cOEW9tCu
in1wxFdO7YuTLysgeCz2ZRS4MEif83geMG139LunhQBvIzR3aY3mHuTowc9ddi0Kd1POPEBQ1Qcn
H84YbdlGfgJbRHIay2rXp5m/gag5ZD7cMdhbpDrlM6N723QIg0gTJK3oTzbmr1tQhreHTEMCpmAX
E3+Yn0IzpJhpmi5RjSlOcKSrohncszUwx90eTgxB4qgaUChSXbwS4g624e07GidxYY99QhA8AH40
8JdustCJbhxY2ZhMxESR4DZBMX6kuxSO00dmfGRrwUeWNfo+5CDsQVUx3+jZfbdC/Asq1U/DnNE3
+EffuEemlTvXOkYGbN1bEUj4kU9kN3nyxQKidg+Dcog7wVOycTo0Y9Bd2jDpnQDyMTsBJMzJMZpt
4Dz93bGof6KPzYjK7qax/bey2KY0sw+Wmx1YKMjezAhwIgfhCVQSmjSqYcMidBf4WN5b62L3eb6G
/ghU3QoFo9ZcX8p/byqVAkQAw0kUnfZO3hWwS/z3RqQAiUsYbrZASkKnzU7X09D1p1o5/Smn8UTx
t3iW9wLwRHBwYCZ/gNXKx9QLcn08CKYwTOqmHKKQ1vmzVafNLrTyKtZzCOQjxG2x2DTTITA5Zkif
DSuOqxW4opIdFY/63KY3b0Lzsy7LYGVaN7yhNPAFEPlxNRdlHUsDdkE957WMuxz1kNSH5rUt4IWL
tQ9Ldcm9jxYu9Ahq/MgZijetJnJsC+LuUu5sqoDnaPgCBSf597BI8y8pumNrv6qjsp2GoxYeSlxd
wF+ywosQc/XngToy0rZQT+0UofrBn/DjBxGITcEGF1FzZYrEWKjL87JnbMhWQK4yw1/mOVsukVBA
6jzxWhL1OsEcAr5OtoXw+tcCklSAUADibaVtuzJAZtChr3alEu69nwlmG8iGJl4aTAAaIjgBUIne
XCe7e1BcOipT/4TglNnzfppu9lCt/MFl50E1801YQxFnrDGo+YQwYJs9GSNe17GnMprUgb4okVUX
q3dF3A/BuINF4Kbmk3vpjA2lfIBnr9ZooQpXV3vlh/UlxRU8eC7c3t1Cn5pwIgfdDXu48XFg7lW9
nUE0PXatc5pJliPv6ZyTaZKOjmvLUHudDVhFfWUQUoUD0AlYSQ5hXaYbV7lfKtg+jz6E2OCtA1ml
tLBjzJxFEpYoqOo+GzbWyL82gy3PHWQk7Vq1VwR5exc+NRcEyvIGgS+0PsJPhHr2CxKqpPDcdDca
Gwb3IiiiB9wTli6zm3gzQ0rRQeCWWbLeGlTc48pp8gThY3Z0NACXXcvmfccR/gHfGa7UrKsjJolg
lc5FHXVYnNaUdO29nl0vggOR/Aa42Jo4gOJQKelB8nSFrIB+ElwWEdg/2eskf0j9sA3x/ewI4JK8
IlSjEQ+LfI+6V5doVou1Y09iNZXefBfQWLjkDBLh1U9bB/ra0tG7EammneI5tOpK4d1ECl9hi9kX
EyiyDVrUDYDXK292hdNmtHqj2SAK0KoLHl97vJciBYQQI7eQsnYM885LwpOjfri3eLM1Hv2Afbva
0bzqsXAi92MtXfuhcm8C7M5D4xRvgWXLLZziFdaCDkk+4DuRp+r5FMBaZ4q8vlqFbaOwjAx20vKq
euog1361zA9bDt4zcDTec6gOWQYN12UnI9mTjQ7Z2XFy77kHYCEijTftl11fkTCZ7KnYLLuDMz3W
lxSt68c4UN4bDoXsdbSM1ADrcAlCcUQl33teXtDhD0Nv59cOUel5MIAeLWdPPqrLc9lnh18fY5BO
gkl62Cy7yyM3K5xkGezXeY9XZO0o97MgI4oHnXfEhJTvvI7A/YSQeArLCiU91sQTqu9xx1ABtIn/
MbllkaA+RKMBOO44aI6VI6xn2kzWs+IQRMnb8bY8ZVLra1Pq+bTsoY6Sx04j6v2y61vCRazEOiCi
8PI06PNNRyZUYh67HLgIzB7wiXIf4w6kLk+4mX4uB+2gsq58KrfLseWp0H5UPebnZcdU3h417/b6
6+ymL6PJn6Zfn9PPUdsGLbvbLUcrHUI7SWQOyK94I8h2Iw7KpU6Wo02RYolqRi9ajvapEWevml6X
L+sMVvkkIDSoHYX5CK7IqH203X15JcTNrwUKAJdlz0P+g8glnQ/LOKl6lPfhl7xdjpZoO605V9Zq
OTpKigOEAfr++ClIb+xDJu3h12dAElRfaDv8+nJupft7PuW/jv06fxqTsQ2Kp2UwbpFXW4XleTmW
2xa+CnTw9r++jwjhwQXuza//wO9sZ23Rrvv1OYZa9Dv8f/rX5wCFbD46soAp5eOXytK5u5IR4IvH
h6xaeA34SL0Iac8F5F5XsiTk9HtjVchtUwAOEbWq41/PL7uGFs12Fulb/kiDl/P/Oq23ZhIHqYsc
pfXAm/vrnNSqj+2gvd3y/DLK7wGgee/s055sfj8VPDLt37v9lNWrAKl5rJfRfw+wjNcRFPIaaEn+
GuGPcwRYs/Bdj5ehfn+mchwCuGoNQQ4Du6CKfr/T73O8ULU7e0Z90u7ldvTMGS4j1dGqRxf55KCq
Y7BsROH1WG1wKM9KHOce8KHoJca/z1keLZvllOXk37vLIxBuzuAqo5D5GGR56u+385Z3Ag+Y7brB
hd37f36E30P/8RELr6UJr6Cv+evJ/9db//7sy5Bsyr8Szi0AXR9vsLzp77GXU36/NVTT+sMcXpdn
fp/1xyf441tAwAHZVYVE4Y+h/zgOouewykogFZ1efkewNp5S26tegNlxUP9EPS5PVfVSQUo6tqSN
3vDjqES0lORp+bDUwK6C1eg6EzBCXk4uZ2Qo7SMoD7u6fvFKmu5qCdTocjIUh4pjW2VdtBwlytFn
qewvy0uLcSpuFlfb5dgkRXrX+mV53bIxM4K4Uur7sjcCUZmP2rn+GmnW70yr4ryMpMJGR05fsMOv
oSjWLRpq+19foHenhFQoQQIKU71AqdxadWIo1su4WILtTTV4zq8v0DqTfrgd6l9fQPMQoINHub7S
7cl4Y/+cSiAS+tmabrmh9ZbMAB/D3MS+UtOBmjAhjjDIzS3ULX+4k/UDnnT9yzg6iOVJNx1qWMmd
7FanCYoa3mva0NtyKuu7PeyB5ncPtYdkrCfnjJtS7Z1ZhGsNcZO7zgxU7gojf3AAfwe3+u5Z0o/G
UpVPIQJ5iDEMcgczz/IasnyOm6GdvjqTlyzjOzr92mQi++JnUBIRpMmOWV8ER4/mqE4PXfXKrfB5
GR7FyC1govIjHFGRzdFPuwg9Z3uvVDXsqNPqLhEQRsuw6WfxiNXmRt1oU1OAkN0y7m3oXMf91F8Q
pbBT38zZnYsw2KYBeIgoaRQynmv3KkuGuk9jZXfNHRhNohYULSejo5DfgxQoSmdqT5VOx6fOPvkW
/mbPiPqttoDYk+g+bgHBqN5aa7hNDKFU59j05svwtjztsT7bQrePrJbdMUP/DkYX+TkLiPWiKUO9
H68mdPD3zZR5aDLULmLhkabPrP+Yw4bt/KlPbyFWuah0WP2prObge2J8NWkxrIOwDnZDBzsLK0fw
UsPC7JO1KNFmIXk1AeyxYCYELlBm5ltWgla0jEG4tyNOHb7acLxfY5GBmBl31Y3bbEKzDGMIdDd6
0Bk2JmyCVdm7QZMMpkrXZQrmkCNIdu8fEkGkEQ66N65E58ry5Vb69dUtGnX4vcHCog5ES1TAlict
pDP/eojKodxJRNBkruA7PyvAfsCHSnXIh8g07WPr9eMxR0fmOEtltoPqzss5ywbJ9nhcHi2ngSxO
6sS36ZdqLubN8qrlwK+hfu8vLylqJte5Z4BO/uP9fg+p+rrZ0kp/h5AzOrP+dLfrrLk39bwukZq8
6sDmp7QGRDv0i/zVtQdcsyLMV6ptstcC5nZJSGmw7Yl/KKHLM1soGMyxtOfmluao6VE1ntrHnhmL
cmfXdYN8HiqQERoE2cEi4bVKh/SCRv9PF9haDvNf/8wpmgRZC/oKf1QIlk0NeXfP0s2TUhpVfhHy
dQfNkv3kA+YddflYxWUw6k2lWBhpH9XGCcVimNXOLszZ0DAr2sGNRd6Hh04L0Byy8WiNDDCdmaO6
Ijz7vejoAORJDdSMQCQspva5mTx/z8mYgkkQpDEBcIpV1pbo9FWU7ZiEhU6/AEVxrALlfRu9Yiur
+pzzFDwxj2w1epl78GnHuNEtkGcGOSqgvNOrDRevKRvsXWNjVRdyjFU/bEhnnpsHetRoa9XA8WXt
pAemM772JgY9WTclEdFiQKuS01iD4QG6MBoa9r2AKDOaaaxETJ4XSZl/qeH3eoBsfY/KB+rTGoLR
sS+tt1EjXwwrmu0wgwE9hfz8UciCH0U2RshR3B2YillMBlSEBntfmiaIAh948qFubVDhZRUFGv1u
i7XPo1va27q04XsDcJN2qpOVYjg+5Nm2m5rPYBreMjCkbxRJ0woT3w+FQHJVuXl19aGJFqvOszak
sAdYY8Q8szBfwWYdqf+7SMmU0Ck3SdkKfwf91B8dtKjrZtA7I/faF+WmMlBSmFv0hl1YvcSAb3Yx
71S3Ag5vjd5jCFSa+j7mep1r8LGzMI1y7XwMfBjv1DQ/JqmvPWHZU2aL1VwxGJPO/CV0rR8UDPl1
NYXnCt9z26FBGNORtMmLzY0Vg2EMsJybv1C3WguA4SIvqF6GtNpQIzG1op6d4xcNJrUP7Trc+TRB
8YK/Qfl0RdgpzK10lSuKOvlor90R01Ery0tRYm4Cu4bhby9Rk7WYfEaFwI47Q2WCahUwJBRTBYiI
rL077gBJ+Wrc2y4wNB418ECvgBVOhb1FpeY8DoWLAkyxJ7kj1owPJ6dQwaohyCwyFAnt1OsgSXFG
jduNGeRrctQ7E9IXBlM5zLhLicss7zJcbxWDjZ5aua7E7QTiRBTCrz6pLRewQag7gxpSrBvP/8kc
NCs7kDQb4Exn3HIw4vwQjN2AX46w4KN5XUxJpXR/bHz1TrrtVGKVmCjiFh/fk7K62gQyfSVZ+17i
SlsVsAqKLad9n5u+jpT2fmh4nx3VvzfoH77kjSdWRWaBXUh8QOyKt36ovsLAvAC820Wpj4huVbvD
g+0TbtCJhz5LP09JMQBJxTHjlI1EMa0H3YiGORRhEVKj0ptGSLS2KOiTyGJCRoKWG4CkOFoyUO1z
UXVrap3tuxHlqgyAqjhzRQXq1BfnYiy2S4VrIZzOV1PwoEQBvvagLoEDiF/UJ06c+06Ff5ahD+O4
Rdzahdn4MKGNqZ3FjDcrpzpTPoVbkQUrUiLk491Z12i2Vrb93W2zJxME3+qS0Y0BhG/VBN6xq4N1
y8dn13Ju6UjqeFdwz0ZXgD0jgL6rHI0rd26CdWm7O0n4pg+ZfZaA1sx5XoCeUoCBBEZVBAVjgeKM
v7WdYOvqBwtpUpAM924tVtsIoW+zShlMPMfu7I5+uqlFkMeeK8NdPzVvrc1+hNWbdruNXXlnwSYk
UrQFlidP33Fd9gekfXu3mg8KshpH3BtrPntV1KYZwH2oPwHktMkhk3Lsu/F99OsD6ciwbXz2ltaN
3le2+glHoJNBASPKHTvJRVVAvtH77CguSh2guheQ72Dq9NtBZt89jtN8Kzy5TJ5N1QYrllqwpiW4
7AmdGsRlm874kLRrBrmduyBIen+01k1t/6jN9II7cdxZvg131qz2d2pEnb7kuHd5C3K8m8L+GTdH
u86ghBfrevypyd4fBD0Tgod2durFvCsyOW+H2X/TNiY223jrZurPRpdfgTz+rDLyzkUxgURU/6jq
qTj5QwllmsD8IMGWtxzSANYTn+u9QEcawSkEARxlnquQx1xV4WZAT9yFhM0OE/pz3+UKmJO8Bd1a
+BH8r+hxoOQ7VLHHAwlk/9J1CMu8wvs2Zzb4m21zKGtwJEg9Esyc6Dmm3yg99KNNTsU0PWikPUG7
GNIEoB8VzxY6HWlZ8XNqqrMDdVXUrR99wsGdsCj8BBGIijNgfvxAZBNb0F5E/DnCulQDhutV5ByU
ORqTbp9ixSDpiYJYNnOGGnYzn5rKRU1mLsZVidB2HukxQxhx9ku4DcAY69TAhgU96dSsgsG0Sdb7
GirLVEV2Gbx1DE1GGbKfQQr5RVHSFQ9ccghyUIOZkpcpxPIKBO2pzWS/o5kIkYNR9+BW9xYB6euK
FkhM7RbiPJ3T3crQfOQSGGeXcbq1ChvYQ38CXKG37o2Tgtsh3LhlKBnOBHZH4YiOr1JnWQp110Mt
I+JNF82Iuloz7FsDgTDdgZ/grGwBBpEIj5JN5jqiSXJGg5LlUnypwT9deWH53kFoJ8qJ48aFlnzT
Vo5VoaWJGbOgx34UP2anoGvMxk0MzZG4x4PE59zfALD0MWRKIEW0QVWxlUyYLqar25kiannA9jDk
lWjXD5u0DXY2lNhvKpMkHhRnO0Z1jN4vP3BQ8JoSaRxL8zphfgVFdiwg+z7U6PI749ULOnOtx/wH
yIkysbMWsW1tXwYOtGmXe2vLLbMXmpOfZCyeXUJ05LIxjQxrLn4ZyAs42yhfcNPdpR3oNToTqw6W
bQcbSPpV2zptQvGT7ywxTCAzqhZxXbFhNjxDrar+tF8pQqAzTN9ToNmVAzQE5Hky1Lt3OUevmrR8
OnUBKwC1bVZVHZANWveg+T/wFsCZihP4xSKb1j4Br97QIUXjvE83AUQFfB1cUNttXssK6cXchxVU
yWsglCa/BJCpKZBeYRJlZkbbGnNJOAC0OfvVsUH9ODGGQNgVsIAD5/Z7U/4wnTArXX72tpk/GYOn
JNFrS9fOe6DK/VQ6xzFonWdofYynUgP3Sg+sDfN711mRJcrsIJmmSU8zrPKuCLd0Jk+W5uUT0Dsw
U87KFFQ0A3OkEMHEjH/k0AJ3AzKTr9BLp8GzhKCIgZ7lfmb+91mP9TErmgwQsUdI0RefoCUH51HO
V+iZrgo4vYESC9T/qA1aJCo9dj6aDr2extgZaPZaMsSVDeAeOG1GcDKzKuIphJUH1wzbjnWHUULY
uXI+u64qD44eGX5ljepBalcbp52mBMxyezfXvEhcK2vRXxZyM40jWi2TveOTdRyZ1Z8z/8T6vnmS
nojKrgGl2XUzsH4dgPqld82bCTEpOhi7MnN0VAmn3/QOiOljyEO8T6nWDqhp+4ll22YKzrQw1XP5
SD9YxS8j0K8roTi4u0XZrXwN3QiwIcc1ivHFAV19ANesgcYDUC/rbiz0VRNUs2kL0JHb3ztELh9o
UHpJ4IKAD4e351nn+U518hYO43QGswWTEjB829wp4iotvIs26hI4Q3+f2jIuW91AwMr6YlWS7mcY
PKGt9WAIz6Q71qO6yNwGoTcM95KEML7Jan5MnXHcGRKaFUTN6J5h3eYl+pYFBL9iE5huZSl036sG
twzgdJ+tsfk208OjMN8FMeBxfGV56X4M5n2qPXfbU/dzbonZqtDunwAjBGkCahrQBB82vbebu9K6
KzsLIT/ongByclbzBETC7AnnqOz5M0PYjc4omi+Vn1dJx/vhXjW4djMVlzUb7svG8xo/LteNExZQ
JIPbuFCYeD2LHJ2+OYMST8Ay36QAb0X9MFIg2POr6mESUnrlBcgjgpIywMADY+112cB2DpnkSAFA
wJF4mB6JNR2It69oCb958GXF1OnVBH/GeLRks4JdIn4vSm+Q8URfc7KEE8M9p/LdLfIOhTb8mpdm
o40FN8LHZiorGkMIMVtBVSW9td7FEAhZKVZaAP46w0vqtvWKInZaucAsFi3NXpjNoGoipP3S+fJJ
FdVq4rPzRWMlbLuiX3Fvzjd9RcjLspsBEog4BP7hnsWyd0RCcdW1L0g63JOilnetCxHbFjKzVKDz
UpdaPluWqNbaDVPUKr7UY5d958nDZnHdgrN/kH3/BkB9rFXYb+GzejBQ6Vs7nXNV0s0vRRYVLlrp
HOXR8zj1oEj6UNu2CvpFW+qzn0e+UWgacdQ49y7/psYUP58BFGcUgE5MKJMq4AF8oGaQXHpgqxtv
SFAVsxJKYINdy8lsexAy4ZaLlg8YEhvbwsIPuR2ymQFqibIsBFZgmPyz6S8piHaP5VOucYF8K0RO
t4YZa2PVyKMwl2XA6qbOLpzBYZlZCiteREgoqNxhTunHWg9k54VNday7hxxhBr/IXkCQgCLZvobc
kuvWqa3YN4hgVNMBq2SsnSk5QCKiZNFAh2bTCREesln+A1L6QS38E0UOZTCCLoftQZIMPhP/l6AR
BNmBsg3pos80HG0iNrSE/G7hNRHCqjaqFcw6rCE8QAYfIjiUb8dxfOV+fsjZTgM5fKDFaHEk0wNY
HQXNtqxl5gozIfgwlVCSh9z9SbV+hgJdzrY+RL4BG1Fk7TrNOa/SS1qHgKflTrK8bmL1h1OxYF/0
9odX86squHNAc+VHRWZnMw4k3xV+DnKc3X9xh9BOUGYKj2E2lwmEVdJ9p+woqGl/0BrNLnjExuXA
6mhsAamai+yprZjeCxAKQMBHRNOKAe2otoHqz1RHbVHbW7jKALLpClTRtPX2D8D0v7gmj58bSk4E
KjrASjvIW/4TtM8R9DPLedgmdw8AhSRfK1BtQP9HhAIRWOgSDMzeMAagA7OCKg4URzP/ITvRQU72
wMPw3MmObxxIxewQtINKOdZFrBpkXMxvOHrqNYu6qvc3rUlvBVxzk6m89XA1+idXCgLy59/Xjgep
Pshn2CDOMMf7C/gPCxdaK0Bp4gUfW9bqS+UCpClYmJ0IrCEBuu7FarkjgkkcJjrLA5Bezpmwt/bR
CKqMStfhPMD0KBwA323ladnwatX6Mz85aFQfJ26itCLpRQUd7tAHFLdL23ALCDf8KDRghciX/BMM
h4pkylGRcoZQPWkwhvoZa3UzmW8aIG6EfBkQghPd1GPjRbJ27RuAbuuxcb+OVmbekAAbaDelfV5c
QAWB7AaoaDxByX+8Zh1PYOL7Ec4k3YUD0grOHXstMjLE0PEw0WTCOcLkoHcLcE48lgJW9BRxUFUm
Ke4bAG7nEOAMJxIshVFZC+mC6ufsxNnI3mTmAfpLB75xafmKShUcNR7/8KhEHWNFlOehNc/dxIqd
1gyGWAK1Yl8oc80ahKtZaX9IqdlXCbiGEzSExqboyVuTPgDrc2SrTkUkYM1738CpsWP8CbUnkMYn
48WADUIfpeWJ7CsOKgE4DsAG7gaUrqLBRjA5uIX68JIBjEvkqf13tCWCeK6qQ+sholFqrONpAmI/
tNWqCOGUOaqQAP6qvsHnstjXPRxPUUw9CuYcSurEciTFloCJEQWQ/0CILqDEkGEKynHjArTyoSFG
sXx9QQE2wMy6ryUhSQE0Q+SD+RSBjkJREp+vNQu/4Qs2CZvaHGAN7a7aoCMI3asUxEb6BfnBD9Qj
u31D6mnd9o23alr7U3PEAKwvYeIpRmCwgDBGXiDeMP+bJy7pRtvV8+S741vfdTusbgUQAnn6mPBj
SIK0wsIHbVakFtMhRB26U6hSSH32q7K9ZzrMmwgQ0P4qBjSBoH63WT5xBcrHMSiKuMO19KhmpTfb
1cWRW+49hELNGQJAMs51C0mW3HxfUq5WqDpRFmA9+sVgNPgo4fbPkXHRcLBj150NRnLepW0GMFlB
JJGWiHkPGHHWHtF7Q6IE80PZ5a+d0NOHLnC9pGbadcZj+8Em/I201gMBeITb9nDteeqccmJBPYA9
A4mX331jgLdkwLmOFgiDYyfWyC+bG2wc4SsW5bVPX7CUf9qHYh7xBiNCQ/qYisqub94nNGgP9RTy
swGDg9f0KbBoDcaVm6MIKKwVd0JxMKhNlOmcHoiwvqahpaNl3v0fCVD+d+qS/yFI+f+bVoBDQPv6
74Uo91+b//2//kMsYHnBL7EAh7n/9RA7h2YyVJpByAeH6pcMJU56KFQyiAKAXgZbDszs/xILwGtc
sCVhtI3A3YUxBl70LxVKYv8XdRBeQ+CCgufoQ6n4fyIW8GDw/UErgx4Hg0QmrL3d0HnoUP6l2ye1
C7GMZqbPVkTcLrxAn31YQ0EVwldOnl6W55YNEymP3H60NpU7QYNk8MN3DagnZDIeC6Q1+RVyRsxj
j1wvbKvw8k82QfRBvP3rs4JoS2wXwp0MirKP43+wzSaAhLMaNp7PSgIxDcIVMCooK4HJ/NhAc3VQ
40YPOsenyEZUjJAV7zBvRX5PvO+80pgGdYuMhJsvVevzrT+6n97j7kP9Up7RrYATdwi8PxnR/m8g
UBc1TpB/K3n1boO2jybWBFzSKABIT81lRqyV+CJr3tFYPAl30v+gFxD+FcdAxR5+Vx4ukMf3xeZx
/I8vXKAy6oQ1hKJzAjRa0vPavZs+POfFXH2C/AgQuzHpoey7D7+1mp3vpsEacDuQuqT1x1nONFdP
fQ+WnmFnXRaoCJRq76qancfHUwUqcDRSvoR1h1MAJOgAZpna9VtaokgA5tYdy353Hbzy6/I0RJIK
xMrTCtw5FDmXX7xtvHbfDfkB1NT8ZGUhLEoJ2tDpyohbBk2Vb7OVfQFlR51RC6lXkNoMD1Si/un4
0n9Bgt28Bxm9wto1X6OpTq/t1PpAeHv83trQqdD1hk2QJ+rM0F9Kr+gv6vEoD4r3GiHyeuzzw3Js
edrk9CWsUQWZtPSBcGfgUASZfW8yMM4s4Z/tcfTPyyORNxYQ9+icVNI/UBX0+2UlbSZKkIqEI4Bn
tXUTHT3+H8LOazlupOm2T4QIeHPb3rAdjWhuEJRGgil4UzBP/y+g58TR8IuQ5kJBSjMadjdQyNy5
90rpt+OaCXBHX987p4GizHDliSQdUcLmJKffhBOMFMJJjme64j767WS53q/239Gh+pebwDVgHrHU
wCWXy25cz/xyE3QD+U4RKONVjxCpS8WIrnWa6ksqqnBDSDa+zr+nQne6OE+hdKyl1dTdwS6i6lSJ
VNkPtbqfv1N6ooWVoRX7DiPlKXZqvPsAjrFCeu4lSthBVEa1/jfw/9dUMS+BxQKuTbQYNAjMk6ni
/e2yxvGt1cz6sluVEWBX2SX1rVGMj9b3g+8xOCw/NU5B649o+mn3qLljwETVfysTgFdaSYndFrZ3
0ZWW1Jml1R8JlErqF/NTDEDJmhKrIpgB/2SaHeLl9Adkm4/89dG3oq8gZvK+0gUn5VuiHc2hyy8Q
HYpHO6bPUpTwnTRl8agIP39UgjBdZ7XTro0m2P75kzS+hGent2HCDEzoVGjc2tdPkoROZOhGUd7S
nOhoHpXcO53OvNpj3hIM6Y/eUyADVEZ6aLU2DVexU8AW4vB7NIVWUmp24YuJBwH0WVGEa6ax4s1N
iDo4/VtmEWxQdEy3g1OKJ1NWLwxT07WSD+lGUWhfMt+Qr/NXQ49B2avKz3b8QbTM2eEXHJkyF9Eh
FC7+lxzHfuoFw/7P78D/nm+8fjAV2sQ/ZHWG8yVezrJiP2ltJb3Rf74kjPyOeuO+6ugX4dJH/p6/
jbWh28UeIyfCOdYTixpRAzy1ZTP9hPIjR5a3iXu0e+8Hs9HwSXXLtzG1mOLpLjoeXeKho7d7FIEV
MpvV12nY1ruytVFB0yza+LmNOU1qxa5lirFgh0e9M30WZ4tAVXZmpXbHMHCVXaw12E2CsVypiKdn
Z+LMmXXXLaXvZ/tRsbOjbJTXKBNQGDJC/LmWLBjpWAQ//XYzN94RmPld0yM86GDytxaZsUYvAcEJ
y3zq0zbZZNJ6q3kmb6Fp6EtpSsSh9GOQprh/rpHJWMlBz6rb9qXtm1/6kDQ/TAzwXfHuDbiPSqfT
VzylCIbHrbk3TP9t6Ek56KkwXtFJGzgblba8Cwoi7ehZQlzaaur3G1333mMRB0eC0N6iiGLjZf6W
BK+3YJC/nOgm5yhOyIgZYcL/U+bnQXf/toxG+/rkwy47gfDtacscJ8XXI6II+6YkFlWdlAR/v+ET
iNEV/zx/3E1SfS91+73ohurW9N0hzlGciXN1NKkUYusurSn3jZcuj8a/oEinmuz3GsTl1DVZ4WCQ
6tRZWPiVeEoX6hoKGB/SOkLCse82Boawoz605jkvcopv3Hk71dB5zMSyfS7cVmz60nMYoJQNRAvW
cyhelG+Crne2QDT3LM9ormzXsJ7xmVTMU6WNcMe3ijqOCwwpFvEj8o2Nb4fnXDmw+ADe39TqzU+p
Ogj+CQF3b7r5MaxXA1qvWa+z0MOdlvjjNhuj5DUYLOLKMl40Zeg9WBwMz8E7baT/hLb8FxzPjC79
rVCb3iSMPtS6VC3AI4wvdUtP1KRmgZZ78WnLR8ah71UY36Za+BfkqgUDlGChprm1RxysL2YeqQcS
CD0p0wmxoufiteoFiJSuGn5oQEJY70SGo+Ait5vvtbMXjHgXaUWriDV4OBswhPWFz71CSgkIYj2J
m3bB8WAkoJrnb+dfEnJNG2DARouy6hibzmqhgBSobF0qrpzz1nNQMzvEOTgcheKkS0c2yYF3t4Zz
iBuv8gttEYZaflT9ATJbz0tjudu/X5Ev4itDZ09YljbrtIrw0YV+tmKW63wHZmrkuJO8nk55/eeT
dC59v77jwMM4SgGPAa798o5LI9HCaCCEImVcbB0HWqSdJEuGa/JQIUVATR2OTZJWD5WIv/VJN7z5
bvUrqjPUZA28JwUbeqlaPLhhVD+IioBflIpq7xaS8c/UcsKJ7kB2luOlrIbkAn5CwxmZrmMnCGLk
lly9amPJUphYu8UGn3BRDc0tD+Rtru1UX68XTpu7p8Zk6bna+dFZiwGOOrZVP3ZG3qx9Ly2AvxLV
7LLS3kArDU5u4EerpFGQ/I+aJ+ihHYrgNPbVc6DG6ybplugyU+jHMZ8MZlp1W4waAa2BsWTQ9/Wi
aRp9TwF6y3zHAYKWuVi9wK3++ROYFzn/5xOA92xR0kCE05F7nC9FTWRXrOHGEHntwsYCbtI0h0rG
GzFk4WnW6gxFTtlcrxTrXHflCmdxAEdErXZYXfrTKAOQrqmxV6LIg8BjfWqdWz8S+broepKdyjJv
HpMh9x/youK1KFtBxFJIb/hwjbJYlDJP/1Jr/s/zmR0hgJl02lPGRyqrwf5bqHlFFETYynHkBUqy
riIWI8+tRyLCC+TN8RukUG+ThJIKkqQUchgAmNrPy63NlP7gSM97CBzejmTQt/ACxo+ge8lrI3mP
rFrsGietl6W0/W2aoEoM3WNQMyAUhjluVSIh9tZPDPtgqxF1TxRSf9yvNWVMwyleXi59vU1Bfaby
gfXh2pqi6SXofcelLayXZqJRYvYVPZNXAPxCHt+VmVndbBZcLBxFG7clI/uHNRrSpgvy4SMhYra2
e5NZ5OjFT8PYpT7yWUiKLZaPJdrKh2J7J+KywUlM+mtIwNgd/e5slEN2DeXL/PdnBCKoVa5CJbPe
qVF4jQIG+mH3gLQUwivK5bMXd/lTYz4nHROZDs7gkkaCK98fIiY4thye3BYLRpiRydJH9VoUBkEP
EmdLO1FZMyZd+JNZ3FqLhsnF3owNwQgtMndC5MFJFepzws/7ZOBf/kvd+pUax7XtslJgWnNP2WpS
YX+5KvymLcoity425uB3rR84oGU6vhkG5pnAEy+Wy4EgqkBfsQ062vOpgCkqRLznWVhtqpq11CIE
kmxnKpYocMtXioEW60i37TWATnlbDB8lwJillQeLMrS77dzT2XknV3++ba2J3/Of29Z1NIsVvR77
JDk4p00gv/ciqVNBEqpM7aLA0K83o5Hpr4llZ1sEhGg3pF7yGrvttkEWQIDXjFuNB1gtvX4ZsvNg
P6TRcM1Dv9vYTtUvuSiitT+ZTscSq4ANMnqX6KH6UIwOiwlqY9cmFbigGLs0qoJHSDzQb4FrrVJ7
oB6Nh+9211lbNcGIGxW30UkQR5WhXNUMK/bEpKm+2LhNF8DzvzHf8KxyiWp5eMo5yWG8Z9fCkNkV
yXmhDm5OiKkq9rdGh8GLBUWuSQ4LEl1S/QsoaVLEvr6RUElQuwygaRZTl/++kbnF59QOzKnTtPSO
sij8U6hl7tJxMABGESeGFrrRCX/Hcv6u7LUtHnPcu7pNDFg1251nAZ2xatV4UhUQAp65SKoqOzVC
yU7zV2omv/Vx3v/lIvjfK9pldwUcAKQWVeO6/vL0rDtB0t825SWI2Qln4mpfjFpeAFEQ5bmoumEd
qyGBAOy1sSAqa9M0n8fvwNWbf7Rc2ydN1a3KomLgETgkU5H1qkUmurdCqh5uDsVeYq3qnuqSQSM0
Fe27VtRrWbM85c+X8/yU+e/ljDgwndgQxPgQ5qfUb611Uigm7EHbvKgJsXVhReNlnG4wVyOU3EiT
GaJLMtTe2gCzFh0rNd1FOmLsmeb6evrseH2zt4Ky2GCk4f7DCY6LJdxYPo/W+3kIZqR9wPIIXjny
q5+mu3T15FF6aUaHxjxpUdvDKRJ2exR+qDtMHmJsx27zGOgJujth63NZSOuM9Q2/ChDQT06+Qz3/
bEh6W9rS5h+vwZ1o5uavpvVulH9rP7eSD1VUTHLThqli1BynOXrtS+MlE/G//70fxpNa5Oov3uSZ
9uzXXmc6ZZvRLi+1dgfG7TKf9L3DiIZ7HUsBQlI5Zp8hq6TISkj337+qz40fEt/wwpa5/xeY1//e
LIwe6O2xlrG9bGqA/3uzFGFn5YResos2tPE5MG6245c/xdiwrRdWx4tD1H894Eo6G3X2OmY2L5lx
69osCqBfDFgYewn7nIeVeIbbwBiIlj/RMRWaQ/qtEp3FlhBw9HUba38pCuCVfrnTLQRYk7tywtuy
adz+IhkjSWeWiUf0MpaQk+uoKZa1ZUKn1lmzEmv6RxiX/ZoN1kz0+ux7Px9RM1/A59m0Af5T3RjA
rlvdqM8zrSA0NH8hCBQRlEQBNEL7onuB8TJ9pxnddkzSZkV9Px60AEVIaXj+x9zS2KqmKzpk0nPu
evNHIm330XHSlcWEY9URkrnVGMlXwMMpRBTzmmkdyJVENz8bnRa4wQ5mNKkq6S1Cc+uBI7pEURqh
gmb5Qxe4v3B3M10ZRlwIZjqcbIKXCziH5sPoye+sLkLC1LG7F56urMzMpuIOGv+j0c3vWKblJW8E
hHuJuIqw9mxWmXbXAdqRhGQA2OkYF/bjLLdZoDcvscWolsAVnqV2QitkMj6Lso4wpaYsypRYbO99
u9enzjK2j2k7ms+6tPUXvrHz4IfOKHs3FygZDtqVMmQqYCUNMgqPkWkPgX5mJvxpkvjbSIPBKPaT
cS8DNmAPVhauUDhTnuIdxyDbb8YqBmslnPRZb6cWa127Qbpw9DQ/667KFgPXj3ZtqPZXbUBKCYiK
Lw2niTekzkDXEy1Z4nQcWCTQLrvKqgZUJ7KjUvUfWLQBf8Iu1ItS6toCwkZ0MevymrWxQ/ALz8KY
9sy4FBxj07WgtLW2GW3lFyEguTZo/k90AspfGqkZefv7AcrFzSDGJVnMLASO65dHAdOLNmd/IQpi
B2zBFExTEaCaLXjTdJWnxZlS7cKfIYyoTXDFZXL/TlS5tmNhm7YJhNT3OXahQygNfR977gZSnbhM
Oxo0Mrd+1eWUOAnLJZIIxKPtxttUNT9kgHmCfRR0+tNXgOOKQ1FgtLA6cl1qS/J1csunXABLOD/q
WkSYKZKyHvfQLeobS8C6JVtNNd4vAiEN8uMZnqW3gWmHehJNJvaoHz6JWu3g3bm/uu9/fviYX0sA
3jvUEctB29WZZ7lfpGmhwEoI4WOdPeJFD4llKA+K2QSY3Vr7zXUbzDcmNLwU+EKul99CMiOtX757
Y8WSozpaEY/oNoPhAjh0IvWIyxZEoE4hnUa5hdUeTxSK12PKerBHXvsvQ2p0C9N3JHmCi6AXmf8F
Tvhwe79PTMvEr+6a3kFL7U3r9OlSG0xnGRLtWmVxkKzBedc0nWawZ2NPS9L3M0+8v21o1acy8r+X
FevTTJfGXNfmf74c+CQU20HUJWOH8M0tuvQzcLwf+O+1fSBG0sut8RQEgfgxfRGmWAfiQoMtNwma
EekKiuhcXTg5H2zE+bCWpSl24RhX+zzJKoL7hH30RvVe//yR0uj97w8+LSjTkeBck5fw5bAvuK+5
yQOq8wKbhoKJ6TU2B2IvJgnVIWjec3QelyxTTjIC6wYpV59e1PlWtFVOmT8mq34SCWsTN9c042E1
qMlJxR4vlL16axNK2yUlnSUMbEAhjWWtZA6eqA0dONkq+VKh6pItul0K7AMvOKbIlTWGtBToazev
CsuFilK4GOwUeGJomeumcwa6vwJYwWCKRW+IZpe2rrMmOU6J5hGGwGBuXL3OTzHhdQ+RaQwfdRFo
j/6YLL3JKzX/0hdOstK7KN/aXcFmqxHxCvtJfw2JfkVdhsgRd9JfM/vslnf2CJaI5Wyvvj/2mCii
R4/Ax6hh7l+F1/mhcv/zZPTKje+1+3K01Rel5kVaTbpTiUBs7MjXbxhvB7CnffAeut6zU+j7htbx
ovFDXUSs/3IHDXL5LGkptLp7T/Lf4ajFBlvf2o7FAKDSvtnoPVo/2lsOtPG1DtJN5mbjpwLYcSXU
oFoUPjQNlkGLZRzE6Q8HLmWIKA1Tl7Y6N5e2PWh4olp7lehMj2wSskvzAj3qFthwxPo4C3Y22ZvJ
fO1vwjp1byP7BFdQSdzb7J4pR8rS3RBmj9jCzlEVeXvul2oZMEGdFtMEp2hICDv1bj4ByPuTTlfM
arxoFyt2tZklK8/NbtkkFPq+8jDrRo0z5Idm4sw4wLBWpV81nCDcNM3QVaQvSdzVWu/sWwVoIA5z
DF9xX5uL0hjS5VCBV+tGE+DSNEUgYXMprOCaYUQnAqe3BPWMgLlLxx+tc4ImW5bMylPQefiUHffp
/l3GqjojqVkX2Fv2PgVTegnVmizarGDYWK0W4inHv/r+53tzrrP+e6Z4HFxsjsTkBgLq6wJJURi+
ZRa8U6H5T4zo8q0DF3ClZb/mrlN8qwqGpugntzbQm2OYdpQ5EkzdVXpOtOn0CBxnGGnvZvs4RGZ1
gZbHvAIa+Y5lMUBXIfN9xle3hmCY+IIZhV3AbRgl5IvW68+lmw3nmB0bq9wp4lVNtbq2lYBwdo9s
LcYiOaV1ovzwlf6pTrgqrcD/mYbjVTBDeQjtsl0FlfrYqIV8ygZqgR7rRL1sAy/btxMzqOqiYgMS
M1smFSmM0euL9zjDYJ0axUjqMTxwcGv6CE7DkOoO7Je1r7JWWYKA5gJBncfuSdaoleZjVRYX2OzD
CaJaXBjetdW05Prnz2Omu3/9PFw6YNu1VZfQ8/R4/K33asYKDkUYyFOYeP6zJ/IHc4z6S6DBMtJ7
f8ki6x4nj73mIyLSoze/FGasz2PzpOFUgAre/HTbPcfNeJrNaBGWEabJW3wPza0Fm3zXsqKJy8J8
AXMsfaVoNfMFo9rHEDnHon+px7D+YNwVbGkv8S0msDr8gmS3FlvqMk1ZplQMZb7GeyDOOn5hTxLw
69sQQCfd7vrehwVhTwRv6iAMwfhsgMprls35XivHEZvCZtOS3oGFAIS+kDQMdPNeRRp88+e39av/
Ee8MTo+plUVYRaSZpe/f3taqCjNRSN88lX0Nb8jW9cOAPeBgV9jexHgXV2eF1Ym117v8m0fdIRz8
X7Jp4osgyXfyutSbYqgo4UXvr6KtLALYR9OPbOh+uCrgCZHoGtpdk1ILiK42L7alrs2eoMKsfweJ
/i77XD7K2B0eQp0sQDR64YMf5yqCczuU72Vj/NTnfkJYFCNGnRQPLI9WkNg5PP78vrCO9uuzmfYC
8w4LunAVmw4F638vOM6ihOlv7VwoOpZJ6dVHxerQqtzSv7AJcFyNbVi+9BoDCTOKy0WRhOUlrdpy
mUZ+eqwhWL52mXW8d1ErEYTBTTXC8Sn2EmMlUk/bgHoYn9jwN5wyaT/NfxhkSHSuIgkOR05102Xv
rb1G/wcADqm9qTIeW6DgtVkcgR6izDu3NnO1x7GsTnXQyN0oG2tXNiFWbn8sTlnW+Wvk4347irZ5
6K0AeLGtvceSrB+hof4kw+96PNZnJVYAMTXuVhO6vemdqHoYEfiJ24Q/VDZRuAFT1UUNTPnUuME7
3WCFcIdyUzrSeC2KbHt/pYLu9dnCXHDh8HlWiqzbTyfpbp53moM+sjDUkLwfXvoQdGq+1CQ6QNtH
8jCO2ncPdh3MJ/0pUhKbyUXx2IW9/+yPAPIkiTLEfYRcr66thePLfqU7wd4g3naZp11WPogV6km5
JvLPLtI06XZG0ld7ml1lOYwI11HgV58U7Rs3leFa6lRDqmvkp1Fp/v0FXCcP7kgAh+uHNRQy9aMR
L7h9xcuQjE9pNcanXLPKddm0zcvAToBKz1jg1lSmt5a23S9qrTKvzBWwy9ftiYSEiY0y+PeX1K/X
eMv90///LVz9+7LVbn0cNfu5VMt0pbnZ6kWm7C1YaqNCdDBWiD+rTr4spmkFvonwWlbaWq+bB9+2
gzdbVsMah8sIwCzoz2BNvt8l/YhFFrAAlPwU10l0dKSibwgIbDG04CdmzLhwKq26tY0olx2hnvWM
+fMqmiurskqM8co0+hl26s0LFsk0FUnSEd4k1Llt2CgbSETMDb0BrSLoxgOQK7J75rDUOl9h1bor
d70MP9n/fBpDB75aar/mpT58qLjYl0MzcBFMUoCCAWiJHqhXmfGSxFr8Mprr1DGCm+Y7n25YgkAA
zPyBieCs1aGzsMqUD8hu+1PbY7h0pMnw0Rr94awFW68N/Z+uwU+sq2xjv78VWu6gaTi9rRxgyj4r
ILZPaYP4gzvBZUgyZmfayGjVo50tB7/7LKaU3ByVm38JjPBXaaTuPjf76lp6ykrGI9uhXTs6kCw2
r5ESfxeajVwXF064y6xGW0yMy1mnifrM3Edcv/CxnLXQIo5OrseV65Muu4vUeqRaS1eNy5XXAUmX
HtZhTPLu3m9cSfYs05KVOk3pjFYPlklAXgPC6D9NrZvoN667a0Cr6mEJp4uy8X5k8C6Tn5Qc/9tw
0NyrVvYE1dV0XNW5yh7FeRKTULPuTA0mJIF5ImHRQh+D6FmpKFQjI75FWewhd7behd2uGITaeqmF
7A+xir495tTtp2i83d/kIHmyyxEOvAZlVo+LE5jMgzQC+9QxQwHxz6oJPy8WYigYMDHSOhpT4OL+
AGypT68KBO15op0q0aXVo25zL7HMyIbazalF2iDdNXWSURj2yge2c7FjmD8uLKVhJAWqczn2Rrkz
mPOUTsJGhMo15JYc2Pb+PhesOdy5ohjlIsH4/sCeSLkLzbze+zE3Tw/T3yyMNUF27i7SRUeYu/5G
N0pS3nXDKjBDFQ9ZUYkHPzTS1ZgwVzQyJbWBYeTKQwCkj5HkSsllcognWzBmAf/o0lquKxqQRQq1
k/tOC3KmBsBvimYL/5uRQqcDpcrV5tiKaCmTXNlJabINtM6SqSXoVhQqbFkMO+PQizQ+2gN7FaV+
s3RFAyjDq2eDyodfTVHiJssfy6xet6BJYqs8DlWuPpqN0sMOrADfx8lFFQb1+OXe5OCkgGc33X1a
bnuLJFOVA/RIjEA2bBJyUfucSN2unIA+rNzSsAkk/jbvDGUxP+yx6Pm4q0AYRCzT89lH83y/7NIq
/ZlM+Ehwc8CsSeIhQEi4DbVywAnavQhCsrkzkEUI2eU23xmZYwYnxQ2fC00l0D7pznHRfreMLFsJ
bgtjZZr5B67LAuUCv05ugrJsIjU/9D3yuxup4bEFyLKaJ15BmZ2lMXmD5hKC2YnMFHtY2hHLHJpD
bYNLXjGverGw059D0K8Lq7WL/V2WZxfFde7dgBA8Emi0+YEhEfO3MA8CIulLZi33v1k3q+48sPVn
kbM98VDXEG10xUWWb/CQjgHFdUovDNH3QQ+D+JuXle6mwYfHhRiE+plqvkhU78Y0pVq3pRE+xXp2
TN1OHOf32B70yVJqLJ2Iua+b5FenMMpDgnf3hEV12aUDPnXbf8NjVy24kBDZAx8+cRlc8qJwd3hJ
i3cZqIRvQiIbWdRFD7h74FT60rzGjshWRhXl36oIGxzxijWC02tVloeOWcveq6pye69jO1o+TCAo
AfMvsSXRHLOCw9MfxmseqHIdWBlfsQpmfX+FMQeRP8ASmT/cOCHVYNVa6280e2Q8O5XSsZ/RIzGY
m9XngIDGdk61E9yWq8EsLfIdK89J41954P3KDMs83QuPoOnfRgHeI9Hjl9Akkj01s2NjtQcMA6Rr
3CRaDibhDrCg49YT3uvcXrtZXP4raFGZ5Ms4Ur1lMY7JKakbLLBhaTJiW8PEk+yAFbFYsWRHXUk9
WbFrQnuwIuWQQeXcE49XlmVGblOfwq/SkOYyxQu8a9RsAMAcl4dGCmDmVfJJ6Qmq2RTVM2aWdG3A
ehngv4t2zAgdiEXgQxgHw1A+mBpkmi51bYAmO0BT1n6upFQbZOkcryj0goWxHglP9JJgQgCW6RoW
yXOGlwGjyKeX5wDa3bQ/JqrP9L7vh808t6pL9nZBnzJYobBI5wcywd+tWuTjlngqjEJb5/it4eFE
WvHKPR0es875J0wKdeGznumQIyu9mclBV3r15Ea2swwMu10KYkIe7NhbwmW+FJ7I2IKbyGOUu7RX
/OSnOmJpmdlpDt4WdjaEluFvuGrUB3De8SEI/GsEPHwRWHX5lpGvBj7BWc4CZV1U3no2bwyimcgO
+YhRjodsZYb2az2q/2/CFBP5jpo2v3pADLVJxO+ctlmHI7ZVR3U+dbs0X7sZwAWS9OS47jpUGshD
o0X231fc17nMCrLUY00eHFYRkEmaK475CVQEcbcAbVTuiioXj4rPlg5cARcD297FYILWEnEH4OK2
n8WsIKHVb1DwegMaOOVqmrBsx/LrjdYN3mpU/Gjtxm7tLRRWSLtYVB8TyUKI+at4+iqfXqro+Axy
t9PYspB63xuprNRBAVLfE0VmFwWqnFlO0daU5CpGzz4WBtYJddzb4QDyC9mQKCoCiuriORxa9R8t
pDeTQjwIAM4QzsRlNhJ0ZMiPWqkjDSCizb/f1ca/XzHxKTcQXl8yPjwIE8nPuivTH1pTvyiY+A5m
rXCSU2EUG1OTr4Gw/J8WUVkXMWEFYVc7eho7f+0a+9Z9yG5kjreHiYAA7QhaXhBJ20KKTcwx0i6C
GlZkRTkRIk5a4zk2teKY6xo0h1S8SD/2l/Cw1KUOnOEkkSQPuCTsLQv2gvVdZYrVogUkDM6iAEzw
rmjWW9Jo+k/Yn6xE5pweOuwSWTKtKKgR4lwwVWSHfPNArWhgzLGsZ0nDscJUq1AzY7tR9Xa8BH77
PhsDxOQO0HA+5dAIwYgvs3HMrzOfWYMxvlarYKMkBVSRFNGvrxXAOd5WrZiH5apekUHDcwBidNzG
lfoe5BW6Xxb2J84Tfa2A519oKjzWUOMOyo3K5sfs9EsmlGHlVw4+VhDN3EY9HkmbaqXxWX9QBgru
jzoHAWqTNJ7f3sGoi6MVyjeZ7Esnq5csUlAgIDnaURHetiuldRNOQMXKaPWG+5JjiCUEi0IFmuer
FpDz3nmygix+shgEKE0XnbOYajEKzPSSDO3zPCGutCi7xHxn1/uUA4qBc/dRVFaDEGLTZ1qUcHxi
39hZsdJKXkQXNu25xGdPGc1Gy3u1Wye+urZyJMV4ent1B5KPKpmhITgStEpD5ahhcD9QumZMDi33
m2UM3kI4cXLP8A4uqceOlyUj9SNTonICng1HvKDZskqBC4gq2gga6LXVOcWSM619V6PGW9g51VSW
AwwQXsOh7rI3JDUz2MM9y3mmfjMtHJ5lxEdXpcE+bEOFh0sRsbXnArTDOnd/gmHjFDs9LbNrrnU5
0nCEVyVx1YcAi2+k1PWx9OPzvXZIu+xSkvW9mkH5zZigGFbdm3t8zo+i5TjEhyheDTX+5YVq8zPv
fhqNra89Nwp2+XQIaSkQJ0YJV9tmxOeUmFccaRmL1Iu9I7FefDTCP/tOyP/c4CKZDKKl12Z71Znm
CkKuMWuQEGcnzHPTdcpeGbElswEx3ZRhz3aayFaOAJuOqR33HLR1kk5WciK/iAPr3A27VaCkCYCt
wNvhWWSFWRU9oK2kL1CyeNtN49HRwQbak4eyc41fVTWiXmpi3A/UUBSPfROjNgM5bwPuGN21iXuU
bJhgPuCiFqsgOtZWHEYHsJ8snI/6M+W7v2+nMcgcQGxy0SxznBqwZbSAD1YStOxMIN6Zhq8vrTjF
3awKSQj2CJsVecCyUeItg9huSeFdHEkes1IimSAfwvBvWh4cZYoJ3R6J3HDiPGduo03LjeEWXQY6
Xo5ZCW0qERY29zlMUEoD5lQ0ugctQ9RO8kSsHSRdw9PFSaua4cpduu0ipWCT24hTow4q1j+l1i7y
WX4xCz1Wxg4lfVkXHsvTDbtbm1kVv1HuLmYtsNbJIIa1t8bcM+XCBUi1MLsaGtjtuIlvwi7+kSCS
9lqb4GJShhQ+V2+8Vg1PaZ4x7cGk2Fjc67J7dxXgtRcblRj7u6XKSRCou3OmOodMrVjUbrjprktj
HkLeQLV6P1jxX6zDfFDOkdbADXcnrl6T/ZMlLWMgjK1JOTC6DlmE2Skqcx3RFa9tr5Em8Zngl429
Z8jKJHqWdTTdTdd2CUfCMOPtbEatTds53e+kIdJ/FCPHiAUb2AtDb9lKo9nBgEjWMm+KbaPiEmO5
HbniyfZqxvpThdcJen69YAthLv6injKq+zLAM7FwOvj2rSkxxxn5xeAmnLBgWqaNSN5ThsRg8Bmu
7r3UvSitNG+T9ml9S51efSjz8SlMxPCmaNNDLq6wmky0oMCceOxcz5FGZ48XBUa0392aIlTX9Wib
azmFM4ISOwDhuZ0MRhIHU5smABMWhLpAo+LqS10Bz47Rg5WMAW4CG7NC7pDcdar6m15cC1/s5646
JKXtjU34vdPi78zJ11mlyB8e9VqewtUvvGo1TNQRVmaqeJrbRdUWJrdwPmw9w3rqPOutd8pjNfVk
vmtWe8zZe9/E6+240N3nn9aoSf7MvZbbhPW2y6heTKP2DmU8yuc+0cZ1I7DvoxLlg/wI/f4pGmHj
5tGUEQRVD2SxXM1zv56Z6Iltm491Hr83HvuO5qgCpAM46RPrvaHCWTFv9FZFmACbA0RTLx3hMBVU
/5Ulu+7nkFS7Tm31/yPsvJYbR7Ys+kWISJiEeaX3pCipJNULQioD7z2+fhbAntt9ayKmXxgEKUsS
iZPn7L32V6sC46jbFnOGUY97hmKETsnwTjbJAcKzdzHHOLpbvI+ruOmCxdgxDKnxzbxS/RaI0Ees
ES5UA98EBJN2n56jEvRCIPRBaps2dNRtkIXjMfKiaqV2Lf1ACEeoVGiJcMn9IuQGQGUbh+sU2A8+
hT42tnFTYQsVkcu+04ipDNTi1SRpel86Sr4NE/Ujscxh53nyq4QJcWEUPjxuutiBBuiRpROr8sXA
DvTS5Gr2YhTLFMXCS2TV44boD7pJFIEQIpp+P9e2lgdxU0EynbLs7hsjV85IH8q1LURx55xfgPyX
3WrMUEeGBjW2Ma0K1yaJOtyCTkI7g0K0Zf4Jvi6sntq0OSi6m53nx43RGHYU2Y2/VCLeqfm4/xHH
Y3IL0jK5QP3x2YUHn7SMyyt1CtnHVaqy2LbLYfp5dUFNFjptxIZqci2BTf/rOIOLeKidzjl4atJc
O0kxO00bKsc9NrWmsWem4hjctZX7v5pWpMxEdeN/53RYYIlj046UaMkhMUdJ6xb3PHkxVOiStDIj
j7VlWAzRWTTfTUWejQig36Q1W86nhFchq4b8xvCxCvLraPbnErPJvGzXFX0HoRMqnUxNMd9MUvIT
oLcmekXydlzQAZtbeUNG/27qicw3A7mG5kgOIRsmGqzkPEztfa8mQA1P7DWRrbtoVJMtaNDQIUQY
9oJzP1sNVtW+iKKOz01XffVu5r3MvVS3sJB1kKhBXGWpL+AzspQISEFeGBkXNZLx8a/msGPdAtHW
ZyRpN9sabsrQL4Mi1W8u697KDJpgg6AyQr5nY46aFtaBJD4tjoujOw3z+zTyN4+Vb8Y5lApeyaaS
KdtHpvkBAQ9b/iwijrCuLGYxXQCbk+yF4ACvmUQphzQNq5buAuZtcLEFG0kiGPvd49pUqt7kagka
oAx+uVBZk492N6pHCshsF9G5WKRaL2/C91AHuMg0bMv79CvwS6kYvYfTIR09Y80bwLakSXJ7yUSj
ORKUSi5EOryDHsveGBN0eyu3CH0y+Q8qFEgUkaqx6JrIvogkEGs3kPdGBbi5mFt6kBYK4nVbiKpm
H4HBdadAak6SsxTVnpxZUMeUKivkYJgRFMXZYJpky+upFuthBVSAPC3kFLmOkCukdY3ZdzgGHhiP
sO9hWtOi2g316K5D6LlKLdTvKMcHmhATi5CO98aFzYS9Lq9WeuQWlNXje6vYG2BAw8uQpPo6mdYv
X/H0bW4k2SEyy/ZcxEbNZSXe1xpZ5Jg7DbmiCow2RZrLVxUFQhaYhNToXPi1LAFB+NuuiRejSCgZ
zQXeWxLHB0799C5Qvm4ftWtk1sax1ahewsJrVnbt5ut59I9RBKvhpAPsBK0xNdfzfZsUEIwILFk8
tn9VEXxjmGA8Sy6C5TTmcjKPGsvGo6l6eb0vVT/cWIx2PxHOZoWufa/QOGYZJRBSYkTbnBgUJDox
MItgunxOUXQFGJWFVWTWNYMOe3Jst181JdN2wnUxJTf91oHQiHMIJ0HJ1vyHCh08GcieaQ2DyUYz
oQPdJFyxZtnX+aPvIxpcKJUN+aGnkaAE7AtxDeVn2yp+ZF0lXzphxveUPkJiOUy0iBlpGDude1h/
i9YO2A2HQ4BqVsSb+bChGYp36cYIeGHp8FHJRFS4cNVFvZJxp6wSFF7U+Cmr47QoKrll7yLaYot5
zR39PF+RWyG3dVZ+JcKvr5VShW/eJZ41RYZRb+rEZebQTjlEAbuWTWEQzZfk0dZFioKyaXpvGH3g
+U7a37rno/ti9djPGcJ6UL6jOjF/ysjfqu0+y9SlDCLjLStrCS6jSpZF0n7prudO+hf1OFY+wsts
HA6++gs6NdlPEcqDmuCWWRwskvRmavxfel8AkdUNYJ9lhkl87vJ57NlXpBbedBJgV16g+9tHW3hu
dTWi/bJK2d5EGm7SzJTPZQhbaO4UKsMYXtE+sqNxn2TJ6T6gfd/6do8eIxzUZ6NIaDGKut8gmsbv
C/LpCKXo96yH8NL8eWyR9uiltzK7HIM/2tMVFwpjZU6KTNmrqyoNf3pMx1/RKOTIt/2Px8SpwwO+
6mX5oQZMgDryqB837BLNQAnWZaTAxQzwrOeZZt3ne+jGL2WtDEdvoKwz1KBbVBbZkQ1+n1MZ1sNh
bHXr0RMrKFb2RfhU5t0agSX6DDSPXAM8UDlUbzslaZDaNl1+mDeq8QiWWhnMF8WBv2oOkNPQuuzm
HliQZSSWzWVqyI/3VWEfHdAnp84sJDsMpVq6SuYuPcFewveM4V+cDLP4+p86Djy4Al+6PpkYuRD9
HySGCV3eUhL12hUu+Ex4YaTPD13KItkVzILKDya6TM4xBKO+08DiTIeDJGU3jQh+RmqgLENLGpsm
ir/cyI4vM+SNXK+vwsuHfynxtT985JCuVGzLBIDRbxe68adAwnfNUNd9/EFdHsHMnOTVHuxI1A49
KbSAOvdmn0Kl9TvmOpTDuHPaO9OZfxy5SoMdQdPJkkj1a6659mkcYmNcceabFOxUzD0vFm48MPcI
9mbVfJdr5VKtR9xT/yJt0Mw/pKT8T4y7TfohDhQU0ib/2LU09MC7JmG1nXRzVcpcezSDbhnTZ3jc
mx9Tp8fKMNdeIrzIWSFPNLkJExj0ep0BQ4Y3WZzVAFzCIsj+2gDl8HRPLsPwmzp1PMgVqLF8OWRn
ZVUerfPeWYVlDd9CM9NdlXJhf/At1J6O8uNrjLiFqKTN/3mmjD8qzbH2ND6O+qRbqyamVhrCmAIs
4sRUz2U4tQVc/GuNVJgtTfC6YhraagrtofmwRXi24hRroRbp/TpBQ7WUqdBfCaj011pL2cVs+YyI
xWw2cY7Y2/EJLHDKwlkxhbNec6VG+1/QUOyHd8/s5c6VabZOBvo9yB+cFW0aC4p52K9nab2XGdam
oL+w0JT42SeZjOaQAno+zb1gO1eqAwyNHSZFAgDJlPQLkf2e7mRRlP/2uRNOj0x35kempzxQql07
/sLdsOH6WX65EnaR4ZnVc0gTnya1G23iLql/9lVE3yHAqIR8V3muVFjnOjF+zXQHU0T+5A/J3W1a
614E/Z5rQnAUkx788cf/51CU0VnqY/wcB/rIKyHjg62V47vINrLLiw9PlflGNHYbEiYaiKVd2cD/
pZMuoUK2L6kIG2QZSNWmI/YFFKoAdLW0aSi4lXxtlvl4Kb3MXniTRtQuHQrqxE1ufz+hGDDlk0DV
gKJGGmytym9uTRm6d/Dr5SUvQrFoByv/AElHqrOdAa6fYtqo0Jm0O5o4pEaAwHe6F0yPQdmbIB3P
rgIFNRe99db3YqN5UfDVBomxtJuBzuukVKXpOjC/rfxtqvn+Jah4DTrhDWc/1JyDUgGFcNjFfg52
vgibavgI+QUbuCr9zrO08NrX1LZVQJH5bhQmzkQzkVeUoYKOBwHqeeupH2PtvBLKl99VA/U7wht9
AVtA/bBc/9M1CQ/EkcFi3BWhvZXZy7RTF7n1VpSatuuFlWxmGUVGf8cjGvt9fjxIVXWVIKwRZKtd
dHJEo0h651qfSNwk4Jp7o0xg2oZy7SNcWfpcbC7aPLru+vxn3sh6N3Q6Goo6VRY+jx28Phlo4EY9
idCVfi/84cmYPgA2V8vN/B4EtUcWlW8r3+IMqAUDoBJTLcEVzGzWY2+2z3UatM8lvOWw9K3D4/yW
3lDD3Mk+GxkEX1IJKn4GxAonLxGxMOtbjUxx4WM/W3GsfidE1lkrXu7so7Zhrx1x5rdIniDqvMw3
CHcI5mmd9DgfMlSUG6fzAL8NiJIswJQXwgSe5id7nTGb8AfA2Tb9gPkeM131nk9SRnXULtAXEYFk
ptauQJc3m2BC+7JdFPvIqK0nBARvPVuX44S5fJofGu1vdZ+r0J8luiwz1s90achc5qvNuvXWtBSi
dcOZf2IycRzjHvUaZk/rRtQmvsfEv85HkrTvW1akZHNqNFb8Vju1oxJ+S8dh3QdR/d0bA5LnQS/i
3FPDU+WT8hU7Cjx+0Hd5IcufVph+JJ6lvo7M+OhwkxRSzsZeg2aR2etwVSvPfAauah6igf6+NHoS
SLVh2CgyITE9ldohrzv16ufD2ku7czPhd/zOss5Z6bXjYj4udGbMOnpfPrY2C3yScW6bM//AMwqi
RFUwDtOhQrbOxaz9l4DtTbXU2nIFHLt98hHTvKSTlIXuOpRnAMl2GbanNoKwHdVVQek++mB4FUGL
27WuMMH9FSAC490oYUZpRfU7LUnoyLv0B/MFqKfoyRZOSsvC6MopzCZjEqaW7nsp8nUgEu3LyCDa
NZbEJWd1AJcH1AzUbCpF7DlI2+5zbANaM17wyUbEJj9VtV4Vc9wUxG3jrbbhv465u4XTan2ExQvz
u+49kXmzj5iCsbHiq8hlvZJwOujlbe7TWcI4u3pd3eYiLGrAwv7Xc6GPajhQCQL7z5f//QXTlzsi
+POb03w4Db6TZldnSFDbMQ01pR0/JaH96oyyv/194xrRcGONYxpGZxw5pf0NhC5nTx12cj23kzVc
L6fBkDdvvlpJ7CiwL2n8/4MEJsCvbEJNghsuAuswQpRaZ3Jsvj26nxiUjG89y8yGWYrEaVVhwxpt
axmQPbDNxsi641iRTPPM5gcMzQWbBghnBH/U+2IID/N+huC4kh0FLvdHz2c+5hxmI9aDTXyge9wp
MSkNEHJNujU0tkxz6JSwP4mSJxUBw2wweJTK890kir8VFtjOSMvvCbIW5DICx5rfnH3MFb6JGGxL
HzImadkAEeyEbHcRGW8Gob6boq93qRGa9baNSNXxVZSCs+bQMovmoHXq00N8qPj1UjDEpZJYZT1u
e6asy8cdHpk2v7ZJKMxyVJ2XR1Ys2eUt68R9Zut0ZaCsHXCGkIzzX07uJFvaS8FeyRR7P4i8P8WD
Q1bIfHcIoTSqgUIs7tif5odKS3yGMSDi1rDWMcyPm+bAgCyJMl5KmVZ79O6T16w4o0cgciQOvKfW
17J11NbeU0dS8eOesK1sLSp76RTufqQbD/LE9J/NqeSqCADohvY+H7AsSOCHfYcvQa8Y1o/tPWvs
fvX3vawpAQ9IZkfzvcezkfKNFw3D5aQdCUEOX0kWV0+kmj0emh9PE8069wp9uErQGbK7/NZ1iQ/o
0hyY4rvVhyzrtT6UyY/5KzAKmlkUvqs+Ar+mcbprWdrhOR5bWoj8ChHfIurCiz8dzL/Bq7zvEFYs
HJC0ueeG93yTBIG+suDBTSfKQaC5+Em367erB80LoKlqS2M93duh0z8ZSm4sfK8aNkLDgi/C+Gna
9jxDJu2OePLyVQAV+pwU0lgoKnLVkAnvZlb1tPHIFq7WUalO2r3Ag10jq1R554q7CSafSJY65iLt
GrInx/JEWTo5oCP297VSHbDuctooBhI7mhsGkvNWpT5A7ROMWBYq/Ru6h+p35sQf/KbqjeD0YeUB
zLxE+YAjBhThDjq6uraHBPYz3Dq253375urqj24IrF8yfn50R4Q7Xi2hDSetoC1Es8PeJi4qTbMM
dGScjBy1GkfakKbsJ8eyWmtDQbVh1VSq6ol5XfQBfL5cSfQLl1IYxQFzrr8lAKd8BhNB7FozdWKw
qmyMZBw3tG27VdT3+JlHA5MK0chPga3bF3OAucoO9RRVze7BUrMmX+cQyZJ1CBpOiFXvGIJbTo6j
UG+jyaq2J7/iWkkzvNcyilZFnsiTT2jYFVqpufAHU346F5LRvjB1x5c0ce2vh4mbzxCvcIVsZ5nb
2KXsMTPX5sTp7aVg90ZxIFZ66/3u4vC17zrsB8Yk6rfS2DtMj81HvtZV1645Kz5pW5rwqfX5KC9o
w6TROvQNMA46P6fqc+3qiNFAOSvockqT5Cd/iBiz1X5yoGcbPnWV2IxDpr7MN3WU4bEr3acgUmn4
6xL6kGtWpwBU4lKGWbzPYBKsMkQh28c35G69bXiJV970HTk+xiN1KR+Y6VCh5GS2nzmEJfyE2+/k
S5WW2LIq4mHHxLh9HoFcHrmMI1ggMOwaqt2hkLbCL8yQ501g1tJXvgYcR3dSLpRTmdd/PW5U9uNx
4r3xteEOw6evFGtTi8NvWRP8IoHI/aWF32r0lz/RfuJkZRl+rvCibDTqkaOjcyqjuQ6XVlscKjzp
7z04E0RLhXEZ07p9rS3apxMKVoaqe9AlArn5UFg9gtmWbEfYWsxjUl5CO7/6KjsmL08L/g/u+QSI
HFE1nhMyztadqeQvaUqyS5PdS8akn1ZgHuJ+FB5XHBrZBHT9Qnp9nxQ5RSHUN8vCLVKHonxKKloT
ONADQEm4VDvRmts40ni9FEYMKLCHKnn2cjte+bZaPo+kJ+LjCqrnLBn+utdPj4XTs/PXeVKvieJI
GjK8uI662Sj3nOfNjQEBzTfTTX/65Cjk5c/Qgv1jjYjvvL5W9yX2zG3Phv1l8M3fEmrnEtWqd+wH
1YLT1kdYW83qzWfalw25wxJE45kr7XEccRQYdh/dUYCygmr6Gy2FasEINFiiEQWgLuPybvABIWgq
Tr/CDlS0faL72324sM62fjHgNpvmv31yTi3lE2o8u3oGVemiSikeNggkkm0mudj1sq22s8s67Wzy
FAba6w/VaKANn+xBTdIHUBfhiwUnVxVnyJHuI+km1Lp0IWjFwKwn+CYiYH7BxlfdP+g+guir2LWO
M90nzWPeCS9E0Gehhg+i5EfSVNusCKIrsDTa1j4U6GxUmyVky/yloWZe57FV77rCk+8lYYV9bxkv
ledb58QbkXVPj0OFaVZaXIeH+bCIX3SVFKzAVrttpeX9lW3jh6F3XPLMIDnkKXvM+bBjTrLJdERh
VRQRW9bgXp7bl53v+MshtPvNLKv0putVMN3MT1T+6K+FVa+4dlpnPODEdkw3871Ydzl/+6xYsDcU
B0q5cx7SEWf0lB1nXY4bvZpzwaVW3XcHDRrmkMh9HbvsR+RU9S/B3llvQpoLQZYvzSryn2hVo4wG
nrSrCTEhCUjm2VV0DV0P6TZnuZxVlKM0O+IHe4KVHLjNpzm4hS0M0HdX3TRSY7w63YRVDzYg0E7z
kQqh7lJSG8GeCNhRfkN/Fmx7tB0knfbOvR7JOpqFt9NXtFgBFgGEv4Mca+3Vbz9lOGYvU/YQ9n2d
cPVZUF4YKcWIUhznRtpMLY3q2tn1pvg1P6RTCyQqL5BiBKBNp9e7sXBBiFligqdIQ39k6G9V/CIT
0XAl9dgr0M5YlGBKVuncy8rUsDiS9VcuB0uMWCiVhHqrTq+5+G5atbNSTS3bl6g33vMxWtsIfPeE
iFa7wOpX5eSZyYaiOw5+USznw9RFJVCNqokUpQGWM6nsW/yvDGWwb07q+1l4b4ahue/T/nvW+PYC
14rEpe1KcmvGjTVPW1u7R2DL33NA6kb8N7rypyZCmhYaaHfzwS+XIjcJTfMlBJscrpAKwGaeNzbV
WJ7pEH3zG5Q+iimQJVhEVTaB9WgO+QESBr3iKjVhA3KiAfGZhmuc5vobncF70OfJk+Ym6nNZNdsc
t9dq7NCUVqlbIpyP3C81/Q0P3fuRzKBj6UJkHC2DyLSw3CV5SetmIo4lYTxsmyDrwiWF8HhLWHLX
VoKob24yQP2cMMRNd5oP+7jZZ6ZegzMNDnlgO6ty0umoxiA2pK3T45sEuYYdBGdiFj7zRExz+bBF
X28rqONlf0JoEEC4dfwtAx/U1yRwLVNGhftBMrlomKAsERyGd0BkzZaIteiQWV1xqaQeLukiHiXi
6UuMcftA7w+Dp9EGr4wGj5WiXxFbk4A0TbWY46G4NjdBCIK8cnpvo8uaxjAu4Q2xfR6TLLonbD2z
Lelf6tIx0+Z7bzOv7zsMnlmG00dD8iMb0ihQb8pTpoJ7K6AA+eVYv2PrYuCVnNQRSNWWPD/SPCRt
JFVxPp3BpGcyf0KKpg7XSlGMJ+yrX53CeEdJ/G2D1uXVY5BpTtsqOYTqJY7cVT9LnJSQuZAXNt/n
1XReYBU05UtXHYZdonfVPa+MXQ24eONg0NvoQzG+ubZ5SCn8CMfVII71aUm56mnpR1M+l1PJQJC4
vmlKiz1jUKwCGYuDdL0iWflT2k/r+j+AUqPfsmPUGgh9nKMp1gkq8xOGo+nCZCextc3g2a7nw9hS
aCU4Wb0Zm1hsIiQNs+xxvsmLeoSgVoZrI5ft9nEe27aVkmg35oiwITvO/9j8L+LwvPpmJja96o8L
32iytzyWNzIUoydWC/91SAi7mx7GiojaHOHkYBGkOq+zThyH59GWHNZWeFMS5royHdhxht5OZq6K
TtT0q3V8yAT7lQiBJlIBI7m5UfFT4ll/8yt+plUiTM0Ykegk25965cfjKMBwNT/ZAmH7t/HABB34
x4SG/ckEnzFhllua1LDa8vw/LKF14CFCoddxH68KTzfYxC2SjMDyrcrWATugAeLsiGC/P+Q9em9p
qzqNzWOUaPrOYODAUCsut6nIVgoA/R3XdfmNvcZu7peGpYJdV9PwTphRdWiIopyFExW+f8yMydbq
ScbSXZ+p5+SBrEWfbMN2xBE0HQ4tS25HHu16tjzURWRu9A6POiyF/qx0GmbnCYUwC6tqrzLuBJuh
WSrEp1CJnWA2dYkbdTg0VeTACxntt4f6TQ/voAqU4yyNUZSgOWJs3vmBoJOhPulQKsFwqQf4cOLg
KD6JDmr8vfDb7fyGI4n/TGNySaF23xITPU2PE4PghFquXKvsETWinLDSMDyLqkV+Qvgja0SJUQWh
DZyDcRvjBDlUhn5geBd+BBgJ0Er7w1l6SFfAxq3DXjKRma4oRWlXi1IhzZKzaReqk98MSHa2lvHO
764M6ssl+0vIEH5xJj0vuIBjCDZOQi6MkemwwCczJ4KuH3U2APTJsEtVQ7ZOTQ3fYMjM39M+YOTV
b0nppVOubXIwpw4h6j+2Nc3zUCrqwaoxQfdZ/jpg2H0qhGYsrWaCVDnqwSkZQLYRMi4vq5vVIKJV
h7/TW/zLx9X+89PK+EcVVJpSNSfI2B8IDZqJJC3CTryXjfT2PR0gcoukDjjYau45jsZnGr3LKRX3
Ves6eiZKscxU+FVz/0s0/Xr20datFV16qdzmI64I+b+wbdU/pIIO5DaQrfAzoH1Q1fwJD2MfgIYi
5EP26AHpqc+6zETzeZbrPK6GaL1RZE6lqSrTldrG4u1fXq4/R3/8FVKVKG4B//KqOX+M/ohHwbtC
fgdxdtO11fOL92Y0kx+OkS1nBKP6Bm5Mxy+sZIQuzq4rYYT3///P0OBc/vG+GUS8sl+A8UuoCn/P
H++b4Qy6M5om+W12FNydvn19yJHsQHH3iPjY+dqV++67eWqsRo/VBUHAHpW1+I60g242s5D5lYtS
xosiH/KL0MgUSBjpv+uojad4SRpoxBrjWs/f1C59I7g+vAkTzkWTa0dIX8SEJRk7QhFedGnGz2Mw
DltO8Gqfd0lzg5vKaRRYjFPUaNj4jlceEBmSozU0UDYEhJJAU/X1mDRio/uDR4NualszBoycLgCd
5gG0guhCaI/nLnL0yfv53oi2e9+a5X0cuvDEADKDrhkEh6ahvPRb86eX+xq5OO730SdHUretbpNg
ZFqNY0OUsyvoz2nmnRA19Zbm1a+IhOwPHbALm+txymX0TvXkJ8hzm1epcF90C2zZYvS/0qRZkcmL
hEB3VXfZ91mItyxmFD2MJyJ6rRsC7H7fz3bVllbvxkvkJ4gI43fxLTHV/PbQtfJ30z4OXDDioxFr
F0v4pwTxQK143o8QhsWCShHqKHLlj4cbJC5HZcUOmV4LlSMmkOw2HZXeboxgf5f0leKV6ssAVP7E
vK0946o4X/Twq8cKPqWI+nqCB4vWHObZac2LeJOXD5kYQky28Jqngu23k6uE2r1sbKIKVV2p7ikT
KcRQjIKCknBt6Qr3YNeB5i2YN7WHYpJ/YnUtICfT9CxRGp0yMaUS5hqp4TCtXjKtf3EKPdpMcWI6
3lh90bCbjbnAfdR+bDR82bQpj3x39bighOyvtsjaiu083qQFGvNBFLAzLDtotr1fl49ntKVtKPI5
jMun+ZnG4eo51oX+ZGENMKM2OtUl2W99FxwcoDunGOsAuyLlS77Pel47FJ+1Ev8Uoun2c8M7D8dm
O8CjGNwKjeYYdGBBzUUn82FV+UF7t1vCIeZ782MMSG0q75RUsslcnPWE07mVcnU69Ezb+W2s8pWd
8JdMM3DdMdVN6aDn1vJ6Q1778D1USQm00LRaNnmyKE31Vd9gR5vNEk7yhv0JmrmiCyK46ciNFa1Y
OmzP2MNXZizdc1f1J4VP7X2ewhlNoGGlLZMN4SCnv9aGKr/24PdWNtfLXTiVf4XhXR6vvh31ayJ5
JtRRWR6CiXeUaG237tw+XEFyq9dgXK1F4GT+znRHINWV1hxEYPKbtdRaaSK4xF1eH0jM8s+hxILw
qG884aQL6v9J9UeLfmfY3SVrxhfXhwgWoHKOgyrce7X10hNosIgKMqLFpM+Z3wiAyRiz1NBd1Kh3
UJOPr0Ggko4yenAjw8uoQbObxNue1xGDpIKhlYyHT1YR7k2rLw+2yN51EAjU4Ulh4v0PHfBNor/Z
fe5eB2VjpT6wmTHMll32WYx982UzcI0XAhMVsaLUUqZphXKpFmjuAv6A8yARsPgjDRkHROrycX5a
SjTsCze1nvDuyI0eWfZyPlSYRj5JzBP4ifD0oym4DqmtnClN/nnjxvCNRFYM6+R3N3YmWVkwfOeb
GdNs24W+Eo5slmMY4ybu17PJKZicToFFyF3bEv80v2aunagnJkWURH3/Nj+kCBcxr8Xn02LueXar
+K8bghzrw4NnbEvsOv8t/6BKQV/a6ITHzwhYy8/eatTNCLHC3zF018vfN6RVBytGKuZSL+ztYwym
M204G8L569DVQjzP0jE3xJuZS2X63FexuI2E0e+tKZql95B69L7DroGMkqdc6aJlKTTlVVFa7IJp
45+0WM12TPqJSW7C2yi0hp+BKcjIG+M5Dft2bdBLmdSWyPJkAW94OiPDWIX5KRxiiS39SJp7fVVi
3Xgij2BbBn509qT2UmJAos7Kl0IAtZyvCuTz6kul4XsCix5/0LBVNuopzbFetTqh8OxngyND1pJt
lbWs0FccEsOqXnvfRUGQLGuNZI80xfb9ELvhannqbFr04YScHkNMLSFzr4emrCCI9cYAXdnFFktv
aXbeTQmDJbWsivOr0zcV0atG2yjnTtTROvKb8TWK6eR25A0Ajmqe/uY/D6q20FWrOXYRr8LQWdVi
jBejG9ffBt26qmpTL8sZSN4oxUXzyuFdC/A6ad0mdkLL2CmiKxYPZ6xltcQ/oGbfpF6dTeQ8zhmR
8ZdRq61S+hdETrsjDfFzDtl0U9Zq82JhuloYgwFgH6mF0Q67OQDPnIYOLfTqYzZ2ChOKiSw6E5Sm
83ItXF57ZHA6ig0UgHr8WpVWdAiNqr4KFTljwnr/qL9dBpF9+DkbRGBSDmQ8sYWOWfhNybCzHUW3
Z1Meblyu9rlT2U8Gl6Zb09UfRCk2V9/CcxNqKPfwS/g3r4u4Z1Dou279y4lisppwJ0XHdsTcOn+e
wmjqSsgnoyrkhp25PMKWLYkk77TlXE6Vhhpu5h1T2Wo/E6fLN+R7Z2un8GHSTIS6psMfGQzh1iq7
dj07MQTfzmouMEu60bGgF/sQp/ppSchhwYxHzWMyRTyiJB4nIjuDYD2zi/FB2z4ExkViNddYFuKU
BDqaodA9PUbP0JD9paUoxcovCOGOEIDvbKXwXlOzwrgIY0M01Q/FuPSzg8zTMuPcEoV0CTv9uznm
/c5P+l82co19FYcHZgrVuRHdZX53Bps3ddaPaiZvmygdF0ELeJVQGAmIEAWN6zTBGUSv7VpGUxvE
1AhqNe01EbgR59esFT9txBtgkACtWUe3G5/nxAVKcdQVk/sHjuINndPGayz/KxBybY1F8q6k7u9C
Z0NChnC/RUGRfe9+e272JESkvPkRI/JaE9+Q8ucgky1cUVMbC2idBSMv3pCfrCzGvv+VtaZ6TbMg
YS4fnx+TfZg7mEVcBzsRBhZrbHczJFYGCLnDjubLkJ+Tsf7ZxknChZoknmrS4NCeEuUks8y6dBuO
OsoIwrzObBbSE2CEeE2GarJF6IYVWnomKcr6uFVDjxmDEm+ccLjiG7LfoaAkq5DX/pCHsP3kgLBp
5kpksulWAcafRQ3neTm7ATz9d8bU/zIOBFCmKPuxHdLNd/ImpiTRjI1eQ1TQyF/APwUMJ7aDLa/q
uIEcIhZYg9030GDoB8Efr11FKuRdNNZiCJ38lMcXY4r3dm2Sm7OmuLlh/j33CBie+rXsPYYT6LSH
P7MxKZ7DrHa2lVsc8zHv9iQBqafWWeswf7Y1ieJjnBz7qrQPsWvrl07IaAvuKd/i5ll1EbkUM3QA
p3q8nNsTbQU6JyGUcu5OJHHjLD1ItfjoMPSL3M5PuPP1rWd2B7uzsvMQEaxaIIN5jhPxDTxL9ogT
BXSXneWgMVYrVySlTXZNowJB2tZsWetvbeI/M2JJ9vmMKQBMQ/YDXuU9Xudq8M+z7iTts/cO8Hvk
Fe3+Qa52zXTF/KXcFo2+8Sedd2Io28JkCOT6/q3LKvv0OD96cpsX9Axx6gbtSUECfrFcR12XtYEW
eshYa7TWjg81nXrQweb/MHZeS25cW7b9FYXe83R6c6N1IhreFYDyJF8yqshSer/Tfv0dO8HTEhkK
qR8EAWVYQJpt1ppzzHqtAUDcTHk9bmoT98nYTAZVbWLHujGIV60SU9ILldBZuGWUUuaOXpxUMbC8
QsnL4Two9bT5gxCWubQNld4U31fXFpFlQdsYK/SE6XaWGPae6u1igiKWJEPW66l0SCFxrIGaYYuF
RBZgu5iJy62KleiT9rGNDXRXTdC8A/hTU60qUCLm4ccQqEstem5Lh9Quvy6+9ZUX75pW+VJYdvsk
yujZQQLzbus2C7/iG5sX+zArd6gsEaOi+bzEfTbLsaOAfjCjrNyu+JVK3Q6uiYu6hTkzG3e6PqAI
iRXnrHkGqn1MTsssFdbbCJcD2Vf4Uk5KD7Wj0Df0Y0nhcJ7qDPBNS/zbBzqsrnI/6trPF25d65dp
Sg79kHf7kBLfCjHG+EnIZpVRSTxM1V0036+hME6bPLWih3kkk69aVgcPI/uegwgH5HCdoR3nhwJ7
Mb/d+murUuy9xDMGbRv3Cy+Iz31kBUcAXVjFPKARLgooiMXOadKd+HUE4USHq5v2QhAv5wjxUOrv
6RgVT43ycjsigc0Z0BFmnMtWhXuMoFfXS3UXACubAYqtxpBERHp57SRe0TOpsLZWEW3Y1QcnMkFZ
EQUG2gHYJrA6pT5CFYSdm1C2ECY3VvI0a8y63vikakN+JHwXhE7VM+m52INnJBMYM1xXQMwfrP4x
V7rhnh6a9hC2Vrgjr/5ZF8qXebljYU9YOHXqXvWI0nJnfrOrXjmh8COVPsvH5YyGyEhlPVrBsCTN
2e5XRj6x1iuGb7oJNHioM3ULr1NbJyaZ5YJjd1N1SDP2rCOyw1xsUAWlS46A4PYbOx2rbOsfTe6r
k6NHOS7XwVrFZCmcsjxgkgFGkk8df8xx7Gyv+BMwlfSoU+p5mPEUXtLCrsP8vjQH0JudnUUnOBfW
EvAEVx5qu2NbmbLsamBGasW0VdLIPHu6Bacaus6WBv8nb/atZXH2MEeKcDBAYxmM8zrxN0heFnYZ
6/tayuDDLOKsF+JeM5N+J2B8L4PMfDUs+sFJF4uLzFCkk2osBnDd10ZjFxSMLJ2FprxoXv0RBiDY
A2k2UgXy83pKFl2QhMuqC5VvhsRFJSNLwMpzF/Q/gbZ453mX+t1yirJrQ424vWsg4SlYGvCpp+F5
jjZrEHjKyGNtRb8upnAD6/y2g1CzsDtaHEzkJRQu5n+wHxT7rk3jdqNPqXdif4CGeBjA61nxDunN
yWmt5MWH4rIj009dlKL+VsdqYWJ1GzbmZDCX6gNR9Sx4btvYSmm2nZxsddUmV4SN8bnyxo8Ruu5C
dO3BIVXiy2255vqasUf2iTOsAUkeTpciAcsdKhpXBKIvrPGcFjcsAzwRsmoSN1i9VOqYJeqAR1Iw
fJrFk8dolimLhs3gi1Ld5YAo4DUgMTLDZp/3efhJS4HGlAN5yW6GMl9BF+2O/nIsh/DZQ+pwcWrl
qxMiuYuYVRaGZYlpVZLYdACD8rtt1MWlRv1EhpNGEfhis9J+ztIw2imO+t5mXfcEBGVlJalxT2wB
r5y+XWCa/871uk0xpVG8qtzc69nRodV9sAzV6jhEKqxbprs9XYVoi+CsXprKpO9HqPHLtGvNXYiG
aBU5UH7MQXeZhFt4GYqBYBXMmBp1zlL3G1a+TJcLB3zYbStToNm5ssIgFnBw+Q5WfXZvIwvkBccS
2NVQKptaSZytT9HnYEulmxV5ApaKXu5dr62PROWli7BrkctQWz+LDskyyaJ0TYPytSk7e9NMWYUB
PrGO81VrJCiS/BYQxPzH2iSLqE5oBZKv8aUw+me3K5kpnIStThYG2Z7Uz0Wcxcs8yqxPYGPRCrfF
F0jhm64ZPjort0/eqHRPddNRHzSyAdmBLdZqGiTr2YTRDRJLWufBqimHTaX11tHEZ47HQqLX51Wh
GUzxvZ9nxS7tpnKb6pP1+r/L1XQC6x87g76BmVof5hnDROGzcJM820UipRJmOtZDGihgLACVUAc0
9710rKuxu3cGwnlWlBQyUtxHmZAth8Su004RtbzbLDCg3sKXHDan0Ay4zuXDUCF0oCSA5D0q1PtS
9S+3Qg/CzQ9iBLw3H6IMh4+MpLKkHxg4qz5FjBJ4YbKsHAt1ie9jR3MJR2kMnR6Lly2/74L6Pv7s
kqNBeYzGFPNoEHvfzIQpsFARTlVxsQpKEZx11djMBzFGvnix6ff6zTnz9U0bTuJizp3KKBu3TTK+
guqqzrmuKg8ppODANftTDrhnVbkVYGS9Mx7JeDLWlRbUdwMhI0u3w0zOeOLzkgIUhzigLNeuA4e2
deaAetP6JtvEdddieF2Gda+9Y+GtQPnF9mnOQrdKp1zhwSPbx5/09XzVEak+LgfFfy9IbjuDbHko
k7r6bDsqWmZbA3Tei2ZBqYtrPfUGsCiJf7ATEW4jlhILAluLu9Qh3WZ+NuXpGql0t63N/JT44/cv
t30QDhRA0wVOHO1AprCFjp6HWhf2wR8/0x+08Qdb1u0hHWx7BzoaKkfT1NWm9XAuLDL0nacgAELc
O7TgaXiPjgUWz5LhuZQ+lCVsCx+ACzG6bc/P0immrFgqw10JzgM8Sxmpp1kfotT2FwfiGhoC2Smd
+8WhiW6yYQFVttNpKCsy7mU2W2kLhUIIScPzS68b1nTeQrLJqREr0+SLvSi8zxh1k4RwBmG0PJg9
+eluGJ/mrznxSFRtmD1mJbiUhMJ7TRDFKSUJ6GJ2lEPAJGdffcpVCpCjL5oNbl56XIFkqNtZCcCe
1WXp6qrbzuz0Z+YJd4WQ7qoa3riccTHzDkVzBTb7QrmGFuuBm3SHM3mluZI9WT2b6rGB9HN7STHl
ArngKHCkHcwU8iX9kpCCv2hQlQinup+iZ5HE08Mg787G7vql1oa0752+3gmlEZA8xR4XqvbMYP6a
J/bv9DBoBibR16gCBimfBDR1o/IwpsPGE3IhOHXFsIPN8+rO/dmYyBk7uqZy3xuPb1o4Dqfv6qDH
cCBBEK9MyGUmvDsvZxgzkixgmnDqz6l6mUuh85dxd0A9j/qXyHJI/sgRI4JEpH8Zt9H4KR/xRytg
63YCLchGB5S4SUdoipIVXGxwY3c0KnuSGZX4ngljus+q5qkvUhckRGRulSaId7XZYU+Te46p4+ga
QnWOIGpwNPh9u0Q+jN+jIwiXOA2TbD99dGnUN2A8CFDYZmMUrwrpQVUbN7kXKLyZ6vNqPOG3V09s
JhjhJB8u0di+30bBCGj3UknD2qJopAQQz3ufO9HwdyPgbCqdxSOFvfieuGQNvSU0HcqE/cozxwMQ
8eJUJXV5zr1yNeBXuM4PurScFpG4hLnhHOcv2Z3zSPpKtTHRIjqr+sFSQUU08fBejEH5JKYvfTEz
11tzmyt5tRmTFm6KQbLVjLIKjWZ3k96I3LvOgohY9cJjpPu/G9aIJ3rM1IspRhTbbvRcWDWsI/ms
MVUCA0Hnnc0OHPKKMugyUJgg1SJzPiuIAqDNmfZnaGb37CKXY5IGC5MW3XGWkwvu853FBnpJGXP8
1IRGvyj7OD5nQU+1J0aOFxqc+lRN9hkmUjauDm3rhIIYkSabQhcm4IWpZ0U26Guk+tZeS2oybU3j
SB+RIDWWcWuYzzW5aKn3NNq5WIDrNr8asb70eq3+dJOETDoinCyv3+Zeh6h7sbHjrNl6moMEu0/s
k0XVzi1hLOFjj55tY1rOgrFw5JSZbXfKHAWQrNzWdKJJF+i7BnbYbHBAJsUrpen7DeZ7fRcCgVrN
A8D80g+ydDXLCVoS9HbQ5WgR69Xmxh4sbaVfdcSeMc7XJwsP5yPya39Bhbd+aERabpF4VocxcoMd
kgeMy7HC+Q9yUyxQ8lVb1dFQTc2N31BFAoUPFNdjaQMAMYtiqeuVui11oArpSKNnyPvywCqZlbNO
koqBEnod+UD+nRCVVmhq1qlB9I3Az1MWLnfInVK11WKW9bh1frIVz3tyKsM4dJZPhrcDQUh4V0B3
xS7XJg18q9Pem3lO5cbaYS7DHDo1BWT53usopsjXIThDZHJnY8YDGcBktx5Lx4UK8+yYdu4mcwPv
Ag7AuxgtW6oYgt9y/tr80FK/P7JvvIJOWaiWMT7OxzrploZ+n0YIBwjNTBe3Z0WQ8UbUzzWA55s6
MUkiKnWC0Iw/9IsIvavFQMN7L3UgASGOYtVHdrumX1ktDXnK4UfBQNdJcA+6AIp65LpLIXvQalCU
a69kXEtiFzVRpRcLUdWf9IlIMJqT5jXMNeNqDamzKEjx2nbsm3zWaQmedZ+mdxcliBwrBYZUSPpn
7dnBYnn7n/xCF3TJF1rb5LwFgP9ZZz/7onaWKKFoRI6kWJlW8JiATOPMYW2jNZndAhNDO8D4xhK4
VQS8s3HAL6HGwaUMfGIRO6U8pI11oETTP3qJWV8ynQTZueKeIV5di9BJdx0yOpjfzUMyVtwhSfpm
NK1A25Ma+cEMNeNQIfSl1r3rYz99CoRjnmsksuSjtd4+jrGKRRlMNiId1V0tVS7yZ1Nj+P6zuYPR
cv565T87Hov0mSeAUJZFSBRY16SnndHoOkX9Crj0/I2IMvk6k9EZyRQ0l7qqm0tHgsqqBeS+UsK2
Po/5546Z+hG18rC2S5/8F/nSUHPn4nTFNphX96FJcZIdfnJoLaeFFYBMwZVrmNu3m6jbREJE19ic
lPumLjbZpHKFtqQuBMO0D3Iu0Uia3aiJT0ta3nSDfLxAbkJ7dxm4+kKJamzUUiNbt058MsT4bCRD
se2xcm9Qj8LlSoby4Y9nzZhMKxLxaNCmwA/nSxvGA1qtSYjbssJBVrCe4626Et7uEFjjbir67i5K
p2pxY3kwQe+UJjRXo9x7By3sP8/smh3aZIWLC/60qLL97SorUC1Zld19JKJ+Z9kTfdJFrUOZJEwl
dCpvIfL+dy9IzGOpBA6jbt5tCgchbw75Faxvbr6VPfl4NAiE05sJOSS9u0l9UO9JE3ylJzm9oX5D
ZASi6lqlWnI3tiRttNGkf1IgaJRNzM4OKsl2zvVqiRK9zM8ydwtkqLj4sUVzEQPpK0ERy8Gc/Ot8
OkmcjjB3USiaX1JrCC4+5Xlmem+JtztsNq3LCJDGEXAjzTH2kZHdl1aKrSMf8MFZvV0s5+tnvpK4
b5vL/I3G8guIp1xdIk7xZMzq4ECP+33GeJvubgJcqMXebg7Vnim+Vt++DEopbkxfzx3ug6Eq10FQ
9PvCt71D0Zs8q5CSF1ReF01WhtT6u/7L/Kwvwu/PNPm12C23JC1nw707YccPbBKrgqEtFuYcYO9B
MdvMUyymG0KiTRVvUn2cFKh0qDTWc/3J7AwFUTlC1ECyHzR1/LCTnjrHqGfXMkueapHU515DNyzG
Fgev5I/NY3/XVXemhhRlqjN91UHU21QWS6lQg9d4BO5HorZsK9aRna5mfU4TufHS8oov4NhNFPvD
YzxvR8wyMvcz2X3mvE+W8220y9cbGID1aSbleyjMtd4Z1zePgB9SHaml359yDy36+en8kGAult3L
zTgBqvRUET2hSc0W9A3tb5EK6l7Rr81oF4+OhMuk00BmgupDVp+sT40V119uRy+M8055vJ1Wte2m
R1Z/5y5I48/WZMarAV7kZbQn77uedK4cDa1uEUVPRU8pSQbpLKLLZgnq0PkdOkn7Pc1bBAqRGkGw
lJCHvujDB9p5ypailnpbBMwvE2jQlDYGYyWYclkoQrTW1cC+ScvJMl2OHN2XWtcLGGmVvfCDYLoX
IcW2GKWkmmaYwJ02v8NJAfWE6Mh3qxoljCn7QpvEXOsDiwbF1vMHb6vXFhdN3LQfob6t9GqgtE0X
Nugc/aEJSckzO1D0HquJS2fY0cop+vSB8uC5oIu4CCa1vB+UqT8WGSUbRchml3+xdCU5dZmaLDOt
Dq6jmu/h3VNZF5ZyNMBoXbCfjRsYVuWWNe+cZaMRtb1wbbt6Hi1GZKvDeeAo3PuDg3fMJhXrqsOd
WglUT69I7kLqWUPzTYAT7W05LcIG2rBtfERkOz6l9FDZPGnOPff9tNUj0wd+StejCUZj1Wk2aw63
eZhlv0ksPBI5IQG1bWkc2zh/SGcILWs17RRgAVk4blutozrGQFQZX0f7Cy1uP1rkDU80sTQzd7y6
vlcsDB0RokHCF7Aayb9ISrdeDQbB6fSLfTaHg5kv7GQqkKOPo4owsSXhMzcRvYKkr0h1OHV0Wu9v
vx3alJ6N9L7v8Nzl+Rh800dkBvF08f04YR9BLjfwOOsjx/yxsewGElblOkc7K4DcSgKyhYl+kvG6
iavpR7hx1m5+piqNzXjfUfkzq5VvWWW2ggFLs9TyV1M4OdubPtEVWMsDTYe/N42YnEmOTtXGuoja
4nYi93sXQ7gwFsXoRqfJ6QFmyTaRNR6KKYoPHVKjfZPZZ1OiPCrB2ibvTC6crAjEzgvTE9Kw9gEP
SPPQDeMpk7xK3yK2PihL66WgiR2XAYYQfV34gfZ74gMOfRFjOa1mB0VR98nCYicKZzMcX9zpqjRq
txLQ4raxJK21hXJv+GhXZuSa0TpPBfC9LF00JeOBK2lm7szXSYYpPrR6sv1jwHdNkWxKwgNvY/38
jXkScIZIatCM/VjVztqW7FRJ3Nxr+TF1DTY/obmYv4rczLqi59vOr2zqhEvfruwtTBBrVbqaspp1
PSJTEPewFj9GwrlQXLf2fug9BySxHA1JWJqf/fEwf80ZfY0dvpxSPTEmtGitaNgENpEhbR73J1vv
Ic/PTzvV6r6/HrvxwxUtcS8llRPb7S5tYGFSJeR7Nc+q88Nsspw6ArZV3lSX5nidnPH32bKFa5BE
lNnKEVelvaPf0iCfI0Gm0CiAkTJVQ6Stw8fRC9R94ycU/JMRcmLhpM3nEgmVokKH1HNqD/Ouz5nK
t5RonQ1VkmCZW019n5Shd+QWfGj0KTvTdeBOMgtyd+bvNqxdtwFCheWNAhZmYboR4lSZGCWEO06f
WiKmIRF5l9rCGDNfkpMj+551qa7qyTLO80MYYr+2etMnIDMe77OARNuiL65DkB/mobwfNMqZafDS
iP3YNs0b/AbExM3YXSEM1vspNbUFw/rX2xtJ4vq5MNvhOL/N2BX6tq2hxoDVqwAgkIGqgJY9GYo1
Lia9VJ7hAHuHHIflMh+/UAtS3vvIx401IcD03QnRiOJeCFuAlUvfdzsaYfTo6U1Pd46eZdbsSkPE
33IKigsFLfL9YAZs5MnY2Tm6k98nnDgSgsvpq5Y+zr8CfqOhyKx1j9kg48ws5blWp+LQGA4wEt+a
VppR0FzXxaPGIfqIGn3tdL72BiawWqpWlN2rlR7vqGaCdCvi4ZKXjJuF3g+fPZrvWtpvXfq2C9fQ
h3uI9dbWr3pjj14gOptNNwBzZlRKCEcmblU/9X2gbBANlpuoq7tX23YBMWdDTnZBg9Kh7c1zVQdL
S0YXV2inIIG0n9tYVZf2pw41IkUSERwD+TA/q2F/8dNOt2+C4Gw0evXFK4schmOKV03GIMzd+lsK
CJ6enYPLn5qDHu0ywsPGRdvbjwUBABcToailpfGT/Aq4gae69EPgQsgUAgUYq5PX7roC7cSylvzb
rLC2aOqNu4mS8iqQyHk2gESMy4+L4u/bkCQvVkZyxO3asKez3djKLqJSyV7dm5am7HC5huJcCKdj
StdYPPo1iMC5J1Wlsbhp2nHxamtVeCerTgEZzC+NaVoP0bS2KEEtvQaiGFGwtr7M5K6+RCR0Gq2W
uS/y0eVwQFdqVBJbUroxxGt0UQMTwTr3cxBPXpRshzoV0MyhQaPwCT9VZA/fF+NY7UO7Idupza9z
xQKaE/kwfXqdy5uuX5NCpWR3vp0hkaDNeXBjbK0oaD5mTHMfNQgGhFJt5zpnkKA/qPDW9Qx+ajMu
e8zau2ZW5qRZEV3wGppyFezs2i656TLmCbnUzHppYX/9HLclYZNUNIK8eYs8s6FPjSAjJHp3WUbU
koSkh0poh9kFDgo+Gtbzy4Z9JWL55NHUp2+xhoZzbmG6fcRAMr8De3RfIlVlKhv0V116CbRhmCAN
oaPO/U5sFAi1JGh5YpODMnE9uzwQ5eCfp+SMWMQ7Fzg2F5oVaTuzKZt7qnfJwi8KoKtysPcyLP8a
kvFllEzxelIdfa8V3K0xzeeX0O5foSmeGgCVL5P8ciq/HJjBoXQ65V5MsXbkLO/LAtyE2YF5xEy3
oH6iESVhxyfCeVqAblyrepWlexuF1KnPnGpP1hBIs9m5rcRruBnfbHkgqwERXMdQFnXNe5PU1AbN
iO4Y9+Ny1nOiZWh2ueW/zhoSYywE0kyNSpDD0jxrUJTH6NLspMzXehnSg4mPM8enDvtrrojyOa87
UiK1mgx6X+HK1lv3QmyMuySUAZgSHdgTlSBUNbGdkfWB+RyWjfNArR0J6NYZW/3VSYUD93DKTkDA
3DPyMzT1aMjQVkRiahGoHGmBigeK+gPSx5IPkpibmSIYuUNBQRm3UACZfhVHpY4VMm0P/RS6oLFx
fj5916CH41odQT7pxKjc9wMV9Rm4pPrRY15b+7ipo3co+ju/86tXUeVvURNlJ0fa52I0HVheLLI4
8BjiZvO+sbAadv5onMkVCY8za8Ktk1U34aV17eShb5qrg6HzsaJwd++l5qKlqYQLvIMmVpcV0s9W
2zmVhVBejiQmXaSdRrbeqnmLE+SmTW/1d6oqvfstAKLagZKH2vgU2wrZI6PMT7hd0JlpW7L4CJ9B
a+KdZyN1x9LzjsC3ugQizV5LNi3k7/WKTclqxrw6noozVXuuv5qx/ylOE1j3YdSchOf3xNwEuJcJ
lvTyRoGINH6qlHZaR11MPgb1OcRAFGbHFB5zlGr36C3dtUS7sKjDODq0O32mlFtk6i0tWf0Vw+tQ
99A/Z09uNej0VKRUuKOyugIcjLZF3jp12T+xSoTQTo1nb+hRUy1Gmt63jwnNmLZchbTVi2ssBfPN
XNau/8KEcNLCoXrtA3PYEGcaf8dIwp30djNqzmz7w+gbHRBUn4y5mZIJjCP/FEBOWGYdAsowGj9m
yYYhlZ6x3kwL9W0w0RUDeMCKOR98IZ0YSqJcjNLKD4GbQVAIhwGLRkK5vMyMetNZmbEEqOtuBZHl
R1nfIN8DhE8Bj+gEfPjIrkq74JlHYkG3LjJh8FQOkJr5fnTtoN6R0rDR++44i7jKTrlQclHXmg6t
z2zIyM3snPaqbGglSmKtCFxqWKJWOZJj592vhH8ObWpMqroPdBF+VkeSyjEdguvJayAVbOIIqCI/
o8HFuyrVXNb3CQWd0//QGZKn3lPxUaRCtMkJ+ZuK+LkWKVl3dYRXXlNQ7WYI2OvKB4bn65CdQotB
cdSK19tJ7mQ66XwR+UnTXuaxyKCdv5o1ptlgXdxIY0792rUsCMumN6r3YGrrVRYUtsRuZ9R7QFpP
efOiStOHE8OPCJy8gL0MHY4GKOgu9uzb1K1Diqtg4zxgGBQA/N488l6BgmDpuOH1A+3RV8tyr0+C
jUtrvkRZ9QwimiibFO30PPRphdUtPcPDJeRT9B+mF6PSEzoiw++ORwdHto1GCNsowvtm5cb036Oe
ciVQQbrPDnIFQ4oUHLX+GFzn2zzteKB6uFLdAOlc7NkHcyjd49ghQmhpHy38WlVPFGAe5084kbrB
jctIoyZaczXT6VpJM4Ea2zC0pcHkNoU6aLQXnRxMyDHWlp3UvavRiQWFfXQ4jhvCyMZHH9UzPmKz
/ppi5RlVomR1IcDEIX+y/S7HBAkHNxRocdBkPDbDpL+YcbgLqrp+pSv+yUQRwBVau/SPhuwawt1H
f+yetAacLsEhJjoLTGeU0D8HgVegMymUNZoxbnM3rDfE54SPFQi/buoigo+K5EgAyZqEVJSioa3f
7EQd4R/7eeFmchg3nZEEO1kJXpha022D1HC3+FQxxEdv/Hvr2U6nGDhxb7fwjAytjazdmqHPt4fk
ioenQ1ikqxRnx8/OFgCC/njbImbhYo4sm5ddLJ2CRS2yQlspMHcO8/lFGIPM9C4QE6DnXHBztgCK
SE0gcAGmKaVBV+kefFe/ROroENLI1w0SZOfzNz+I9nPZuyRKOZG7YjzOr3aFZDCD8LKQVeqpEsOz
65XaXeZaGmmM9D9HY1eYBC/Y9aHt+tcRnOzVSpzf5zRfw4HTwSgqtmqKoZq1VXiHKx3WT3M7hDEQ
afoE/YOFe+zJAUUQlWuRRMNDhOLzIbKQwKK/VP3wYyw1sYjCMj6zN9/Ozox5OghTIRNODHSuZfWo
5xZtwRLy423060FDLdQKCEvvh8oqHMPinGZxcJrP2z+YCX+2gJqWZlh0bxzSQHj+s7PSwUYfZolQ
7ok5grGnIsl3JDAzNCiE0abUtlNUq8AOHQ2G3KAdet0n5bCL2l0INHfdiloymr2D6GvvIN0aGzMf
XkU6goZC2rQMEMQ8tK5LcXfyGRYKndTKJreeiByGhTbF3nNDbsASfZCx/4cP97NP0nMd18PjimET
hzBa9x/d2F7qFAlkLu+cgChjtKy+iyNmhYR84MpkXeraTCD8KNtRhbyIMX5LHSaDW+NQG5xn4Jnd
UZgYooB7j0vVqWEa91QGAEWQXasXZ8pm5Wl+9//1dfh/wUdxvbnGm3//N6+/FuVY088WP7389/aj
OL9lH81/y9/635/68Xf+vXr8n6dffi/qX+4eN08//+QPv8g///3Pr97E2w8v1rmIxHjfftTjw0fT
pmL+I7xR+ZP/12/+8jH/K09j+fHbr1+LNhfyXwO4kP/6/Vv7b7/9Kn2z//Xnf/779+Qn/e3Xbf2W
v317+/kXPt4a8duviq39y3Acz8X36niWC3r511/6j/98y1WpT3maZmOth2r06y95UYvwt181/V+W
oYLsdTXT5DrQrV9/aQBOym9p/+IqsciO8TTD1VzD/vU/b+2HU/THKfsFcoVcO4hG/vYPzlzL8qT3
iFlGx51r8W4kEflP/n8XiWuaa3W8UjGttcjNJ2c3IAMtQ2unhaQXgIjBYM429Qke++pPB+r7u/nh
r0u6wB/0gdtf52amzGZqXO9z4sqf/rpWqLh7rTxe2cAY5J/tSxUktYeNs2OurjcmxfIiHbZuB/OS
Yk2vq8tIe//7t/HjkHJ7F7aNiM7QDU/zzJ/Cn8dcswhjxzhIKB+VXkpCCqoQyhmlFR9yPnyRa8u/
/5NzgvnPn9zRXMYwkqdhJ/3kiC5LgMtDV0Gb760dc+syclWA2M2aIt5SpciB8hVVbwOZ8qvfq8uq
OqFTA4pQr3XUj7XJacmjAyEkiHZ3nXI14OMI4sdjbZlwoGgcrshF3SSPho1phtoK27iNPIQ6KpS/
/zCaI8elnz8NdGnTgA/juZbxE0XCRXRQDMhrV74xneUR68odKJZDI77acELk2Q0MWHHauE3Bt7F6
WQtyt3xKFpr9Xqvash450VRURo8PN0qEQL+lnr7ySOFI4g4zar1AcbJkp0xsiUwkyQ5ONWx9i3Ia
S35bxXYGTIUPKv+TFEH5T8qOuo8wxQ59GqDNpmJ7YA/XZoD9gfTHrN/7xFuOZFnKn+7pHLsR9sr+
AZ7+EnE+NAdKy+lXKsFsNbg8AkVsshjmLe9JHk0H8bc92ue4rdfonbdmBBKVUyi/L9+QQwySPH+C
Tj+4WlDmu5wT0fARE5QmJsHrNlZvArrf5HudsAZRbKbddW3QXUREg4fp7baICmWRph75Bf5iwBIC
NB1gd/vASobIlQO+CHQf+IbFu+rwwUuxkteBJDWT+XdAgbaR97L8aXmc5YGAJ7eggbey7IXNVFPk
LelmHEv8EGi71h6t66olg0M09FL5o06FvLjZ2KMDzmz+0RRkPL70HTXefKwASnDtBvz0WG9kc590
NGpA9cYzWuRBV6N3KRdyjZBijFCt5vLUhXVGf0w/k6TdilZil9zJtyivDPn2W1/fBW6/xT3KG0Qg
Iq8LedzVjLxUsu7k2EQPciVKVJGcvnp4lwdtiE28IeZOD6erlwokHdZu4nOoOR+fzzkfNFNdTeVZ
own29/eD/iP94TagIC43VJtaK0OrHHD+NKy1NqkQ1GG4Hbj0VISOcmiTN3NDzi6Nyk3NYVUarnYO
Owem4V4wB5q/nBiKD6sKW4dpvsvBjkDZZcgH+vt3qP240PjPO2RpqLPWQFLw07A/Jq6fe4RvrlSv
WrhBywlBjskJkN7lUbuOPecHZfJ8qXCekFn+00H6i1HXZCCzNZOpRzWcn8aMcgR1ZRkcJPkW5Agh
x7ZmclfZQ+2/Ww0teuMqT+8Yvcu78T/TQjFdiXF0sm4+iS73l9UTC0ZMbPIiLyOAdX4MzgkiL0Nq
Tavh74+dydz782BnoroEvUQ1Wefo/Xh2RxSlNZ123viY3tnBvc1bqZxxK4cl3W6AD9YrUElM5xsb
QKYvzzMjh8aVaKGYYrCTg4PFvYoZgHjQdjVfuG23kkcgCHeG0m8dxdjJe3ZiKtBRTMn7uMQyEBj2
Ut7HWh8tDeNzQM5rollnWjq7OmnWcugEWYRVfTPU2IQpwTGI/f0B0P7qzP35APw0d4X4Cy3NY9au
HMhLjFry8q4ZOeTUIs9korcrOQim5HoODOhhgmxKXlHZtJQnjhHYBVbF/vHuH97aX1zXJlc0F46h
aY5pstr685036R6KP4By81Quh/OSqbvxJxwgvDX+dMRoGquSLsYCw2D2xDn89+/hL+ZC3oIJ9053
LYvW6o9vIQh7U2npEq7ktSD/rLzZ5ZjfetEha7jGFXNnGtM/ZG1Y9l+MOnIFx+7B1W3dVOV1+6dR
J/K9KC1dL1opBPZ4DLKo9pbOcOVox763GI1xq4zpYQiHLfWAY1UAOWcGKBi07eZ2UcrBx2I6qsZh
i0XswDVrlOmhz7RrNq71SdnKUy2XLGPVrUqynhxSDJnbsuld56ot0fJ5ctHCFOwl4/9n70zS3Eay
rLuV2gDyQ99MAbB30p3eSprgk7sk9IABMLS7qbX8G/uPRVSTOahBzWuQEcqQRCdBwOy9Z/eeewjY
+dRl6Ht2IW6KpOO11eXgplzsIJyCYe/Yn+myPNTBq80zb5XgYFm4cX5d1Q6nFnMTy0bHdzjoXRjY
JRo7Eo2K+krGEopOSrUUIK63a0yWMm6rrjSfaH0umMlj3dmAstlH3S9JfaOMSIqz+ghqaUVVdqC6
wlx1yIv1YLCjqGd2BWulqt+xAKemLdiw+KuUoAXbdc/6jZmBbVyL+KueAAGN0p9H11tl7M2kV7Nx
qade1S3EQVyrZjmoOkBoz2OHHGlwjh1/XJBahNlVuZlj9bHVil93uJha/UmVOhrm2ykuDqNNpJX9
Pe22HeiwUN2t48ocEdzEp6qLXT5DpjlHm6dt5XZnxIKYkH2zjMl8Yr7HCqiqK67/Xzslq2FjAp1g
Y+Z05aY+pypD1JNSsWGrz+gEVDVUVupdmwh3vA5wOD4TtXV5kURUqyeXJiU8bXOOqq4aNMo1Fjgu
yH9+W6rMUZWRjedBLXaCbb2S3GfcW3iEo+BRfQHqzlBvNqccVC+k3okqjCpfxqrWc3mVdiErm0DQ
dmiw6byoH4BgYGevrC7ahBCfvZ7vc5u5gdkk9HY9qHJLJMRszjf7R1dgWuWtq7KzADrAsT+mOFiy
qjzh3ai9z+XF1CqtrtZiza85KeTq7hyX8ozSa6euiHp/qjhZqDmSRe4L6r1cXEjcQ1RKGUV9oW4B
9Vjk7bBT/650HjQ+yjQvB2vDXse9ybkSGugipCmMVvKARmc9IGQ4ZClOEMo0Vf+127Cbcn5szZex
lhE+5M45Ir3YDyZHrCkxR3NxVj/FrupdN4xhpddX5FbXLXdunCCr0vFhampOk42IAMaL8Ljr+Lf6
kJqY9urDqdtebbKq8lRPgvqOOWZ/lrxbdQOrQsAkk3niKFHdmPZ0cJRosyjOmWBfYhVR9a764KAb
MC9+qs/Dw6wqYHULq8uinliPtYVbQz3EjnuvqyVKUxyEKzd/Mh1U2YOGHFZtv1NFW+5BsmkAqX9T
xaxqcyQfWq3Y5YJxy+Lsd55eVT0AKvns4sZx5i+TTNF2osVhBVDV5MhnMPR+r17UK+bDuhRX1Umq
X4PlYupz4uIe0TwfBDXloizTfNza9UB/cLq1XgLWiYLdCwc7i2VxthPW7eTTTj9VT6hed+1ZGiaw
f0hO5QIQh0vGj/Rt85jTaDBX3cPU2fleHWPt4XeqnIqkgJ/DGqiWJPWyqsy2SRaxHJChLD9UpqqO
Vu9fVaidlDu/y//6Y0HpfpMc3KBtjxw3Pas/oy6RKnxBQgxIod2KvoMbDtFLOLOy1tzzLvWR+oyq
H1ArgOoF1I9KtyBU75Eyc6HsU3WD+m31kKqfrLZHVWar5kPV6qVQj4oT4UhYizFumYmrlsDktyxa
GF4FUPFN/UD1Kv/ZRVCMs1cdO99/cP2jel21Iaj7WjWjf9WW83bJbOq/rsaGxP1PLcio/tYZxZVk
zVBTqgpQ/yzlK3ec4SDFyhA0UjfzM9USVRolgolPUr1DDdiSKqdU88Cmx5wgmWVMQzcPDDA4X+Hy
qruS/UqtIaovsHm0VZ8zbpgJMnTCy0V9P2pZTrhK6uJOJiLJZH3KXPlc9ifkxXt13bEvoPCwjuq2
RNRCgiC9I39FWx9NMp6GNA85eUWM0uTeUQ0TLERGqlyTlU2pBnSpoOjOz5LVU900f3VAfGnq+1df
3uCBCPx7Fa5KmiIWBPXlLJRRqiZU7epYlmcQHGe1vqlLof6MusjqrUDCP0RXnW9dddFqrzdG2p6J
FsjvI/4T8Ts7ndvSy+eYNFDrqBYQ1QWolU79BNUuFSy3fl+e1fVv5Fe3rlEhacD4n7qV/yqc/m9+
aBqUof/zAPHlZ/Nv15993rT/PEP86y/9PURU00CDUV9gW7pJ/WrQcfw9Q+R3bOZWbEy6Rz9iBdR8
/zFCtK1/BIEdMGIyLdM2+fd/jRD5LT/gpXyT8Z/nMXz734wQ/xoR/vfwhw7I9oMALyHjeNuzqD//
te6UhdOY7mw7YdAigjPW7FKUzslzP2HIox0jdaD29bAu9C0KyumhWH8D5EFEM+Xh4maYH2UKht45
cOCCOriKSe8W+9c+tR6nvKYAKB7q/rfX6Tt8tx9dEHx1kLKO5QaCrTlade5QjhV0Y30QL037Vac/
Z7f7yoIujXnO1sG3QzafNIJ2zCks60TiwjzwjRiJl7brHIkES7RRPVbgJWpET9jTQms7ChfI2aJ7
fzyBERo/6dEQwJNwTS7uui8RREGL8NAj19OPHANP8OqmNUwo+cftenwmA87/IN+vAzjO8WL2LipN
c1fXjDZdR9zdxIwRF//dnP3fQ2RY9Dv/80N0yfsUX0A+yP/37/8yvP/r7/39HPn6P8j2Mxi6//UQ
2fp/PUdu8A9G3y6PmENAXsDE/Z+fI9PiGaKb8y1m8t5/P0dW8A+DYyjwmgb/8LEH/2+eI86u/rV7
9Rg+GyajhcCjeWWwb6ph/T91cODoE5BtCkNhf/VL38SCMGjmqja3H2XbEPCLdONOdmuf3FoUwssM
+Us05lNQzs9Zl+cxam2XDQXvTm4oTW5Tk2WcsLf1hSVDCcTqOHgrEhQNIqm2BL/TAf9VRQbxREpM
Z7CpB2xxVfDYNv65rYbhajogGQpySFf52XAoGQOEQKDY+5dt5Uh8TK8kMTsK6sjxQTHd3X7ek56Z
0Vou6GStN3Z2ybyLaOy0/XK1HBn0xMeAOJAY93b0TOr1xTnWLa5rt7qXgfiUWHY4i7B3AJMndlJy
q6XQn2ctAx4zcP6V6r2GbHX6Vvec9qKJ0I/DsGDMUhnKOfIZxyC+tmn2KNAB8Ar/VRIVghofEWcx
fDPWwDkXTp2/DOPWX6S7YAbNGMP5r72d4L5wJI1JC893TAdM8h4XBvPpPluD9wpp0EECZU4M55w2
/nuZ1QJvTv3V5SsszL790fHux8Wdj2j8eFFwRPXoWAfEKgi6jd+G5SUnKvoYUXas+QuxqcrqkoOW
DitYsZEuGbb2HXmwZlc8VO0bjGHOJvChh6KQ33KgOjTnBFS7af6ImYGT9xkBmB6MYSAR1BVj5u7n
7TMd8vaBlLKjhFsBHb5Hhi4SdwfuPUWRbPVOFteoK4DPCc3XaLvnlgjwcTqYpEdXRM10egqzJcXW
YaGkOpIGQpUEqQqxxQD4LzZl+ZkMQQVIa+Imm6ot0rwuPxVZ/wtyhh/lJFFUaJJOvFcSG4vkdRo6
7c6IZOcWXo6F1FXGWyZiE3R6x20LQgO1BZ1rnxDciPUMxi0gKBupkWuJMw9pzul/Wu3NxBPgx7U/
S6V3mMlV5ZSINy0wswv5PZFZeOJBH7H54N7beeWEFgIf8TIirJRcvM7V78HIazPcPzocNyJdbd9d
e8m4BMnb0mVfwSQR1+leFgUO8ZAN1VaGJuahKlAqeMFwBOM8nb0yOQhyng4uiT5V7ub7ZhutnQhs
ETY9H0NH4WVNfK+jM33bpMI/r3VLoInWHtDhvODNejN6uT4JzAy2WFWANEcUReNVYemWiiRWPnkl
tz0RF1fajvLQ+Fl2qZ8t7ZFHAv+yn/s7g7zJDNmRmKV+BO1k2yHc3e9NZ5EP4lPKkwD4AM5H7qeP
mlVtpxHREZmBeWqk5+5qjBohRp38jM8AKYv8WHyUikjfODjNaJdf8MHQ6zb2cEARCSmas/X9VOqP
c2CMqkX+SujYjlYa7PI5kcfBJToZMNh8wG2HqvSJM33rXOhrAc+oecncmkVgwlsIPCXWR9wVCbSH
edVDgrQH7mQQXWbQXufOw61i5C3OwizSyzbH7J7IC9TKsOiy9HkWtzEtwO21xBOQYSn2xcwCs6xb
ROlahj1qN8PQQOi5DkOnhEQRQj9pkHw3Ih19jeucEAoMXEk0mpyQz4m/64vBPWz9cjRq7UMa9oIa
eitCR/OPiITtG7Fn997lbZboAtF44Syjdo/qFGKKm2Odw+MZZiwgvSEB/hJ/tHVxAJIqGtFaxKR9
79wWAZK0CX8q2pd86w/6DKibTGYCjdY2bDwauY7KcM8SW9CiXZk0vSN+eCeGZto7es9UIP0EkzWH
yQrfwgjcy2ChmEs3uNjmcM9Nj7FKOd5XIpBSqUUegS2HXo58ztlewkzYz3aH5cK1J2Pvr+l739hn
rlJL5+W3j9rJnwZStfUuuXZpF0SjJzinqc2jRsQYthuoTNidsL76uNeLgJNMwXEa1LG8yCyyYMhV
xSW86qzafT1DQpMUaMhb9S7HWZNNxrHW6PEH8SeYzZd+rRmNTAJDz2aUNKREqMiy3JGcmET91LFG
nYkTqW6GxpV2zAVUQJm/m0g54yHFeh3Qr3N+VZZRoQXn1SYCXJoViVfyIMQWQKeQX7Im6HIp5jt3
1e/FIOKNsTV3qBtTN8i4GF2MpzqapY4htfWqW+KPWVofulfy+DKPoyf2kV4fajtDLOmZTez3dh5i
RyQSCnwWo1GCPLsqxsVyFDW25VSur3wRGLtMUmENgWoNiWOciaoGKz8/rkGWhqDRtpMqEB3Znkyn
DB5YlD/8DeJAYjYHllKgDG7s6KD2xhUKDBx+4nt0xKz9xza2I/ZkHAkttermej+1rP/pF8uzA2/6
jkXz7haNzsVIGZiwdPttXkZ+rbU7VB6c1ab4sk3L2+4IhcbTdpkKpzpNuI0iaF4nnw3dwyDgp/6+
C4DjYV2SUZIGZWRVJJkPhUEAwAxoRA2+w0UrP70JY6AIvMcRXgsjL7iEnS6+UNvF2GSXaGZYNm2b
Fc+yGV/7AhOkM8ycDFd3eD7aOVjyzxVjLbCCeF0ZFJZVDXRymfY6+MgHTZhV2FZNeuqz5aQu4jI2
b0MeHOZAdKDTuouXbyfLQBtljcyTAuvmTkxFZYKXoQd2lPV8z37es7jm9ZM+aL9635cKxvZe5sUn
RMr2UOO73LTuqeWgL2aIhLIx0RsU+F4f5fYPNKnJg+MPH5o0H8xh1Y4u5sOwYpGPgwUwK6doEd/R
fS1lcPLZ2XZtNcGs6H9ovf2nBD4Sm3aG3K12mZEmKOP0ybln+YxR00rBfhi/Uki6PBJsb4uLwnaY
H/RBjvu6R5CK0L4E0odqbUI+eYS68lKYgAYhXp39O3mgZmwuIBGwPByHZPafGqYdmYEiM5uy70Mv
llAx0pKu/wFrAxCDQb6doLjad46GOr9h5xJu/zE6GyMWnieCiR7qcibxdymDPTzFEHpVhg6bvKFE
5rd5WYawWJM3Y1JRx5QPD+RTZcTNz799zyRmE+cxun6PfK2kWY8Oo/bKLaZD2THcHnnASKYTJ1J4
XdhWhh9tTlbEhu2cSFE3r51hnrep+HDmKT0s05o/mUvACYexMcoq3xdQLIzD7I8m1X6tE4oRIjkI
7KFmxPSKcrLNP4oxYRKnbe5ezD/7Un+wB7LYlxKkJqbtl6TQPpZMv/HtY9YmuDLQKGqwHQ8cJPUp
GO7I13AgrUVdh6NvbrHjGSDDgc1kW69FZWmIQ7cA7tar7tAb5TPLwovFcHxxy7dE6DuKy29tav2g
QmXnMYDUmMDM+iD93Wh+e/GCK4SqZU8hcmt9TD59j3hQEijM8U0DIclNLhPxW/kSwpzHt98Qt8KX
R1oVqxZMyTCRHtSTKU0iW2s42Jfba6qbEDglUS/NqHsxkLQiWnh2/VGBkgLrreSk86jl+UPld5hU
zDUsDLylGs57DK8XaknA+Dkw4lGXB9nSc/id+Qz8h0P2ruFudLB7kpHNcXGWxvjk5kj6NTrjoT9v
xfC5iKbYmyZXYZ5/5V5XXh2jK1/JcOqSMYfatidij5Kmlw5rCTlnGEOeYLIBvzR76zkdLk5+CHpW
odIeP6VFN0FboUUcXzx0wUuWdM7TthbPCw3UvmsX60EXRn1K/ekFGw8LsONle3yUZ6I25pN76Ezz
KsumJZ1GmNFo5E/44+UiXy1rMA8iaZsw0HT9SJY7zZMfwLTUBnoisCwR6BaqHFonQ4dlixqEQDr7
YqKT3QuwIfG0WGdn/ijJpLtNGdmag7PcPUldZ9Xr/NDxv5zQm9juZWg1PIuN4ZEbkGNfdHv3kAXb
PjNQus4YgBFUMERIBUlBazqeLQ0Man7pLPwESTm+OURfRemK1R/f/gdEKQTHGm9tahMNnc0mrhBk
K7IdvjOsq85NN+uhtnrl3mvhrlPBo6bQRTSY9q+2sRB4jYdJZwijB/5L47EjdELc/X7cQt8hVqmf
zPvkoKw3Mkqg2b8W2Jj27SQAZxmHICnTuCJaJ3Kxe0zs7ceyc+yo1MbLPK0a8XPGzW2NH4bF9KWH
j4JsH6t2uT2WgSHOMyo4NOajoBbFlWipvEm/Tik5fJVD63V3fQjqF5vqmlFPfaISoQAtNSrzYZGR
QSX0qMPoepS2/9ZVwSdYVz1uzGJ7GoV+6xdoQdr8MnXAndeeKgUnhRV6EpSsNs8hNfVXF8hHe6E4
qRocboXkOLFQZhqVzdQM/ad0+oZVwQK4tVbfZULBP9IvYdhK1pN08UNY+Y+gD+QV0JNjQzkriOyN
h8l/2YZgvRZEeHWVsHZVTlNY0CGj1vFgwJSe2GlEW0TehA8rZ7REzKh59Z1O/5A6U+vRD3YI3U2Q
JT4lKFViFGBAin0d2YHQtpMIKupFfYsh36w7fPAy3Ho9P8B6ezMk8j4w3WeO4AX7OcxlA+ONawJA
lTSDcFeWK2ps8164DZdkrBfUZ3gRG8C9bl24BAZucInG+i3PGZR5WvabZDQQ0ioTcwYde5v8nJrU
I99ac2CFUu0DAWAiOLUSSXU1NtEw6e3BkuIRoMuprGF9Oa13FhmLRu7kxVEL2ofJ7BwOMKBD65rX
hEvTKH4DZud88OFJ9+kuq9YOxA009XTosXwVwcI0v7m7fmHvjTS1osyGH5UkGLSxHLagY5bnjkHo
IcnTMUp0+SZ0/b2Xvh2qaHivBg7LIcbrOpcfPW6WHYWIEymodqlXuLMXyKsbZw4L3bnZNcuuSrgy
sAnGPTIm5PqgPNqk/S3K1D9bdpq/TM12gpT2OpKleXSRS4dtiT8q6doa7qR/S12KBzwlDOF9ypFt
Uuj2ldlgqk7ODz1dXSqo1EVBl0QHp1MegiTeGC0KvYilY1+WOX2RRvUogk4eW92gJnP0y9Y+tGud
7ZJnmWvkFBU5zKWWotjdqpvQOcElkDHqJgm8sB4us2denWX0bjm/6MR7boLpIDnCgvekVYjoSjsK
RsRx427A9BRrjcZGSbwaF87Zl0PS7GamRfEmaQ+rwcSkRCFiBeUjmnkQ3tTzHHcUgs5EApK2zG4H
j6p99135NZpD/UgCyGk0tB8bPuUoWBJHbUxc9xxFWlWT0LWOKflg/tvqSf+mHqLF/NUCN0P3xVEa
bmYcU7krDpvwmQ7AtQ66NcowE4ST7acRzDbCbpvInhd1zu9QjpFPV/eMHCrQI5RyEFlNKP7OdONw
zTm2HI1yNiyIvmy2n1aVdjsQ9f7DOFjvS1N/B6WKycfhttCHnMlwb3MOBb3EKt3XkdoXII2xLzTj
xU1QllcrB5peQWis4/CU9Fl78ALJcV9pSZ5zA8emidaBjfC0NhbREGTgZNTBN6xkR8cdveOwcuBo
BRJcmgxNP13CJaN056AROva3TW+hC6cjA2mOpIvVDM5jJ9MdSnCBwIgzrQYWJdquobxatHnw0uO2
+1rJgT6JGvtQ4rcsXcloknvmmI+NlQAPB2PcNMtPOI8h0OKXbXR5kHiAIs/a4g7byLdSs+cI/iDn
stteOnwiRjqI4dvkPA/Zk9aLl6yHTSr8jLzSgWJRwDHa13a3y5rxKmyLuDe/FbGTj87NXyD7ZAZR
3IlW3oDTEqCmQe9RZ1AyeDNhk6+4kgZDcx5sCx5OzzhosS5W4n6Ss2cedXBYAMu7Ywup6GqI8Vbm
tEGTa6SRuWTojRBAX4p++b2Z6YtJSVElBSHRXfN7GWR7DqaZgRU815iWkEHBvJynhMYd8ETDd0Vj
1vmNDscJEVxVmF/d9KmJeYj8bKJMcal+PY9q1bYs7t+i/zbWOs3NDMBCJvBTO5MH0BbLbvU798rk
JxKCj9DBbIn7JH2ZKsvY6yUsJTfRLpupZ7u0junPocMskoNra7ms2I0BXn5B6GCqI5tvY1Ycc1bE
3hP0SV7Ug1WC8xxr4KjImTMuS1ZcqMVN7tH5RzIXFwISIlK9z55gTlNtILL4ziTdCdtdiHFaKkII
KK3xwe9o8AUPQhas56aa6K0CUBlFceSI6Z2dn/AonXtX6N5esHyHDIa1k4vpi/SnelcULL9MXcW5
zl37YPWkBJScsy5Bb0ewXghisowmJJq7JkxAnDP9KSVj4sX2tMs0jeaRzjLbF0Wy7L2+BuLOLEDz
QCCPPtb3ulifHZ54jVFY5BbVbVScpmDI6Je2PFqmFCjX2B8xHLockvNy1qpjPC7XN9rD6uAzTxqC
TtuvLgMJcLh5WDA3AimSX6BZ82BXeOTX0ljjNlmp2Fx0hEGQ7bogqSCyBG95RpzzLLXf1lyPDwWy
I3qCn2bKaqjl7CVaQi9pef4B0t4VVwACg9VPzrq+JeeynxjaTxbJKqg/8Pe6ZJiPNSjqQIZp1U37
zg3qqwMCg1G4+E7w8Xyb68rYJ5LZh585XuRs9LKVS/3DWcaFtNX62Dn4fcAgwPp2PpKaTQ81qbOp
Sr6DjZn2LWe1xD03NfS+wcg4Kmax6iCoULik57ZmZCay72M58IP69Ftt1y8qcK4xBLvx6hbhVGQv
DYV6WAmtjav1AgYij/Qx4QEnwkpM9muyTeZJn9ezIZaXTi+c2Jw7Ak1ofyjqJEHCiEZiz8waPgLH
05LDhkor3H1TcPoPdTk5uo2g+Nh83rbBHpaC666k+ZZD2Iwq0rZ0M8v3cqYc0dpfptfxApW2RLLF
b2VACyHIIWZjudbZ+GZ7+UrEUD6ex8Y9+VZ5k6beRmmgpcAEg+cNe/qTo3snncSkeIPTdyH1esf4
CBgw4Xlk/I47r8LS7PSuHo3DzDAqN89VgMlJTskjmNv0XonpUZu0LJ6L5W2c5V0muIM9SGfgMI29
R1dP43ly5pbpSJcc53b7lidtiYB5+d53EsYuR5lx7vlMlrrkvbWaD+Uz4iiKL1C8AzticbTs70P2
qiI/4jL9NYzM5oZ5cXfgYs9jMgawhUkEmCcexUauFPjK/qknb4n1wjlkSV+DE97AnttnG/ozRqfI
gaazJrSf9Wohf6gmwf4hqCZNYpCSysse7NHx0PCbCmS93Q3NuGR52v4QQftOVHUZ48nG8RWMexpn
/6y1WbkbhXCRYWXTuVYj8abl1GgsXZJkNXM9lNp7tekZs2Z4nRtzmiiX/mM92r/Z5P2L4wXlc8n/
Q+3S/iwXUL8attIM4HwITLjdkSXYYZzdLtpANjIHGt9TKI78h4ZjFqO66JAPQmfA69TPGgDsISvu
fdF/SFCwqZiBDDN+gwmV5FTTC4mjMIwzjsmyl6XAGUZYeskS/bBy2kCEuAFb0fVRS7ia8mXw/BCE
ohLNNo8rrC/Os1TD3Xmu+3Pn+VtYItl9ZG6FuKtf3pBIfKeROmkLk0CpAWyVfvWgrckuCRZ+AP6K
UJ+nvXRVqnvTLoxf00drIzxCIoR5XJZkD41VPSUEnqVd2p+s1vouimavL8kLXd+b2zvjsY2s3GTh
Mav82JX2ikAN+BB1EVQihx55G7CgFnnRMC9oSZXVtWeD6mgLrC2E5X/I/ZWAbpvxiLVWBCL3wQ52
MAW2bUNZVAFuE8tAXl+3haU9KQEolpM28+TrtIST/kowkGIQpBw4ruMfzSH8Sori91LNxsmbios7
Js0h8wJxwCOFsTDXZxIkZgLuN3M3etoTxvDPYjDLyFzrn4RZQJvd+Pvp0pA5AzdpfQqmdA4thrDs
w4NOQ0sV4+uPhJO8Awz5YZcrMrdh+jbngXsYTFAIcDTKU6txBuTVDSnK03BuKKUriOLLkNSYE+oZ
qZkGgy+xrpapA2QBOwekBgemWVUZ9zoxA9KdTT4zU8+GVE/22OFsYimO5qnr7kYJBoqQcMrNJA3d
nuSNwcpOMyZLAHGXIs1+iJqetzPtZx4jpIulzq1QF0d4zRzpEANQawad10zVV6QdmxQMkNB0EobZ
mRc3S/CC4CI/cobImdBkYM/UnvsaqEE3THg/aIdGBHXBaPXxAA4iZlbIACg/QR2QcVKZDfLHr8Bq
SJQr2p/MLwFdc4INso/pyOR5u9ZtmZevPOIJKJgdKSNzSF9KpkpRMmgq9K+AlmNcijEyevFsDs3F
7CYmQ5CuJi+oL6uVvnRDTUhFDgK9gpBFnEZlH2Tgv/JDnjtBfEvCnKxT/5A8gaRCwOD+yunTQgxX
0agpEUaZe/c+4yarJWWNkdb7CRBfODfWvCM0mVwFW/+V6sWfTdb9MSOOgSMTL3K5PrFj+y5UE865
Rlcmcd3R6BktqcP6QodcsLBVE23oYNvzvpvzNZTat9TaDN48eZilQ0MFkRT4OjOfw8r7utVdeds0
KztD5jHiKSO+Scs2IgN8RKIpfrU9x2e/fTziN0f+sRF2VOiKIwgDXwNkqMmjjsJQHBCSPVGHe3a/
Qzf3mg6kpNpOB9wLZUnBSZxbE+JRswqf1V5Iyq67Z7bM5MBDZGlVFMl1BvCRMdVZGvnN6/EZl0Mg
oR27vzZCCzrivT1+AZat76n0Kv1irqMONtnfLvPYZfs0VQF5hpsch8F6rFcjIP4URebkVP1jbjO4
J7qEs+Ami1qM1Cdp26rc1kKW0P0ylRxdzSseFanissQ+2XBBM/h9xGorD5lYp0vhnL0MuINdk3xW
thNXqBG7gbPGh2Twj+00M1SCd1WZNIJVOjhEwmTPLVwg7BFqBjKT99GmwXOmCB5B/7LK3HmwgvRe
oo1DBLxzKu2357WYdFEj1mvC5IkxiCc2m7nMwll0MP9kV4c8CmkMEWRGhawKhjZjCvBj0JnYEHwL
79qvbkWGrw+pg7Wz5i9R+cVNzg9kXnt7AnS+N9pNuMk3T/MxMpUrCKHmT75Uuw1S3aVqvVcd2NfO
GQlG9t0JUgIjyCsmFsqjjdF0YByXDmbltOpBzOKHiDrVPhd9fFuR2kb6BjZstEHF5mTnpHaLMHFq
/J1G3pJrj30EFZ5SiXmDLnVaOWt6NJcBQ0mvE/Sksc6OjDKP65SfaCmw2i/iBTGTc/Gt3cCM5sZ7
giw6McXLNw6FupJty/fuDUwI8kMSkm1WEtBFe8SU1SJxTi6zNT/jAlpAcVUHZ6rS66pP0RJqcp5u
tbuZIdQXItUUvqYg7TkcSv9ki2a9DxvDO1WddluPJXrAZ6B7471Bi8YBEirMTtTHbauwrdQ1PDSN
Ahf6jzjVDchjhiYDk2J2ta7p8iMARBm2kjNsF5TEicP9gnwQ6HzZKwqJOZxm8ZOoM06TqMRMw/tm
r94cixboeNGrYJxljjcz3yAjBz0iMm8JBTGmFAL9EieMrghwr74hm145davv6zD0x9bBOlDbJghc
d6oILV7lReREg6bmx0piIbIv7YLFpgs3EGwNcU7XJDNRqeX6qR7NW5qYVIse82Lj20o82NMAtPrY
w9mBukaF41XGT4PhLecr8lwaJk2FXSU7Ex4ard+D405Mu5z2gmGOaWSWcVrbrA98VctF3WBNxgkO
1A00/eVkg4fCxd4GCOPc7KR1JhtOAqyVE2xK22E4zJN9drzFBY1RvPu9AwwmI/6Ta6dpLceTxviN
rNNuWZnbr173lJkVVKx8DNNEi8upxWXhM0j38sMEheFkJg7p11MFjTC/r1v3guvzyChn2QWpe5cp
jnOjLi4dQhWeSOoB2ySGXXMqQiXInV0hzDqkpnI2o0FBAi2D6vhR29jHUex/OL3Nk+DVz1BqosUI
4B7BM+Dk1vsxNTOv2PZEj0IfYLZJEoVoOp45/pRp8d8Xmf60ehCVovseaOxddrYROJZ6fwSNbhYo
IECGXGWb34wNCkWdN4cxm18lhvhDAryN4/0GA1VFyvDMrtXM1hqLYAAwm+YxUGIuzED/O2dHxyku
uPS7U5tqADf6lRzSSOdv3plHH1PpGQcLtEVEitVD2pRmlOblaxCs6CkmaJeARiI5dPeA+EejpzAc
Gd5wmk71bq3ie5vBa/WKXvBQDW/tSAfOFl3HqdL4WlSUU5k+Vm3ySL4g5Xabg/YQ0VYLKumKaapO
31AUHbM2skN95jgQetAmNT9n0/5tIWlhZuBFrUV6jLUSXEIiMZFFUkP/bX3VGQccfekzwfVCV9i/
p/IP/JjnLp8fZ7LXo5qaLGxE+SsrTTRGC8dHM3OB1NFT6kGtPBYDK2nqQ9A1KsPbeQE7nQPtxcIX
02rjGcC9ykZlaug01jUjW+wprXsA2NNiVxd7nqoLsD3KSXbzfY7RLiJ2kA++uhwtFzeYF7zBw1Yh
yJokyjAsXe5u486VrsZsp68Yr0EIsnHYTfNHtv6wNlyVUOG+SGil4P2JEv2I83jdy4p0zaEFJSiy
0j5h0GdaNHyWqM52UJh+VFD4WoBep5opRrGRN4aIbfZKeUpIQCv1kfjXwv9MQaPfu9l+Lmy/CTd/
bK6VU0+HRW6fkvotlj4rVVecV5rNhyCXlARz8QzJ7k4NiUheH79gJ4frUpc3z6jSJ3skyDrTCI8M
QLIHhA7Q6kk3DizzO2i8/lzlYnz+/xydx5KcShaGX2iIwJttQVVRrr3fEK2WGhLvEhKefj7uRhFz
QyO1qiDznN+ukxzPpqCVXZ8BKTTIkJ0pzW87S/9miaTZvNPoOfGbihAWQ0SZORMmNLfajhoq/QHp
4h01R8EldY0xbkcc/NVoo90boKpXso5dokXSad37mX9UHVHpDSDelkApHwpK1fLVe0tWpb0D6eTh
HCBOYeJ4xfI6smPSeCRWe4wpEj5ibrrKFq+BBTnkQTAu+RYU1QXaBanAbDnjmfjOc1bVzN3NTPvu
SmNNOfpXTec3LMnYnltebTphPQurtuS6YUIJBeLG+9VLDLY/hehxtg68tPyJTWsfHGLYBtc80A/4
LqfRJTK9FnsvM/Bir15BMrjl7pMOqXAK2Bm1oTfa8qD4upmX6Ki3Mmnua6u8kmqGQyBP2ovdIJOa
7DYGOqeH1df5ti310qrihXRpGJ3JMygyhDoq5cb1ZzPbW0oUqF5z3NTEyXXSS7B9fKuhs+6ywD9k
c/DpSBpFahOh0Oyqj7QjAWqtihSPz0zlZO3t4RxfHA5laqOtNKQ/0z9pWRbZaR3zeqDjqNOL3/nz
UVqUfDcAZZlaz/ZqYvPOBeW9KPiarF5hYNib6Go6CS0jAcW3g3MKOoCZ1vmdc6fFUdoxgAiqWuvV
OyqrAtU39k3eKVp41XRvjeOyz+kl3y0rT6wT8E7Lsr+ImkuHDYTbojMoW1NWEOUU3Vz4G0O77uR1
MO88LcGPV/Mykjjc4RsobwsCEI40IILcdQl9n4wzgsfx4Pfqp4K76UzzTpR6HxmrwpytD3/L1SSV
a6qWa+/tWuHzUhDaDFplTjtYtvtCSwn0n4NLyU9GJwMtXD4XxzCjP6oydDzoDAtlmQ9+xmlq5BYG
HDIdj4kLzDz49VmHLJ/7aolUExAOD2Z2KaX3FChjeEltRF41vOG+RfW2E0GGPa7ngmvstEVSyApr
E48fa2n5hqSBbH0Du/ycovRbKALJ+aOzPNMBYwmh8hH78IAV3lGksKKjoAdLT6o5TlaHODMf8jC3
RRmJoYChzN7JttovSml3/aj2lSbbh1mNijksLeLZXZ61hHps4YGleyMeFGXzscy9G/fOfU2Y2N6f
g39FWhrYewTF5JBf/Phxw/whdbuMeo8AOjJHtMiyTIImx2DvzJzk8IXDzi8xywCWqDOJcCZ5Pni4
up6QbZfpjTCrXemW751RdlTuOZx+TfFqp7EInOoyJGONdIMQxnXZup1TGxrMsU+d4quXfUrwkvCO
geeWr9bUmHQANABNxqEgEjmuppgapWU/UycVZsVQRgVdLLiYB+LA3epc9didZ2/S8HsX6XE263xX
hbQ6ogmdFKc4l1OhLrggU1q5aLi24N55JynIgve39nMrULylAmj7pDUonynCmEMXdRArjgeaAHzf
6lJeLfNFVBvwvAocDMhTK8vKri5rMKdFdR29/Kc3E21voj8MZ4oI9vTAnXCvZ4em66ZQqLDPxgQf
u++dZRnQNC7KsFNJdYA/v9dohaIQ4dmpSv0IHBovDhhmmmto7erC3r67Zo+UjaQAn/BfBwcPTlfC
/xzXektG9W2PDhdmIM9TKrsLzJB+9ivGyOW1yZE1DiNkxFQT0522b63UERNZTbUPVjcWRTGfrImM
00J7TbP0KKe+fibicr9Cu8euh+Rn3AczAr5+Ynvw1NLjtZojcO8CdTBWJjljthyaALb9NetXGhl7
xJvBSkmJWVB5sXSI8cwBTYQ5NXApjQzJLf2q+uo1tVv3zAXtnp3tF8TCbw3BwaQ6j8QXS96Ifsjv
0+AY1ATzMXwZISCmGXWuRi1m8ti5o4mzo9APFhmSNLezjlA2QZFoUe6L3EguaeJdLTX8ZQ04qblg
7BgLwA2TGctPg3/WxPZP0ExkAu1CCh4mKGYluInI9VsgRgYbMPMcbI6nLsvgR+GvlNVuD5aEWlkZ
tG2POhRbxqx4CRMcxDiI6VWNsxeWBq1u+5FH56TlKIVz6RkIXCx8ovJcZnl6U5ltYMAkNGOZkNHz
udcu3Gbf8H/0hUPf74KQeh4ldUGJvFRDfeeNI1cFoeXa2j5IOGujuxSObYOuOqEzmjiKrco/+HNx
KYmxxa4JfuOt9dsii09b2cuRd2O+kHI3RMi+AfxX9yoC4wmewTrNmXb1dHiwMkk/AzGlX8gwUneJ
Jjzk58VqbtniUISt5Cmbn3WxajtrQNWL2Il8asW8bsu/xVh3JLUNekj3ro4z28bvSjFx6C+ZvG7h
j6CCzRvFZNYJ2YLcU41inmtVzAx6OSIK0FrOVPam4K1fmXn9uZc7guc/U6Wx4KUAZTMHuy2TBZFA
/mIa4yZf34Q/unb2GfZ9p4w9sbHNmIpFI17ZeUakkTc7994XS0Oj7r5OuZZElEIR41XXR7917Tvi
wPZlChnVTekfb8Y2ysRWx8hC4Ps2q3BJmOFx1QkrQeX2lSCnR246/vUpOYxamPHWJYtNkQEZ1YEg
ibdKPqaFGFgn4+FrQFxdadUHL6QSozhNfvvWLRyFuffo1UrGs66MkL2EakWP+7ecRn1TVBkH5P9c
YGSCrMMFG4u2w1Pb7LBUlYc+EzfyxTuyaA+0kT9DKKKrpLVlnPBu8mY2UZM7+Y4JCI0g+L4yC1A9
78cF2ruQ6cIVlOLKTfxjSTRorNfodLvkQFf3lrPPJpW253qrV9F1pOmbCG2ok5fMCX68QKodZQjc
gSN5fQU9I1yE7J1iWW/uTC2zHkxUT26d1FiIu8jPdKQxaUkMoG9B8iflXvniZ2rFEJIuez9NPnrh
IINjSZmUqZ+7awAxn9LOjztUhRMFEi/Go90beewGaFI0w/6r+uS6ltvMrWE2WYI+1jr5k1hGSUIN
pqwxwXGyurBOljEWV7IE7XBt3S9CtmScZLSn5ECEtU62du4Rea7IpfHL9nlFV3Q2qwEhSnlIfSSS
lmNl93yTBxOnim6u3R/ThlzK51dpu/pxsNPPztCdaMI04wQLyazGX4euhWM7aENM3aJ3AN26s/Li
u22QT9v69CgmA2xosxHXWNHAlcw7vU62MqQRXR0CvzBou+r4bUz6afZvRqVbsaGYd/uQaelnQtET
mpJ9UYj81imDhm2SxRkK9APOwerSIyZJuhXkr78ko/GraSCB08bBkE7csJBa2YRYXln1Pmntv2xF
OlkvLpafZEA3n8J/zF1+8SmTDa3kV+lb5vRSqD3gVBuWPfPZAObuD20ZpSwzmwEDZhYpdZYyVrvE
yn6mzjLGCx0P4RBrSI5JMEOFwK/EHbgvTUHyboA8SBU0QeP/vkwWj5Rptw9TVljntpH0VdEysNO9
5s2WqXcxc8o/exYJtJsZ54NrdSejrO8qwlzZPOs705zAJZGfErcg7hOaRHmRN8m7oR0Hz2GzEwei
kJuw5MLYO43+WiQlNdGi+8VyS2CVuqsq7zb488G1BqLK2+yh6Edg0oJPupo5c13uHDgLZFyprVPY
nC/QoEkRiQQuYfC/IOKpufJbK3KFlgKLmbSGET9xxoCzph+TMuZztfmV9Q71tECykDh9e2nUgNcI
5NkflrvVLV96QP6s0Ghw369ZMB5lMjyP02pEQ+9UJzNt98Lld8wN0KtCQSfyAslNctQzVuJSr8GZ
cOwUrqgPhFy0YWZAKoxlgjW/t4hxoJpucnV2EPsrTahEhBx9yMfiYa1hbukaYhk0yEktTHFjlsd5
Y6K1prd35Ror8wPQwQD6vB9nTsc0mMRtWrXtGujzt6a3nw2MAhFYBQd0yt1NAfJ0sOXbnAWooEj5
QrS4ozDnjj8sO2ges3c3/Sq/+guoXN2VzLGF7lf00aJ6FJr9MKKBA2SzbpXF+apx6YkNvQU+p7CI
QHXkKdord/i3m6pfawwwUTuseKM2hoOlHtaW1gx2iU+qZeI6ZY9ZoXN3iaSlQG9fzNr4l1bYpY3P
tR2gRoX3KaT+nqqFxvdJvUkByDMPxnyt7rsNKQK/j/3a/Jo1OLuGxAMkmzbeHF8ducfkqd+Mq7Xx
kbRVG1voev20zWjuw2tVX/taEvKuuXMYMO06ScHT1PZUCGZ2ExUj48cwsQMT5kEIiEtSh/8K1I1y
LOflokkynEzVQ0YEDMIouYA2FfAgiadFwJo+5B9IiUIvM7sLjE+Yj5SjlthrD/bctx8EbWcTWpib
p4m7oqczxceLu1lUAHoCP16N9VOX/SngSeA4WhXhGv5ZWUZxBNml6ASpU0twDyjbxTMYevreffex
BQYzX8OkUWpSjlpzSHHtOVt8wrB8KepUaWtNdrbDNLgsXFzVpBfwVutLO3Q+d7/8xbJUsel3zJui
mdBaat/+OL5h5uVN1z+mpPrXZzS2GASJQB9dAlbnXe+Nl6kuLr5kdlLe1u8yDjq5aSELj8a6l5Wm
AdnXPWCueVQMogeWR8Gj6Z4CJpheNs6tdieKQlgmV/doqupALXj+XhYhI7fYpU7lnSnpRf0zmIeM
Mwq8VX/wNPc+sOtzQZBwqNo1CYWOYKEIigvNbJFdzuw75sRfi9qx4YDf9Iu32tI/7QoRIJgVl1PM
2qHT+9SRWDLIc7eg2IS98feLrYpjYKlbL/zmrPTkc7KCs7ekz3mBg8QN9pmkrtlWEAT5v9ZSkL1D
Q9h695RgzgnpnqEO2km+HIr0iIZrl3Bo6tfaJxXWxm62qu4eJZQM27Uzr1tDzm7tNvgWO4ufR9Kr
P8zG1uLcCAYSeqBSi+XNqyHJlO6AwpR1rMoUdHBedyXhVpWF+rafcOEUA8xuBjg5ptvROBg9Gvxr
L7sC4ddW357LPwYQY/Va5lZwmaT1YDXDPYQe5rQE+WcwtGk0tUZ7SdpW7G2/MYmNJtU774sHsYzO
gXmUv0YrSUvBRqLpI8qkQb861nKzNxFr6msZMk12W5Tt8ELCuk3+8iBHjSotnC5Uonp71Q2fk+OR
g6AnXL3dqSY7/7A63oXakBT3BZE3kwU75sgVfdjivApFzjRlBBYJ2HOr3mYy40uzghxqcFkqaR5p
QuG19dDroVw9YIrAjrFKj4TxAlN6nwe7b0E18N2SBgcKmcLBgIfp5Ys2zRtWJbgBiVQxbUxUeck+
vtAmTK3Sg7OAVM/dJlOY/jYIZcOys38JQWFg7msN2o/N0bTXHWVh9hERyZc7sxK6ktz3eQpidMrB
lnol4gyvMURZh2jbc3m9c4zDqzNYh2Eqn4Cd0cRKX+wxtZGFL1DS9U57HnX3k0b2NaJmEjQRPiOg
QnnP18/lFhr+Zplqg7PhAr1U7G7IvKAWxkkAGARVdgjagzTREFCXSD7iVEcjrge+Cc6D4YWGgZhD
Bt2Gn7Idr/A9rmifXXOxb7VzySXVrMH4U0zihY8u5ufXEDyDx1J0iU+MLxlZI5Cng+CS2YFj38+O
yaRGfDNabNaY2VoClvd03sdWlzVPbZaN8PQZNZ4mPZeEmAx0MW/bJQ601rmNaXFATvTeCu0eBYyN
jI+sgSkpGNUapiDm+0ueofPi2ibwJAh9HRQJTTLEMrP1Y6KIVxmD/qFw2jJeUILrMz5ZpX20/tpH
ekn4iEXLCY0Ec8SBjoyn3S00Cj5ndftqK+0RmcV5TbQcbpIvPDnQfr0eJ02jpcx+9RbtxkrkzdgV
TNs/eB4NxtrS33ytN2IYrNUB6ZotCHl7JKegjVcaOi5DvYkYW+0pyIs8bBGQR7hdyOPuLMiU2bDp
p7KTP64nEVZugj4zoxKoIrfRQVdbVv6fha36hDe0AW+o3x1K63cYlqY95Flj3IZ8Payi0m+N8anP
MKQbwFkJEutGHee0zSd5J/OVitEaRTH+zMpRdTjWh6rE7j2TQF24nLj4V4b7yhWh510Lf5JPokzr
KGE7qm0rJCD33RtMeWg2gBotJxzDWmG0TJv8NHgrs2SLZXPCajzTtQuwQ2lpZ+WRvWm2a4sP3tYE
omRypOR97ZrnJkupr9gCotd8tnaLC6yaKkSRHnU1btu92y4x8dSk3+eFdimzgfDzjhwavtoNYfHi
1q77RzZ2F4SNv128DwZ17oj0vhr+9qO52t/2xASaj2S62uhgnNF+rLYc/oqMLbRvK9H/8wKMkmM5
6fsPfcxfRqVDQ61GgybxVSWSWcxms0VWDT+0lgYnbc29/sbmhd7A0B+wo7fXOUBX5wlN7suSHbg1
8Tn2Llr2pfmiWjTfWZrpM2t5PFENhv2ZqKqBHMcste9Gib/cCdZ/2+5VjlQc5KX9o1FseGykxX3a
6P+WQbjc/qDzA2hAWIzrEtaJMeH2tCJPn7ODZy2cCe5L2ubWMR1Ono1cAjbkHg0V+l1b21Us0wCI
/i+JBV+NfzK99A8wtXnEFc1lvrqvOAbdS6t1Bdby4pb1APjbmQJfnH9YWXXS9UIczMKita2H7hVb
azDlLyEbCRQ7YOZtQ/q8BYn6sIhzvmrOzsqJ0WpRpKD7qu6XvAT0tGm/wKoEftsce41/sK6tJiyF
9ogIA6HJ8A+2V6dN/bokjkm9OfaPrJev9I67B0x2e+y2QHOTAYWS2gXA3dDeOR0zaefOT7Qm1HGl
O0e797naTQUmkr4ZXrac7AXOotms7zIrHypQJdPHrk6SfXBFwmyHShswRwu+MNvymR1q8liLMU+Z
Llcch8gHEMPwyAXOrpqxqqTDGpGy+GwvUZ0v6n5OLWyhI4M+eHI4rh5LUFB+z313VgGuf8iUyyK9
01h0Xx58j5vN74EInnX650KamWljZRzI6tKN6glhvfT+psUQ4ssldFMvc5DvauYnIg/BR7vQt8xK
qsHnw9Htl/Wm0vmi0ADCGeMY6pNsZ2BbIqFOWeSdRQT6C9SlBKHOuBy7gXrbqYxrGsOOZvBo2k5E
k80HGA1Ocv9zEtsBHth9lKWfsifNKigHfswJ9mrnNIJIv6LrIzuBBTVb4qAQa5cng3j6pPWGOAi6
GjUetmPI2SOWfjYfJSBfoXwKvcfaYWLCsYz1uShxvmgIQXdrq11FsUnuskO7ms+0SxfoMmNNb57x
ML6v83jGD3fFX2IfAl17oXjrnHqEZZn9GgHR2qELLoacrD0nWvOV1MlwyY3maNCPio4aEzJfMxeI
3pmR7Otfl6rKfKiCvZkgn6iBd46T77gnqgLpJNDXo2G2v5wbHqp7jZsGqUVkWr996eAdt1ZAN0Ur
hyc9Qgk263l/kF27YNBmte//tIGpRV7ue7uMHt7QnKnVKjXz0GVjfZwCuUduLveoM5pYNdz9S2Mz
lBTpu9/HPh77Q1DJv6I1rqNY//kEShBezbiKqfqgu6DzslwgjoknCCsxHpiFvlzouVhohCjY7ERB
GRh3mnySY5Bhi9egagFgMv21SkeBiBp4AH/NUVIVvBMLusTSU4/5sF4s8nxOxVzxcbXMuotWfVvG
Z1oj2tYkantvJeh4dhE8u91BlQVzR8uolb1qhnxZB3xhBhaVEvoE6DdxufSsa1KASdWL+don2XxY
u2l4yQ2Vhi4WEuJJ0k3epHadTWSDWZclSaXeZpgbNvsUCR0mZ1pQiauB7JDmgXlPmW3/6dhCi5q1
Oxq++MDjmchyomMJ4UGR5NaBd3bWeDoHK0BW4MNBO2DcQePvAn36Btj4E5T72a0NLME2j59FkgeJ
hNmoSHrt3xFSDKdZau+5Gu3IqscubAvjkCI5ymiGSLw/NdRla1r6HUUht2Kw+jgYbGQUVb1Xi8dB
Q91F5SDw7PHAaJZbE5mer49Ojx4VFyTHRnIKRKvf0M3RnfCWNxlIpCgCThwU67Ylb12DrgMB/Q/l
M79u7zuMdyUm8La/18nmcC0NZ4Q73eAVEPNiu7XxpbOSh7nru2FNDCPyBHhg+K50hRLMswAQpqbS
Rqu8X5TA072DbM7rTR9jG5sITNyZOqpT76BeF+b6Lw/kX/5FOb2eGp86opF0RNXYZKyaJYbzXa6l
OjYwIhJkT3mS0QIFZZMjT6oiQbgPssNo8HYEMgC+UxExCsXF3lyFPcUq+FiE1tw0yVZoLuLK+fSm
csclMz39mbrAvhVImKqkJD5UOZ9jhcYit7DhEmeNaGh0MHrm8l+TQ4kvwryy4H8Qgu6FoF95qGne
O67MrmrQbtSrH+bNu63XTynr9ZkzPjLcHQW8mz2u3aNKgY3U5NHM+te2Pyylgcyurk5aajnQR4wN
ZlB9Tt7iP/33i0B7baxARGqQB9w4kQQ9WZryp1w0aqONxAZi4NwwC4xRWsdBIArtWRo+maYZqR3F
6OlH9ADPZardrRXuwRkqhVgDi7FRaHnYs4ID2VnamfyR21AVE2ix/pSkPX2v8mQCGe6TEv7NAZe4
jFlA81ejwYgzJCElMiLZDB5WEAdLjD6enKRsT8Lepn3o77wU773ZV/eTN/6lVcygyyNMUE1AJqGB
EGOLQzknm2bYki4rttydQ+ku+vL6SZ+WX45a/5bp3lcxOGDtJqZJc/DiCcy9a5LgZBG51+dMLrlZ
5Y9NWZ1WemKRtACM9SK7OEafkHdgJpg4R3SThL1gVu2Oulb/kSvAl2tkMXa0vVWRldAYM1qCxmsj
ThS5p8jyqZuHP9znVLhQaZpei6HJriSWOftl0rFzz9Y3gvvqbKnkpCA8XZUGOLgcvO16RYolLEWI
45B6r4R5YtaaiYFdISKUQ+TIbDwW9CGgE6mJLwl0RvWmoWSxUTjtIKYsp7ulJ6xF7dmsZYyX/6tO
V2xntPS4DAJhQhr0DuiO1fUPYf3NPZET3H+lZBAlpbBcyu98El8bX49fGWJN8qI8mYiPcCaNmC9y
oGWnrtb9jCU7UpOccbEW7T5Lu3pTdv70+UuhW4Av7N4RFkNNs68micu6gd5LNCW90j4CV4OdQNhi
oJAb0XfWH62cBryFeWRZIAtGXI3ENw0BaJTzlo4fduZizkmH9HF2+K8Jy2m0pFpsiZyQB6t92U4f
a7gbrOQ9rbqZiE4kjsvq/wtM2HaarBB/z2DmroVa0VpetHEC8POs4pj5yR2L6V3WE1NkMcdMwbJe
PLf/SIZlRmmQe3FeJh/SK7sbpa/vFubrw2ZvsGtI0L4CanJNUVx7GBOcYXBHAE+ATI8BXoGrXb5A
5D125diHhmMxH1tROzb/fK1z7rjzH5dOTGxbBoffIu+JaSbKLvfWHQWuUHZyfNQoAGoyPFrUl5n7
GQZS4kvb9eUmna25U1tNK95KfSGy9GKmJAONvicZbo1HHAUmUktCXRZfhMSRJOfOfS58ldyoIr43
2p4E3lUTN1Fj4a7nqgjF0KQUAhHZ4uG9eDD195J1nnkduqvP0VQUTFIPgeRh2HAic0idY2Ul2dlg
eIYPgdnoIBRl5dv3phiwHqg/stHL2OdTREQosTXyFV9SpMc8JZWFSCAx4yXbV3IQkY0idKpWOCs1
kkuK6+GhvSnXKx7H4o7RnoffsdaXzG2+LSKBGhdfudeCO6mCDoYcJQkWf/zSSf5r6oQzpXUbdQZy
u6Qn7rapuGgal9qldXmB2vLBpuosEsiUUufmy82KayBh1/Qgu4zWpF2Ndrkvu8Tc+6t40tz6jahp
+kfpN75Tjkc6vfUZOE5ARDM6fq6qf8AOxMl66rQSXNB3yEV8kHBKrWOUs4inEcbEwbr8sxmSjrWB
L3mfouXdIWejr7q16NwueoPwpF231IfCL7+5RkglXuDMGVHZOBH9siCdhK7yS9K0P9Li4a8ZL1UZ
3NUIXPU5XSIMcCiV6+lhLUp/v8UvKHLqAJ/JDzKGAc0awNHSFvmBmoH3wso2qgSRHeW6VGiRntZU
C31veEQIWeAfwF0WJboJIJVaGGETQ+5l2jxnC3pqmkmmvUmd2E4lMezTFEtjfRkNg5qwzXqTp/8m
PdeOWjK/KWcgXSDx4Md8IlEpwFuU88A8goCx2ZWN9YF8e45HfKPR2g/f+sSJyCt3HraoGOl6+4xC
Vrh3IomkyzxPxFp7wRYbETr/AKNa3ZnKviqUNyFKPF5kauwVm+UunZgLinnCRu0m70k784WhdiCG
QB5nDc2WoOjDnX2uKg+U1vXErzRc/UQCUrzSCAxjAHPS9MA4TAU3HZd4TRO7LuH/4V/jXluRpTYr
jyveTt+g8ISADAAlhxDVorzvjB+SyBYEePRcUq74jVhTC1fJFa5QcoB1p2dC5iAVh/GhpkFvX9sV
qXhw/YvMHsqpfp2dZN9WhrrP1WPBVoWNuTsjuK9PwlFL2M5zlAj7UCvSmYAXcpBfSSxaGfd406Kx
3NQkA2SNNpV/ecto1oGxgJOZnJOeI+QQI6Eaql1+fUCiVpQTchVbxIFRXOv6v9yabEb0TAyRS6y4
sIBXdS3p9spoDFaFxdipqhmODo8qh8kegolmZtaCO6iQBzKh4MKlFykHTaOJnMD0vwvqUPdT299K
+uT2q43ceO1Rk7ZZE05LecTfVZ69Xv7iAcpOSEBJpidSWH/qSjLJJg/2SAj3r9TrnHo+sDOyPYoj
1n/znZDTo6132fdg4GXIxnfW4hEiY9sGO5ldRMAir7hd1znlLemCEw6HQjcEjZkONn6jEHuDyriQ
eGnhi2avZfoHzZf3ROg8FeIevXgWQ5kURA1VGs3HKsryyT2ZphN6OBEvs4neryw+wZ5Jyl75iSTq
kzWRFD8b069nEDbh43MO7fZuFKqjap7BI3fhrCfPDpgWmVzHvIGJGNNoMMkT5BpFX+i+DCZJIAIa
PhrOniVx4QcLNbJpThpxj07A9CwTV3XfhnSmT7ukWrIwlRa2dkjS3kx1kl3AlP22CiIzh0Mb+5JR
ceqpjdCRqY7qNG1qp8QgxmRaYlweZP96soksPwgrIzf4LrCTaJeq1ZstXjximbExcDR+iEOWJ5mq
e8Yi8VMkGsETRtlEwiGqAyQxIRhkIBx/RMQaoZbszsuoMZLhYdQXjVN64EfWAbGgs7lJxy6hdw1+
CiMelAK5QybDDzKRNMmPnQDaycAiEA0AgtXzX96Tf95QVRejQGGeubGdGl1sVknMe/iTWbl5QAJ4
5EpC02xCvLQ9JE5TWMbVo3uXj9mMVp0ijeHSjcH43FXVb77lurlS/5N67Lj9YiDllUVoFy7hK5ve
J/DWv5UToF9qtIfc7NZILijCG83b0Wqq30QAqJggaoe3EBoztCLfnMz20vErhGrt18xVfCSr836S
C4ZG/gfCo1tnjR5om7zzqFAKzQ5RfO3TbFgioKnJx8nw3jONkcptEMbv1xjHJLxA1dYcug5+lIDm
0XnwPCKs1329ui4JH9V0MjwcdjS+KjJBz1adkvmPZoEe3/VPO2XmUSQ92gDx2sPz7TvbNKmVgsZc
xwatqnfHVKGdTQ3UyWe+Py3Wuh+zfzWh53/0AXKT+Kbd0PABpattbWPxPd9HEqYYT7nS8d5XU7V1
tNf0oLY9oXTuP7rU2zgj7C4NRtz/Jn5iDV07gSGQ1RlsV+V2BuD+wLZqGJFfmOWdTexWax0cUjI2
mSakSFF9rHiv40nn48LSgDIoW16NVn+dDTDOFUbYKkdjx48DXm2tCLWa7JTP9A4JDf90k07XwfjR
qokoFwucLl0BE71i/afhto3wX7KVWoShd53c97oi9sPBvt9MvxORpjgYnNhEd89Z/OsnCNqRXiOr
WE3kITpLsibGEJ2dfiizzgqx5+KLYAAjDWNvjsl4RH/u0weFrVUvCDZx4XYi8uRepKwfg2DkQPXU
H2NC6QetcS/7Lt//r6fZ1PcKP+CJLj46xXeBo8XnPaYevZmBfdAaoTo1nD/CQAMlRjTdWROcVi2N
spG1frURZLHtOLxVpCN7qXhsjBScYnWeVgvZVyOXS057PYsYc2W3uN7ZSTN++xajidITCSQONonw
DdDRW9w/vrUWB5SMGhSIQN654U+ZX3P1dYw1NAzgiD+XmCZqEmoPWVa8r+uwMQ3BQfHAdi3xUmOf
WKFfej5IDSrAeV6nmJVI2j9Nj89czDUOe/ulT5joS2ci5Ktdsvh/rWsWQWXUaYznGUpoqQkYRFxL
yGeBWo0XcFCcVdKer26jXjBm3lVmFbVpCvqYNb+TA3gmSrI8HEVYkm6PWGTq4GYmxVfjMDIgjD9V
yn4ukZAfSokLnpDBU89Ic6g0/52N+QFdZEAgfV9i/ZZPLnH8ne48rhD3O+AbiBy8i2PRk23teSqs
ev+esIEfbGr4C7Tsy8166+K6VazBk0cBeX57n+wZmDbOSCJMd1C2cAFO8aa7KdLHQI9L4ceOKnmW
ioH/lBOdkZT4T3koo5WRF/PtVli5kmuT09HOhEvArR777KW0iO8D33xKhtLbSwSfrBPyXFX1R5uS
1GXXQRXR3xFWo/ukm+A4KE4sfqCc8M16eRhA+neE4BqXtXrrUuczG5KE457S2Nx5ntMpu5XoXxDm
bZFi+WYM/z9757EkOZJd0V+ZDyDGHHCHA9iG1pE6s2oDK5XQWuPreVCkGbt7jNPGPRddm7asiowI
uD9x77ntMjvH0SyFsdEMQ60Wm00S1O/0tuKcCfXitEZ+Ggf0R173Bfj3iO5NjojGK/PJai7x2Jgr
0eX3dMRbArH1jgD/FeqAXI8dvP/2s0n51Izma4dpGMESm0iEdaCB8+hax83jEFYbhnFMjzixQG3a
hwERAIaQCJc82cpsnzkroGcYbwwN4pPdGW9tPb6OisEJ0e1keFcW4eQ4jUWYECxR2w+h0z7lRXpV
HXW85fX9OofhtP0P3La+CY41PtQaWAPytO/OMjaPcd2soGPgsbE0zCX4Z2Zg6E3aaVQ9b1r3EYw3
CqZRQKNxmdOY48yqMrEWY3cAYQFBjFl31loPPrSD0eRCJdr6qEVwmcv+5huWuHXCO7vt/NTK4kuf
4OQM2p1E27JibBMwCcnXvjU4RxYB5XHZcbetMT5NjU2UKF/U/2jChvm3n4cHtqIXoK3zCtEV+j+Z
oejgXmdzePClYvUzL3rTGBm53V0gpabrJjb09je0+//x5aYE5v2/48tpKn59+8fPX+k/bkXd/vpj
EMDvn/zvIAAp/qkdPM22Y1kaGCi4/+HXEiZqWuqfpqtdqS3FsMZeKOX/EwRAypqQrubHHFO5hBFw
NS9ZotL5p6bOd4SwtQlsUf2fggDsPydfOa7l8tocT2KmEPbCQ/8zvhyAXtQ0TVk+mNryj6oIn/rM
G55SVGpmO1I+u9ZtbMr5jG4nuzXChRIhkhP8SUYyrDNurjiCFZ6X65q5I/ZC6m/aC9fAoItgPPDI
pcnL7NU144xsohJtmjvNK1uVFyrXR7SJ/VlF04czJaCdKvV1qkhTA5qE/95/q5NxGc1PF24c8g2s
3cwQe6ti8ToH5RHwJH60MSzubjMmm2DKH9IkssHTzA9Z1QEPWQzzhc4eUPLSVqXNkx91cjfGSLdi
I/zhjzWGqdEcT5FbZ3+Xlrek4f0hZGF5b8lyMJkfKd5j2/5L6BwJx3oYmXs9NIBKNm5F6c1WnTyj
bN4ncEo39A4R4/BLnLcQSuNG7uuG1A6vHC+eAm7bhe7VKXy6Tdk/qQlBWmngptBBdS+Ln1WczTA8
8WAW0/RfkQR/igX+xx8zZvlW/strtzxlE0nm2tIRf8Haj4Y7teiKyodS/ubLFWC9WBFS+5v3uPHh
q5DjDbeBI8Wx0nzf6sxBuvtDotdZR8zMjoh43qCK2X8T1faXGMTf31hveUFQHoTn/Gt0RRshGnaq
6gESY7QGHEVrDleAsSwO2IicmoIV3zmNkPmYbvCCu53E0Rm2pqfYsv7hgX/4r8/yj28TD9tf3yZX
0N3Z0hRaeVLxCP+R/q/xu4bllNYPLp5HdpcuYrYexCZ+5xeL7lvYPfMkdyr37Kyo8hknalStkcPX
wI+bq66T/NjphMupqIbHqvo2DDUe/sKpULw+027VIK5DYxsU6EfLJCNUKk/fs6azt0DSdjVGh2NK
C4koQh/t0fjVj+KzwRTXecrCqDCP+8r4jsjWWVMskQAU63abumjYZDG/kxk3bYuZcCs1Bm///r2x
l9/9T19/3APC44OyTc9z/iXXb6iiWqVOGT0mE9Ts+BhMxSviSZjVntjZFYtFC1EyBj0Q2UxUklbv
kRJ/62xmTf4eMBwbs36xCjfXokyui42w6VfYsS4CqlM2Z484JX4pzSAvcaxb1QRvXhPctEiv+Tzt
OH5XGhQqgtp8N7Thl9A3z1VkvAyGdUuK4pR5BklQ4KgXUJatb1kPuGJyrGjdOt3HrMetzzydj6k7
BI0D1qECM5btOpU9Yjd/qZJdMZd7/Bn4UDdl5nR/8+Uy/3p+LFmkHPG8d6Z0sT0t0RN/iJZogADH
+STdR0pM5QoWWSEGfJGMwIIWeTgKyPOoAniwSe1sapvBLwokIugkjo/G3f37z9NcMmH++HlKrNOE
0wjUWZZy4ZL/+eUUcwHYu3Kzh7Yw7iYYwBUzZf/Qtck3OXQx7CWatQK8BebX9l2E/lPWon/QDTyp
2jDtvYiga/SQKlFlobZxor87G+TyEv76El3tCcXRxdLS+UuszZAVUxC1Q/qA548luIIO4+eoPOoy
P/eZOQGYXKrOwXORX9OsoUrdu6P1HrRBdsEbbR/8tk2vNQ6pCjPLTUQdic4NT3UkvLeOjDA9xR91
k7c72OBoO8bolrVQqtqRAtCvjK+qkVuqUATxbQJnVrMIyiIRbf2eGbKZjuk9M+DF28b43yky//uR
/dfnjQPRJZyayCFPUDbIv4Szqjo1bZK1ogcfZ54RJeoW+YgsM7omdvb11qQQ3lH/BZtZfrJchnYP
vuMyDKdoqKyVmcmMqCoOJlkSQmLTyrBfjJ//r98iS3gWP6yUyelliqUg+cOXGv44fIfMjx5a338g
C/mKsiG8DHhEVzRG7Nsz5iUmTlZrTkmCq+MvfY8XjFH6TycDWexMAiMbqjdEqCBx8EuKv3nulors
z9+iJXlJkOdiS49wmb8mnI/C40WkRvSQYThe5wAPjqqa7Q+/+BkawS+IG2yYbWOvLBq/FaNYeIv8
SrAUq43ARPkaK15jUE7AgI3hAZejCQe0iHZGiRbUMl58PX1GvfqEdhOsK0Ml4EH79b9/o5nw/cv5
we/B4eGZHMOmohL581uNQnqyWNjED3YLkq+3WbtD9r5ZRuLcNPPtqVSEkykxPmDpejANFudVmH0E
EGJy0WfHNkfzlGQ4aoeqYEmsL8p3uXx8pufoN4CKRrAUJqM8NXCS17aqsf/M4h4gLSlbTbaCxKfp
jzo8qy55Z+CXwzTX9dG1eICUV7Iks/JgW6NNHObC29vYtOiBox/p3H4FDtncQit7hesNeqyrPvJQ
n6akBrmP6I1MTwThTct1YCYM6frE3EcGArURUd9xUgYARTICWa8/gpzHgJAH4y3BBNlipr7ozmQc
LGrnErySFBLsHckM14830ZjZlyZui43HaEq3lFi113whE4CFbdP4JNwjfS4G/Fs+NOotBMX8rErz
FMl8bDe5dh4iWj00uf1LaS5r4HEqd01ksgNO4kOVO/ZHeBpdhR+tDYZrA7jJzdL0anfmV9Gn+jzV
Ch+9hUDcGKieiuFN2PLKdtx5jCmfwRaRqRez0qmj4i3rQD7Leu7vqt+FcWldA+HYrJ2hRbglpgg3
B0ojTQSTOQ3ovQH9vTItM9zPLMc3NBrs4o0uu3oZUBmHT5VRJqYLQ7tfOWbybYkWsyjalt9I3exS
Vfs+ia5p4LlsRYqnRMfNvbJYjPQI0SezfOvt7+DV8osyZ2ZGKHEe0PJf9FA3605TI1VVujbaqH4u
u+oaGWI3ZRWW55qnXsTVeATGhBNCddYGmG6H+gFZYFOr74lTH8c8HK+2l7339YBGIbSau8udLQhF
f6ws9xOdKXxiW58dCdo3mRsscgX/cOmUwSlha7YJSxKaVGCIrQ78b5PfbaI8SO8MI/CKFkQ6siW/
+ZZE69F26bXHjVoWBQZtrzE3kxTfyXJxzzkuYfja/i2j5d8zNTxYBSagbiyODa3eYy7ld4AdK8c2
s4t5DEe2cb7obQIBAsU8gLgP5TTy1FbqLnuOl3Jun3kHXkvwiuemI33McvptB4UQ0GEKYenH6IWE
JQmml9xn5tbi8eu9eXyRuz7ib1dN8qtt9A9+s72fYhaPJNLQLvseZadJ9+csn85OMIDJCO175wzR
pVHoHRFrMghN7s3UHAULEl25G9zciF88UUMeerFAHB2cjomE1bpns2bLn9qUUqNyV+bEWr7irV7R
xe48xByZgZduBNJ7NOcb8u5jmFfOGX9sDakNp6zyyLD1mQdvDZ5iDNhis+vSqtvL3CUZA4iw4K1a
ubOEg1WdCJ6kz1DFHjdoBrzKjfcprMe8gU/gfytV3Z8K0/thSzGd8H1HaBiT/WwO03aJhtmILDum
BfizsA9JfIGrZeLndGVUHr0suduzJGQjTnddOXXrngmhOzE7MSPiK0VJ4g3jplSM1yqWHFvZ8GkP
IOlGfisV9784Hzn1lUKnFTmv/H0wIQWBV969i6xlaRLsUrjhe8uoyIbvxQeEezZ5cf7cgONurSjb
TxaBMNE3u0J+MaSLhg3wLqIOfg8nhywfOtvHRAEDMhUA0QR3E0m4s3uISHtYRbVRb0PD+cjwDImK
yBpnIm43lOZL7gZsBgzZoFV6jCaG14GIPgLG5BsDgAmQzuem7b4JRF2Rny1eyk2JPYvlHhtcZ1bJ
2kRzATBh1bnjnRUlABlK/JUpsm9EVb4UZlTurDL8gNuMfLkieSuBLVQOksCX0QLc6NrHZMEF2IzO
Oa+aj4LcDssKmKD30wtNo8sMdp0NniI0N5i3TeHeXGavGy1BWHLxDsmpbYt7XcxHxEUZkiIWogKL
M2emCxOyYRFQIp8xev1M1eqcmbavTTzVmzKEYJdk46dn2EzTAZcri7cwVLhdYhE9ujGeYtk2sDjC
94T9Ejyd+pQ4Sb2CS42rU57IRwPASQqA1jmWEM5FL4XGbppcmT7qm2FATz2wHaFFXomJcV7oCr5f
DGknDKp6wJAsSui6wmN9nVjYai3vPQwm85RWaOxyxoSjEZ380TLXg0VR4Pb2s8y8izXa9x6D2HEe
Ae0gty42fqaRNyUg7BwosbLF1GyE0Wc2eg/ZNGPQ7EvIAD7WNt/b4RgKVvbGLbAH+6H8nGYsfy1g
YDfuuRiNrznn+hp9fbhGBHPyU7fYmB3JSj2QoMVhzBIYoJHlkMfBibeCD8qUmiATEGAGokBkgtKE
f9/LrXD8bktE+cmSYYx7kS68E3jM54jSIg7Xrawfpwz9Y1whDiqnjSEhplZ+8RrMyavRkYTjx9Md
qQOagwXPHtukeGWnOg3ZjbXZyIKrffKZKQnovysLXye2S1jZbSo4pEFCRBNBIa2H0r6z8dNW8xpU
gLjWY8arsPsvY4YHNZsZqpjT9GEX3I9Tru7urJ/gFDLkZQqPcmVYQ0Y5aTdSW9ThB8eWqJtYydbT
dw+YQ4vNW0OBWFG3sWeMsi3sjgSi0vcuIpEGxzG5RZW9mRrnNU9qxiWfvOHWqdSZt+p+RyzJfdfN
3kHzCSPmWAi7tmUeU+g66eh2p7C30p3nGeHZWFAjdRXNPNDqcWZ5zlL7M+dow9GlCqKR0QxUGLHR
kD8GAgHE73IduuPDbNQe1jTAgNZ8s5cgeeCHSBSDfkRXHNWXLn7QnK9O4O4ZMUGZbjAmokDHQoyD
Zai76ikYyOdJgrlfZ1bvoyFEMFLxbhsYmS59OX51ep3toa6CliiDDyvQw8dQcxM2g/u9bvFNiKQ7
zYPP+15SFe7AVUFeXfY8APHaZ0Qu1Q4rn78Lsh6lpTVy2iL9ejQ0JhhZBnczK43bkAuLLyMSmFKH
+h626Vs2zPItpig8EToxNfQFOZf/LRRtdqAGnk9IO8D11sYPXbK81qI3PtyKiBkXfcytW9wXFSIR
+lP7a9vl9kFy2sYGj2/qYb2L3PnJMhi4i9x8MpRz0dhx3jwHC7uJ88fNwk1AGsa5LqZHvr1Xmgka
j4UWUcz5U+SCbO6MMl21ImTWQxp9lBLZ2xuwUJfJaUHw3kZ3bPJyDQ6PB1Lv3OQNerc8Mq7/DGYZ
78IMl1ZIn2HOrK0qBqeKlAGoISgSg+Zz4FB5GgYEkGgj+Hr74dvkATlwLi2b0x8pwmDWc0BdfOOF
VglaW47U0EfA+o7bHR9CqNQjKEPMSh3pAlUx3z3jWMeUoVOLraQInc/U/CQajfjJaC52YPDDTZEc
upnIkTYE7tIG/R61sHWejYGiIxt2U05ikN0uiL9isBgtjUh6QVAe0vo5Lefp7iURthRvdk9YoG0k
EjTSUw1GfELzU6O2wCmhjFMfcyKi8qV2MLFQtG58ZU3d33EmT3tFVst9GrJlB7MZOYf2pVMQ1GUs
SPAh2muf3pW6Ai16ArxQGek3nestgvNgW7ppRflu/bI6BRSy9p9R3aEmas1q5xympBNX4SAvQnpO
plsqx7Xbifohd0iWDorkmrXIT6IBLhrh5ayudctKvaimSwee4zQDgyZ9L3nqtRWS+51+5joKmFAH
wZMq5mnF2Be6qFWRUD6XQGCVeUv7BpMt5VdXFsPR6mwYCCmS7qEHsZuOdMU6sO6ej2aHCMvxZbbJ
A2glpSbQePg68GpcZyxviZWd7CQzYdozH/rdT4k+/KhCPe0RuwZIAPisx9Y03ow5f1GhcZOyEw/G
wQ+KgeArqrZg8nAuOcUOU3zVVYcZ/8GzcMcj8anAH3SYnILC3Oc9lAdXhdc4yK9WqsVB8ITvUocD
Dph+cU1C6xVJVLTBBsvlLwkYMfFnrQkmtcnFQI1kkYZ2LweDbV5jCvDGUOIjktvXdT2n3P59cWIO
dpcNh43mhnNToXcW+rbBGsWb4/+w0Auf8QOeuzJsNkVPOkRpFxBUEJwd0j7dZnaeEuhjyp1yJzrb
6Rs3LLUj69YOuSSb6wEBvQ7K6JQt6MIwd6ZdZI5Eu7lVe4gG+7kGN4MGsKPCLO1pazbpHTiDPHLF
8MNolFgF3zVxpT7t2o7K9tugUoY+7byv6uxWZOW3pXCdMvzXbgHvV0b+ymQulhuO3GCy5fozA+x8
0Ka0LXcyChnbVvor6VYRAt7ou8MLWlH4/kScggCvxZiPPq9fefLSecHHvJi9g8gmfMSLjkj7N2gh
2NlmHJSRT5HsYbFwWggAsuXVYmShv8v1ySqtBuR6hvjEYwGyPCqC4MmmFNBlosfWHaeDxpp+RHBW
X8cJPRh732YXFliBsYqF/JyYf5hYON+TqtwBXIcxDnvkgZpeAD8m6MYiLXSjEtxypg8rTCqWNDVW
1qpVx7FbWAYJbU5XkS1pD+9l8HO0CQ5VIk4voTm8w90Lj97oPrW5nW9T0pnWi2raGIvikfNtTSih
8QgapQh7xIzdcHAkhRi7KcS4I0o0UPrnYqrXRgLBhQyG361h6tQvPQXrOqYG20KRwsHvqm/clP2W
0cW0NtF053BgbH7h2CqOGExWnRWy09LpeMYRqLeBMV9yWXGSp35yafrpPKOpfsLJMm28xsUcPpQM
ArzqfQS6T05wcrDz3tj37e/ENmk8Zy1ZrMyzGBb6pFuDB+huWUL/rULEamEVrnu09qtwpEXVzGnW
JE41Jz2qW+2o4mmOgpjcNM/dxl69JbvE32nsnmub1vOufA0QA91834nm2XVhtpmpc4U/Q+TsCPFF
Axs/9kmJRrVzn7o4+TXEBXZ/y552MyoqvADiYUDKtR8nHLcBHRNCxPGpl2VG+Cqn/hA7zS4IO1qU
CpFY+nWenWZfluWS7CDEtiFBAeY73VrQkF/CDr9aqaCqdm5J5N1o5PLBioovRuuYfGeGaOs24VPq
tOPH2Wyd5twHxiOZUvcWP+LZhhyQd5U8Ju20ED8CWqHU9k+1TO6MmpGP1uFXo3pkrU6ol8r8oz2Z
tzYYixvEEbFqTAg49Nz1xvU9tLoTVAkW/dU1mXlaDb62UTuhkVPoQ9p2fgx1R6uqKpbxSXyzHYx6
qB8bgDtluI/qFOsEN3kwwKeDy0xP5AvIu5Xo3tCclJuC2hKLAmSE0okuv/8omxrHAbQQZvVQBn7/
QZ/nbzGD/mrcsT5LQ8PlS7InkkzMM997oJOlfK1iHPJjAMy/BG04D/YjlyVKevZDayIKMPh7UX2o
InQKbjzcCdOo8GWQf4Dd2d0XJQhJyttbm3Gp+pLdim8M/eMybpiCRh2tqt2l4HfzobRvfdKhdp8L
fch1e9BZRSZm3xo7PcbpGStLhfiQi8mao2lXF03zmFWXkHODDA+gqOATh0utMFiG7B8IzkOKRSDH
fphIyYuyaFv2MXgGMnfwgVZ3Pdmsksex2WRuVWwLc5RngaU+CEVOx9uaF061Vkl9DoYEYnI3tIce
KA5TACZVvQsLqsE9kHvJBTHejubi+2+j8u8/JFIxNsTPds5noH4FoFWTWlaPUFribWOULy0CtqMT
VeKIuGsPc7J5TIl1S+NJ3lrx3rY4/aF7Q2aYoL23QNnOQUy+B+osNNNt8W7wP1Dw+p8cItnZ7zKI
4ulPK6qaqxiikDepTmkUmarme+7N6Schb1AYc345hRRtoxZ+J2XZWtPZA+MNoqN0sl8w04k8Cqv0
1ZowA+MXwOc3Fs9G3cDemAVtwayHMw7WtLuZ2vE4qSfvgnO0zBvnZvTuQE7a3AC4Vc/gmVIgl4wg
dNBWSKCXS+YVKuYVZ5n3UYcpwHiShmT4HETlVaOU3TihgzI56x4TS+jTUD7UpSEOQOKQNav+mvND
z3bB1w5JEQ7nkpgodK17SNlvI/9ZImBYs6w4CoXwfHLMX4YNWbFeThdbdKTUZQ1eyeBSW3QIvxej
0wjfbiZKCa5Z2WxJhg+ODDuYUl4J2hbrOmztw8wp57Ja2fp+eoaTh4fZx26a1mmwC6ntG47YUzfl
GA7xoO3GkFV0AcQgCACqORbb8x5O3lo5Ol53tkmUdU1cjoedLckW1VEncDCy91iobW/kQ+fruoQO
Vwz9hya/+KJyuTPQBn30hcFUH0JDheOhnGiiMzmwGmJovhm95EPV2jwlLB2xCpoMg3X26vkRzknw
Udt6xgnDWIqbXoF1KysEhbky5sNU78xRYVl17GtgW1esmDgl8V3ESAIzgg1VIrdeYiNvdspDVQKC
6dFzmR1C1SoJTqIZgnXa1VuQWwsBHx577eQvmPZYLYie9LElh1O4EKhNAGAmOQRbK4pPuvLEZs7N
DaNJsSFXt0a32vyIR4LNFEN4oA7mlzDOrW0dD+e8tq2DUlyO/ZxOkOAn+EijFew66dykK9D+O86D
XddsQ0M+wqH2vsHLwYWmyYkZzORBa+u9oGnZSG3zERriPptMkoOkgk4yRi91P3wT1nSdPRDTXYze
t+u/gwbiOp6YDJKJGdiYQ3vZ0QRJdRsLc6N7PV6FZBxdh9vGh+wAMwWSHwKzWSZbpyvrY9t7xFVB
e9Ghi5Ndlz9iAD9Wb7wT6LZ2AxI2dNNXe08Fr0y5vK274CLQpnB/A/cBv6aNLtrKODCQsEWvHeuG
tV9wvgySfZhV67fAphPPmTjGiqVIxcqqkGu2XcXdbzk0ffPqTCNZekUon9ywHLFQeqcRpeeJXPKz
4UGYBVaGdBEdbWlHF4+LgwlQ/E2VjV45ofb55bqrU+ItdfzqgLlpAEVjcD32TKYyz3l2TTnvvFzN
rJ3rX95QdDs8DRhUkVAzSal+BIhNtp7sbhi6cZSXiNU8Q+gNcgIi3VTyZqi3Ycjbs21wqQg33dGT
5OggvfXoQsxdmOJMtIYvftAxBsqhfOX2lG9ykM/rqYP+BMoDDK21HTuLNCfbbDBatQe3dc70xM1u
7qtfHcYiQg3QC/YTf6fro1dsFL6vnlM2IVIRfgwSb7iZVVV99WR5izMj2jZzQTBj/jTbAUIJ6k01
d0RomCWj+AY9dev5v9JMkzjj7JQBtiPkQcQJf0sJX1j7wxJBAqKZrIZPhVgS0oxDn51RHrQdRhkp
adCDFPj5SEDiyq4IhBVhjEG76+1NXBFz0zdxswEdeu/s7jmjQkFPjNmH6POHMF2LNgTMnhVHvpvo
P6GfMkwh71soE/Pr+Avk6tltvPxIOBvRjwsxhyKXvCwZiq8uaaRGETz8FulGVn9iZsxWelJE0/aE
LDpmvpEcwts5Mz/jxaKtc0KXIcTQ01B3LgaMyiFx26D1sIX1xWdJQxgkgb25GhhWjJgrgzpANkSA
YHYMMRWtiewoSWxIn/kHg9U49fWuVMRd6aDjG1ZghbfVk1lwRpajLslSnYF09NDqRvHLTw1j71EN
BiA1toMDZ4LHEKyhCXXCVDuoWhNjFudHLgNr05jkCTasNXH/zSzaDWaWua4cYGXZDhHKjVBKOnKz
eq5Yxud2Nh7cFHtXyZZyFRb6YpFTvzYhiPkmQUWmhDnk4H3pTga8cZFmrwmq1hX9QQgyiygySx9V
1rC63zb50nNFkJ6LKXyuBiqIxUlGwMXOqxqmacM2aOVCdRDnHFdT7AJQCfVnpYLkkBMqAnWMAbt3
14SRrFa4zoJ1bZXurgD0gYj/i20+ItkLd+7IXx26DQuGKIpurcGiJ5ywPFkhUmIi+VBERZ25k6Py
9m2IEYUUYHhGgyTjup+vmRE8Vxi/DCzAH16SXo3fc2drXeWI7hMel1ll+G6hv5DlwEFi4ikgZmAP
eAqafQDmPR5BvceJf8Z4BcIhxH8nqvqGYvcl1la/RVcYr0OGpXqC6zqT0MPRwU+gBlAu05cGphgZ
xBalMQ/F/BwCeGHwSHAR2FRa4jR8GeYcQetcby38XVXABkfDpGEVbu1lCDZGYmfB4d1s2PiOEMax
RZZu/zEPPe7x+t4axpldlfKmkLxSUnYc+GljJModuGSELHz6rYfgGUbAsAll8gVyQnMhAWiASWw+
I4W04XYASzSCakP6B9hXoykuTDxeXa9XGG4DZNUDUB4tsoOfAyQr3WEr9fCADNxbQ+l/6zFttwpl
WDx2oMzkue7KTSbJMfHs8DF5xId+o0BuADkYj4Uf3EoIUHZWHAQroL65DOZA394iLg7mEd6x30Je
TvfeMn9s2PCQ7oE6JPGzL5Nqy13Z+Ac38q7Fkj9EDBj1rKA3FDQV5by8tR1eIDyRHxJuOqPFYQuG
ea09sEGcPrPFgyr7DPbOtgk08Le+PBAis454l6mV1KZP9JMpX/ieo3ZusEgDvD+bxUBwYucRohoB
VzJ8JAc0M6tKYlfI7HDPig8pVCt/MnilrPWTL15tQ5xiyJ7Z1qozdlKnXDuwS2h2VzwIxgoC3q0b
bXD4ffPNlRcXnV3CotPIgw9SPtu9JKStMtW3ScttnTEeS5KcTXb05hGft+J40lRhVODsZC+oC9Fj
u2jjBOJ9FKFgyB4hS7e6v4kkwzyYTexQZ/OuSZAELgvINADDjXRo7ctiWhVGHIGkmn56AfPpcYlM
ccJqawTgQQxSzqYp4OzouE5UxaCuiNN1V5yCltgUHKJMjcQntTTBzaGPxzVp7mSScI5L3vd8b+cJ
qtQSAxpIBD4nlkNZ6qLeEfA7XFaaEFkwd/LP+LabH/NwfgnMZuRp3kZJ+9xBKMRn6R5MuwDdkIBD
KHzg7mjI5rk/MjvdI+EaV0np9SvU92wAneALIvdDTokDN4rvT8KeERMoJuWJI1NN+dmrkagaqLwI
TXnXsbC2LLj7dVURh1xXzGPyrL2QoQkMvwGgzdSo43hfPI0ZAFGAQwTMcj3QKHxOCy+6nF7hPaPG
6hH0BjUJQTZ5j3gGlfTRYeHZJpimd+nXrZq9DPCTN1mRwcfV+OiSqsbl2332RnxZdF2x21tbcCW8
CifGXRFYu6LRHLI01SsjxhbBhP2jEHzc1hI8LtB8iRY7BuvvCBviuuZmTIFcuH5B4kAZOUvOCswk
B4lpPUCb0HeKXKIzjXHbbJrUOiIOmA9JOF0qRsHAKwVoimrTemO8zKFJnG/QVhkUkpVHfWdw9qkl
xS9nkxnNw3xovMg6y9w+dVnHxrpw42M/2NzqxEuCi22Y2bVfgbjpAzrbdU4VLfAXMJ8g39y0mV+G
2Nmoq8Swd1T6XkYT2BLytVx4unZZ0SLQFsdZoFdVRfaqZ8kesPx0cJikWCEO8GzUGulhh1OG8ZGx
tyz74jhpfyLzujtZWpTb2mRsaFMGbrwBHnVCXi69S1HlZ7uSYodIYMQ7xtS2yjyN0bSznuLauUHv
vBhBeSES2v0IK94aMtbDm81+pfRM/+L48aNLaiskSLZVTlnwx8yFUHVndBLWviq6msTiCfN0j99h
dsBaQuDnMbNJOuxPdQayVLXiJU74whaDZoW9TMLbRa7RL9Kb2Fl9dgF5fAKyhR2qX6w8iBarTbjC
dvLTbn22ZQDmcxrFPdvz/hqYgE9sA1cz+TxbxRy/0Iv4ZiCTAEcitgqUxBAuaun0N+WSQmUyu4y6
RuNyl08JyfQYLqJLqK1yT0fBLpgYFooNRWpIrMqDcIKYOv6lZmFgOietCw+p5ng3WorZdAbQwQKY
WBMJkw0jHUyWhgcW1/O+RS6DwvSz5K+aSM/gYdpVCq4C5asD5W6mryadjokoTTuGlILuMf2qqkU4
9NK09fcxhqaFIOGhmd2PXAM95tR6dRNeQGT9TP30yU7QxcyhZB7opl/M8ZXsNuvcGOqVg/AGgs3G
aRWs27JVz36dYuCPzg5wZbgGVk4QxMEp+LT6xnoJAn2K2HSuAh7fJJlOKOOOjWnsMlCjXj69VbCS
j5X+wZyUoKZ5RoFrHZnism6IwoYDkaX6xLY9krbeY1x5dArA/BI0t5mqY+OxsMUluidiI6QEgCWH
5vHR4Zq10dCDYaCqnY46tb63gKKlF30pMDDa6HCqFqhPEogHz3QeVXOBLc1e32/BdvjGNevnd6tO
nlgwIEwUWEY7fgm/jz8weF56B1gLIdDXmVlZ1TwXydBtS4TkWx6cvK4APdTmEqXAWzsMaEld49sY
jR8TlXnucBKjvFr5P9OKbDvHqY5kn2ybOv7WT22w8s3kRTiLRNYwt4iomR63cBLmzRDwIYQ1SbId
vYMdALa048d5vEi8bvzz3ZeZwsyqh/gOF0LwNYCd8J/snddy3ci2Zf+l33EjgQQSQEdHP2zv96YR
SekFQVEUvPf4+h5gnY4rUyH1B/TLCZ2qkgTCZK5ca84x88T72mg62AVrXfPD6TCOwXGps+kFz+7Y
8HQ5KRccTzvQq2Kg1078W+L3ywl+O3UyxCTawS9y5lSibqpCZq34thoaZiQoADtBh+rxvi+RBK0s
CTxKiRwkW3ZiDpTUHbbwVgNgV3uH1KcbkeiPuckXhOwZzQZhU2trwDivtQ01+mA/DAMLiH22lqnd
uUtQh2/SSJEflHiU43HZ+Nq71x05CHsbc5S3pKKuxuREXoXWRifZymela9CjuxIKGmqThB1lQYV1
IDPyaMbozUumnDcGuB7URGhDYUflFmCUXOBYv9GNOoWGeVa+xUDA4nmMfi63BNQSPeLCu3R7VsgG
8QNBwRGTt/Zs1NA94xJcVzIxE9NDsBBNfhQWpYBF2vdSY6aKEqm6JWS78eCyLx1stwVu7WDZ8+et
uLSnnEPSgonDXdejROiIU0L4knKUdl6hfJXL2upOua8kVoY4XgaOz1y2h75QnTKdSUyK8hlOLYVC
npMOAxNxmmbGdzwVq4JctyUuALkNPOdxKAYUIw0OV8vuvjNpSI90Giq4rsa+Rfzvm2gsErdCXpw0
8KBRjO3MLrkSvtfTDMWCkjW0zNwxQuvGip+H9SdD6J8QsZ1T0tix4jLVnOAT1yVTV6shOynzKWCM
zxI+BBHyuUfetrsemjYCYnGuAxtfjE+iVP7epLSl+5pGQ4hhkFM8s1mBr3+ukFPtMJiA1wqzOZR9
fPOb6hJJHe9zpy9L662OiyuSohccL5sUwRtblYmlGAQBAEnnpbRSZ+sBoHMcwDDB3ZhwDCAJ+KPS
vxIm/WrDEtpADOGiWyawNnNee/Qy9Gjxu/vSi+5BF+N7nZinxppuKDc3RmCZ26hBocaSqRbum9SN
VyRSW7vU1ipi+zXUvUrEey2Zh0A715Zwib5ndU8NEJYXgo8ZrRCw0rYWO5TfH8w+uusNC1Fglr21
XNE6Ha1NyWRZR+dvhckT8PXlZJfGkWRzukK8NVbsfcfbQ7R5IXsgV+Nn/VTU/NhRJ76pwHgoUpzX
I3wI0go+O8x9l9I2ZyJ+D8WuQw9oBgsRsjF3cfq9N/k+oqj/jEUFaVDRf6GIITpL4J6syAcnmFQa
PmdmmjF+rHMKCK1vViyvUHZvSDa+VgqTS8uPYDjIrorhG2OW4TRGCM7NPrkMLX9H52zbCRkYGXVL
1MGvtRcaG/Bnx7KeTyBq64m8W1dowvJ0aFdadfQD/6Uw4TFQ9oFkGc8kpQNFAXQ2FnRKHCOlcZgO
p44fETrbQ1cZ31TrxNTKOYOYPnvW0G7RnFkR1A5QSHqHPHMZ8VtsfGZpJQ+G/dUXObwh+suOFbT7
YsBFWWtoJHKP+aMvOQ+FFrBHBLF03VJUPT1Tdd1SJ5EU12yOooule2/1yNbjDLFMxetKewtpIYe5
ypjQMOhPqvAvCBq7LUN3K8RE1hHMtvR1kF/Bg9Q4jE9yBlHCN9iEBbNBKObbRuB+NhwmJ1FuPqrR
Tg8eptil6pmjUCmG9H+RpcV0+FtYPNAD0dFzLtWKYYDQWoBpDalA7cxmsBzH3xOTFzOYK4mkMRdW
h4HLHLJkHXZ8TAW2Zh0EophHHJmac37Ry/h1O61wTsGwNxdIRRHDO8PnmsAcolizYuteqme3zuTe
CBWbZ33f4VEOJ/uttFxv6Zn2ax28mpNcQTA54/zM1qaTAF5N4veaONNxysiorx/xrTDQV/VBhs3N
rNW3mD4/lZM/2zFM5EyW1cKKbcBBxQSFa59FA3BT5gbaomOlmqcEgwVCPFi9jYn/O3O6szVpXybb
3dkj33w/ZvSbEn1vWOXGGAXYWGDFoJn9ed59QI+OLK455EAxMepWxsaK7V2YDLRvKyYi8WiujYmj
Vz24mzhpUzqWaYnXLLoAIIDyGXukBRZXyBSoL7vKQlvr3xM2u6MN4B8qI6kAPLczHPBg+s6L3Sfw
B2cUpgU7K0bltKhpbijazqxbSOJc97EzWdlrGC1Dg7+tad5p7N/ljaMOGYrFu7Kg5ZMw7qQqGw6J
HR0KnVfXDOQXJyYgVbLYw4RkzjZG51jPX5LWdbFraQ8MOTn0mfSo8aBsNDefdj3m8aXJagHfuccN
2IWHqaYLyKn3m45zPYjAxwWkpZIHwcxvYgTGAwf0Gg4hTKuRdVcn1D6e2Z5R8gCt6i2kGR7NZ8E4
ZuEwja9OOWUbBOLkhqClWPvOvtVtCAMacb1mQ0IEs/1lXYfbvPO/9Z5bPWWacWYhZeqsdgHaZG1g
B+3CKP6ESjpZRXOvKGwQFpg+rW9r7HaNC03Vjq3XgfyhRTlMnzjFnmc0GLIeojg7MMML0hYoLFLm
PcbgQQy1S3uVptWT1dbTUujN0ZP90jH7rzkYVcym5LzgxiyomVCEMBeiOSwMrOllOwMa4kMQoC5u
HONTGAWvfqJ9nYr4khP/58RButQEpE5a+qgsRLafLOeB7MECpOBKaIwJ8yx5oDRi0k+8XJWYYK/Q
mdRIMHSZpUtP4fCCi3H1cuSDuh7227i1Lllim2tvfOi88ZHD2JEw0XEhOw55JekWq37Gu9geOWJS
BDuSd5gmJeFRNACSNL5hrFmYopCp4ttGDqy9mEmYr8q+eKhktcn76mtio1skV6iHbXyAHRSt8oav
WNAnyfjZV3bqfw1zG8iaOtcKKlzdA9KuxNlAPM3UAW3uBOFjVvjyEtMvTQwaGsTpkPBGoiQn37sy
sN+MhLep59Hx7hxAVMGusRgD4TZdKNGsZcmJtRH+0xhHh0DPDyOrC2l8PXdVfEV1uOgDZ1z5EmCg
biTHaqDtoGsjT2r+W6wy+uyS01LqAF/s/L1tPYxgJnGEhDl3Ib0XRn1sWQSXGGGxmOaaSoweUcK0
YHmhl01EtYulYG30nNDg3NKYijUA8sG9NVhsVbFN8ms//widwvJpfMv16mCrrkIaoXXrpqrOmSja
DVrGT0OJIEpor3AiP0Vu/0Um2YNefrWj8nuFl3ZFA20/lbj3Wp1HZHfy2ffE2fRZq5x82GgxcRTS
DQCDlMkTXTRCequt6kuQFyLbsXJBFpqvZax1n6+Q7wUWOERXhaqy4c1upMI8okiAYPIdrkZ7tgcV
BI6VVuSu0h7Qiql9kdjXcPFxatB0Gg7S8F4aQbmvfNdcpDpAbTqxZwDUez3SLobJDFCF3/rPZZTT
pu/wOtQVz4yMB1WHz4h0Xvyxp/SztywfWBmbtVeRoQgVxXFmoCf/0gWp3IQbyM7RKs4gcExCfNPY
3cAQEJ/FqBFtB3JYStdlEKlvYU+qIfpzWClI7IRiRTY1opNlr2+76qhDiFi18+kYctCjG0HoNN3u
5qQ1J3/bOpUTABghjC1Rhm8BjolNBSyb6eE+I10MCRrK2Tw2pr2dqW1jN9UxM6j8/ZARA1Pz74M3
nYSozSOY80uRgIlUxkCLJRT3ld6M156eSo+ddN/644UE91s1oQFDdzf7LnDVejEjjC4vv08TSZs5
J5+MrtieyFx/I3rxqcq1izcZrKtBB5iSD7TPnz3+5G1oTzmgBJltA4PREhou0OFfaDyRKcB6wJx4
2CE8W8yHg5MRdZdRxN7WyAQn76Q9FYjAI4Uclsiv5WDp2Tb23027mqcL7ZcsQUoPXhl2pt3vpiFG
QxDqNoLN71aJIT3uXg0j5ryeVzduY3ghgJKNOdZDhjYtwYDsJRMDnYNHpibDcazFIHVSJJh8Oipi
tqk4DeY9St3eCfcpsVHQPvoh8Gk5Aa2iB4tAZXQXja4QZOmQO0usEZJaB3+HZWOeX2nayXMb4Cjj
uBFUagdTXyHwA8wVyxcoB+uCxfYzE8NXTdFHyz3a0Xbhlke0WZRUDHNDvG9jiCWZKxqJSdMwjRvG
Kgd2hB5u+LgspnBym5oWAU/o5VbKKi8avI51Pm+S9NgG7EEHxc1yBccoGcAUo5ecaSxawJGmjeS8
DpOXM4xIrC1D/egIUdQ7jeX4kqBghsmPR6N0iWXkDIYsqRjaXSGCN0vU3bEfDUoro98EKnxlsHNI
4uKc+f7Gbdti45Qzu2C2jgvV0nfi7Rl0/sQM6Hsgy/igUW2HWX/vI5ChvicuNvPLeqHZDif9etr4
bZYfoeW920jNNp30XY7h0BE6L2u28ykzIZHvSNOSnrthb8J62gURcgrEiU+k4T3BP202QF/7tUio
cVup9p7v9HtnxoR4Bm9pQt6y25ouT20+3Ua1uGUMIrCWek8GxzZgoHz9NHGQ8A/+Oi5x65CEhB0d
4a+RhtvhPWOn2o4Bxwm9M3ddzc/lMtTA3ta+5VLWLBNWvbZHjt9E4yzGaDIPMKPnzhuOWJ/bn9uN
WhAaNh3HFMCjW5bDqrThNMRl8Bm8lrHOXfSE1pRSrmn1BnqR2NQMhTQNhaiW57c0tLbTGNC4JsNx
58f1CxFwNDZs7xuSAoKVfOVRMbdkOPjRtxZ72FIVSPkScLpb0UO6N40Bx3cIV1IG9NqJOghWoyn2
Yzg3zWepSeRwiolBUbL4AY3s+p5GO9rTI9aoLcJdJFspjDfVauM+M9q7Sor41DnAnjSflKJ6tvVn
ARDYlvH+Fb4StgxkcaGUHv4JgpBNCPGtPgTbmQaxLqmCObl8dHdQoPjOkGyRzMYHhjIdDmi9uCQU
REGqLaqBLduKx72s0yeYhdU2autvLkICB7LAIa1pFbCNBCsq2uBBsTqtNfvmJaF5QVnBAR47Hd+f
Hx5zUyFrICqg6nHh1fRHWmD5VBE9uXI5PlUNvdYi9L2J29TBnlCxfs1taEq1SYwaIRdf6kpbZrTQ
v1T5q8YAE2j9sQeCuB0cbT9NDjOe3EYGq9xz5SJl1Ui6EsQaPiYmKd5TWD8WvgznYr9/NSI4dvls
aRzbN84o7OrokQBdwN7ntV4mkMT1uqkPTpjxtyQhqh4Kk21Mx7X2E8HYUsL6iUlOQiqFzLzVQSRD
MMeQo6F9rpsF4EL7oEv2XqvD0OPkhX+nnpGXzw7H0b+FPXkXcQM7W/Ih9KoM7u2WSDanDy3m9l19
rg34IbWlLAZsbK2oaR5sEenEItjM222wdh659jfvCrvWW4fCq56IKv80wvAKRezeaXpirGMJmn3O
mGkMFd6M6XmqSPnNmBTwKk7TCRERUnPfP6UN5MbRQlRrOZIzDBk0ppVOB3/wUT0A9ltEpuUf9Z52
K71l4iSD5mxFXE8a909tRctOE75BOHrJYbeqiKGiOZIW8LzzkQEtQU5kovfaXkIyOkRUjQQ1Gge6
3v466iMSuQed45X1LgYUr9OcR+RWFLDV6GnHCY7GquV7WGN8e4VjCOOFZB5Q+NUhMkz8nIbIX7wR
c1HmnDVm7jH1ToTJ84JjZykmUT3oBI8y1N7y1BCfuPpBEuGw63FDL0u/d9fRIFdAPvPlkMpgJbV+
WqV0Yc7YNhcM2cUrj24+iMJXxyixATgG6HdsH3DhUULGPULfhpEmZmUiRckuOeqmdkqCIL03i3Wp
klfLqfLT5N0TGB9vjbGRa4IYxj1B2MuB34+Hx+03GSyYBfFo9nNfg3wvBOI/2DSPhW7fiw7JG67D
dJkqlV5FTtjiODuhxohb4OGsxRqcnF00Hz4TvINlWORRjBP+HyM4dURprAFphej8ZkzrNo28/BQ9
h018RNkx7POMqEk9mGJcbTUs4e9J0SHKYTG5aDoeSqEAZzpITqPWWSVlydc8E7sblWzCih6YkLSs
4xnNKBCUiQwhSuwa5CmiuujqJysoJMxU7E9lw6x3fCJv2FpZiY3GSMjj4Bdb8tiiE9oSSfRny1ZX
5buueQ6EhpBVgpiNh900q/o4fX4bzCy/WtazkKW1YwoJCbNN14NJPCisn1d0i2j0y3BvtumTm9eo
KJQ9rfHrXGbr0dQk1s3mzxcoFtdt5312Jh+3b0Y0tFEFh6QrghODRZdcDHH06eRsm6okbaj29oFT
If7WFKnDJMQxtsqcg9MO3tbXcK/ovd3ts1l3jIGB7EyNBA9k28uKdL+jnTKZqV0aLWGukmXXs3l2
gWYiuxi/uDjKCUicriF92s1A9zgldbL3bB9lhoITqtp95DTv8LvTNfUeoNOsBApHN67IIntLyjjd
xZ2I5KuWFd3m41YZBo93QFXKqD4jr8xOz8IP7f08o9cEhVoo51T6iCk24fXt3uyzJysO3AeElw8a
4DA8yvb4KQDfHaoC/S9wvp3qrM8ItDteFMfdZGk+4IXIq102CyVZyVGn+eTcmJ6kicGWde7m//n4
FTI4nyNZmq/j+amL9luZQWvnFdHZUm4tY1sgC62imBn94wrvbn2vd/rbFFBPsncwmDBUsKEqTMH3
u8e0dKxbqBnfAQS4x1ZMj17kgEKJSX8VZW1dnaAFOYGrQEfZNsh4V8/P0S88uoFFfnQC72UUZ0uR
6kf4zK0KSEcyh2sgjP6xLmpn2XR8PCJoODVpxQVudLofXAbrw/RS2Ek8G22sLYOSBIGnQL1MtghR
HvmWbmu0TKICcGvCqcrLUnNl5IFz6m0Fkp/9Rph0H8KM/0ivOY7pG8Pv+W86I6MeStpDm5e3jAQw
qp61UQekdPX5V41vc+P1nCOsFKJzGpgQoOn05RSmO4SPiGlt0Lvx8AxaMDhgB7zTipApuF+C2+uO
XYdl3R5clgFGVUt20e8EOq9j7sg/hCDRFQl5KuM+JFqO3wK0UZ/8avvhPegmsJM7Q2r6efLqeDuY
t6SpEe3opHxaXZEeiEp5Tl0fAPDMKhFNgQxWMsUP2URXuu0BuzKI0vQJnVdJnm4aE/4bDucWFUan
sk+1aWOisMcHuxpgFVcJKrC2ZEptlMu8lNQM5qDvp4xlm2y/vdYyxRypazdWTRyqE4/H8V6Tubvw
g5FqveA0H4w1FsEIiEWW1kvLEEjq23AnFLsOYjrydLCyhacidq5QQynYeYhL26bBXGGSWgYGkxFM
sXZ3B+vzSET3Im2IFU78G/pK/nZQvltv7JZ6ZuIq9oed1KKRRwh5pSs5ZXmloDVUW+cwp0W3DtyG
ZkjVLfuONIk+GO8xkJ2mUIcwPrWPmk/HJ8PvEET6tTCCz5qfvxNB+A2VIJMwAmDGxKCs9cTWVeBq
Lb8vcRBPIBss8+JK62H0IAnyJV1TH5ylLobvwiEElrPGNZ2MdCmH/rMbuxoDZOtWyztS+nLOm/CY
UiyWKnnxTALKIC2Q7Tc9xGX8EhKgZxKOMDaFRYrNyecGX0P9czhFaq3697JG4w36ZqP5wb6IuhmC
wYlduDP16qOqJ5xkISbp74PIeUPjuot9e1bAfFLSfabFS9BzENDIgCOVxT1JYFqEdKjOUF4qohJA
e1MTeCkDzFqn4UhDO1ZW+6kKgnw7BaPa0jO4kOBCHkknq2vFLLs3GElbDpo7jXgKrWdf1ioAvnLU
cRTVtCVc/zEDsLAdKBr3rUjvy1o7KZoNS60YicqN8u0H9uT/wwh1CXvs/wVG+NBWP6MI+X3/jSJ0
DQF9WxfOXHvxb/4bRaiEBWdQgBaEvwVY6T8oQun8lwKVJUED6h9gJZhK/xdFKP/LEEIKF1O0qduu
cv/H//5fb8P/9N/z2z9UpvqX//8jS03+C78ITretTFu6yrDELyhCWhwEtGka4lhTDQurihCQeVQU
A+TphS/dnZ/XZyMzMB3ZiGUKfHSgVpdGAjqIVh6BUxGaqcFqLjGnFgY6TG3C2TvqOIhyxis/VXio
0Gtue5yWm2bwv9NpaM8BQ2VZDfepV6hd7ob0RxBfbzmjdiQEQ1GJD6K7ea7NpCjWyZhyp/QcyMsP
j+s/t+PHH1//lx/fEYZp2nAYFXy7X2hfVREo220q/yaMmQmnV3SafZRTqvXYzc55R+SoPhGAiPZF
P7C80dPGVTPCCP4sW+cAQvs4GNB3eluDP4BV29AYcfzlKn8jbBlER8EpJ8PR5XX5jRdZ5gFSzSS5
xXkYLe0UI6Pp0p6t9D46ZGX4ycoL7Nv+qIGbpUBw02iDjfc78UHaOuinV+Wm1Y7IOGPBoD46/Pny
zN/RTbw4pFNzD+dfzG/4j3QpOnN16Rt1fkOpOl4gEOdre+i/Qu8D34rw+kRYtr+K8ZIRMz1cVdOR
SUJ2T4FofdFU47wT+mcrVUiVDUjXCb2bKK9Btxb+IyplmvfZu1mzFQUwJlRC8BWvNPDgaEi3bucc
KlyYR80jea75aja1cxaYWY4ZQdr3lcXpNQxn064jbBoEZGhVrT8smTiSZUN/BPAGstZ6sqxjT0bG
2gVyyWjU+f7nu6T/Cv3EqgOXzzHsGVpome4vr1rqyXokmye5ZVWnX2wveLXrLqeap4jv5BwQC5YJ
50yS7ixiAldMIPInVyHTwGONwZLTPo2XjDF+7F36sCRCqjWQcivt3p9pen++XGO+nJ+oblwuEA9D
gQybEXS/gM1qUUXSZvp5y1OZ7/lyVr2mTqAwqMBHxKOpp3G/k4Jxfi0JsFm0rveYMrjXEz3ftc6n
voABPTTJcbJZXSJ/dmxhHR/me6w699mUerT+80Wbv9HypLBNAYfNtpUhxceb+gPnbIpst7AaLHe2
ZDyeZhxIusi5q6XJgLH0H2HlrJNJc47xGuqAaFX02BTVI+kC2aWT7meLswkTY36Lwz9aW36OH8jT
cR26JTahrHoKpnR67VGVSGCTCQoBLHjmSRt77NdWcEznZyuR3vhTnp+RJ649gEinxuaNq6aRcTNZ
HpmkM0Q6YPpYh9kaPMxJlGq8K22q0cEx8J0Qw1TjgnaGaFp2ioDVP9+n33CeUuomFYgUhnIIHJxJ
tz9+sRbgj3BoG+dagkjbg2LF0Nlh3nMJXe5H397oescjzvp8n0ZGd/EL9ZyL0ToyATP+wkz7nbiI
+8kwHKlbCJX59S9bEMxxrabdVl/9AgeVz1DYLyAV4a4VcAAQKHjeoZivc4wMfd9r/lOoSJNEOoAD
R7Pf/nJvfgO4STnfFTZEgx2Wffnne9Mw/G6h1/fX0cj4COFVAvSrWMgSwYKLg1kVg4H+tzZmE3G2
JjQ95EyLPtHlV9tGa/92h4z5cfz0LUquiXXVsUgjoCL4hbAIjdrxtQIukNGP90Ur8otfTgeGe0kX
bDUTk6VTo5in+l/KqqPzQFza52h+jSNmR/Aj2WcnWEIjnS6bRveqzmNA6BuSiFdJYdNobqJh0WgI
HfUgtf62ff22lEgqFWXBPqVw4VnPm/APX2XKG1U0ZU7a6bwAmI62niUoNr2lnVXDQYgS5nY6gffn
IiYKUzKSpEcOEqN7/POz/R0yyJVg83fYpRxHxxr685XoVus7OXOua1yp6GSZHbEGgKKJieuiSwwW
B84TlFYSYqdjijvUDMi4zAsP/oWyiEwy+2vcBqsm6i/+CIWfUpqbNzjw9Dn6h0Uw7LVoutAroLhn
cLIjlIujJAPvP/8g+u8LHa+mVFKXNOUM/ePf/3BLOXm5Ad5w88ooINoyvIW00cTfJm1g/XJJavdh
NIwAKB+kfEQgXV18j3ERDNDVNGbpJyCByOx9C+9F4SEccQAj//kSjd+KFinn2yxtHR+xpMb9+V4L
UovVqIfmlatYVZ5P15QMkV1XMuGPU/NQ4arWVb4H8x1y1ikYzBbZ2R8R5hXT56oyxztMi0Tp9Pgd
aiJ0OitztyWywFPgU1zSIll/fGyorKAAJBnxf7GB9oIx8Z9/lPmt+OXz++kn+QXp2Dpl2sV9YF7T
VL34QXjQ3egv1YH817vl8HpShLLr/vpmsphFleM7xpVuaXLLA1+BGtYp6nDcr2IdXEVn4uebgvJr
jyMkdqL3j3/qaiWUrwz/hR/A+u76li1W6+ud8CtQpMw0a4LON3pabCN/WPmzMqRzaS7ovZXvC7t4
nT/cXReKS2lG6dGMqmpD0YRnwX3BunXTRa6dSttD3pJmGDU0+fjnu6v/2+3lWxRsSWzbQv2yPDDz
ndxORfJqGrL5FAn3QQ91pHtViIlxCqlnRSM2FS44sGbVVzo69qVR5Kzn7khP2p7QCWaVef3zZcnf
qlreXw5sBgcxRdn2ay2hWeBlkVqZVwTOp3LGBTTkezDtNaxj4dyNhcLfkMKwgdEZ38oYNQXHQAIK
MrllZI+/rgWz46P4vGeQ+VH70JP8miioUF5dhStSJ2Em6GjUnI6oifkz6EN2FaF71rGrSoT1c1Ea
2QhqzUqmO8cZqTsUESa57btPkUNx0qS3v/zc//I4OKtCP3Z19S+1wWS5Vm8ZtX41mIFuwnF244n+
1JQi3MoOKWGb6ltVY1eEpuFsbJgCGGg6d63n1oWsUHfVKrQkQW/Zawks0vXgZwpEnPB2gnVr6AYj
hMlFZellO0ZDdD6T6Z/9NCrpxEIkOOlZ8fZxx6LKOKa2ll1UGd0x9saYGijnL+XQv20LnH0dk+Ov
cmdq689L1eRMdPBifuS0eGKYT+i4K5gf2QB8yBdBW6lZ2abzclzq+fAlbJ23SRPtiQPtokCTdg6x
YhKaQwRuHhz9pP+UVKaz7ia65WIupDriAGEMQCYn6gwKwaYtCuf4l+c2r6e/rFIKwi/1E/RcnuC8
wvywJSSFO5laqRvXj7eGpwXVtdTS4xD1uMz8USw+6jkd6/rS86JqX4l7z4OeaYHfiscbsVfOQlTY
X22wp/uMYCBcw3m90aV+36HnXaRtHc2N+ejEkviqCA+DbqCxRBnNDj8Y07uOc0hCPiNp6OovB5Lf
z09y3utol0gTFp4UvywTFn11o0TIcSVgilSzqT8qVP0rLTXeIFY4S0fZq7AY03/eVCslkbBJvowT
38zQdfUhdxhTe93z2KCtH1orOCMKse80AKR/eRT/Ul5Lxe7MedicC7dfj3qdKqYAFRSXWvQWliYT
NnaMZX8w6+SIHdBd5V7GjUvdh1FDeRMzu2CitytLIt7//Fr83uHgttmOqVucixRw+Plz/+G1mKUF
SaVlBsWXhhhoIPZXIB/TY2vvpe7ZhmW+wbBMHL0ZY/gyENwEoTLxqyIfEFPt7qo5DoK4CW87jzft
1ASFC9Hhbxf6b+uOg+mFzifcelfN6/GPF0r/yNcGmsO+egmKFsAmurXNyLy9mSrn7uMa50KT4Ur/
jFz1CY61e9fWiBVzkBpB+ffC9fctgA6bThNwfu1cZM8/X5LdVq0tB2O6ki6OTjkhIrX0Cndb0Upf
0ODCWxyglZkIBiKvFtJYI1L98tFFYG5jLcIS5IM/hcbW6GW3+fOTdX4vGbg6AscUJ2VpmjQCf7ph
NmOjxmZgcE0TsJCwGjV4y6IA3Y3uL2kTSfAl9mfLRUvjlflbQzdt2fScSVMntQ9J7TGdJKupaTHS
5jJz1ylq2B7PHmINpsbWrB2JPJPWSfzMaKT4DIREv8DrCPNqhkIMV3xv2tKsLEAliHkJDiVONx8F
G1TtFJ8/fgWUjLJEGiBYorJa+3FlU5y+BbRe4O+h1+FsubNTXW3MuDrriinBP4e9wLgBGtDQReF+
iXyFNr6iRWnG7RnWsYQAchgn7xEBhIeocCemVmzASKA7t4bVx1JXQiq7hUF053a9vrGLtGAcmjAy
zuQjecUS1m6TrCuC5JdQ62kE+eBXtaKPdhqqIkxamLc6S1uNuf6qQ5xdlR+GcE1tPh6xgzEET5ph
rnVCrqIQAEZtVf5fHrNhfbxmP6/s8IvpwCiY4koi8/n5QScZeFJ4FP9Z2adiCC6l2AHcCLdW+aW2
RLxo7QLkzmzLKaA4rSoNjSIIqhdnSLFtJMX9UKq1F/n2xZfWi+mxqbfzQVUItiaIpPCsoTevJMig
tZ7azPCzAn1Tb6olgMtgPR5CUwQPjsuchRnydQrdd0PCMKT+xL0GcXgJd3JY9q0OjrkoXzVS+o5g
Vhe5cQYh1N9aDQZyZdJQ8ABejcbQHf0mQXtUXppo6u600F/bPXGXOgY62ptAE5Ko07eeBvRQc2sO
abHvrgKSIc7xWBYAgYllKue+QGJrAruop61SONZgjgEsCfI1TkNVrGP0pyuGfyNFW/k1pAG37Ouh
WFV28i0AALywZw8SKkZj28ddhhICET6Ja+8f26ghxv4N6prPf4+IKgxhyWbuVxA2t0RDFZsQOznE
7jqrUnXJ6AFUlgjPLEkwvVNSaC7S4EPyrXir1Y6/QVt1A2VSr4HN4a37uPiUsbkzoEqyxu/g+qad
Y4ZvTdb158Fy3jUyfbDsZJ+SRhwaxZ9cR4jLPppyCdlZGY7ShatszMUDWCt/6M/K1vhUjeRb45XW
zSz9Z1t0zkKSeXT76F0YbovhTaAbNcw5Ty4Qj2l3mZF0L4bXzrY45mVd++6gXN3OwJNeG9+ISPX3
qjdRg8Hmy2kmr8HCQw0pZ4Gj6Y1bP9QKcK5atEaXMmwcMWE4qffM8KpTOk/jc+pa0jX0i17TUGHb
jJYqnfhng7aCScA1TVVxs5iGlUPzqRcx58J5ae2mRr847sLwx/TNzv1Nl3crhBIdT4xm4se3LpDD
bWuGfwY8+21PcsdSKh5MonNYmN90LS9q/mAwAhqeB8UB6lImhoHla3hVTpcdMx9sTMgq1zUDhMvE
uxurAfhSUmGxRo1PLmaNUpachTXOlaTqbRjdNvfVB+9qxid/opgv6ruWrqNI8Mc2ujinc4kxlKiI
mgS+ACoocx1ECNsGMI2ANvJC2+DTTBYBUQaGQLZeNDRwWtIOaDalTyVipmVgeoBPpm4N975atwlJ
6xONqIstSBpU+NATywZP4CHIpwnAqD0CSN4QMMh001nLCRCWlXSENzT68Cxvjkt8LFaAmM5Q8FWm
kXU/NHWw1/IEpmNtbdLWtI5WIc70HWhyCSqEPCG3NYhBT3CH/DVTaGkv07n96Qp6lLbV7Cr2kTlS
1zqGidjzlupL7IXTRiOGYK1b4jmLzOo4NE63/ngLC3PsNx7KUAO67SLO4m5ZuF4EwDMV91MT3ctg
ANpT/x/Kzms5biXLol+ECJhMmNfyhlVFI4qSXjIokoL3Hl8/C+A8zNVVXMW8KLrVarIKJjPPOXuv
rfaTbZBzPh8rfdWB4HebEt1mM16LPrljomBcO+/Gr+q+mIZ4hwsDQdGevpSegzjyCE2p3moez/j8
tYKazN/GZwg+lKjc5FUqr32JaYCsrbm36ZGiDoB4DsMiTWKwvxGGQZomRrQdr9RN+dplOTEKfh2C
fuL6wAyfs1jXD/5kHJdHDfma2ue1fg4V3IaIVI4NXjS5sgygLH76I2+/eQPABddPDkuVY+okIMZN
cMznBx8NowZzYX60HcMaNm7S/XJLJDGI0e/KPDrVUWmRncuIYzlfdiCktng81L4uDBQTyvwasDS5
Wvs14L3XhE5LyGuOgyR8M2Hdo1XQql0k4r3esOr2hEAsi91S4qW6v4dLmZ60Or1WaXbpK+cZFWdx
IYUQawmcinXgh3i3rIeYJIskMXlWUD3MXdHlVZym4ppaoYYdzHIeSl2Ih7rNXpb/rXchXPTo7u5w
G+obOw0/SjOeLlHrn4dC/zn7RfUix+3mcQ1QiVRPGZxJJEWWuFlRo2+WT5q1mgVzg0Jt6tKN6urp
siymOiqVrknS0/KvyIqAXuD2F0fJaR2PrTwLs0BaFcmHOPbe0RfSz4vyD1rx4IkwrpGKCCsY8ffj
FMjtcgsS3f+Z2nmBtT8tAMIqqt25abn0MinaIaf5IJAcdalcfeTRMdCRIHpNY/sDBFl20XMTORli
Od2p/vdwGATGBdRtfJ+1zS5zRQp/iUrfC4g2aioyAqrU+Lo8rn1e3xf48oy8Kb9JKJCXsHboLU6Q
M9NxfAY1WmyHFM+u5EPA07afCGy2Tx1WBzg8JNYH+tc0Govz1Jn4CQRAQRDo1Ohk1h7p2mIX1pG8
15CWAC+f3XLmEJSJQRhnZo4nwYo0TdAUomZ4y3OgWBYBaLsgTH/S++TtnwscUWJ1LhKhdsujOMWv
Ruli4w3EeeyaR8efxlMlCG0hxeLkgKwkq9tlfDxp2b5GZI1c3BlXdptVuwGt9xru6BMuXn8DJ6be
QCHHQ1W7D6iXzxwrqgOXiM1zYEQsOwP5jBG8kF3L8xJwKe9llF8I/PhVp9I4LYck1XfORgMTtTeT
PLsRZSnQgy5LMy83zA5ZVw8OP4JlAxRH4z/ESUAmSC7ERSnOVGkfJSczrLiu3QgkGpudnU+MvTUt
P9Rxom0LGRMCX3v5Zv7R4D4JvCdPfFd0wA6acXjJlOU/xlWKQo1YAfqlxzQrHxPftw5hyWOJ0yVl
96ArXv1UVeVdRObchRIGWicnTuxhu0MFxIao16R7/+KZmmPcBwWHrzh1ONGGRpHZEbty3VMOHfJC
HguDqFNLZsXnfXEikGV+/mR5UAIbem3saEeQUP618grCtutpY1uaWhVl2N+HUdW/NSPyu1mWDYXv
AUMHcj87Gk8JEls4PGqj6e5BtBcwGeE5SHsERTFUQPqE91WOChzyArjFeXEy24esqOK7ISdubK7Y
yN+CXDd5bfog0vB12eb1siBrEwarS/JGgTNIMQJ9WN5rqp+jD+Zus7Tsl1fPZlR2r01XX4y7bvDW
YLbpNX0uQ2x6839r+esCldJFyhz/WZ1zUtfD/qZlwYhie/hYCo3l1ZucAKNUXVTbsE7Cg6nP4uX+
B66TGaQw/yEjbFjFNsiMdDMRLnVYVssg7JyjWekPXkmRZZX21SjiY0ymzMX18Shg4Vr7bT6eCKt1
2auRRojS2NLdcA6TGxvXsTTeEw/QntaLYJdxM8PWHnmUKlZyq1JbG08I+iM8sQXqT3ZXNyBWirP/
syJcxm29bLdsXGUn/P2QUgoUFh7hxo82ZcKpkAoQdQXyISZGy+RZb5pTiJsSvP1gIPZA0jtCCWnD
eYI0v85JNEs2pgqjJkYfrfMb5jV0OQtxWK6Vgel57XdFeU48UR4akT43DP5XOkvo3vYH8KiFn57T
urM2XTq17Dko9zJ6R77R4y/xv0tLY8o5ev2G5UmsdNl+5zz5JgZ2OzUP0VSoDuDr5KHRbqoOvsRu
3c12nOE+LpJ7A6TNShWFdvGTU5FW7cHE7DPJocD5naKWlba5iW1eigKsCsEUBAErj7jG3Guz0/JA
TQGrUDKBNQIC2aDnODR9b1wBGJ2Z0EK/sun/JUH32MNCO0wYZ4sybx4994Chgyz5+AUkSwd6AVgk
JnBmw6J4TDs7vWRChbsMrBui//hnqb1MBjl7iln0FRjumiw8lwLUPUD3JULP84MT6sgHQtZhuII6
Xuk+B+hlM6X/r+1q29lN83yWswi+jlCjqp93Wt3HhBFoFPOWa7zLTLMOPr6wVQHgf2cC59et7KFr
nsqOaOE+7T8UzxCpObNzQbK7Ez30njNODVAAHHF01J+lG1NCO2YCBp3Y2AoUJZtOmk+cqHBO5R7s
2nJo90ufvjd4DGv8ILuaTMqOAcq2yFq158ihHzABYYDJQbP1jRzO0ov3SdPn2yiiKRyCJnqcHJJC
JzGVdBULdLYRPo64qsFrWqZ3i1wP/ALVh0FGOUiotD8tvQd7QrRfV+JeTxboOf/vkZiIugS7yYrx
NCXTj7QJOYDjR1mDSLrrL0vFMYWPIbET+zjwIz4d/jg/9o9dNH5oY/CRjKl3hFPLSmW03AEYZqRa
EYFDNM3o6ObnjIpcA7TIFKVzE6Pc5Gl38uNzXdNC5Sp/9yPzKfLFS8knurZi+HCE8yVkdnhqOMbs
6sy7Cg/mUmTpOmpL+6Uc4DfQn0OUY4mCC52TYodWt3DDETF6EF7DPG5WSn3oApulpRc6cLr8qyG/
VcSOxNI+aBXIzNAyH/HDdrtYTcWzFj4HHYkIafgSWDWsB4UJt2G8NnmyfFxOjTWjs1UvvDuk/A0w
nxS2hqmlm+WKS4Z21zh2N2WZx58Ve2BF97LJxFUPHkKvm3mavQH5C3Ibc4CR6AUU700S/CSzPdoT
yDGuq95jmusbJnA7aJJl0QfbRBg9wTDMeByFTR7vnFzLyhS7QAh6MYC696VuvSkt6Xa4KibwWvHD
lBDYEOa8CU1mfuPcCpRoHmwPrvMuxwCx7TA9ouO9OsBA70Oej0p0EzX5rDKR8Ws49PidtTg+Ls0H
p2+bTQFFjKYOT0KaOjhGIVPcWYGLhD4N14HuXmEMxA+MoMCZ6vcs6D5SNQg/42hR0NViiwKFU0MQ
JxsDF9J31Fnlui+5Zk1YdCfoLj9NWXk3UjfeY9wm26Xy7VP9KY9C6FXQD6+U5nMcSkvjsjg1A1jN
JDPqQ0qu/F5F4ROZs6+AAcZrS12F/aDOuAA0rpcb2PbyBxCo/IF4itFVO01DMhzSM5gzk0OcNHPs
Q0Z+b3fPtF9tCGGVO6ONv3cu1jI6Ys26B5Fx9olN2hJ6RSOucLg/MKQoM/NDM+V3gGiZBpZDdQvj
a6m570nkxk9mC5NRh34gRlxsDCcv5RgaRDZ6r6j5yC4y8h+BTA6T7b8yc4i/uP0MYSu3gGUbagF9
pXMBr1pjnz/3zylaRdhXNtgKjaeoGpArJN6pyWqTRonxNRf1zzye/AeTVgbCMXXt0nTcCtmzFiU1
DQ88mq+xUCdAl+MMPCseah+gbKfbP3vRc0Yy2TlU0z3Tkud+dT14tcHfj41ebUAShhc8LM6xTBKa
3345HvnaT77ZwLoj4/vJS5mW7PpgULcSXKMEqHa2p/odlL+DYv9dOiRfsF8IESc/dP1bPXX7Irfs
92ayXyvluQ+5rW3dGSkL5C/cpbxUsOGCjsZX8o3Wp3fMUcexoiTfUFzGB9b6dtd2PGTwQ3IxxOc+
TZCTR027SbXU2saGILnGTvuzNYrP16mutW431P5ZCtMjcCecsANWaNazwAMh/ABiMcC8PVirQO1q
I4iPDWKTW4SacJXqvXXE2EJVQ33zRdez9wn9+MSKeNd46T5LuaIiaNGs43hdTS6xNv7UfOAz5Xup
EXOJal7LWSPWuPWRSW55p0LkUGXfoOwIPOcEAYLR35BcJ9P6pcDeHZIGNYCb4I0OEv/m9JGxDds2
uXNCL1olI0SIuh2Hd73QODI5pFJ2lXfoe3OvOMgnqB2Y6KQmT8mvKSnux0g+h6XciDkWCBm7wlL9
2pcWRkKb6KCSDCEuDLsELQ0sJZyWx58OaUNYXTaI0A+j5VpbwhxOmsK7GM4RRXSIMf2LxwZ9w62J
2l2Q9N/aHOssw2IwDWXzPWsAFSon1S9sT8QgjTuZhwYEXAPyUNzQqcRozybsb1tVE6MUUTynQ3QZ
jepR1P6w7UqPyidPTnCfv0YpaYskC+Bx7G+TP7t2q/C5NNPnKhX0H1qiDyx1XzY0o1qLamWOe9LD
azfHP6GzIAiqcsKdVbkn4hbaLYJQVBM9BjzLXkcZU7rJKtZwo2kdztYqcDkvoyR2Kp0DqCrm2lC/
0YfP4VTA6E9CEFcVJaa7ToYfNeY6NnJo3BPZVhoZV94cdmVv9Dn6SpCB1c1hWAUv3z4jHysbvHsn
1z6qmqAF08CKWpKXkVYGmVdsYBttYhZWIYk+pjpTf540jyyugW4xplnTWNN559klnial2xrOEV4d
WV4JmV5u6kPwMajBw7l0HWsiDyIdRf0cBmaQCgYADESy/SH6DtufMjYDBMqVmqPEXDLFoJ9JjkhY
4kMOZZFrnOZpekLRhY6gorAhmqwgowwR6YH0BnutsfRg2CqwVxBoppNspuA1H5Gg/irn0DMw5t2G
nIU1ljfnPJXiCb4QTTwH91viMJHUIYConI4Uor5038kBeEp6890jEn9Uis7Ka4hga8hiI3lh2pKS
K7YDjJ05rs3N+y+p6/2iS0jLqv5GCi33Y854o8w71gPc1rIn/y0hCA7THAI0g7AL5aoXbk8ODnr8
IsP4dcIWA3aLe9xq3c3nYE+1ust4dNaeBiiwnHPoMP1v2C+f6lr8ip3qNSCwzu9qgLYk2AVgi6I5
0y7y7k3+5Sqf0+5CYu86FK2rmsi2TVoFO6+X3+xGgr7RTQs5dOUeXNg8q0CDq5jMqXqPPgx8tpzs
vlQgGiLsTn2sJ/vG1NRm/MZJotvhCUz2NcAvW8VP/kSY9BiM34iVYefOOJXByNC2ZmOsgmvIwXQr
XRijoRTPQIMz2jx4vvqq/kiwwACDgStZN7/srssOWF0umqcwXEX5abDzZz21p82U8qUcghJ70413
RFU8uAQVOnNi4YDvuQaPTnwu1ZCJONwV8RHgfMgzXI7bYIr2xD0RmEGD+JRr9psRRN2JR+FVtOUF
8hcRRtHeYVC0J71oL70OcD7BOxh4dzFd8JUPY473n1gVLWz3ZDXG+ibySAOigN36pt1sGjtv15NN
7Jrn+mTu8a2K4trEpjhCka4PTLxX9Nh2tgZ+rtBhUoVzTiQY2u8Dr9ZGCfusZRrmStVmh8h70oae
0mfOmywJsEb6y1mhPmpmeOt0CnYuJlHchCV1gbzZPtqThBhLO23P4xztF/0sA/ONADgGc1h16jn+
0gg+4KElNoi/IfW9L2WSw2SXibf2oM6tMOElD0npnkaj+x5bZnztYbsjPIuMU54DxYWQyQCuxecm
81NEh8JrzWoPwkQRY9L09xozl5zOXg3OEcNRO1wnTV0ijUCXJMlZsAqeYq4FCVnYfVeKxJ8t4Et/
XfiJweZtvQdDpzAKBZwQigiUGHKA2tSeZN+QrGiyesLEMC8kK55sq3QPmgjRkY2Jewfv4eeg5enV
0LEq22+NVsaXGrgvk5+TY3QJOU5FSWyt25ARj9qioPKPHTKvoMEewb0F+1rK4ACDDJdD3q9ci+EC
qYI5wpk+3ESpdO4DN0D/M+g0uqvvUOanCEuYSmbHBLiZzHUflj+KgWTbNhD6znMy7/Pv8GZ9AGOQ
p+WvKjgHm7CboMaYhbxb/nCo2e8a/I0I4JWz66EFnLCO/4hg5d/RjiWQgqbIxh6Y7GVCkG8kG40q
rpyxuT3TvhmxhIifvhCkp50Y4NI4OTL5uVUQTooGN3Uyk43uZyDa7gvTNq+PH/0k186LPjY2xn47
aN6j34xPqCuPs1cAZ5oNt5txYK+lv3xwKufAZ03zxns5NcA78+G1qtCkFX7BVJKCbLT6/qKZT6TD
QaMz6WIvnf9FcF3rjXewKFk0GrNxS7xVaYUvGO12FhmqpeUeslAW6zJGluTWzU8jLLdGlRewjwpw
1ZEzXMSMHUZdQPu0hjwSbFMv677C3zF8YCt5P1YPbQRGaP4NtBqfvAKJpys1VIe2hGMHH8Op43GX
RyTf5i6yb+DqkdnXN7Oqf7ay6k4dsBbwfOjApXVts/6YFrRWhMy/LNqvQnkHuJ5MmeffMfTah+MS
N6p3+G1jxeoxsw4X2TH6MOui60B8TXoUZ8/EI1PZr6nWaXT1x5PSzXsB4O3c9NlETj2lUNYGOYA5
3AOzBNdilNIEsngaUaGv+EngSOd+nx8yDR7j4UfGxGrj0fo5ZSATGerl5cr3cKepxO3ubI8fC/GY
WGQq1E08QuqWmmmsXK1+imKiBPgPyb40LG1HwcVYngFZOzln2TKsoulHwG/VYLJGuIluXljlCWok
k3ySR3H4b615sm0TVQWc/cWDvXuLSLdonRbuTomOzHYbnpv5a6WNLI5+a9h30vWuvYdiMMxmnpXI
OafbbbxB7ANnpYPTXPJMoM7VrY2WiwdO1clumdYUbvytRv63IiBCPmm5xh5en4WrOHc2Qj9lGSd4
G0/0vh2Zk/cBnpt03PXKJkCp70826ajnBHYW+C1OMpn32fP0B7fbqITAED9142tVtiDLQlvtelB4
ltF2R3wTzGPs/il1O05cNfQ/Mc6Nynlk4VPCm/UZlGJ3dqyLSzqgZTjlycgBVFEGBzuUHPklcMov
UEJo3LbBkzFkOxIVxR2O3xtXlJBFoqDXeN9B4ljxhwiaatf4OXy4+eL5jtmspjaV+yEQ/sPn1Qtw
i2InvdcnSrEijKxn2DWHfu7i4re4BjuyLk02GlnehZlTfGf2Hpy1Uhx72RbnIaab0Yi+BzFTi4Nq
EAAIYjMcQIbbUNnUz8lnR7co0WXp6rlM+q+ATj1medTD87OTVfnNKoaPsdOHO7NElx6pH8tqQxab
ew4hjuqT8ok1jQCjFWRfVK2B4UR1dGrrdOcN9R2zeQzhhJV4jd88yMJHDtsE5FaTBhSV9DeGTQaN
h/SB6Yebj89RzG2b7ZqnYkSPtbQKTM7jD42htpx95wXPnxKT3hnZlqOgoOXVowke5mTqtokYtmhw
UGnqzoOaPVedTWOl1jaJfjfSztkto7DRya2zESUvw+xyYhmQZEcyjqySGh6snjKPnEW5ocTb2+sd
LnHeVSMq5XmS1S5QiFXK2txBGHKPwUwgdJAqDuj0ngKCHvOsjy+oYcnbAeizmqSNgiAFbpmg4tvW
jePyMk/WfunI00pID3S8VstQqiz1F0YW9W7R7vWcDVZTTm7N8pjQ7HFB3qp2r7EyM38boj3QkLdI
y7/aqfXNNkDolg0AJM0pTiZtXsDqw+ck1Mlzhg+qbAgdCI2tn/DlKbJXPK1bzhDTq5UUJAcju/Hs
0t6bzgj1a/7WUQorb/n1SZaRPOerH5qGAG1+QICSgGCYvOKOwhGPtjcU350E9YcPnKblyPI0SpSZ
Y/toUW0eYlCZ6yGonC22pZ8NV/FcmBO3bdBrkPlp130xqM0WMaATGsBr9eqWZyrYLmsizyk28tCi
/o+Y0QjsZFqRz0dd+97pqveloSWmdFz7CmCAD4x0ZRa6WuuuDgF81mKUmB+OupVaVFv3Dn2stfIn
WKuNz1xgfhPHyJrbqF+yupJwGryQOO6SqzCV1c6ZRb+BNaY7mab+jkvJUJvHY7at1SiHh+GckxIB
ytmEeUhjbSMMhr2gFdBRSFC3Wgf1ha9zlrVxYGjcM0lI6RbBomNJhXmjDI9G7obvo1z0WIQDmV+0
tLhTsjsuHx3QOH7nLhj3uKDyLSHc6AQqjE6mDI2NUz6zfxEH5jMxD6R/lDRKOUKBw+y0flvMIhcf
+nncmcYhMqHSaManshk5wptNIuutobG6DHVCw/yh0V7YzPkl82uXHENDGwD/ZRzzQve6/FpYai9T
CWLap22MTivryNLS7kyUCjOmATY3wrAdTW3SThiLH+E3rHHpEKkDstt3yZPCjES/o2yeMfvfarpG
Z692I9jx+X0b6OTXCXEPbzKO3PylLaZfhlXT30jt/q3LhremlfEdI6LV8gpPVYpmJy7fBjsWe48x
xH2EUPdOFoxo4UKHIKxYuOKjB/NqiefUCjhwtBeYc8SQyz8nXNjL71z/gtaLVN7KRlwdqXXptCNo
YNe+hbMVfXlYOlPoDzWvB57O8kvV3qO8I+M0O9Mmq2+o2WC+bYFVsRIr8P53Cdum8qBCTmXa7isJ
hKIF0LPCbeEebI0EjNbsuP3sivsWsfAb94jKzJ3UIfH1qxaXP+y4rph613scjIc5U/3s1pBwKMSu
pnKadR603T4cxY70xmSfJ727QzE57ZCZ1ysF0e6xNI03JzXrDT+XADLmfuswrp0D6UEPyNp/Rb6X
3usV/Vdp2oyxwvG+L8yfvZsAe6sRlpB4rt9B8uCksUhZ8jR5RKiWI8uJJCKT3pqIMev1qzH/QRan
vQoewQt2VzcOSPxjw/B9MijbWWE/qLL4Pk6kvJrV5H6ZqGwNt41eGGJY23ZAHGLwym6RI5VPQQXM
xPUo+2re3ij4ZoKb29R2Sr08r1RDWSXrUYXJxtG4QA0oBuKfxj0O6OKQl3JvFWTTJRxxj5gMtiib
ISFa42Fo+F0ArT5V2VH9lvYt4RktUxI4sNHRSU4lmrGD9CO5Gdwa/LqFTsbPielMcoC2PhvLJlVe
tnIDIfcm+DxNwikcCgeu/8BZFCXg2TWBPAc49ywzstZ64dL6JN4SVUhFoF39ddmKTNWB2fcTG+7h
eMimwb3ExZYQduYl+tdQFIw5VH3sCYKnsuBMazTykkegGPOuA1eUdySK5OYryYaAawc9P7XVeB2m
7kwenvhc4xCGMeS0wnct7NwHOyOCLQm0+mor95Vgx1vnS5chbvgyBgRIokI9j5Y4R7m654vGKKLU
umhr40pzkfxRjnxM2hklUOxuI8pw8omdh4bvv55iKFpoeY8QVoEEp43JK8hNr3kGr15ZyHNV1oCm
fRoiPv7WNgfQFMocY18WHxn3IZvSnGceVjggFub2Li/mkxxHSHxqTIlTokj0oIw5jFpPjaXpR7O1
NrkdXdOM3Ca7oUHSxUa5R3DzNpUKuX9+KlOnYI5Rfl1msIFFllIBimMHFAbNYVZrRzIdCSBCtHmy
Oe6u6ZpSVy7yClAAZwJR0nIInkQgYYBMezhcHjXsdHIN78XSO/28bGBdpnO2zqujPbqfv2o5THt5
dIdoqNwXKYB4gsE5AnFnmdmjrNGagzG1DEnMY6ZscU50xCBIhK7Oj6WAmznsSUr8jw78eVny6CdA
sxxhPGuTOnV2RdnMKi868yvsRwjgAHQ2NHiCNYGH6QEozACoOZ+Lk4cy79TZ9rUfhgei2TKy7lma
vrEqCco+lL1BtVHo9rpNeVlCaae0KqkG0jwaiMMEBzpvJ8q19f3ggE6BUNketNwBwSSFgweOmIxc
S3Z2mlQEtcQNbyQVaSJr4I4GdA/uHpw6m/dhVntFrhYebcwEs0pK2/l691LP1ddySC6dST9Y8kKk
MH5etzERcoBsbT0RYVmkI8ehy3OccJvIsl5HZF7mFjGqiJEfq9LMjlHbo2fpmDdCK8z7r43hE3bi
BuPWYfnr86a561squaRsplURqHTXl4l/4RESUPpRjck7NSiwgaK/mwakSp3L4sQCXftZRG0iidYl
tSTRPPDInolflVOlMOAfE0zCoVXPBDWJiB5CHZix8ps9t3cP8uAkw9I/B1H0Hkc1WVeiGW5IVPyY
kVBuB29+4SYboDTuKYBb4sSWforKmiZvUV38wbzTunG+DOq7Mgw6IwN0arvLXu1geJ9Mkr2FR6z2
SL6er+jRy/qqHL1aESoA97D0vwOsItXXBpHvOekhnXiyWxskP6/ap33aR2ZNfUa/ukQ6WII42TKT
RemBkFQv9inmqiuNTVQR4h5KEwHGs8DTq3EX2cxwhZwlNkHx1QeSdh6GkZBht2fIZpDDPJJ8AV0c
5VsAXt3Gi2pygDiEJvMV1Cl3iwJCDVq6XTZbAzHZwetVtfFLOfKpSFlipGaA5zYYyFn0cmLC6+y2
fWLPQaKMUZ7GBKjjJDpGM7d4UD8yqyWn26RcMQtw0Ra8WjK+ej/nvZmGZmebSbSrzOJG7erR7TBi
EmCDPR6VMyboH6oM1Oa/vQN/cDzhoHEIBnANSwL++E1SXjacbAgsBkY4Kw7jyFc33YiwUZ66BLFp
01G4uToNidKgAgbJDVoG1YFRxc7eTWg89wo8fcVELKvlmRu6Eo5fvNij+dJC/nps9NDAO5bRiGFi
FnFIj62/GEb+9B2wROuOJYVtWM7vhpF2qOj0FIDFdHNyELc72c4O8+Lil1Q/UwPhC55CG6CWVUWX
X+ooarddFeQUK4M4WIoQJWh1w/eajIHjwR0ZPTma+tWSQajgcLzCQitW0A+Dl7HLCX6Ior9I+43Z
V/ZPYT/sFYgwpuM5Bk7z3xgLYeX1Xas099OyRYpdvlGVojYFS86m4HlUyKg88SzMTH0QDKpqxCoW
xV8d5v82vTuea9gQKiy8bfC0/mkxICqli4rU125LdahlovqaMRgarawjjTYrkXCA1wQJSIhazCkg
NQY6KpSrZ9cZmFoMCE6NeQv1kWpX1Y+E1Fg3todZGQRHfJZ8wRxwVyUxDVKX9dN/P8/WHz+/FPps
fDNMy/zN5UStTp+nmbRbYRVkbTb+TRUEZrjmANhpPnDQ29kEyIfpQrB4eoGmbZcqn2w9pnCVc9Kk
fPcLfTtktXjRK44w5ibwsuIla0n1yJwXryLCcewViTyBAjNWT/FGFaxSWZRnqAmNbNuj3D36eeSj
IXW6TRU1VC2Z+xdozb/RHPCaabZghLBdvOzW7Lf/P04plcjM7p1S3JgAUfOhMr5C3TxNcyG8nPWW
m6ig6tA4MI5x6dZbD/reDrXQorTLmB9v2346WnkQnTMP00WMcrTPgg9bvi/1iN64+fEvN+nfHACX
T607huXSoPXEb4sOnUwzASVv3SooAdsyDDdOjm0enemTxexmpRrU1NLy9r5JcECURvW215iYJSHS
sdH+ugg/Rv4pvFjmlFKAcRYYrY7+finmKonCp561JVIB7PNmz8hSVtYGZEgnNJn+EM/FgQc4zFy/
SqfSttScf/W+//GbgmvQPVyl5O/9Zs3KBaP3AMTcrWaRX8sQMdVYTO9mVMKt6CaLyghbaATf1AX1
qWui3/nGkGxqmRN4AzR1rw89bRYWPXSxTkm8CYegRcxKl1dsvBjRVsKcsmUG8pe79O9FibskwSNg
aLH5Br89XZZJfnGm4afGs32n5yFNxipM1skIBqUleAduH1w34MzZtiEWaOtHzhrGI4X6bCL083ZD
xkS4Qzoj76I6Wbsp51rF3A1l4hwplFiPUyq+F0X5C2mVZFaHqzDDg73D5G+tlqevFPjFcpw3de+d
lkPof3/JP5hJXR0iHpxF3ZISzsA/X6GZ8EFyT2gi/27otkxl+91IYn+Lg6ph6CvUWXQb0z+RCuHe
g5v7FsNbzRnf7XMCENYpEcWnqpESbmn47EdjTFQLCuesdYe/bNV/2CRc7sO8qPHyWI7+21uj6Z3B
JAT3V5jwCgOAlSvMcCBjAyITWbWLkybY7cxybFnvGIZ7Mks25GDm679ctH/bIfkkrpQEiLFhoSv8
50XrTbIJtS7Bh2YgnguG8Ffj1dbF2hU1+dYyMVx8aFN9tEKa2IyWzjEbcpkel+Xfrl2NgAHYpP/9
qcx/L/2ujjmTp9XUPU/Yv10fHFk4PDJWFULMgEjMMmOEyqSATQek9+RUza+akRGDQfHNybMvQXqQ
SrSXzHzHoHrPWyyO+PviTa61oBdIsYHkNlxMwlH2ue7+wrKOXYRzyF9OMMYfLqiBXZu7OmNJbP23
XYtDXi71vrZvs94f2e6p05HfewU+t+VtcjsqgxLHNXNn7yNnGmwUofhsrSZ1+5TPXvkk1///5xJi
lhwHB9Z8MLF+32DwchPfMsTytryMpgNDM3eMX8NEyKvV4NsQM9ak0MjfXZg3S1FmZBT/f7m3f1hH
2c+lzkFV9yy2vX8+cVpl6N48erklUzTuLY0dN7KO5BiSsk6dtqJCG3cF4+thijnlz0fUnNMc8X/E
8Cjd2bogxtmvC4Bzc1BXpCSw4BHm/NypkGXPJpI7F1E7/t8++p/uLUQjR9oGuAPD/u3eWuAAOYvY
9s0WpXl2yv4lIRzOJWeowgTEGQNAE6OoIH3LBj04KxdzTt2b9BCALmloGh6yHvr+p6NmFAICHnFl
iCbFIW6/pWYuMGWpfluXxlPmUbxqUaufZm/b//8ecOGl4Pk0WSt/P1oVwko133KAiMK9BOmndV/a
2n5cTk9ZkL70bnAjaULcxGjuGT84u1hnWpRfSMk1zksl/clJyrsDgZ4CyjLOvOHanx3MLf0Qq8f/
/sTL4v3PY7VLdexAS4KXNGve/vnUNEMuaKG38raIJTuJNlLE9IvqkSAOorRIRrHfcCgojEvpbXl4
dV9cUklfzLVaa+3pY3QVYXxkxhlv//vTWf9G94BVM1hFhSk8F6X/Pz9d2xa5PUUivF+0mrliIIl6
gFjMhF/vjdRbg4M0x3byclOF/VOZBYdlNYAe+5UJYn9pwS48FbbxYqL1AYVLjjJdfdjS2l1dyAHQ
K9E05FtpDbQ9ftXnuA/A+7aO5figORqWeblfDDCx17xxlAVfHceEb6l425MTHBqte3RmUd1/f/k/
kBFm0uVsZ3Ypd/5FI0hkL7ShaCKa1uwPugupFKclHQNTEPGA5iHQ22e38oOzO5nquAw/klh49370
F74LCy0X+rfHxPVsGxLU/7B3Xsl2I1mWnUpPAGkAHHAAn321Fk9R/MDIIAmH1nJGNY6eWC+AadkV
kdUV1v/9A3sMhj1eAbgfP2fvtR1eDwXGn78IVLC9NdWmeix1VUB3/FiksDzyHIJsBoeKZnNFMKci
PPReZ8QgsruoOWLjOhQuxiSsMJ004PPpsy+SFNy8+eLzLKKdfRZtGSL9GDZtqX8khey3EmHhbrlM
AqGcMadrUl4wLmvCl8yimeuQ33wxtM5dj6ETQ9CeH6ORdFByaet9XIg3MYuz6zmfbJIjUDQsO23Y
0ZsnslzpToOrjo6DzlBmYMmDc43fUt+Y9vSREp21rCWZjL8lIdnoYWVckzo3bipIN6JsNYLdaoFb
hWzFuD07Rv6t7TjNtUwAVksXRYeur6LysydJFutCVLTkGJKzrFL5HHrng3YK8snoHjRD+iOzkruG
EpfDUk2PNbtgkRTPIHN3i5I/anDaRla5sTF9nidGuLTIpuCSOu5L0BE4ZPPNMcZAkpxiUoa+OxqY
hAuyu0rrl61XMBp9DqKe+hFmvX35f79PQUjOvmmQdLr1150ZJ0eMD4/7dOnAGql3Sy1J8arMH64+
oG6KR5o0Bpz7ZZ68rCFuW1fHDrHA37yW/2LB8KhRTZCGpmQF/kutGnhMbRmpk0UYED1gZKPcLt79
otdP+Ii6w/ISFpTLT0K/9D0H1nJdxcbRS6e3gXbupqqbHZmmtIaNePqbA8N/QRhBd2iidJcziOzf
uhidXYusJ3UQdSoxISOHgLQ2v1QptsW2KKsPY/K3akBOn0KEPIgJdbhivy2sEC4QY8p14YrvqsHC
ofLCWLeROjpd9LdFzULx+fPz7s18HxMaGbQp4f5l4R073+vyPkgeSmoXZCX5RZsvjjE+al2id+Nx
K+2cF2tV2lkh38DKUa5NqyNx2BudK0Y//K/GSDoMkW5eC7xxKZCWG3o5aGrgggjGAP2ho+i0xxrs
RNKan5ypt64Ci97TBqYYe/omNwu5DSThcnIMy5WXhR+pl7pnp65+eJn4abCv73Ui5rbFQ3avAinK
tvCn4JpI820QHH/7grOGpdWItkm5RH3EzTHSzExWVahh66ws9yhQVK8N5NZHHvgkbIujbJuPRXlf
WDhWtTJAnNMhHiijdyNnGBnjsEb+XBXXys73jvB66PqVAe466egBNliyisI/04D/CfVB7atoyHfM
vJmqKFldVdnfcNrzIQxN/pKbCEtNL4J4WeA/Bm6PWHMQ176mv6UBan20TH32iTYWu4klejObGYek
OWTFo9LlcHLRuW+iMrv0OXLgJMKwOHlk1rb9ON2sND5XTdMStdRFO4t/YhUNjvFpaSIXXWxdC/vR
EVWwC526Phr2+DWpUVkOM/UhLepmVaUx7WQSMDkuKHFyK+856tlpjGg7j0n5XIYdQy++6GbLIDQJ
3kaSRnQfkk/snRu/w3xKSTwwez/S1dovZuMccc6mZNRIdkC/DexpxGZO7KtEp8PUxSd8JZA/zBA9
3PR3pGDz3w/vNBQNILMu2MK5LfrnPS3oc4vZdZI/AqXRCRexddbNkXOidRmYc5waVdqk3FhnhhHm
PQ/IsytyMm9bSwY7whsYC1exuSfRh9JOe/Umf81EbNqHyBQ2oMpWTs908W8WuH8vlUGN6RwsTehv
8BP+0nGQTVJOiRaVDzq6DY324lKCMjqPxoia0YC5bCO9W5dZiB4B9bJVEF0x71JoUiHZVe9E8or3
MVTv//3rEnOd+KcFgxEL9CSSZqk/qBT+smAoNKFJylz4CeYQmZpbkznpVTtZaydm2Wi6vPahxflq
eZ66uGLiaWKUnPsgC63ISYqDtIpPCevITp9JKxxTCWjVg/q8/F9oudIDFDWFQGBGCJG/tG1jxs9J
ihkwsHYIK0LmtSYAjbB6kZ0FI0EiQ/KTctdA60GUMi7SdeNGuCD1ok970gDw9DeHAMOZN5n//FlY
jM8c2NN0IiiX/q1YcpjzF3Y7tvelcbYU/8VoHzjPk7bWd1u3HMHkN/nntkEzsqbt5V6CgjnXYpbP
UpQXtRM+W5KIjGfDquuF8kOp5HcjbqKFelJecF9KMd36nBOaeVgWV+UzpzVK1gE/qgmFIHVvFTj2
cGqogjd4cNJr/q0nTGcpZztbMZxzKrTW5HSS0qEGjLiIwG3EV6fGT68gBPctI7NXSjm8kBEEyrEh
PQ37lEOQIwburDmgZpW3rpfBhgzcP3pzHF5H0/lYqCuj/rXvmgtaQG+d2i0z7iT/YgrrD2Hj9QNd
SOJuPG3NPCD8dEaeRE5DI0QMGDY6arW0JXEA4cLGcxhlKuG+VQGSRYF8cD26I1oFV+xr8hC84mRo
5przoP6+3B+pV2ZkCkfvcxxh3HnGMQytEv0bN8kyKJCWRu5ObV+XSm8cKhQ4bXVx6NLFxci4UTlP
hoTJgTcQ7oj4ZFhTXnUH5XhdjWKbJ+FPzXkLhDjVCEngLAnnuUyL85rsMsvaZg2oVpmRb22Xsdo5
OOI4SddQPT1k/SQwrExVrPugF/e6DsC0SURycRfv3JnvsvyW0iRpDntxeV/e1OhTNRL/oOFIyGG5
cPd3jVm+htDK5iOagS6NenQqMD0M3/A2FdugQU1jVqm3Aga9RnYfHhdZheUSWoWvyNVveV2y11C8
odFFzDKMycUCZ33QQ/U6OMo4QrcGdGM+TKO19k7VvLRtdVjOqcqWbyZk8bcu/IliQ9+5qbSOWERx
02Q8z0F70awcZt6Q3UnEywGcJJcMrxtRin/XIPrrEYU+rOUY0MKFhEP2bx1z2+uzMTIq/e63vTrU
DtjTKUbNWNsq5rnDUyxUfasMGIVsUf2BGCPrd3n3/7MdzHno+X/Pdvif1R8qLML/9R/JtyD/H6/d
t+T7t+rHfw55WH7B75AHof/DpgVCvIPrsYvxbf0r5EH/B6dcbq2licsex+b3z5AHd/4rtj1JZ8v2
hMPf/DPjwbH+wR/BHZr0t+a/+Euiw3+X8LB0Zf/Pys0vt/hHeWWCHqGhw7L7c0mg+7aR+znIop5m
4pTa+mm5GPYwA/4CBuYjYUIgAQ6EJ60jazN6nn1L0z6/xymHCOmVxEHCwtgnoq1vbZB8MtP4UNi5
cW1997NSRX5IBXGuWAXI9UpaaR/bUX9OtRgwfA1Ek5f+yUC0ewo6JXZAR/MNacdvseVQ3XVe+LB7
DVTT1MOYdF0cRTKstGOpfXXMNL9x4nFIHhc7nX7b0yeRSOOMsDVSWk1dLLO3LLZPTf6A00pSp9Vc
iYEsiKZEVK0CDF2VVpeY56L4wUjcWRGu1qxTNXhH38JEh7RzE0+GeVR5mZ3z1KnWFQdmTt+xOEmn
/uclD1AvoaI/wnqLzqavR+fWZBhSReBnQ1E4pFA2yDMdIlUh61Rnp8MeTGgVdgjTDf6mxUXv/0/7
8QxynCsmWkio0mF9/nWA71apPdHZAu3jDuR3DWDXXEdHWeIa76hQG+uUs7B+niQIK2hl5Xrw9Bz0
S372ARcBT1HvdTH11xqV+eolylP9mYPYfNqxFm7Hpsu2mFLOPlbl19BjEZfZoKDKGJKWuX+zMLK9
uEi6SCwa+Lpqr940xCyGujs8SA9Mhei++2AFKz0fMddYJ7dQvbW2xbSKUnpLAfDaYlW1vbNrdPER
DyNKOCJtfZDEtMLIzhKdF10Mp8pvqdPZ2xi30brPWvEEFB+1rfWI+3Frkl336Ejg2nrpqG37Gjdf
J8LsYRu0kSRDLFjYe1U4EOu8mCSvMQmKdW5aX8s6ubdZ1F+GlkSeoBPm64ypMnwsjG7ebnVrJMuj
RmyVVEK/GJjE8U4ENmmanOjOJWrtnezfG+W0J78R2aEQmA2d1tokVuM8jZLBMIzL7LUMwu/MvaI9
SASD43He7LnvxamdXIVsv/fPJtoYWnW3xkAsHfaz02vOOx77QT8J4ubWNe0BOv/CInaYD1rpKnvU
JahhacUAWQ2Xb1QAqrkiBlagVzAJsEm1LiR9KYrPInVREA/xF+ESfx76bcTUasTeaffqdmVyHYWb
Mh0R01cSp65X9/tp/tyHCA1PEHkpOo/yi1aQpefV9Ioa9DXkgodYKSsTh9lQO+25IDAqGesbWBdM
u4Eyt4Pzlji+wDtuUi1hzta9uDw3VojV3e6+VW3X3QZLoITVNHB8Q3cNE8c5czJMQUig0e5+TWR9
7ds5iLDnjLXzGdGtbC/0d/H87TCi/jnFibhRzR6MQr0sss5plpX1TZY/9Qwbjk3IREFZd+ubDqyH
NtVbQIXjXc2WTz/v3pLKv4axarci9aZLgam5iSBua2bwEpR0AM1eiHVItu5nJydRK4z8Zxl7zmb5
pYzbamb9HjlNRtMe9ZDuB6/0GQDWvtCy8R++MD6XnvhYpKtItsW7Q2W4Ack2ytI9W3riXwcD2EHZ
+dtuAJK/XCQz1nVuTDXgVR/FSmtHX0NCu3CL3pypqN8KhSucYIL2EKPlXwdVQj504eEIniaQcr7D
oFlV+H7c/kvdAIkovDMZyc2LjQl5L90wvClEdHYg/IvZ9z+lD4epdyqOx3Pqop3N1nlMYOSj04Ij
P9D+JOg6R9Eepa16VppmsMDTbHI6S7TrMEL0IDTqeZfp8TrO23e7mEEw6UVT1nDx5kucRzGcf92G
U0qXVHZOcOYBXhXasbPsFgiKVr9UHZ8mZ8R1ismDJSHJr84s3yHNvl5PgxNt1ajyG76F/KZ57QnH
4aanfrpXpZW+eFr/MtGp6GOzfeUtAeMKIXiGFvrcvMANuICBsgLRiueQcE/+sq1V9jV2lX115p/K
Qxd0/XnoSfbqQJ69mh43OtHROalvx6bSfpGXzEaV19q0wg0HodKppg3NMX9jtlP06PLJPLlpg0fT
nc7VfPErxlSwf3/Lv92WDkbSxsEuJodh1Za4mJcPZEhS4NqiPzei/ztarAXu+K9bhk30gTW3NSlD
5jbYnwsBkWYuwvjC31rMBgxNONdO+VTTWoi92QFN1Q/ae2Sm0VPUXvSMpI/mpUlX4RjUm8S09Svq
2fGqjjXDp0ecTPY289nkiFr8VWaReyhM07/ZiDA23UTc+XL48htr40jhrTnhFWvEMNp1ySKUhUkm
bivJG5FNywQ5rk+tbX8muFTbceYGo6G5w74KSTO2lTHgsy3wNeHSRHPDXdmBuCsQx6zHtvrs1vq6
iXP7SQxDUiFb54moxFzq5zrkzWgKV7pVnbTYd09xbrj0mKA2+Zp5j5hmXjQdWW+VYvOnSJB7+k1o
R//Qiji7jpnv0eyyEY8Sy80Bo9mIYIo2TYpUPSDW5U0Gsn4J+xQI4x9tUfusdyJ8sO28VwLxTR+J
L17jhZ9RRTskM0X2ugqwGOmllSBUyuIdSqHkzSQpK1YIzyKSdetRAUWZZPQINFw+dv+LVFp1NWqi
kGjD6nDGawz/mQk5xO2RMis7utpp/6E1ZXQufUG3gShtzA9Je6h9+W5ierxZJSINO+E3RjL4zmvw
tzBSQ+Kw2xu5CeiAtGy45BZm9woqu4bZ9kxP5GFWmXjHl41GdjbrAjRTu2Qu2jop0h0Jfj3lGnAl
OMMfZlQckasgXA1hIZicm9lSMSkPfp7sNGq6jATZU5jyeE9Iw3FIExdf43DFWh+CIzzpeiPeiNw2
9phJ+w0QPf/Sdf0PbPbqhpHpnmaI4HursB6QnvAljZF2DtNRP0FSuxLeiS6+zrN3qcXP0tXYTcrw
uy/EcYjpwJmDfc28wH0xnNDfAgQc1+gLt05MOncw5MCLoviNKXN89ZA6K1K+zpFX7mJiV44lFCkA
Fb55HGVMeeAaRKlMxlkD4sP9VhLhqnunMTAZTTcZ79Y2wntgMIuxDJ4fN530felF6JkRIVzt+TKV
x6jBsxREOrxOW4m3BrhSCekYs+QACIxM4s7u621C6X4nQZd4YAc2q5u8ArUdXusi7Vc+AzXM942x
tWtMiIk2t9ZTzb6NA4hOIEHDw3T7iuSIcTgFE0ES2mh8UnniHZ0pYjFIM8SbCV7kmPDYV30qXlQV
1aco8UhddKc31OQZ0YRVQMb9UK/DuU2Thl5DrTsfwHG5JFPlvnkR/bhquDlGBLHfym8ygsU4dbMm
tP/aehOY0iy2VhaV16Psmh3TxR1wzcdgD9WPhDivigjRxrnKSPOumOtAbsm+OUrYvTua0u1WMziw
ZGSHMDiGxIGH3L2NxuRu0W5TSuFXFBlU19DM2N7DzDswElHrnvH7xjZK1NsiqTcBU5AB5Ez5JU1t
Yl0w5V7jOonXVZbLTTHD7qj3FglJpZf+WWT8A7WMilUGLQf0SRxephL/TmENcjv1c4iqbdTjiiA7
IJiGm54nfYK67zU+9I0RTMZ8hsFhsdYMrbjUrnwf/NY8pYhqn0lXHpksaDS+0YmhwK2fuB6hZ2in
ifkgMKzK+R5L99MscT8DQLOIxSh4nfk0XVHVkzab1k8zgmIzkjFeB6321qVUuHMGpGxGXJLMIRE0
qfqupdVH43nj2u7dZj3OiF761SE9SeZ7c5bnux9Ot7orfplFlB8qdKLrdBhhMmozV8WzsjXo+l9t
muiENKXJmZYIk+dWPYvG39vAC8/BdKyqJsAYEaXmyk5Cbx+nCZZiKu6Lx33A3HL8I8LCT0DAV2lJ
5+SNHs0pF7iero3euurRwLr0Mg9ymm5u6Xl8EDxXxPfSuDIupuIRNkdXro2ml2sOK6xbSf1dhbpD
IGtlXFpWHlJRCU2NmZPqddFuSjeQJz1Q/Q69+1dc8c9hbLXD0q2PGnpWELfabVk7zXm51JwK2Ege
4GCyVcMBfY/QNYO5qxrGs+mHEfTuKhxMcfUDdAUaM/zvrCGrGIQfXrbvudPO5Q8Sx8bY/7Yrlfbg
7ZYbq9kV2HVOBt/CaewTufr9YRXozEFE6meP+uo8pvIKed0/pS0NxrKz78xznQsCtNcmM7wZOqYd
C96jlzAGtgkcr+ZL5wN1BCyVb3HfFRcZhM1BuGRo41k4eZNunbCMAZ9uLbfjVJGT2T4p/NEA5BVA
ZWdOQ1c8c/Q3vAsej5oUQQ7/ZdWZd1I/tjg9fgqVNgcaajFZ2zkYePDgGPmNENyMCvu1Vipv0+l4
gTl+biSi4+tUo8NsR2lv2NJgYU0DAHkulVGuWsFQJCsta5dGoDe9qP8a9mwMBQeLa5d6n70NiDl9
3ytsxi3Wp46DFwcFHGEkKhTMknlGa914VLAoybdXxjV3nRcNxfQ2SZv6kWuwMWIkB2vmYoVkCTfH
8OIOWbYzPYtWOlk541Elwj0vl9FNOOep/p7BtOyAel1JjD0VfSCzlTW1mHpkwMk1DsxjMibkX9Zx
CtqpgRLSSLhbksjsdRG55mW59Jnn7ixZPrQK13UrcY8SxeNhUpEFaJ3RpAUTVhnr+j6pRg+ARpjc
CgfueYbS5tSEzgcpwLD94P4AleyuqAHTezaOoJDAi8B2IGVTFdpGVF4FfEfWV7P9kE1fXwv2srFu
hoMqkr3mutZRQEFGXxk22y7DyQ6fVdsaBc5R8LmLDgrY+KeiVsT3CYuM66kkCbOoa/hDcbMtc+CN
jTXWGxR1ALv+VYX7o9pnec4wd8rlQWgifc2K+sJwcRc1TXbLnYic4KI2ySlki1WMGtO8v1dVrJ3L
qi82y4kD/BDOCnZqsDXuuRyL29S66uB2f+hx2t7U3s1D+aVUXxJ/9LdmPxOUgih4l+MNvePNAbnz
7FVWXkWef0k0fZfM25lovfS1gdlqkFWt4bWCOcoZTMUtZdA4fgP8jIDblbsMHjG3bMxtYMotljD3
I1DNQ7qjeOA1mucIBggtolDztQor+0TGR3vRLSRwBqXDoTKMkIyKc5x2/bEXfbQq+i57zTUD8hf9
NQaFwU4HiXbExlefXVdYEPzjg1URe6ZHCXb1sfkeY4vfxwMeUNucIIVrjLpElVnbsmJIF+Y2SaRM
k8p1E6lw55nVJzdu/N2ywFVwW4+E1JCNabsXm7b4AbzZZQpmXTFV4ArShHNqmBOvopD+ApoAbWVE
VXtLopLk+qwjoTGCHjCEeG/bIR9/L5zLL8/B5if0muH8mlSCbqPQAfdU6eGI8GadVKWxnnS4ForR
aqCCu2bKC60hC5Y+1W4cBvG18Yr4Sln+Q9Q4oxqz6ag9G5f4Khb4IXDbg1d+r6uSs14bwPClotv8
/vW4LTmDp9J46Lpp0p4S6YboBnFIAGiucj1jQ4nSfLog+avPSQrfvVIdsAee3HlmTjxBf7Gjg91R
Fi4XC0mjHbjTdcjzdLOgh6n0yg3/Q3NJcd1tqkzWe6sIXzrZa2eriZD4IIn8vaQxIIOS0xDM6Eve
IkazFO6arm51C2WJGIfXRBvaTTNWap9GxrdumGWxkuE/Z7TupvkZpweWVwi9HDUQdoFDjU3Mtl2Y
b1r6hxtanV8bI5r2vJHgWo11vpGab6yrXLC0zJflpw4c4xZMLugI27d2pH5gHEGpBAEZQlNb8xco
XOK7psfO0UVRSLsnvAqXZxTreHh3HEqImoc1j5xbGY/DLZPhXf+MUb/83EyQKoPOwyRovgUlH3/T
BfqTc5PO9H70cGTLT+jx1atfgA+CjccwE+9VoZfdsU2n4krMlVwJL79FVGV3naESRjNxBm4LEFr0
14W8LDr4TY2SO2Z0+gNzt4HPOP3eqqz7aXJCRQVQ/oGO+GCCjNtr4GAzvFyPwPAfWgo4UzPRhWIP
hpmMyoB8rvSUELF5rTAb7KvEfE8D6q1S18wT+FLzGNjf0YJwgspt1m+R8JSms9bO6cSnJB4sxs0E
dqFvwr4/lxtGkcjrpDn9rgCFxLGg6i9j5Oz7fKqeHYqaB9krpyIZjGerhaCyafRtEjfV7hD32ipu
rgwM6HCh/lwnuJN3bs7vL3kpYFxjiWYGbTMWMsQoswpPnUuFvy7gM920bcn2DI49nMGM5Y44CoZq
VvfL6oVzEb2sceJERLBAGrqZ8wXZoLuL2Zkwf3tbhCD5acEA+eacgAFIjKhYSWuPS+JHHUws9QvH
ZLlGzFERIuOjIGNrlzlPzBIwv9RuU9LeQgQ9h8nMdO2UJC3D6sk/J9i9RsE+NYY0OPv8I/GL/Lxc
wKQ5GEFxrbP17dG/VJfl4vvxw1FVxRfZ5nIt9PZCvG3NZD+3rjgixJVn4oCl66b1xL4xJ8+uarLm
FqY57XrNmSjx8nKP+9gBnzcjZhSHSFfvwETJ3Id9lGdxsbF1bQ1u+fMwUwx9z0wvc8G/MlodTpkf
Ro980tNdzBRj5XRamEF/Bu07EsQLGqiP7nrv/up91JjwqqttIiagzM7ovtTIdwkoLM7ZFA0nfzLP
beG8NJggnzTNOjo/iU1JqMIvrvg2f9txnLof5Il9JYel3ECyIPStjkl8w+GK0MXnOGGIaybsn2Yn
zfcxq8TVnB5uWWOxgq0BxYrTu0QZfgOiNaHSK91dkaPJYeOmBI3GCvFh0u2Xb0pJ8/Nc/B1gcOQ7
VTDzMQszufodbW7To3WBfWhY29pE9IU2vo26mXPWJtvFrgSTYp/g1b5E/OqZc5WnQN2NX5yhjb+2
zSmwQ3enJ0xMOQHF57z4hBAhvZbWNfdr7WoNnrdX7fCpMA2Ba5BL1FbGzrTMt8VTocGQ22ZRAxGU
gunEgegaKq276XSQr4Z4GSpOSBymykvo5uUlM6v4rDP+bxjTnyeIzitHwPWTvj1TqruVqthWBEKy
m5/dYg0Jmh9XPBLQXxgY8McG7Mkt9D5xGOsufpD3l6QxrHVG1xVbd7YniTx+DxMVPIedPUVXADk9
BnUUmWuaLXuNinaVG3H51oRu/2JWDbomcXYS5uxhOHqXCC7Kli6aQHDbyFs4XzQKgdKb1Mmoyt2Y
8xEup6Wh83gzQ1XNIqd8R0NXoREA+oAL8OlFbn9G/tifXY38HM1QdzPy1j239ikbJPPl+QKzOL2U
g6CS7RUIkvlN9aQy7/yy/Rl73jcjJqHKxAJ2sf0i5S0U5a5qc/HEQowxHrkRRu70NHqqerhpCRix
zqZ3O+jvTpBgZRfqAZ6t3iG7JIRXgfHozPIP3HTRnZQX5zhF+jv5UcGDmKNpjx/BXFF3k68tWJZo
u7TXPOObtLOhvU7GpfQzAjfA4dRlVd9jpZg+VL2z5/xh7mi6uXDpG/GhtYTa2MGpxC/4QyTgXGUq
X8bC2KqA8EtXSvEhGuiZJrEijTa82GFBk8/gXmbHuuthGb04lP4oX1G76XN9FxlZdKyF+Dalrvmu
d5k/O9y4tUfcM5IjmhOm5RXe6irr6TKsNFGiDRjBAgzF3TVqSJNj4iGctX465ZBddE/t7IxjrlME
6jOzy9cYPmYsDRBiEIG2+LoQ3uaixpvQ/NYtTHk4bUuXG622I+NRzpfEAZ6ftp/yxgmP3MT562QB
GOIJ7sD3RGI/2uVjcVUul6zlaCVDU26WDJ0QKT4nPhKdIIeC8wAMuCU8szwvg5Xfl37fpX76e7Nb
tr0MUSm2EnzYRXv+zeDPOmaArX5ANPNdqwk17NMuWJvpgCpx7nEMVtyzvA/OKpcyvQ9dkt37Mgou
FkCIwMje2cydb0fS94qLS7NlHyjE9XmrfbaciZpfeNPOlZyvi9z+MFD6M9eLn6Os/LPnJb9gcXUo
pA8FDMKN4BZfe8qDyZOEZo45TsdzUzmvueu2lx52xsW2lLaxTE6sWg8vIgzh9spw9sXF7YEll0h0
ww8+p0GvTlOYqxfLBwE7wtLb2U0U3G3XqTe2mWibjm7KbEebrqTuHVyr9K7LJekskp0c0rtJP712
OOVfLEwiawFnZ1MVrBNaYPe3tOUTUmlMcVbEzrnUPO4J4HyR7zIWbzoQHL379OCPr1Czin3mWMG1
nss3eNe/kJWTj2DDi1s+UICy6Z1mZ3tmYHMqI4rNKpdU905iOCBMXWtd0y/amMoiGsLl9lnVwPO2
QcbR2uDoe65ZI89OJrYQsmtYcl1TrcJgVgBF3Tx6LKx15Taf7DEFGBiwtDjzxc8b0u6NgSx59szK
OitHZ2mcl5LlJ29eJOOwHdCXGv5Kn5svXV95JxcaClAp1f/WFI1yYJw2loy/ZomRKatvYNPz/XLq
1aXntOhgadP4JdPFqom8S2BwLAHi+c+fVCjLYynjcxhBnCW1Zta2Wl5w5aP72qClQhnmJsdWS2Bc
WcV+ikvtwHy3gtNn0UaNaCNdzAidlBvW3lWF4qde0wql/wPj0sjv+H3ir5hFz37NVjEMUicQokoA
+BNvUGTwyTOtOSN7elGac1FaNZxxjvgUYhwbqpHeFKD6Eu1m8WpUfnJMMu8tSmzJiYrKgw0cLFSW
BC+SySC2C1p88bmIk+a1skJJ27GVQOZxOiP7G1ylNsmU2997c+fWI31+y202Zjygf+DR2i4jXThz
EP6hSBJ0ldOXzz3nmKg5nk3ZV7RSFmAYWq70ZMOrbR6p+fQzb0g/Lz8pdOxnGOi/alOQ1TshPJvm
S1gaaHO76G6oPN3jAhanIZLi5KtpPA0vudtoYk2IdLyZAno9pjYy9cUEWu4tfCgcZioL6g3t/cmj
pWI4AP9gTOS7QTnaobWoCb0elypHTQ9nST8eSs+HLzyPl/LO/pmAJsO4xZ8ceq71HOLkFQ2OnCTO
Dp45Tg+ZTRfPKaNj7FopgzguBDepAwzOz+zW9TWbLw0MZekV9DJHUp10aMVvDV5IkCJ1jg/Vja5F
ZesX2t2vtrJZNTo+qaGJv5jTQcYcZsAeM6NJk4/AlvEtEVT+Sq8u4FHj2/KfKMjf0FHYEn2A72/9
XPdxI2TaJfPCnSPr6kTEnH+xrCKCJme9EJhXMLwugvG8XOy2QmnWGt6OhQJWUhaFD6m1xQGnQjQU
FyuKy8vyU6Oqe6Gm8MD8T13cxFGX5adkUsl+lCbEUVkdcSW+MYsebsviQx+6Xik45DuiX7yrVvXQ
WCPrsvzJoBexdhobjfe83Dc6qkiKI3aPPLCyTcVs+qxHpgVGeP4R3zRO/Hm9H+f2WbJU8vNFzl4M
IhCuluV/9KNQOyIoCO3tIUljF3k36yk4GwjvXs2hq/YkQ5cbuDYxHLwuB8rTpJekxAu88u1UHs2R
yYVs3DNmO/dsA8aiDxB9j1KCL9ostM7Ct8QZPjwMmlIcgQHxApHigTRp2m4TNQGdy7lw1xLPxmrP
YGMZky4Xf5z0Szx+Hys6d8u6sVwKr2+PcVu9Ko983iYbyRCvkw8IP5ypSpTdEBA9J5b9rHK6cZev
mizO98tHgN2+2Aqm2+B2DZckxcxotxhENTr3QbPSpXT2C9HTLgrnEgfBAOJCD3QgbIH3u3u4tBBZ
MZ26M89s8GCaWCcR4wOQ2vpDtHGMosBaw4VqjzW8SLAbdPGvvA4Qcv7rUneAMn3ZvZSEnW7yNO5f
lotwtbeWyPWV4fTG09a23Wh1z6TuQ0TIdbn2eq/4nvnDISwhs9UJqWU2z+SbA+Y1oQ/44lpwYDUQ
LUr2Gfw3wix8hPgrmTXOCbeBc3I8Tez+N1fntRy3jq3hJ2IVSTDeds7qVnK4YdmWzZwj+PTnA+U9
rjo3qJb2jC232ADWH/Op+qrzN948a0o+l2Yiw9jQvutN9N3SguZHR6Y2BOj0VtjZuDXNBO7fxOA9
mZ6DfoK6uq6S1oPq8GbjRIP2IFNkEzqIOebe1r/ZNHes3TaMCGsUWz3B2bQJi5gfTdT2idE0K1aN
iw66r+yjVJqEZUEZhm8DiqwV9pEdUoe1RjTRZY260BgDAnWZb2MduUjbB9WrDKz2ZMXWI+7cHaS3
ccrmykRYy6tlGamctDQM34F/okquvYZGm9waE27QH2S3azU471lGtygax2dC/WhO82BxK7cz9+UI
2+HXCJszgzi3qWwE2hP5F/wtgtBYR5Stql7W4iirDPvFf4dLjcLukI3zOX5bLkphVjj3Oi3vdthU
Z+qWp8NCEVn578IjG1EzBK0lkh4NLGfhiT+nOZPLfwQLoRSB9Fk5GCikPEJz4yLxn9JGS45BQlZn
UZF04uZOsV8IppKMgYObQOXqQ609GdwsYjX/5TFB86RoQIoVDVFMWtPuZioTUPU1H3H/s7Oz4OQT
aLopwONotxzEWRCzTPQ4bTg1ijE5yPi+UMNYRI5h8UOEQfFCxjb4uv3iehkpQLpCd83e+7Dr2bul
eU4gLKPUw/RRNvW6/+jbcT4ldqhUZdyacIsMjuudmynk/tHIQl8nXMs3nyyfk7wYDmHOYMYMAkFD
QKc+01Ya9/VpagR+B3fVepJ4ZS9QEwQf1JXrgtnGCr1eVE5p6sCgd6TNLve1ZRE+GD63JRDwmRj2
yMSIQHo9aK0MXuKcYspNMNK26ESRjkMvdI+D2f2kliS/W4OirX0S7DUYT1urqQnrjfqYt232aPLg
p9N2QBwjXFTZ0xpL0e65qhXoBJP9IxlqUK7Ceeo7/t+mwiHSPnSunvHl35PDGy9Peom2bmWPSf4V
1IEb6XSOdNp0jEwOX/rcB6B3eDAy+Lw9yplnbHiE2Ygg5yDEWFd8LMwheWvBCsyHNzts83OR21Ab
UdkepwkmvTPlcGyciHajrm2veJjTJSJnH4PybJm0x1ed6G68iBafdd6KiVSYl1aWP6UeawcPym0f
pRqJR+r8Nw0ZHAxIl02ul9+acRq2NkmI6yRy24vICEcmHGl6mmh9RN9H/4rV/5ritD+BLaWE8FMe
TImSQb5zRfOB5j1Poive/AqxkomwJ5X6vEIOET75pqvdcj3OzhN6trbztykX0mqNTpBQoFz/Yxhd
u6nqIrQg4028Uf7wGy34FxF74blXQL6dEZCVOzDgAFInHQT+tLxCupOt/VAj2dw8BkrEtCwh96Bz
EiPSw6z3aEnZI8kXxRRQx3ae0xGLgJtRyusl69DuxnPZu8N5cJnfrCEZqZc3q+vshfXVUIvbF7vI
K4pjnYbT2QjM8Yx29t3Hj+AQpTPG20CdtMviNE2BCYxb2RYFMDZ9r2nupMF1W1L7sGGY1nNHN+sp
j4r+8KnZq5H/ngLlfEtSEtO72bkt6cFtX0TIZNKaMGm9elQa+kojK9tDnZJanxTY7fs8zuINtggI
Y5sw7TDVdGre+uytIQP8PLP1reZRuY1q57hcoZentso6EhSlQ71BynMx94h516FH3gIQwyk00qNt
B8ExG5lqOlpLP9Wg3OPbTZvCtyDeWrGXzxS+Mz00gUnMcs1nBASGHpdcwABnNkpUhIpKpOEYOuxE
Sekw7VClu2dQY3/RkH4Z6SartfgQdqJ9L94HdociNuSjNSZYrSqlQEP1xs2kgu7pTAS9NZnD4q7z
iPcd5B3Jk7ELa5RyJjkWopI9t8kIXIyW8G0zQCVFroGbIYcL1xtTkj+coL0rU21cV7UuLp05aIRF
Vkx0dEKdzIpBaesF5Xzq8tH6fNCSGea4pa5rlZhssaa6JBEGa0L8RM+9a/dk5Lj9C1rI6rmf71op
nZNUQp4kBLhtQ8+7CrbpJ4EoKsu11ZKPm9Ayc6mN+dQHTfVSmDkVSVmQrzMaKJ8Dwz36pskdgmLF
q5Na+r6RFfdLpCoU1FF/ZCS//B4XtoWNej9wRTjqM5fvbuZ4SQx0LF2f2Pus9/rnxo4Ff5Bz0LWy
Yx+Lu+fRy+l31TIytwJr5ehF91INLSoiQYZri4cYaRNwr4nPoSjtZIfOqFeqygFdykBtLcGH8RPm
mhflFnzKSOhYGSan50JBuh3hNJxN4lMX6PevoxyNr4EFfGGyO2KtH1T8zBe4uu6eJxrRiihtX0Zy
zjCGrLOhCT8CzsR14+j6nWgaMmtR+ZiRbr6FTXiwXN14jPXQP8NH7u24WfedPr5Gs7d3zIbk6aHz
QLMC5970eb6xJ+5hFa3J21kNKSm0gcUw/PkvYQSvb7bK6kYV+bCjobv6mivWosZ72mN74RHui9+2
2X0Aj6wWeqSNXe/eIr5QqbOVSvzIZf73Fc0/JJPA7dAVID4ENmtOosB4WpbU4U/Oi6Ff13r0McvS
eI0r4TxXRqd+0/mqm1v7xTEt5ZusvDfCyZuN3hgE29TmAYF5+8UgfrtHhfrWlWxC7mzfNFGdtbps
kbn17jM+2JtTT9MmrVWsg3rLYvSl665vv0tHzw+QQ9WbbvjPY5DNP0dfuxOo8jHlVP8uP2Mjev4Q
o7zoJNbu05lnNuQX8wwwehA+uCNKUHPLiFFvnTEprrjsnpamx15HE0qTwLrS4GTmfKRCQwnVkC5R
mRnLBnGF+TYUZkQchUWWJQ3F+HT5XCspb2D0dMURpETYHvMeGAMTbEGPJ3+rYZGWnQ3yuwbHQ3UH
RqmG879qcvQ6Gtp1H0mVMyH2kXn3RVR2cTT8CLOwSBwgdYxdzMPaliwSn1K01NlSw0j96DjivdKJ
gx+Seqd7qPVqr7hmozk+EytZnjyNFhbR72Y+NnfqxMNHOWwZsNwd20V3mroEbWoYUXzaTvWjMquP
AXC6sZzoRbgapeZBDbthivzsF6RvekjSjjVI7JFMxG8Gyt61nWsBhQggVgjI83PWaT9Ik3FOVA4h
IhiLgtTn/I9JHB77lBWdCm48a0fDLREPjnVyxtZ/ByN4z6w0eEoa9PZ2ypK0wxc3gDeWRlG+BIwg
64Q6ulWsO9g/ZBS9TkYdPzQv2MjeLZ8K3zhMGW/8yg4aa1+NXrJKsaBtXbPncI1j2O/SM5FDLTMB
TyWC9l7lSUbG+JX+zfKI4Lq/23ULJ1TP1UH23YsuaK1Y9krbQZvhadGREC7MbYbJDYVKsu8iwGcd
p4m2s0OXAxqx9LMkfhiopHpptX73j3r2uUWviizBeYrw8PNjWJq2s9clEjtEdOM69+wvEunasDLL
yLsUMgUlNOOPIpbkbgcOkqWUVEc+qce4H2ket9vmQdv3UzLZLq2LCN2iqP+iPjwHm/hgLvvyT9Hp
9Iw1WvAELUXpcZ+J3fK9CoIQ4YZ5NSuyoCvcxAnqAuiEzH914Z641Jb5GwTQvB6pM/uW1O9e/ZD9
nUNp/hGJnu6iuKou9No9G1L77ve+g9YqN9/RIm/ibs5OGX1AZ4J/njyvSA9mMsqLrpYhavODjMUL
f5nUVzL1ekJ1mf1ITc33QGvs6GpDc1LXJX2dGWSaXPtu+yVVCVholsVWPpraltbeaigGBlWBoGaB
6dSuWZS++xzz5SSrPWZJl9h6atGRHoUrl5rbs68W3Z9OPrqnkwBn34UmHldQIpx+kUhf87DMdwJK
gOYhHohxntu1hV3oPujZN4gjgnHa2r4vSyKta5Hp/cFpLkY3DN3KA4Lwuww3pMgplUr7+Oz0lbnv
Y5N2DVcWm2SmRapgG+B6rMw9PV3CLV23xwXUSQo371Z0pB2yrHEwTE31MfK6C+XJqB6g4OuAiCJX
XSXJIIYUS+viQMAS7TW+eUZoaZ6XV9qodwztoGlJvrcbvenhznV5WRZOzZC2beQyy9gKYfJ3isVY
SvS91zGJtx6A7sCl5ToNBZXY5EfOITqqwHoIIJb9glPNA0wwMPCL9Dvz2OKkuPQyPnaEpDwpS6yo
uXZxo74qKfhq9MSvzO8mul5Z0kT8fZWrV0XtgouKYUtwummtUftSe5Res9Tc9RW1Sh0ftHtnCCRs
s/fip3xYOtijASXHg4gHSQcCGDPikQ1BBPaF/5g8LWwTYBcJnZX+zXIkRE6pEbQyzZdUaTyWZflS
L3+1o2zPFbajbpWVzXARJAzrE+M5sPmH08jxPEzueDb6aDq4Q3UgYHfmWWCAkq3Z0pykvq6MFyQG
7any9AiCHLswvC5RJ2XRtivEJvHFmYpcER4cIe68CuOppEAr9A3KCjv3PKgFlRPtTIIRNJ/HZleJ
WjsJc37yk9R8ClB8PoWAx2SGI0icQ8PcZ37NdKKYMV2k4iacQyc8Cc3emgg0nhwaxW4RSQN1Yb3P
CYVyvMfdwbaHdzza9sExXfuhWaA8hOfbTrzpqi79mrt6sM/b8kfWGMl6yWQtfJjfrvKsS2HhUYnH
EGmzLcu91UIOLzzEwvO0VvNg/hR7p6+hHKJx4k1Mx1OL5qZDfkC/RRnnjM6Um0tF5+tqWdB/MjXd
vZxizHlFgmLkv6UZAkR0krY3i2qu3UIwjDbq2gCHvOIdzBc0IdpZLsI4pyi/kpsY7ItFhdCZYbW1
qHBa98V0qrHn7HGs6KdlKREFktBZ7FFKwyp2xTYLR0gYS78sy2T1+qVTUlBzAswRzbXuvOJm0R60
Np3EQ5rJl1llWatuRBjqi84yV1ZIjnrL40qLoXf0EnDi/8GiyyssI8gjOgKg/99Ht0e1uYajRUWt
OIxFdbQsRAP+CavQQmydpc8Ucc4HU/ABm0efWd3rf4wZSgFA5Rf0V+8h4Uj0quR06TXOs0av46Ea
1O+3pqOLhB+mJNOnRkJdAP/dB2kaPDC1G8flKMoEdscgruZt01g/g8iOb4uwwNScnyQ/XofRT099
4c6bxi/MDe7ydO/1sFrLvXRgCluJJqqO9thUxC/Qp9xRJraf9ERVFfviQEyBQB7VZWvhdNYuHAsU
bF7AoDTRKWE15nwEEnmAKXU3rXeSHSKEcB300r05Nq3lmocTj7oAo/8gvpf0F/g2yuSpWfcazF+8
gfd26v2LDP6Ulo4MUXOjNzO0Jz4jIPycwMuBE1eYkdB7hJvIFW+z3ps/lxdprFNZFhRcshLeNLjW
cTMNobU2Ndz9RhUGm2kcJ3uVTRcgZ2eCo7N8IpSY/CwoSRJyCSdJnXBbFzLEu+M2h4m0JdhiVeVO
f+HksU9nHs3uiyLECxuScskd3c9e7j2Ty7AFhqVX0pX0amHX3n+O7sLQu9UC9BfBXJxKVF8ojPrx
kijZwLLghQTNnuROwKYYhTMcc5qfqKTneotvVelyfIbfjBNKIwQ4StHQYaNiplR/TTZR45l5iXY1
Cm18FRF5tcl6cX0t1iqrwyhZAQV3+I7Xn+VVbS7c8yNJZgpy1adn+cwUDdw1hYXU0VPlfaZMMkRz
zzLWYXgOszrbERlGas3YhGudDt3DXPs6/q2kuhqJixtPRPThlb8WAePE5pwYvGODL7+nqixMoitf
+VY54iZwfDQgLFMowg1NA/6mnIp2V3qk7qA98W6jQe+VN6VvVxrc7OR5WZo4RGvspszlDUGdJZwz
mPZcn8RsHRql5F6WsMTCkbr+rQqYNNZpaxXnUdeHm/zfkhnZeQz7jdYRfA4eydjIz0PrOCndnjdp
bEGN/WSVuXbyB9CLFCT1kgIjHTHnHKIuzdYJSgy0RqBUy0ICQrDuDdTJGeVZK11PgAAjfbr3teFf
KYD9AL8mCd6ugwc+PO2Bt/rwqOsKdSZ+mOtIBu41Da38mKNBOy54dHyhpSW4mrXPY0k9xBmk3F5N
5NqtqKP1AGprjG+BZe7FOE1KRg/+vYAX5oj0ovbkIdRJj7AxisBtRQXlAWKVcWVCCwD4HRtsf33d
8u7rPlUTGIA/4QeMBkwx/LstJVhfFh2Mcvrgoqa/NHNdbZFBWjdJ8d2hJCjfGz33wvf1a9OBj2nF
W80zfgz6+gKZEBEJC+e1LIH6MmYSwl4YU1lNFuZqLLXxQGtZtuVep7YB+5cI7XtlUUnit1n9Wmnl
rRZj9ey6ib8akS8g3xUeZJ5jbBtQOc2R7qlkGlolC+qnEWqfiEgcKl3QCqvZDw/h+TX1E5JA+Srl
JzvrRvinMBqHgNtB4D4kT6ZOc750fbF3BXYZ+Idc8fmLuLJL51UT9TuJLJM3UU4/p+om+SuqRs2C
3gt0j3F0qTNEjBbtaPUCgY6Jsbf0ht6Cdngt9OBUJJb7tHxV17QbDnODec6hxED9LjuUafduHkC7
DZIvC1wKU1y27rpJwpgCP1VRou6u49zKI1vogQJlfx805c85baVcTfhdd16FaliMkTRW0snYmtEP
Bep7UprebrlhLHeOMm6gCtGb0zUynT3OmUPm+uw2km14pg2DjIuBSprJc9f8B2D10a4ZgWJ3i68H
/gQkY9Vn9GUxBWBsld3TZIxibZTCw941xB8020yB+hzkQ0yDi0N4v1WJtYqrLJgZ4pV6JfsIPb4R
0sJml89uHwTfBOoL3upuZeDKvC8LsKyPFSl867340CzgPuWCteZZGEVpNaHmJC/qPxS55YdFXdZp
33Oz055RlESrtgnyF+GbXwsXCdU0YAywGizXeOTH7ezNMIOVJpJVOUxio3t1eCJVO7pSh9Vvo/L3
nPTOuexotBnLge7bdGh+tDSPDFn6bkfE/qsyvOeCcZYhSR2TKsKEaN9mN1ITqWU8szZz/4NZ2j4Y
WvzU2UVxiJLAJwhPyK86rU2l+IN/wvk24H3cOdlAa5LIT1ZrzA9szb+ssCuOTDLzWev19K4rF16e
O5KGJi29L99zvfQ8cek4lIUP7RHZIjtNLdp/LaT0KZXUzlVN8JKVQXMpY/e3TuPSAhP2kN6wStkA
osZEbja1czXhW640lKeovs1p59ZtdWH2ri7zTHFm5A/TTkSwBXTChkz4TXvNvZe0xnvRK7VwLMCy
aFXjdk1itB3E+vqfea42LRKnVPH1lue3Ps61vAZWKu9RYXINGXgskbymp9olgamTs3YwUwPu73+k
uxd51qaj1XvtGy2+91helq3WIMnygj2PDmvu23HbNdvl+2m/xlajX/tUKCNqrq0Dyf2A63GwpnRI
w7+RBWdk2Rm2dsLfPiNocvyHtg2bpkjJIjU4GXr5Gz3v9VMQkbWKRSgILwB97TaaA5CRlkD+JaRC
6iDnxgtl0MEGJL0QTJSWK4k2+4luEUjgU+e8WUbDZUikk/sZDtug1ci/Qz+We2co/Wpl0EK5/oww
8Ghu3C3UQKwIhahVKRRarqz1QbqPeILxiLXdfgJePBDegdKVQWg3x0V2yB0O3lrZ73Wh5xtLNtNm
+bIfmno/9k1DymMn8dbFEmcohX0uGRlFAuzawbYRY+Tzc5g1zFJUZ/k+jxpsfd7gXRh/nEu/Nl2a
C3W1LF6HsoPlmc3kEeb8D8GBAdtEjPQlw3SOubd7NbR6uBLtQ1pelyQb0kBqdx0TuLYvqu4970Fe
fA3ND3lsglgm3ebCyvZE7mNa8oaU0UZLTOuIs+aYl2Bkq9Z/C1vylOKOzkrHdbK3FMk85E+JahWU
a4vQgZZvL5VnK+7l2Y06ekEEeSVSaWMipZLJgtg6NW32jfZffbfMeNSrIbIqLUo1vf2IzmGajOIl
HqriBc24tjbzjLtaZ5ovMhXDhmrqeNv29W+tH6znQU/0wxSDjkoML89Sh+MyxXfi5+NjNASnUhDj
FPr9B+Yoh8RqVZtd4Xqq9a4m19P/TRKasbOVimRZcueRkady8nQT9TK2IPr6XG1ACMAdLet77WTm
xZO9IOhFn4f0tBa7qZH6e0ONM8qWjIR1ak1doqUbdMw7XSW0eHzIqAGicjTUYJtyzsRPmN1gpkcn
p8m4vZnLkYJQAEHWyBFVZbgWZrzg1K9dmoGiCoG5YFdrWfaetwFClU4+cva8ezgNxylr33sP1lYQ
HXxfFkLrhlONa64yuVUHhokRCkXtPfYBQx2z/sHGlZyKNnijt0o7SiVJZHJlcc1jN2TyTC/DG5rl
Ye8nNGYGgdafuW4XlDPg6li8OoMSE+ZB8suJSM5m+jgPhXuhespcm6K6VepuibCJjbvSrB0K21+5
jCHJuro5EzatIs2srxDe6BqHaSMK/GZjawRnmqBchAxtuTdm5I9l5CA8x/J0NMnTuDZ4dLq6pwmc
gsq1aQ4+gflcZkROKA8BHn1xpvJLbKdO/glKGdhbK86DNQc+4/cc00xUW8besVzzFCsdWJaS7Yml
muZ2B6lPo+NqqNRS1BUTFCA0CR+tQB+nTA/YiDOIKQYa6l6tk12XUL2GPiA49u0dth/7BNRtn5iz
KCOr6FMwlqHJTWxkf95v5LzmKUPQcFpeGQzIR7mk3kzO89CKZgfZqW+6Jh02cL46aAuK+9l3HmDx
v40GCytttvJYOsG8jjpycCpUAXYr7iYRIauATJrdIvFZFrjRem0nerQFaqN9Xs6XNq4GE8Gf5q1d
sjw22ADNa7fLZ7Juhf1zsVFzY02vA968k6lZdyYddKwo/Xie2/AWOAnzjuizA5PeIbE6CjpHaR9B
kRtuGbuhqsWurZw3v8chJuq4pjiOyLNzjbqysddta/80jbDaj2FeD9Rlyjc97+G1lQ4TQ1l1/nwV
7DrKny66InClWnyf/r4ESSjhZRNZnyKb9lVo8HPwk3JNRsGz8iFmdjH6DFQjJduJNnjv4AQHo4Ny
IhbFeADupVvHsf/AstarQZF3vjWS++fZR68K75Qj9bdcHeZ6hAPPaijblbm/hYVj++u9du82IOef
UDq9gtMRgDQn5mjau1lpvfnuirDOvLKTi9aXX13XHZ/ptBqf28Q+xTO5LqFzrk03fhrG2cL7Ag+Z
M15d/i2RQ4lk3AxItNzcOv9bMhRTqzpEjqP5c073BsuAaf8SxfX0RC7WazhqIc7ARDwsj0dCw4fX
TsjSGoVFDoDhJzRQ9ylCIO6buvaMchAUJICrw4Vy7dS8uth9WwX0UDn8oSFqP6I/Kp4bZ4CHdp2J
tDjZnAVXcxh3Sx57NOLLD09peA+ZzJLMct7RifY7mn3MSRC153KK7FWgLHEG9o1LjZgB0AJH/nM3
pAjz25zeaGVV8zFVbce6baCq3fbRd+KSdna6mkiwPHxevfWJu0hH0iZn1nxeUkGiCDpKZtEJ2ovT
Wx3hdoHzh74CPixxpx2JGnTolNNxKakvcRx3p9noXTaO1j6UZjw/LakAhjU8Y8DRxqS9JsJ6d+Rs
nP4tZKwaJ4pU4DDc4qoh/0fzYIxvxJWF22QY3nHXSxQ8+lekuCOCdy+7xMQCkCnXDnCj1W+oIO+M
iqqBy/OC3QD5900yLOp+757wW2YbHj/w2RQlSYqm9834HigL87I4vfSOWLrXUxSTMZ4RE7ZHlr/S
Mwv0bRjq95pw1wjl3S6Lac3OrD7eOojaX0ZmVC4pifwKBrkyZ3KH6M52Nnbrp95KS6r4NlbRGiR0
H1GTck5J2wFIzRDMqFdwhyvozMBlOzW0farMtJlWkc+YUya+6kOSKY0EXmZRDVIMB5eWyiK6Ws4m
j70WpSD3gD6KngUKw11FQiPqKe9uE4jLhbPEgMjj3XJ5omzdh/3FjGNHN6J0o9vyyihfCUDETOD7
V/ZPhgZpd/eSn+PAZZFsnYK8it4cEK2BsS5fFalJQw00fF1G2slZfMpqwY2PiomLPQXmwceII+xV
2cJeSTxyQpRDWhSJk9C64nXoJBGSvf2exc29rqjZzovyJp04xPplz5tYN6onc7+AzpS6NreyuC99
fCBRRxiQ9OCIGlSrGLE+lnCai9SSsnlVvQk8YUHLNHBBlGwP/QNzd7wB8iG5zUHgmdJFcmAOunnK
fbwsU1q/pAOpNmapj1sai3q0lSMaOX4JEufdLAge8MUXv0VJ68Wzdv1LlDlRE7FTWf0K9Lt5tNFI
RI6gQ1p2/hsN3eWzbuXVrY5J8tWwexL8jLA+DMLD0PIcNiEaf7st6lOnQmQC0wISKWx5yBNq6pIg
/2E1RzlW6X40E3vFwBdzILn+oXEsvMxA9oiv+E0fGkveMqnZh74XtzJt3VUPmLHDY8GW7eR1dqA/
M2fEJRZ7BVP5c5C4pbk7IClTyE7Sm8RFwZPxgUfxFSIGQ26AhF1qbnfMDO66ijurDeL5pNPdvbr6
9TnSwsQMx9kw74sgerDigniiPr92zWSuJEDVKtHonXfI5X3y1FLquri2+cfcoT8tyhytXoX1ncil
/NEQ5n4mikBRCrQSkVRAcOWeOVTeYAKn29S0IdcSfMWIFziHyOEiwtjFye61E+iDTL8UU2jKTRpH
kgqHxtpU+SxQfdAwpSa+hF1GS2l9HtP6L/pth4Z1lv6HoeYAoRZPGZ8nv1YZIFW47bSxIm6MneDy
n7ph/FZRKMmZ85/IYdE3fAKlrYPuuislhYV0etRXjdQXXKgEnBNSxwvbOmvq/FkWyKoOyIP5duvF
HTAx0PyFMMD8EmvzW94P/V5U5FiUNoTNk9nZgxIotS/9bMZntml6TUxDO9tT9Uqw0V8552JtmAcM
iAQLIuWyjDB+nWPQyWT4QUrBtCpJi+XNy4NbrlSZ3cxldkgc5Lr5zNWKysGffVd8/zM78yVXgUrL
kuQ4yVz/HAYckP+WhnbPjcNslCJdW6Qh0cgg5UV4M3JktJfGKoh7oBrnBWAA1Q1PdO6QaDQ5aGSw
ixhTc4qH4rlXLNyy8Jxml7ZJblxTnLutCFItctL7ZO1EFk3smJa/y8iKvBWyCQzAapdTLquPCzk8
Wdq74J5IppjxRDVjfxsQsnuLytlNCkDrsPz49A9gMDeOIdO7pSLBGs1Kz45WkI3uR9m7E3L7iMzK
vpSaZl2cxEHO6jrUKRIJVaOt3ujQzxi+y/HLWBAEv8y5/H76PQ/dPTZ7i56McsLoPr3VRLDsrHHI
zonKJEGnEuNdKhqY0yAuV0PmbcPJ8Q4Exf31zYwgCkeCqEh+xD1oqSCesIlHDKhc+zGJARNnTfjC
NH2UnoWuTkwYzYdBXvNa+wjTpDgZDqkWFTcvh+BaVPmiOhEMSDozXmOipPwov5WU6yK9GtXdyBjD
e7rvXIM0uAzsGQkawskJu+rgt2Q1kv7Ww6C+2PbUkXYYXq243mKUS66plo9P/ADj04xBe9dp+D+W
703oYD7lfABBaP3/l1+xaNFR0NSrUPksefqb1TKzpSDaN0YD4mLnawa+e9JExkU0LYdvRmv3ZPHA
ltZ430kgxro8GE+pQfZQhD3yFjQEpet5XF/72Xki8zx95dQH05xjKI2Eaz517PmtF02w5iZCqHxC
asMq7vNuyx2AvN+aSN8hnz8svac6dWI6FKow0pviG85F/dEznW0L+rK3s4vr3bRH6rf9SbsYFQbR
RdYoqoSLrTduPaqSrmE8pGcjzHZmjCbTdl34BfTb3Etykn9G/8toTvO2Zyxd/Rv/iC3CupNgUBt8
jHMVB/w6Q0vG1EHokK8cYSSk7Oqydjaz3g03HOtiwx7lred4InFxmYXqAdNa7iXhNlUBh1ae7ZoI
d5sAF6RMO6+3S1XpsmSV31wcPfhF9pTY112c3OxMGVbrGGloSLClTUiRj/H/sSxZYh+ToZ/Omzwl
TIytari6XrhC4YwIGtbxzCzpnUuuZtvExHuZTEj/6rFF/6deLYunUqhmMc4bQ4nphVp8npNDmqYu
wrQi22Mv58y1EaEfP785iOnzMrRcg+Iwm86DgqsUqy6NCI8YSUyfryB8oi3dTCArWH0SRXj+c2DM
1O6tvMTN5nevgMpe/hk69btysIPLEhGHA4uiHZQH1KZzcmVeRhH3GGAMTaeEX4o4d0Uw3pbFqgb9
iILgOfaLZi2N0IJ+G8PLsugT4PeQ8uAopg69SHh2FE1lqaXxmv6UmodQkcZ+2OonzyWyaOUiHdmA
H+F/G8KZghTbhdNu5EbAsvKDDBLVBFpNeqcSYhkaNjZ2PtxHBDNhoAGIOya1u/HlFJ1dtRBNhnO/
1VqX3MX4VXSkV5p9ixjbVi9R8hiKUKZdB33bOlNzORJsk8QyiGdy0l9impc2RGahYfjff1xeuZ2T
01ikrrHRZB74f3VIdDByTpg2zj7d9WnXdHsQD2CucbKyM4imu7IoZ90IHAIngvO901imZHPVQNJW
hVqiq6YrD+R8HMgtuaUCp0veRMThhDUxryIi20H1YzvgZ2/QDu7aQVL0ojWhuSG0u97Nrk+PqjL9
AVRoZ4PpUgkBImH9QI7U7Eyszfz7WYw+xt43hKSfF9GvZDSmABMycuiEmDsMBHUJc4d4yiEl+dJF
OWKqeUq/jAMJ5ZbyEBdciG3KsY/d4i1OqAX6PNSnOLpLZRZflgxDzSVSjvGavLN9KePHvEfeh2VM
q/r5THfFTFpV+HA1WhQXN6OrkqWWV4vDURud9IBp6QBR5Jw8Iow/FwvLMpapAC0A/1Qh9L8L2gTC
dGfjVZkMP8+35ZBbjjttbtZY652T4cakqSRNe6Igfbt8FcvWwkBoktfKBTBVyMqi5ClmTCkOyiK7
qsfDos7WbUd9ujTnz0TgxmHQTHtnmGDSkvv5nSiAAZS8k0+h/4RQjJ4S0mu2lpFEl8GmHWFlk5d1
ItFj9f8EEbUUPCIQW7TC/MeT1iWhoX7kfB8IPTz6tvwSLahEA+64w21s7U3ykLe1Qzz06ApxFzEF
cCQBR1AoJYimS3o0DOCxQ5oA5m7Mu4pfuaWMTuUkys9lUJYntADVmQeWHZS77IZ8Y0k0+/8Rdh47
jiRRlv2VwazHAddiMRvSqVWoFJEbR4pK11rb1/cxi5rKnmqge2MgmTJIuvmz9+49l6XrhDguQ3dn
38roaQ3cAmvvUtYpMxO6M6F6OhNUtNM5eW98Gx+kdcoNbhL1WHaovduiPmsowST4s9nYWTNcUIdy
pQBaOpsZSK0Y4BLycla4tj+o5zWLmBN7nnOamixkoOT32khkt7KPX/q0l5C0+Rb76QIHS+aUrAgc
26DN9xmj4LfJ7lzqpKQ8Tw4Nf0T01maVV2fBMaWhkc7Vyl49hr6gbPnT41eP9A5BmVjxFL2XBdkb
lZUvF25uy2WWqiUXwPsJczT2C73gvt8/MmAHyCxKbP6YEZ97DCIHhIULk7RWsqPAC3VwBHHLYD/j
/TqqZ7FnPS9xYzG2zezbKGfMSWP1FwiFobKh1fb6tystq6oHu+2ARtr6FscvcdoAZg7oBx7zNkG5
B7cs7HLfPEz9hPvYP6O9d1/ajH5gUdQ/uWW3Ydtk3/KaNz6sSRAILZ/NlUJufGlrRBnrK8yA6Vak
1vJak/OzrWgZHfWR3qlmIG/Dyt8+GYY3MGkRPfQqQhtK+qdq0KFKQSGbJkGGUQLXi5lGNbhJdDMr
CVQjAxBbGGE0kNuDd3Yujbkm4iWwT8CfTrXs6Qt5tJeHmDPWHZ0cH3bQMgI9LsnWhbzrRl684uBI
273S8Ax2sl79bkfsBAR1kyj0uDeHez/Ag1K58dW4Gld0MMlx/TIOy7DzOPQ+ArkYdOowbTvZrvei
J+6X2Zeqa5dj7UPVadJknwSOeMxR34FPZPgGOTh50KFhIYV905glyZpBT1QLZ6IOHjY3NxARHreo
e8BgNxRl/6lxNIO/e3SijSgWGeZzKdwGEz0E413T2OKa2mTeGuaXOWcWbMivgVIZKL3B0o+/kzRt
T5ruGih2BWDAAZ4zTEj3ls8IczxjP2G7ZRIyvPWrV70ESQroMyFiFBHZuc8M+PHUggD7/JRpluZ8
zFbUgGWqNbSTLr5hpgBwD+VOp2h1qqwqOfVzGsaNlyhgu1wGyxqPi08vXbjwQBqGV1FlU6DzrDV6
71RppLVAEuagxQHbeDgaE009+1RPnf2Olt7bzJwW7+hah+MwoTVJi2Jizmi5v8b0HTj6mzCkDx0d
9BPZsA3DOuQ+q7RL83XTMNkgek5ajNPZav5E+6kfmjau4dMJ/RF0NgFxFNJb1WlC9pd+9JwKJ242
qef4+3jpDlliF2chghRFjMvmZONnBfssEXFKzOXpToVST7zp8odXb0gjNZ1VZ+RncsV6QerW1s6h
tdWmgeldcefAlbaXMW/2uTc8Pgo3ABbZHi4K3WkvRqLETA5prESTqsUeVw7c8VIx0Grbo4OMec/o
4Rn8xnLChQCMLy7IhTK9bwlz8weN3HZH5aYfDZu2VpcL6kQIJ8Z2YfK+VXO+uG5R2rT+wRi032mK
ep1sre7ZWRMvnEp9CR2ourFrjF8iyhFFsitkB049KmUbrvVAXDbMRDmtEgspyyEzIV5yjmYgSfIp
F8e+Tefiog4u6gjD6NM5dWb+XMwenchEMyhyfc3aJBoN4lznyEm3qdoADzC2zcAYZU0HhEHLZM9I
Hj1U8QYN6T5+LmErPHkuhT99Vo+KMnHOiRDOmUYu6YerZJqJCE8zrBWrdNY39jaSzmtvy3nZf10T
O3vW+jkEYuC/xrQP8D563taR/mkFRlJL6r2nccpkL5++wAH2j1CuZyagfBnvbnmqa9nIz+331sdV
oAb3MSd84hj6gojfDPBtl+xGTaS7FDDd58Z1352iF+TbGPwcVT5/0MSYXPlXOU2yOqRivS8Qs9E9
Pi7U6649aQ+12E0fbIKuzfa4N71wtmy+4jY0P7iLSOtnEyoGM7ebelTnLcy/2dnqmsHdRHjihPUJ
+tuoVzPN9B5PNDy+w+hAo+0Zc+lD2Tx0PXgaMrJpaEXpH/fNrqkwyMZC7F3bN3e6hwUroLP29Hme
IzQ69UzglwJPNlb3LkcedzEbxn0apiBs5o0DnWzryQYkPuyefRXxqsIzqcVfyDzh/JRstDH51eix
u/+43yduef5P4R9PNdVfXf0vxqBPdVoN/f/93yrs6ePl0y+eBuSfOoSfYv9wSHPV9X/luWYWet95
NYLdWnEgTqu4eODSfysjsY7YmpH2KSS5GpaSqoH+BH0Jhxb/TDnt7AKz/VXCwjkHOvlm+pi8mIhB
7osBM3MmCnaTuCjmA7bwW9+b93X0HdRgVXMeRwx4BUj1YDa2yom4dtgRmY4wNPIgQiPErC9q0YCw
kyzUJVsVfiH60oC1zIZq3Ocqmm4qpIPpUE8NR8KFYhH0lC0Mo1YtrGrQBVatf+3lOFGADTp7sCcP
i0D1X3Tek07ysKvpZ6jOOC2XVGP8zxZpzu13k1MvHTXXvbb4b898VMMWnlfIh17sKn0qT+qCMIzX
//5Tcf4L0xxtF8HLnmcbju39l3Ba4U+2ZgKJ3lkNYvXCm3Yo/gdm7SxVOzv7OGIiCpDh79dIi2ck
icD4rH5L0CfjQ/6pogBUV+aEzA295rwVQw/PdFqK/SSfDmwzx2zSjI9ftbzZv8ZlEW90afGyV02/
wbZ/SS3mr6FSFsdRhtIGvRJ0dPmiCjJRLyKZ/+dFrGkb0wHNaEUdFxxnbUTZTf+s5vJ/XlOb6yB3
WPWa1U0dznNG9+o3//l96jX1m9Vrie42/0MOmP3/R7W5ATk1pmtbFjM0gvssFb378/sLX3euGeP/
ELmJwrtri0NDm2SmoD96wBm2Iy7UcW36p8LWf1Vx9za43QQBU1JTBRKSMPELWJ5te8ELtZ77Glff
OLns8BNSsEKXFHTqzCQnq3ZBUTDQWdg77OObwa6AyCQU8tO0cYmgsGYc+NA+YRawu9Omx6SVLlWo
+bhTmBHTuY+n4pxnx1oW0nmgjxs9cWGeQh48L96C7Y0TCAO+fhfoAAMCqKP/w2Zhsm/9C7bv8FYZ
lkETNzB03zT/lR1Hfv1IGW3FBw2u8SGXP7Va/JazR+Jo8U7VO9myoCuCK5b4WKctHE3KxaZHX9J+
nl/kC4kVg6HwTSJRIrODG5GiS0z7PERUJZ4MlFWgl2F9jjpadq9ob+6K77oqk59CbhQdYo7T7C9/
N7B44/4SgtrqD2Ztpp2z6Vz6qD2n76WDQ+U6ojyR4PqTlv36Yuppv/UxZV65LBKgD9NLwDcBlqet
vSSYaIBuqtZCrJGL0Jr1WZVSlZz/WqlMcEx0AE9dju4c5JaJymHZNI1S9Vhf69LmtNqPMFJHx2R2
L1FyoECCUF/pu83RsNzL+kynCqbPyhwQPZFP9MX6JY2T4tGNHmBVqKQ7iilB07huIZMxD85hkCsk
oh5XuPSxlG10ualR+Ven1DW3qmKFAeTt/DklQSU1BfFtLDGwACByDhspKSsVaXD1eOgCsBluKdwz
mWZHN87dMcS924C+201C93ApY1I0NNd+GL6R3ydqPr5j04PeTIq0vTCP/KPTQ+DKPPm68VtgZD1w
OWgou9P1YVKCKJtICmgHuJe+HMqWNh5d1/nQ4FtjHp02UAOR5DUOe0hQggNuJW/NqwhLA/uVbywX
cPMoCqCCox6coEQfUCzGl2FIwkz2fi0pyk9z4+BDujksbbQQPTh1NyPodqZhrPfWa8tDlfyotJas
ldrpH1BaMmJP0+TRJzfCiLZW1o9/AXv8aVUNWdpAXk+Wk44PCE5MxpHF9rYBsNcy2qfIjbB1WV/W
Rs8OvmyvwhqjU9sYbbCdcvN7XdcD8BsEBU0LALjJSfMYOya0ll3r57oZnJe4FmqcHgGf1G4JnxfS
+bZ+QHB7OMCzT67Va9cR4ds1C+aCPgingmRB75+VM8kocwIFfUY7vw49zWp8CIyLIk5ys16Jw2x0
MNxyRhV9nDIFdMbTEA/z65hI4UbkfUYmsW+9Kr7SrxJw8LkAAvYllWShBfYaUkoaoS7R7V0fjQfi
vX+Jklar//9oRvnvjwoH8iPU7WQlX6NaOvR+KZM7pka+SzYLUoHluC79uZNYL7UodQlm/fdA2O7e
XYrs2loBV7TpbiLpFLQeBp/N08zdj/ynz10b/Waq/OR2rmAs09C0cXkbkiV9cwNMyVrlk3k/xNbB
50ffcHssAYkX77mUAZXopg7CCNqfdMDmrWJODS45JylW1B3azZqoFqDZqMCzDWNK++7S39gTtaUh
aWSi3lvtVRUYavHcaTnVjH0ghkXnP0sLhSWp6/WoGoSFl08HA+20KeUZJLngrMvoy2vuuwT+jXQ3
hsJsH3ApljBOu/Vg0FfeRjgTthgXkv0ke+HRCI7aI+8UtH1PHo9ZpuD6bQxB52T+Nee1+WJPb/WE
Lhv+mnkzEuPVJttog7Sr5dvDABZiZhEGMyExaEruXh1NL5MB5AfF4o2bPUuNjW8urYE8i8wmJ0T7
PXTEIP1Z2sT4VOvWuncnA//gPwvqeAtKol/h+ooaayd8/z3T8b8fA1sLQhnlSpx3QZJN3s3WUWcY
LZgFo9Vf/AKBN5jbz1nSj3sT0d1ZLcLhZjBnHJeWBjt2KqVIqe8lHMR1Zt89nuyObYWjPgg4+XQS
ZITZuFIJV7WqGjfWglG3XtEdpv5jba0jlpL2Wvd1sOlpRRxHN/JfBLkAa1YGYEGyC7sSbXkpjWE2
b10k/rAC+nvqwaRwVrOm8ygftT76Kmz+Rx1NCVsw6HBs/fckS76UdjAeJsl9siXSYGRYy7HVfJ/H
4LNdQqRqErrYCDbLa0Z39gDNRH8b0+bZytads2o/klVvd9H6FgfxeIhJ+kJnkF4cZ7VOJvt3J4Vs
miTdkxA68z2/BAZpDFnS2DRtRBQamPqgKi1EX/ZLUW8I1EhpG4t038kcHsMziMlAcuPiYiygUjfd
evXYI0Cp9rc/LLVCt5HuGNVBJIcmmt+61MbM03Nbn3StO/mdaVyJUkFvmWN7qmbja2FEP1cGfjgI
iGXSKitDxU/DTCv8m5+X6zYaZqAUnT1c6hpsoc4Gvqu03t8M4EWFmOHys/GSl9ZBdCWmdOiy4ckd
RwQD7rFIE5DkoJr3KUOtJ8DRWAgQpoUQH2eml4WPuzJ1nkcbq61rGxe7heA/GLih4+od7dxKSLOX
flYD9c6es72arztj+6VJkAuJvOquA29WSE/270mVOaRswsxXm/phz6PxHtfGt7YiNIC5xXUo6UMG
BI1jig4JNkhO6oC9NAO48JgLVo+Dp0jQLgW0Bfyuw3QzGCVupZlNhFSurdpv1DLlw+fICpoorOs3
ZTvUPNfb17XxE8Gad3LL/oAzen20VWld08KmjDdyEHozDgw/BWSwRgtgxJmIkBZG3RZ/8RJ6TCW2
zA3dMzVVGjqaWxzm3lwhlzjFxQZ0HxB9+JhTG6o9A8Z9LKFQsyE75zp+jKGHxpaZVvYBeWxk0lac
FSdH6jkF0oftLG/RCkNNW3BhWux/SSsU7spmVngmRSl7OTXW4B8E28l2itsO6HRdnCJmXE7cl0/r
ikdPN2G5zaL40Q7YFhWiK6Ch3i4IFa01cZ782fvVD0zqWnP9FujWPcO/Dd1nOhNbwoUw5U/gx6Nj
NcUQZwuxp5PVHGsGBdsMwPhzXSbinA/Vo1zEchKmGV8WuSQcz01dVFdlydZb/8UNXONgkBt5whYY
/sGL9lP7E3A2LmYPl0WXI21fZCjhSMYIR6Ro42km16gMTqwBO+zr2f/muvlyjWT7qTUrRAlG6OG6
DQbjRquvuwvMBWFdYCtQmu8SXt+RsYfk2x/sAF5KM+YZDEik3GNFXWlls4ZXFryIOjn7BWCwPKs3
avRj6emvjmbxPh4QF4wtpsrOyQhDdJznaaQ0cmBx7xEBJ1tNw73oizq++vp6KEkt+KJZHlLztM4/
9Un1C5Qn2UlkoXSVF+Ep6qsdNj1GI1JD1LgYS1GVfSlpI2/8MT5rzjqfTJQQ+CwAA1C2e6G7WPrz
GhlaSLf9kPaJhJkR+7Xx8W+U3lA+awUspTJeEFzV+VHhvNBqgJA0TZLizRQF/qzfbf0dfwbzErN2
EBLeM8gTUuPcI/nBEbIAxBVMobTJglrPTHnbRAajTqYFx5x2z94Bj0oWYTrRvWNM1DskMIHCkOwI
Ru5FE//UUDdtOypzKiQGtbkLaN1udZxEpKMUme98To3oJSmjUy8n02klRMdA2roFVZwfg7j6ivTY
2mfkZh4aS7wCTiEeIEuc7cKUq2hp3/eScVS51n4NOKwomqFe+7qkGQkAEUS8q++NDVUarICzb+R4
g9kmrPtK+26BAUITuh51N3eupds9OaVjHnXZdp2RoJ89vIm2aUzLZtG+Wlyx+6BzfqjgR31AcJmC
BtVk7EouoxYQ/sacOvpsw8GwAPzVPQuacNchKzNkkQS+Le3iHKZVPwTO4t+y2oKUS3tmh6xdhfv1
4F5mM4cYRwZUWJDCM07VbyhxOQjd58Sb0q99O56ZK6Y7Lben49hry7YqBUiWxdW5pVXp3lnNsPZG
g84CskunH3dRYxiHciwv7GDeza7bv5jDcGRBl7EtOwwy5WT/zirLvrZTTjfDnF6xc9Ovoym/a+fG
+uQjW1s5HV7tMtB3mTX+TBct3hrQ6bhbgRM1a5qr2On2fa3XN2LribPToNKkcXCsJeKp1mP8AIt/
tQOYVegE021JA+BSrXMWWsVYXS3w+mhG4UioBZ9iOCaGzUXAHLjIyViSVFUQRrihprHf4FcUEILq
h+WixYocMhsZPR4GxjovIPP3k9WN+xZtz07z+3Y3NvxDgTDWbQnOiBF+OV0biQnOLATtehSfSJlK
IX58wtgM0YzGOv8YyHahRQcjm8Sx0yv9TO9YnIkVK6bvForL4+xCbGvrJXtF8Tb9xYiT7A7im464
XIh1kvQCJ1g+TaiBX8uZ5gT2vrJyvib2G/bJJ0gloZKBkIaIs8nKkKcwrJyq5ruDUATRdipuGh3j
0J58iOzRJC6mNyKHj623FCLNjYimFaZQPh2H0h2ZlUfFjj4vWhx8HKU7vTorLbsa1hws7PFHB/lm
63cwLeY0KV6zFgOZvlbTdsvwMbuNcsl7MgWzrO8xDRDuzc1LOxbBBK1paZ0fmbD5fzHLuE69OR5U
992bIJO7GtRUWzpMBhlskmRWuo98geBVr8UuF7Zzn2RygLfQugmIBNtzfgi7xu2vvcOOK78manxH
IF12QUDxsLz3djITvk9gVh3pt8Kngq8kxnQ5yCXGmnewdOcHk3/GGAsOZTHl/TZe09zbrOQ0IrQx
mavkcc5dihlHjiIg9LEcADctmU1lTnXWe0K9nLJtX20v/WkSEXgsp8m6Es/+KdcIWeL/OPCHgoBh
vftjrgPzOY2rfVcgetYh8z5HGDSI9n1ynCDbzxYzbd0hc4Mdun6zROyHaWO+aJLulQ0ExfWDfcOr
Y1yGJPNkvN1hTGgjlXLCRe3+mTc42Pdyfs38JQvFIJbth3PYk/bhBMHhUrRDOPIHrvQ5uiuZXDZG
yLA2WrZH86i5FMKaX/bXCd2lNM2qhYSWdd8mMYorKbxUS2yRQhZbW77C2jQwaBPm/BQP+LBV7cHd
KmZCihhOtCW4aZaGCQl3TyI8/OAMDB8de1o3t9ZH5zJ5abCjrUS8UJqb0amUQQrynAEygLLYtbvv
iztIMKRmkDQMJ+Ksy6OJelQET/yAzZNWlfjBcVzEWj5vKwoD5tp4FEsK+g32HWs/mkgZyNOja+un
SAGr4lknTODI4Q5EQ0f0HXSGX63sRatKQ5OY4laIi20n7Xks9YsDjOFRjAH5BYH5Jjy8a3Jqrubn
hk04WtZY4CqkuH5KseJrlv+m+2huWxRH4eQSjeTlmX6CI44gFwu3cKXv3Mvfc6/5ltRLfq2tLv1i
++n5L3Tqw73xWw4LHVRw36bQsrR0L8oIOIXTf1H3lEoDwkxl5b/YzE+F31+AfuZnsBPNC8ovDxsw
uZfVZery4eZ7n3HhOKekE13J5bg8EcRNnEWBGYwbXHQ2zKnazgZeuD9kWLPOB2SQ7lNiOxwOHTF/
aD7yDOmdJiPUVNEJdJPpozrO21m0GeXMP8rs5QT88qEOaEPdvOciganZLeOBbKnbQGFRSrmaLk+f
PiHJK3ROxdxzRpCba4+lIjemiYI1/qSQ1V2OZnICj02KGWE4c88JgbZUtesINN4bY+4/1TVBly5x
pyFKjiJEAEarLIB/kHJDiGQip2O4I9xrjhgHIJ39Tsh+IpC3gB+vX06B/4mEUMZWBVMQVQxAsUR0
0zW3ER0UJgu/pmHc6aEZxIiXcTvg7+srJ901KKYJT+Trn1quVMhAA5wsu7tFGu20oZl5s4flyYds
uUv4j/FpfUvn5UdrDCuHQtQxNJS/Dz1BRHyFM8IH+bO9a+r3xccHGfu5tkuGHgsiwOhGW766aXlq
ksU7pb9p2kQXB6wpEFFwosDGfmYBWUO+T2NrnHV+IJguKFHEzQumn601nhIpDqoMdwMBoYESZBX7
2P4NHKK7LnVVabu21JLnQc9/dDOb6MwdaSM8I747+J9aGFu576YXW2TsbdZEQsL6qCzG5ViiDLhG
1cq11kEo0Z3kua+kVZF5+T4v8pMbacSrQNZtG6KNh3Kqw8HlbWuJr+wq0R04+U+h0LLzuDrkdKbL
D/4r5p6z6S6wF6Ji5qS/6V3tk2tdHgharaGaDXjB9YH4jnSwN8nJlderrQf9gbgPSizVjKU7eM5h
oqHQ6onIvGQtXYo0X8Fz63BFsv7hQ42jOhqL60LNc9U72hJpVKYchfmzcwJgcbYZvnLani5VbXOk
Oyq3i81x+ETxLLatA+gPB8q08z8km0zzbiCoPzl9vN4sc/4aBQldmlaYO1+GANfj+KqZQ3E0xZie
2ji6qEMQ4dW/gnrWTkan6yGjIcLdyTcv1lx7T1DKQd7nnbIRkOr8dSJBd5f29Mv6ARNb5TcCBW/v
Hwgwe2qJtDy0ObJaEG6fepPeCKbX36uv9V+cevxCR5VmiOOIvZCtxcgSjxptzcnMqQUsyTjGjybO
QW1g606QODA5Dg4pEou7Wio+QQEEhXCNcptkrfVYet2EKgS5q9AZvM/G+hcooOysFa1151y+xUBV
36D9GLt64VIr0Vhs4maeaH1TUuitvl+nNX2aNaxDAcPzbZdICb4LrpJRzXrNzfjma/pyhGNeX4vE
tnbzaiPjlcSsDrHEwdeDz7k1zDdNVMfUpLIiJ2c4IjEtwVAY+UtZ2hwU44RkHx0reIHRaE+n1eUk
/eL1MN00ayUqY+mc1yNBiC9xhKeUt5/UqpIO9wplGmsQKaGuIYkCGZIqHlXmZfHG+a7imREEnEAk
GGgKJ/3AQYHZg8kHnU/lG85IBA+4SbOMqZOXNNK4jVCkNZoTCdBvwPDiXbennZagcJTixuoeBSUy
vapsngq3vvnE9kjlFSmtpgcGSzesMMpNTnh1Nj/HfvnJhxuwrwQf7CIVsN0wflcCPeRih0hnMCOz
iWDLE7ikgXWm5TEgjSjrbZABj5D+h51vBm/6lNiHFJgHXhq8DaiTMW5FeAxrqPDkraNvPSvWMqM0
Oi6kiB30lROIg+xphUaLUq/eeoFt29tY8xDVunA4EG1zx5oRGakF4VB3zCHD/GnHqEe625FUFWEF
6DzSJWeGWMeiEwRCZi9FoDtfV745GcfLcJr/lu3BHScNvGTeifLWPme+z+CBTCSdTJEzs/fTiBll
O9eUscEAukwtbUZqazOh0VbyDzMoiOWJPUbLekaN3mk5dqlu3hfLWXUyHGEsR/z8wwYb+QL1aOKQ
61aYMZjSKPwqmnGSMvrssFaMoNhYb0ta9g+6ks7Bto0nDJNglH3/3lhLcPf8VOMTfdd9KNAOLSRc
C7Z9czTzh5bj56nKMoLKpdmvpLBtKzjYIeoULBmt5HjKg20uj7jTEr1Zk746W7vwm/2qz/E9II1h
X1WAuMf4FU02hZWjPecOCqQyFp8lcPFgxTk/iNRTZtknnBlAPQItv/bU//tgjaqrH80wK+zpOc+g
eU4ll4YIcmgmOdV/UdbfGmkDsmU9oR4t00VXKg45IgGStrC3464C0XnqqUgeZMwW0ERFeyHoZ3ql
Kc+7XDGmQzE1bztwgOESpUjyRyyQfQEywRrM+Tpz7Z2bzNs56IQnO9APo2dGHfGgkcdkTv/arUl5
Gf5ZBFZYruGiwayWYyH7cNZaFUoRbdUCGnbWZ8K4rCcyat2XLis2PRJQYdXd3e+j9q4eDYazGWtM
5AGYyhatmp1s0Iw4+8i1GwAnS+7tuoAGuA39i5N81B9I5Im4qBig/OP8FLjsSbotnwJoyUeTnLfF
tIHYAJkfT7VFRKdvuOitVnpzaTLnhyWd32Zckme19DPBKLm9fK7guexjacJQS+LSt22LAhmPfC2Q
+QAZpWmSZfS15cahdg9DiqQDp7z7FT1lpCcOMjE7zvZ2RDABZn4OAhR4W6UgV1ryFYwVJ1q8y9jq
HYQxk49Iyn7VgC/yDusjLcSxzMOc4zgpQFGWHpWdtZWNe5R7xCFbeR2CNv7btzwMhX+gRL1TcNr8
60lb3pJi+N4Vc483q3UgEVfBfQ2QDY7OfB50y+ELjeMKUU+y5YswbxWNM7ZrY+/O4FTU05FvYNeL
6Vw1Pjm16ugzbYEROOfcuNpTXp7TJrJsZETMWocUAYwpy74/i7HkoJvWAsoOM6pFvueTMpEamDJn
x/QOmu2tIx86nXc7oIp0iuMcDMmLjXOGIZ7wOd4N322iKA5LTzAqXEYvZLwCqFDyA2hRlfdufOej
3hkkZD+yamhfGJ7/rvrcPnTcR84MDHZ1PODWWvhpC4J+wiwoKig4g0+mDIecEEPLeg56iIJjOxN8
kGoMEVSWUWekGPAL7G15soQLHc0dd6/pbCR9cVBumwTjP8V2flqoiOgyMDGuU50kjCk4L2pwVmQa
l6DRk3Tlp9daLu7Y7FyAlydH6ptjSbgaDdKAKe+xNdFr1jMb+ZsFuCmRTtMoRr5YkxLZIAHqCUW4
0aXe6tk4Xz6MdKVl0AHPua/KtBMO+fzb/XhadITVY+UHOC/tjuC8RTx5c2pdUlN/9H7qh1BeSdvT
YU13UsomQIeEaIr9rUJKKZIKceRMUgqkW4lZOj65RF5zgdOpnRZznsqjHOOoE+kotwcOt9y3E/4a
+n3zWS1Z6c5nV8wvLTSs/zQEo3AMtjjnEDvJ+kKTwsjMojNn1MnXuewGIkBMZ4tYRuB41uz7FJTL
PkIVv2sceG8gIZmm8M3bxw2erV5SxZFaMESWS2F6U2jjnuGybw6erAlFBYjftejVbRpr/ow3OdoD
Gj27RhE/+XIB5wejJBb6sRK08ApswiFhQ/4jy91+y2wbE+tieY8R6LHl0S6AMp/s0gHlg3KF+5B4
mXoql3jszYfcXV9cs7KvWSkcFDJTsvEWPK6lZr7EnMguQT6zeIvHTPiLSkRRhl0HbjeBqG2wc9D7
Hjk7bBIvzq5kdFmHIrFeVzD802aVH/Asl2hBgwSyotwRYEHHmImZMi8ZssvSzebMuAgqPiKBcy4y
7RQV0KAlOnhi8PDo2yhgou5V+8riWmT6Ub2giUyOVTlXaHfcL5PZPQP974hyuJrMyy7KgE/QPZiR
kfBPv46+pppv7EWLXtSLMe/j6Ix8OKgQBR05S1WLYfN/rWqf8YpAZmtKV6nizKQWEpKPW0pnErXS
tJgj2UH9YbfGLRnLU4olcBaRcYiM+Ulh6f6kbdv++quQ0xUaZiNcPOjjTsxloBYEM+xfy4yBeeRO
sWO0gMGoIDE+95DmYz0hMFqzLPwdVnCZmWZeLMK4mGHvVDj1H01o7Ge02CKRbiPlT6DGcsOopo+b
cIFwA3cFNAi7+ApriYmMg2SIM5CUow5AxiPUZ3nUfYu4N+wbadODtzTTlKmPS2+RjMeuQXfMxxhK
noo2Fu7ONFGbem0z3GLcSYSYECTsTjYJHj5bDQAfuoCeT4IlXeVPBGt6+7IBTrK1R/wKA1inigDK
IvlZIGOBUJK697lOzQ/VX9Ii/ct7vN3tbMVHQ/pBNO2QWulL4YnpMdsODanZ/GRypLxOLl+MOjLj
B1/bT0PUfu1i23hxHbMCLKS7EJpBCgxoI7Z+nFoHR1S/1pVv60QgMYL1Fsn12krLWxcfDI29QfnL
i1EnrFDnKlWFSJrEyzVOfPzls2mHIhhxwDOa3okG05aA6oaS2Wvw0U8LwCi9oj1k1504Rl66b2w8
EGpx5R7ldNVnY0ThUPaJ/CFLfptI+x1TuODaw/k5RWlyUs/4kJ4zGyqbCg9ITQnco1MyCJwhQ8FF
X5AC9WRoY/TwScZCzInynHZ5Q0LllgJqoa2Lc8fM6AvI5i3U2PJI4OizAvIM5oqITq93HoSPezui
J46bDAY7MPZuIgcA6GQCs4bJhZD1hI1q4uK11iWm/39UpCBLdnQXY7n89+JLO/iXxs2FeEBr1gkA
mPlGYP5bEjvooKodzhw6CUQbWKDhJPVnaimd6e9H6in100ou35n9gixC2YZXi1ubA9fa9JwNshHb
J83DmWz7SMeCbUtP8TrR7Gbna+QYqyrgcdsN7zNqCgbS5DNkqEXaEsp5D+YnrlBEldrcQZbiLsSE
brytOuqrgESOnTr69NIAcs0MLXsfKAYm7dz32YUhjPMG5xn3Lf1bPpeAzhR33kH1dDUv2v7375yp
/1se6OqWoTvyzTNdtql/q4ltDk6mk5XTwUaPinZuvbtyaTgF3YXLtYCtQN+rX6g97z3oqYNczevP
ahmMfPh4pJ7a//xC4QsO7jRfQwOr90euOKpSLBWks6iX7H/yxv88VY9QUTnhUpf9Vj1Vi5B/SZ8d
dWa+Z4e8FHebxkt6UUthMxgA8sq9QnriFwlo/rP8ec149Cb2UfVLRlZgDDDQVFh6/4L2U3tAsvBC
Q1Jf1NMUBqWHGLo4lxaIRvWaWoKh9E+L0XyDvrNxMxrBRa+h7WT8ZFzHHpkHDRmcD6QVtDstSGP6
5deoB4rgdJiHLJyPKmJYvaRyhtXSdZDAvdz48q/XE2jdH3HEpkHIISRPhAr/vKb+qPoTIusokGiN
7hSSOEE5fraDAnXZiLZ+kRJs9Zr61T9PsWNh21bPPx7+69fVU7WUAtKxevTx97TzfzB2psttI9uW
fpUT9R+nkYm5454b0QQ4SqJmyfIfhGzLmOfE+Db9LP1i/YHlbrt8b9ftiCqGSEq0BILInXuv9a3q
mOu5zwYnvXHJAF237e0S6PgBfCZnTIDWm1nSWQkuX0Zylb3kDIWH9Wd+fo9c+eQ/7+LKPA4W/cKo
XdNqVj5Cz+zmGrAXw8pQBxC63nUQ9XbUdDmyuhArbV4t0zVNhulaIIP34dmRsrI+9vOJn3fT9YnY
kgPMSJmfUs2NzzJvz7IqWU3a+LZE7cKilVO1CcWGyzKHtf2tN39mk0ZrHaMly4H4zOS4rGzuPzNL
168ud6mKS8CFLql79jekzM3dTCcIgR7botKDGoAqtkNGOafgT9abWeXU2KGKd4Aqr0DKm4cIAMbV
ZXpjeVSjK6HQjIPwYJ8bZHLbMEqNICf/8K5YcxpIiYQws8q4L4/R5Blu//56Yf8uu7aFRya75VjC
oTa1HMmV+BfZtYDfJKyCXYnI27sCcNN37XYBLPhI5Rb9OfzG2hyyleVDv47CLzewOQFHFtjNyT6S
YUCo3I9n6qHBEEVGYrpjyEuzJrPLAzs1Ru6zLu7GrhZ3IPmXW10+Xu5I/Pk3YxVvxdq1vdx062gm
Wnuw/8+7I87hTWLwAW+yp8m184/YQO2GM39VljE+jJVnnwno+nFTx0hYFSzAy0Mwz388bqDXop3J
sKKo7Vt7JfZdrGX0PSTmD7pJEcWydZVDZSkqCzHDsm74vCbnyzAnNODv3w/jP3k/TBPljeuYhosQ
/rf3YzZVytjBsvYJVdS5cF15H40YBzM4KjlikvvLQzFwoKvSal9/PpRWoTgkE5LAbP2hTncAT1DS
omFn/jaso/fLOC7kjDtOS3eSZZFNZFXzRFOYUx+kcK83nUkd9MtTrNDdjiiGaW8VY7ptwDUxlAZO
uYnXLDiv9bZ/fwTMdW3/1Q7DGWmDbpHC8GzDc8VvR8DLWLh0tzX3JbDONv+mD3CkLjeNmWdrZOL8
4/7lQSeLCYtAdLRxKZt3NLdj1F56/ox6z9kjuIYfd7mbVNoRHDqxYBSKesgUeU0mrKKEGV1xuXUv
D9jTiFk72q1bHdTCLcmFlyd++Z7Lg788HxZeCPyudLfKKJN9gxRrbxZqfMuLDONLbDznprSunLv/
4lCth+K3QwWvTJgCYZouzYuz6JcPb2jNmfAG29qzQqZHtjT5IyiJ8GrR829R3IoKhDYHprewsKZl
y+y/ZO4GX4ViFgAAS5yjUck5cF7x07zjdsC6UDJ79HID469dE6M8RcE0EY7AZ8M6u+uNMacWRUV6
lhMbqW5Coa6salX3rM+K+zhxl1++c30Fj0Rti1r0tszT5zhO7WNcjDkByjx0uRHM4zd/f3Rc+7ej
40ihs5GWjqeTKku86l8vbbVCgDtEIQJnVabbnwvzZbGdue/HGp1k3rdoIa+c9fzyPXEcF7TRhzc9
tdBTOxh+o/kz4XHIONJleCKUFrJsknbXl7sWiqfAjOtif7lbi9YFhoE89XJX1PNyXl8Ik+LwdHlI
Re+XF8MI8Z+/WJ6Ov74YCLkfL0Ys2HJmXHh/eZ2JjOB1Dhmqo2Q4mbhJ95QAy9+PHp6ZqRm6J13v
Ub014jVr7BEVwHyuLLt9vHxr37nZJmsbUrnXb41SjMSzjNB6ri9UYNlCrbYKgddnzQHIeDPK/Z8v
VErvYEuvvLt8r1sjO43zSRwvd5dpJjde78PgcldoAwgH/E9/vpKhOfKR0e7lOZ1h6v7v33Xv98sH
Vw7HEYapOwZWOt347V1f/zlnmqKGOKYSLrKLkuJyk66q4E5L3hRbA5oviGlRIWaoVkmHf6jRd56r
Dj8AJxN8JVtVz0Mcsmds008u4WInzK+2X2rLwYMLbEvA7qhyyRu/TOcvXw12x7iShAqZIjPLwvwR
IcBwe7mB+TPeMqcz/VLkEPDXJyg7h9t2vVFd/TVxmiDBlXps1virltPqPDbmyaOvBYKah2pZJRTf
Zrp31seISSpvEs2DaOKM15nOqNRclY8/7zbo4YI+rWu/We2/f/r1NCzBl7ti/Urv3tTS7DliKU6r
pn6ZBwvdr+jqQNXLI4Et1fVQNeYZQQ27CRW2r9ieWlRBNLvyicivxhxeUcvuVxT7G10Md9cz99h3
LWlmQ4kez1nTjr31xi1jui9uA+Q4GclJTBCnbBJJ6vzilYqdMFidE+k+P27KBOX25eT4b1+n/x59
VD+8lt2//xv3v1b1DKqfGflf7/77TfK1RW7+Xf3b+mP/99t++67g8X88/eN71f7j5nH39Pt3/uUH
ef0f/37wrt7/cmdbMn+e7/uPdn746PpcXf4RftP1O/9/n/zHx+VVnub6419/fK36Uq2vFiVV+ceP
p1YXKfrgXz4n6+v/ePL8XvBzV+/Le9qp//U//+MPfbx36l9/uM4/sdw5Lh8djyXFso0//jF+rM+Y
9j+pCz2oHbqH3Yzd5R//YGOn4n/9YVn/ZHTg6q6JlZ2TzsWK1lXIWvkp/Z+WDYjSYwG3XcZsxh//
54//y9v082371SIr/3op59WZZnq6oxOwqQvBKv3XS7kb9SPjDrqsU6TEa1rbYcCwUerFW8m0U9n2
bumGbmeTapNn4bwnkFPf5rV79ZPn3dclikZ2FQyJBIQrhpIZ2UEng5FO5xYHixWvVeF8S3JXQoPP
MGBq1cdfjvqPP+zXP8TgMP6yYq9/iEXAsyk9Cza0gc/9r39IXK9N3FGbEMGg2Pm57RvwLB4LV91r
faMOy7RIPx8FguF0ooWfwtDSt4xL2OJCroGTRxejD8ubNpN0uPIxY3y9qoVqFPexyXCpNMabKnrI
Sda7HrLlxiwi1oRoCH34KNZjWlvLDSUA4xMLuVZvymsa3Ol/Ucxaf70W//nXerrEqGi4Ln/4b1ZF
uodFpU3mvIsjZtAqHekkQUzccpMH2ipjSSNE0m1aTQx3kLzYGMV95fV3Q4aNAqGLDvwU+Hs3r2Or
SUduN8OYn1ViHEZU2GctjHHIi1Qc4q6eEBLKM1oPBXsd3leUCfEUFgsJnMWCurvHjge84HLjzLoL
0sKk8Ydun9KY38Moez/xlu5WXxxY8iJ/SaluVo6Wdlv19i0sLMaqmTZv2gKpM1IPj+CPsjkILyM9
LDWQLEDvozgvse/4fUwAqoPX4u/Pod8MoHiSgWU4kgBqXCZS/IctW23qWcw8NdslIKk2ORwp38VS
6Hc6B4nUEiZ1syBDFtuyU34DxF4GyN/6bduoF0vEyxGzK8Zy1V5BrSXYPZ3LXU7eBNKmOd6PafiB
2ZPCrmQVSCLX82FPPbSD3t4rIggbRO7IYo/VMNe3wgZLaOqFYmQEe70NVb5hAL3cGCbx89Nz7OXD
wa2K6pCY5qZzq/tKwEfVQUbzQSWZIIE7GY4tIbCNCERiJfva49QgjJkhfjLCru2/uLPBAJDstI0+
KnxLnbK/pMPnVHPc64Ed+L2XpJAyVeztSYeJDnWuXiOWmidOfHFYjAU8u1W/FDWh2RudFpavT8az
mrCnQynQdn//9vy2f+HtYefCJY9ZPv+Zzu8f8chZeoamS7njrGy2DeZNeAw4Zzhfxy0mzpsMbLJm
ZO41vVRSVUT3ETp5d232uO+sOBr2hQ3hbiFtOqdGhFnZoijrzWYbu+ScJ+Ys9kk7qi0j9vKMqlg9
NXqR+mHnWH4jiULAhD4F/WpU9+o82i8lZQ0+rU+AQuT7TBalbUXhRzZMtEpvmc6y1XKNkiFk2Vxj
FJSHohi+LpO+GTo3/C+ugMJ0zfVj/3Pb4lx89R5mb5fyjL7Dpfv7y7YFx5XZuajl9nJZSZlZnjCA
rWpfduotmfjbx262bkJCwtm5bQq4ibhhAZu7jDMbNyZ4afhA9kGlkTt3FQQ7pwJ2yLhhA9tU81Vt
f2sN8qaJzzDIu5q+xECd7BTo8YTPvkcD7DLx8hXu5vu4aHx2lZNvNdrboATy7qSBs9fl0XezJqgQ
aC0KDwziAihfNxK5VC8PRuWd4mg2zqQh+Wa6IrvM+hXVku/UHNWGHURoAvmAAqR2Qx1QThKum2jN
wRiiK4j+6cYyZbjWn8kGeNwDaHb8u2UCormmucf1kbgZSqwMdqEuI9eXZfaEEk/4JGY5/P4oAXmn
OO2fs1UYYvfm16kDZY7m/BSJfhNTTe0rYgcQc9bbznabrSJMjQWl3BHnkW6RU5101v1Ns+SvikyV
TaHZBQHQCcBShN8GOyCRhrHflR+jrBdf2rBGdBC4gq51OBiMqVr9iZUupwFf35dceYKWtXVLIYTB
14utvV6Xtx5A0MBT7pubQUSKYjRzJTuH8SsjXtym7fjGSxz6hImQC5lt1xIfbcyrA4b9/E0v5q+r
yb+UODLK8JTmXb3pneGzIaHNaBW/H46R8piOy8QUDhpkj3LRHLU9ThdipZEMvGot7t/kZe57511v
xs/AGPrAqsavQ2WV2yKSKsgWjNGJo4KYqYMPeuEQJuNjmLcqMN1uwCijMpZeQDih5i7+Ei93Finf
WzHhUDF1rcNz9dYPBKFoymYqnBREN5NHTkKN2rfT+A2C9xZu9Y40TYRfWbgfx/nF9rKdh28OZVga
biH6TUcL4aWXFIJrZQfKeeG4j1lt+4TVCBJEoqPuWNsUVgamK7qZSYI/L2WCm7jWFRk64E7nz+4y
XruWA7dvaOpN1IDDT904Daa6x7rsJo/kKBA+JfObKBWYFyE0BZ7dAMPHgrQph27PSQD7oIKUGiUu
L9apl1yZ3w13DPd1hmsM64S1GfDIh3OzBHOcZfvMheZjx+GNYfU2FCPSePR9tHjFeWJiHNKLMDA1
b+pUvzKQ/R08ScPU+7D7F/asli8Hr0fWq5kwr40EM/G0Swt5tGo7OjqoAvXmDYxPtyfmhg8vAEQ9
+ihbvfBRQHzuE9nuuTygD+0K3qNYHejIvxVunwal25+bmjTxso3Re49xUPaV3EiPz/OEIKfPqngz
CJTTi0UzH8WTl9wDZebNsz+BIas+sbwwNSFFdRPqSt+4+n1KUuEBIdn3dBbXDtjj0yy6s5upO3Ox
2DoNRXLFUqX7ncgBnfmyt7tn2fZPgxc9hlH/jTZvfY3gmqTkanYR5RPnZCzlfrYs65xKNFv4y1Pp
fiYATNtXOKn4O+Noq5tYD5Ji8YfKLvdiYuNde9rNLKxbm2wYXzTSo6ecYc/JqAiSdKSHuQ6CrCmc
r0kVdnaeNbyQbQeCvzX2UVsvAbPO0o9akEWMnUk6chVsZ80NCvM2dHAmcSUn1F4D6G3Ip7obnkVN
eJgDoWhjGO0HneDQTzI7ZstrOb6xZADHBJu6Os0fO83wntPBtyEv7qShkYUt3RRv8mrIga+kM4zf
Rw6w7bW1F9Y0Lr0ICIdrbZb1iJcxis3cGf2FDWNsyOxmWqynuhz0NbyYHJOCkIEmr8Otl2hHCrIz
yT4HbRyMs+cp676d+DyHM+pAAJWt36x9wgh13XUivNueiCS/dzzPrwz7s6kt9t5wJmTihnxvllt7
5iSI9Dk6ZTkopvojdBvteUpBzZHmh3OoWEGp370eWwVzQ5Jc3CmQkzbdGLeqgWbnhe0TdGQnKOR9
ORmfuoSKW++1PRrKOWDqDpLY2xDD9Ci99saYEta4cMS/6dyF9Yj/ELB9LFT/VOi8ozIav0/V5KLu
RjCecsX2h/Adto6Dcy7M/dKY9jas1Y0DU5TMTKwtkPRAwREoPXZ9zyTis4rqiDhqC64ihBhfKOQq
2FvzM1Vsd9+n+cdYksTVRol11LzxoRsEA0tCblrjNde8zwzljGsKxm+u0T9X+OT8fvrAdVhcFcty
7ybOO3XRF1uhArardJWron+phHUqY5a1ecVTtmp8bbWFy1yl3U8F04/EQLZxip0MmiUZg35Iafmc
jO1nUdtDYFRSg4/XgwSLFOOU7kZ2ZRKENI83OQ4GZrtNSOTfXG9Rydu4vBJ0zfS1TVy/HeLWOCwJ
emB1ccIH1wHsbGNYdGzOBptTImj60MAjlZgbKYHF6PNVgVnc9Lz7EZbs3EQjxk/PJNypRRfm6kHN
9xKnnR7oQWX3DRsNH/g+vhFT94mlvc+U9wWZneQKrY6l0olIjZDpIl8cToYoSOjM0OIwjZl80c/R
/gJGjsoFC31FcFn4rVwEeEFzGLdz1m4akW2pjqlvipC+kSSy07X9jBL6ZJGFEMqXZW7vNKKnkEWm
tHGg12PFGK76cEKMNfOy7hgkigOzTB0f7bB+km38ecagx5XbFAdG2qGfN161E6a5HcZc3kS00v0K
g9FxVyXTnUiS+ZDJmJVBwyyO8GEtXaCUofT84qHJXlG5mMjDJmhj+YYnwIUBRZ1Fz+0EsQk5XzTM
vgNvPK2o5BoHZl4Ca65ZdIzIgu2wpX0Y7oT4F1HEJl1qqD8G06XwGJX2dTOjn3NL6hxcVf2mjyQE
ca+/Mdj+BfSoYNyGjvTHHN2U0eNs8XThz0u6J5gTiY4m01vbsHbawjzOhLK4TRpq/9XCCnTdPon1
pk0KKGZ59blV4kuUVt+MDuxNR//PL17kMDo3ipGcn7S4+sPumVQeD30BWi4S9jb1kuI6dVDa9y25
xXa/N+VYn00OedTyyWVJoRTeYkDSDy5bIUK7X8wBF2Wu6yQYLmuuZVVsvdokNYUjVZjpiexQxpUy
tsH/lxttSu+LS2BX1bOq66O3l9PKz5OksGagC8my05K9t/Y7BR6lwMD2RtlAVJs+kQOnpQPvTX1Q
6AN8Sq9oI7swxDB9nS+eOAIS4y0Zw008FNUtsci0QGYGwCXbPT8DHb9tKiAy3QRoGo6nRjoU12cg
6lwbF1oQhqExQqgUPePkqhUlbHJNrAmG6XBwMBxvKRibYKifuFL1yORmlpVWEsqUk6qy6MFEw4ST
i7O7wPselAuR1JHU401nZbsJ2hLe1niHYvsdpdIV2R8p9DyvDjKj8fZ2U78NoJ5vJ+L87Ly091nK
HBBF9bCN+jTyMf+9pDQiDtWwo4dJFyE39u4a3uXQadmoFrGcmKsnSjp5HskqGqbJhq3JhWAGurUl
vivbkW74hUXKeRLDTduvbvil6vwESbDj4SLRItINRhsxA8IyqF4DIim88ZXK1SYkBa+UoARVzD8H
b5OFzWxbQhUn0FRl8TKp/tBl8qFIa41hFBZmi0mM6bbFYeqhojsHAE2B49bTfiBJYEM2jHcv3gZy
265xlx8vOiC9nPCmdpZ5HJXBp7TQEDtnZ83ELzxZkkBFa7rj//SmBrCIe6TeFoMcgwwk9sFDXrkx
RTXs60anq/BpqqDRInnRfYNgQT7wa8N86zpzfGw99xNmgxoHL1mpRreQG1xKVAwD1dEkuqfJqZHk
Rk62r1GjH/qRnkQUDV/Qdoa7RFrfFnsgVHbonpPErA9csMtTbHRfhmqctih+vAMBbPSb3ft84UNv
kjvrsKO7NVk/DULpA9cR1DRzMWHxG+7LMHQOYo2Ur+k3SyX2ca5T9Et5/qaDTsfdB8clXnl1pS6/
SBfgsCjmdzUC6YpDe9hpEtKGjrthssq7aCRq3arWS6UzHW3c41CrpoewlMRTt7D0qp7GNU1Tzac9
eu8waIS375DxtHb1G8GQPs1ANGj6VVgusMfloakA1dLGG9gfxppPEiC5vqsM93KDbRlEieDllgYJ
qA66DbOU72Ud24+Kfnjr6gdpLVtzQDYdrjoBvfAeSUTZeeNEjoNJfyTFj91FKc0flLEbaeXxlvbb
puxifR+SNsAOtk78CpHkxqjm91F/ziV5K42mMJcu0bWBiA4Zh3HfynY7VVQpSHOYDzdtvMFouva2
pPClEZd8XpKnCtwuHJCT8JbqFb7B0c7Ds5OG9VUU9wnw5WF3+WJu9Sxgww8Aw2Z3Zw1WFjhs6i1t
Jj/Yg4iyOPRl3ajbjkmZbIdB2Ryf7JXupNxBypiqGppLW4PX1PJgxBwPxqmTO5xcpJ+ny1Ph5U/L
Il2APpOk06fVkMmoiwldfLWIe3VVOW2nOER8UcnTZFjqBIW4CxcNM0I4EkKW+Waz1KdQK9h5WsR0
1Na0wwbTs0bI/Blmy6ZCkaSn4Ok3geZ5L/Nkj4+Mmp1dqsHUaZA4ayLcx8OCQGikAvEUpFuDPRLD
QBgKrrNER3v2II9pvWCsfRx6LbxtaBZtmdYXBL/XH6PQoxtpRvfwQdMTnaBvGiZJr9EoOTpjl3H5
D+K8KndZUvcPS+OYt62WkwnT6iBtKKiFGR+izHgooE8he5PXF+0wSKADtSWs5VXXPLuvYQaEvYpQ
ythNnJNVi/fOHSmQUdyPBvq3dEoQu6XMtsRNVYN/HmHN3Cs6mamO2ckYjffBydTRYL2vyoamYpMg
KxtNwKAWPTXUdVDMnW1tzDhfE52tNQ2RyS7LM6Ffghi50Q3M0NvWek/qxHK78LfWmiJxMU6+2878
OgpiYhLTu1k6PScxaXxcEnnWmztK9/uQYZE/0r876HlM/TqhxYx6r+DaQ5IRkVjRJmNSenLbFN8u
6PqLS+TylYHl/6rJqWG15A4sACPfpgxElb70BH0yPst3iA+Ik4KzoCNy2JohrUWPHTY+U3k9mxqA
fAbKoSSQcFi7SeV766BBN0no8xttunXyNxPw/kz2Kc2nwcI8HXlZyWJEESbndBsmNr3PNaUTqe8q
NAaPxh7F9sRHHuXvXsqnOuy+6LOWbXpX3bY6VJmlsg/2RJQvtSnDs3TfaQAzknE4JsO3Potupa1U
ACYcOn+XH/sOa56d8qEpYw7OEndvNdZ/rWzrs2W252ZwbqgRD0zP7kWqarryVE1RVTxBSLc3JYfR
c8p5KwYQe5FmMV2Ovelqap3XwZMAaTQtaDzLPNTZFSFJV4x/4gP29sbvsjiovK7YtxK0klsZ+zCz
AiUxvVVF8+HmiXVyBMY4AzKgXMwE08pLB2IrsDvALvVMdqzjfbdiEl2s0cZ6P0C3K4Fbof6iwVPU
gW5S4NZLezQkmAkcCSjs0xxmOkE4xPRtylRLA0TimW9p/EJO8WC2Jl35ltMKbV+0qHN06/QbhDT2
yj//povxEGYDXtH6XS7xvCWXCWuMYk9Jc5V1lCwN3CDFkDJox5K/NI8AHPCqPMnGmrfuQDQezqlD
CxJkjUURfhKGQVHlz+lc7VKGvmelxwf2YWrT9N3nUKvADJCwpJYrp7Wce9K86CI6kx0Mg3kqah0C
VtQbXCYS+sB6+xbNS7aLiupLYi2nxCEubyK1U67WyKLDPYtf/noR38lZVgFwEk7bgmCyybnS7aS+
rvQaWi+CLLOWn/t58ZVqiaPNxfugAQf1umHa6sg4g6mQ8g7F4cxe6ckup3g7vPXUpSjjp007IAxX
+oC8ewTw5Iao4ob44MXNYzxwRl6Y+CDqYBXjlQG4GT00Udld58bDRXDuDBgqQj5dgY5Zj35pCTJC
I1rU1siUaDqlBaojutUhmVrVc+0zpmeD0ck9NegucwnxGMf6XcS6L7Ko+9x5HW++862Rw3KsVd6z
48Cf15ZNchBY7MjyEddF1eaBnMuGApfLeeJcwXZO79u6wEiBTPIipqLxV+D+8yCUa+6nbqUfV4uO
Xqww26vITLAgWDVVomFkyKOOTEKXXU9ixiES0btNvGvHRe2g1hO099J5N8sDSOFx03eWcVdIsdPT
6lGEifJzHUk/5F52wflkBoXCBE2L9dk2kkcrlt2tBYeQwJfs2GD3Hluyf3ECg1iIqEQ726i3F/av
GMQbIxztlKSQTz3vVOka3jGMucZMcTjxkZimIWEmWGGUhAq7iaPF73ozDMI47YNR75/tSPsSqugF
+x4QUV27MgUo+maLE/K1XwBOGc0Iow+Md8oooqCQrl5CQbISE1qsBMVpnor4rJekYeHS/gwR53uo
dW/QgBp6IN5dzQTyyHzqbY4A3s5ddB1Xzbhpmq7eNnE4bXv1TufNT6PuBcyyuHqhps75PNCfI7Vv
Z66SiCL7ViVVtB9RsWduVjHkGwGQj6/6XCSBw66qNOz4oKfNk16MmE88Ur4HwA8mkeUgppKv5C+x
qysW9vkmngotLAHILw0t7v6YzJN5m4U0E01KlQ36toxfR5f+AD2E62Z/gGTnnGb9FK7OUrsU35Vp
lDsyAkghUnI7FtrOaOcbEzsrmWBS30Mz2cGDjvYRrX41Yv1yzGLgaoQ1IDJbfaOb9rINM4BNyqSj
62YuZR98yDywKTXQEe1STGNGVyV+2lFEkFC2xp6P+7YYxzOSD1w8gp6y1hDbblH+g7Ed0m3prhv3
zjjUK/28WInoQwdHRFcMk+n8RBaDHvEywao5iMx6arFNHIch/TSa5nsmkq96A+/HLe7MxiHNHN55
hQsTKDTTv0gfna1agL3E7M92bJYvQJQBFNNzxTQW7UyGKxJ2VyyM7pR24wCIMXzWZyWvQ+I7+gbB
u5TU4Rbn/3Zq64wUE71GQMIOWznPxuBpOzdfbkKuH9suyby1L/gWtUwhjSaJDk2zjl7I1lFy8oHs
eixRNfshaiA/y6RzUsWtZGh+Z+FEQZ1L0JZ03mQf7vJkE8KuPpaWuiHF5NA4ronJ13roPPcJY0Tl
p+j4tuQcgxv38sIH+wW9abnLqPNJu8WZ0yR+3bcPSgtTPxfXRlGQ9O0hBfbs+CuXbnuHW1DbyhFQ
DNOUQaGgpjl1bZA2ZI2NAaU/59Ch/+lr5+g1NOGtpWJrLft706OdQqsKCTAJV4E1xtfQop6TjPW7
j9Xk2+hB/EkMWkAvV2xmlxJZlZq2ESNEfHCHAdKIA3mB9dVgF+psDkS71ZZF68VZPWHoke2W1GSs
et/annw+pB8PQti45GLrBXseXBbGCLRf9qokVssKa9wNAD/q5LnyRHOvVSvAjAxlDu33sR7FXrfh
3RI37AQG072dyNwl6AWlXk7UvOk27x4NJHpKBpVgMTKE1xZYheCKw+VuGfRkP3fJsokUqWNtF8Vn
8EfbHljlVYptN03TirrB+0wKwQHCABoyMA+12+k3SrEvpQPng0b7sqwuSZVi8jGS57oayPXK6neE
F1eqj5pAoaBWyID81IaLOCf2uE1yrrVtixYtbzIwQdm8tj8VrDJ8sEBbE9gEKZj0bDnQmyMc1WqI
iCfoYNN59Ys5UnmkJBBgq3oFpvSSdJYG98W8tWJUopEKWalX30jVchoMdjoHKUbSCWg5MSyfaEgS
MTCcGfbuytmrTx7xTVECFEILyatJy7AiO0slhyW3n6eZ3VKSxsPBKLtney1+GnNrSDp8cRO1R1PQ
k2o6/YNzZpcUVnHT200BQ9dPCF8KKoOL/UgrIKxYETxvyjZgIbZSuTnoBGn4TTvcJ4hTQYU08Lq0
8bZ2KEeGsWhPVmFtDb29kcQ/blW7gBBOjVd3XvZWlJ6IdUuuKju3g7qZb8BCYzJa2EvbsNDsGgCp
V+41xS7NpWTE7/pS5pmgUhw/4UK8p+77ilCCnHRCu/YqDAnqBIvgFrp3r9zp1Rw04M1R9yZE1d0u
SlylECQ3BvgJjpUVoe4e4YwQJT5IhB2pqeMSmWV6BVAkf+xt+5OhbjH9yp0gxG9HdwqIDMmDoj2o
jKjEJELV7s04hxnknVCYGME00AxyzCk9d4QL9DI2/DrGTo9Y142E9skh4xseqrgfa4DJbMMfvNyJ
IZ1h2xcEMSF20CpGWcZd7jF9rBxrOInWeqgspqhl/9xPfbydV3JTNxyzTv+KlTKi464gGkhjnzBH
8CttFlAg8b/Q9sk7b2uTSl4mdAgy8QgQ8E3FEtNijWsMzibgpIfIrj+mKH21O6apbCxg5hMbetIm
trUoVE9j/aoqm93rCPa9MQ8Idp+dThpn2zHPHXbKgxza+6hbnvGM7swk1ZD44mMNK+HncdPv9HCa
9mhKSBnhKpOVtNBa6UQbjQEgGTzVgexUWgujYMHO4xvoZiM8RC9/5hLwgNSRAQ/qzL07FUSt2cdR
suc2nIQ9ldFHPo1yBILV8BDLFDJDmp8J5yPMDKZo4gzFNqW/iZIkwdhrriLMEZBQnb9RQK4S0pgy
tdSDjMhKEgRpAUrDfmba3Fy1Vr6b3fYoy27ZmQSg78ErZJu8hJiiewMqGDl9LiYucMOw9eK4emoj
8UW0N30VZU9zRpYgjYPN1KP/Cmem1rrhAI1IJGXBIlOId5FfDRyjutKQR1SGz8xNnsQUWUegdqyB
BdQNL7+vbMPcOogGtLZMrkjvoV+H45/TTm27UswBO+1gLBh4LRmsDYY2Z9ir0cFVXJuRNPpDbAkG
rTP41pQzZaHPFUbRHae9sV4+Xg2QxlNBQmalnqr+Vk815OpdopOi5D4lOiKwZnS7A/mK2RFX7uR7
4VMYjsjB40LfzjG2o9Ql4IdLlA+QPQ74uL9DpekhcMdEp9Htxh+p0TpZ0i02JpgMfU6nAeVTpvWa
T5vcYJbfzbveng9LEzHYJiUn6Klse4RWWARLpEmAKGm42VxRpgkQjCkfLBp3ga5XLDmMNURl0GyD
RzQ1X2nmKfbzZJCFI3W0S8xoE1ow4xKa3IUVTkzCaA7K7nXsHjxCkis6xjdNlX6BNMJOuX/NZ/ez
WVYwNx+HgfarFtkTfw9xTiHyFwDL64D2DW3+R9gt/Psu1xOoFKwZzd6CZN91mOxnQW/W1jp5U7ws
ifmAzIQFJzO8TS2SnEt89TpDCeViuaQb9O9RUMeDS0s3vk+nkS2kCNmF/m+WzmTJbSRbol8EM0QA
gWFLgjOZzHnQBpZSpTDPCExf3wd6b1NW3V2tkpgg4oZf9+Np/LfzC5Ci1N4a8lMX0xNSo78z+NbF
XHZWHzUYT+m2zhaGPBchr8OwXA920IhPxBoTJJY+lesVDOg9GCiG7aMXeb/TljV9bjjXqiWgTUyC
kpS+fqNhr95l+eDva6LTdakfohwxf4hBGbcIQnIaAn7QzQGzxwH7500l80zoN+33S97scXHlBzHQ
VO2PRkBYhyHLy28JYCwEQvCj68xIZP0PWSgm13rtKVejvWVN/IvbGa4WZwrCMS5fFQN67dndYzIt
/w1UcFHI6MA2d/9EEkS1nCE+MZu5wP+AWPKFDS265JZBFHfMxuVOSWvt75tBoa/QEUgBVIi7zs6J
xbdM2GYvslCApbwPG4o8MJwqwJvBJp8UyCbrn0nYAxGLqiuJXLldYBKwrxfFHsahPqvsuaY1vK5C
emqz+uzaq85s7mlE8TjvK8RH0DV1iscMHycrjJQd4bL2UUEI2eTGaoEuXIBkVBgA3AjCbv4P7Btf
U8/7nEcE5C45yx5wfBNSgmJO+TEsptdODo/WsjJvFy/duaOxB4nwTlBbP3ll9BalYBe47zHJ8UYQ
mnh3DXhkj/rKNis6zdasz2Pv11DBQJDPPKCwWKkTsQqxpXzA4VKFP2Dq1Mi1I2Vq13jk0izfWvMP
WIid6KGzt1DeDyp2uGWncXJghYbz2/zd+LW82eQnWNkjVeVQ87ZchPz72IFeH9IMTU7L8hyqoiWA
N2Wn1NbE2QzoDzEtJdLvH9JEkYCQCZzDxvpjNyg6wk8AJ9QZ+oyOh3eFxMAwk11Hw2EpNcXD7+Sc
wyDds303dxZf4EL4t5w72mlsFpB905sGUrnXzDt7Yub7ogUrkFJKauSJ/ZDRWbsONYii3fTmCcXv
MvtyF27ZHjVVUb5pTVA8LPvfiiYKGJrnPQ317603OJvYdpqDS14/cjuS93VIvMkxDqwDw2CsAAe4
v20uTAEeJLYWScIfPjUOUeLHV4pIkPwGzD6iOOXKCzFX9EHjWNkZASXeudno8O6KMuqpJ1wFkDbo
WxDWRkSYYNwyyw9lqaKHyOE0MnMSymWlZ/xuKPPhBMk4VTlpz6TYdYvDWzlOdm0756xM+L31UPlK
kB6XHLDCtocBHKSYbs6Fvb4IvN9+5JuIcJhznLS4jWb1GKu+eHTi4S+JnlaMOZ6uGBzhwpKZlsFd
z2t8azn9L4Prwx5qGzMb0USoWlV5nHKswswMb7U9MFPqKNu5uOq1xJZE9d9yMEUJ2ZwX8CnFHxNk
UVU9p8bKZHONz84Z0SoleJQ0NfajhtaQJ8aLvUx42uIR63XZ8nNhlbNfkqU/1BOF7LOwNwAEV2ta
wUre8L+lnFsykeUeWWPa0F8WbdB4zsY8KXSlbwxB30ZSDRSCkdWbRkTSAiCrUQMPa7XN3mFCmk1E
u+zyxfjO/eyHz5woU7opCvHM7Gpvczsrzw6tGo6BBKr8PbA641DarAiavtkXiBG3BkVnwoTKkqZC
YBbxmSLhfktw/S7DiWpTmylyVPWvtIEeO3f+u99zskQN6vZKBiNgWq3vMi63btu/r/0jGYRgp0dQ
KudnDcJz30ik8x6W5jZM9EOdhv84FeUO6HW2qRV3v6pG2e0ig+FLsr6CfZ5pyjsTRWx1KjXdqtZO
mVS4GNgjaA8rOKGLx8hhbvPLFbhP2AbwBPpoNweDZYAzn6bxAcDpRS/2hT0QrWO2Hhj7uf5gC+VK
IIbvQUfLmY02tmb+cJjR0u0Upwtz+AziYW63JOABX3qFtymjUezxXO2sIlNbGLcsIVPFTRYavjPO
VLJCA+sMrlUR9ZwDfompWXGvTflsRpONJbI80Scy7E0AlR3WrAIp0y/rFzDuxnEu/rq5UW2Zy9Mv
KnvfePtjFRAsHQGE/mWba0OMd55B+eS7Bp/AtZ+KH4UN9kAG/L1PuCjOLef9jGrJ3WEDne+O/eic
JW17qttIQf8l5Y/Od3ALBD81dd+xNO5zuvx27eGJtKtxy6R5HYU8GxAnfMVCpbFnbxN6MgqEz0tu
3EaLEF+N/5WA5wXVkEk4FDAISR/5eK6xm9cN/wx9Aw6POpa756yQ53zO/xMdi2bTfqwM+aqn1DvW
Qm4w33wa4I5FQ+XSPF1HidqSetxxWZpMdCpqL2gsb2/KMAKw2rKsQGComUM2plc9CnN6ySeC5CJn
79+bsBCYkRaaQXx8UYN862tsilgowDH1f6Ii/OO5+EXbJvNx9DkAucZmL8uZ4POBuC/1HTFWuoQE
u1DDfsTjuFXODiYU++FV9W0/56ntyCXs9cqqTxCyglYbM8vn8B3zJWKQ+t3H6hWCC/Ig74W69RSV
ujkwvY5SK2NWUdDiLd+QVsHzE0c3GGsWRLtjMlMkzxSSXJVfvkJ2YV9dkzJqLTRI6mDmQf800ose
VYSwGMH+PNiA14dx4n/vqCDTLWxUXUhmFplRKwlZogFY34Ip20bWLzdM3nLaQoPMKD4xAnOopdk7
OdonT78RCifl3WOtzL0TZgN+3cH0L0CcCZlpdwmk5m278bz4l4l2dtAURVM3OBvbWTaffuRxwiGR
8fY0ZXUjTHmnGYY2SRZBfI169snwzpdErV17BVjscGHNXImVmbsqU9yDeVQZLYuqPPimOW0se4Co
3dXVNuddlKTLRwjLm5mFAuSsCb+ZhBihzcwCT0QXaZGY337IJrNos6+xpX1eo1yl/oAAjT8Q1xCa
vsr9nU3SBskihFAMHruwgUWGejJvzfhdRP2jD63Aaku6KRiQDFJ89EuVfCa8Ey3RnpvJ/8hc+Lte
ihZbZ2BJaHdKA4qIqAOHEpuAwd8UYX7pWv1jG+5V4hDf1WW475GCtyIqlmDI/as/Q55xw0Ht+X9w
TnK+BnDBYsII0cXt0se0Tspr34I7FsnvhPUNt4f+SlyOwz/+BoAz7swx/2yTfAhk2h+tLEEvL81n
WF/VSztJKP0pbhbk336u8XbXO7sp/B0tcxMA1PxA4HPPGoaOgXR8Y/NHfDZ5jNnQPLP4wzudFg8s
NkAsWzowpig+gU7mZKedbCBTkzhu8zROxUVOGO0wBSJHV9FjLz1AkMK7Nwb2TAC5GH0182wvHhxn
umrNqxeAKvCuFIGFqxBZmeqVtkY8AUWi94yfpUtuxml/R4QK7r33tymwHvgjlBK3YFlZ5mjz4YA2
CydwO9m0HM4JbgN7pEw0uRc9lpOo8+Kd9BRVnW3HWczPCxM+O3Pk8l20HAfOV5gorK9HApq1nJst
mBow/LheNP3jj5YTPhrpLyhp7rXyOBn1nDTHychy8KNcx0PPOsY8lii00BDT2u9vqdVtXB0mmIAk
zNawNkFJin1YxO01ir5AfA5H7TYa89aXI5zwN7jQPXisp0Uk/DlD17l4tD9vG4qZvgTbo23HdhIH
6/IF3UG9DSw6qS9mMyqam1lCl468t7AbljP+NNworqPfSitutoLG7bfR87L1JOnfo8gxNmliHlF7
y3tjGdlB5+1hUWLexPzm9eSKy0SNZi1j4xGHlvEo5HQubdFcbHx9EpvWc7s04InHEBTKbOwRWp27
2fmglmBIsUBU6UmbRcEuhp8PgYRtzg9e2iK6YmvKkIKHLr4V607YUHrT2pTH//tP89CtYxHzC31R
jFimt+NrweJo8u4Sm86lJr0PsZ0donpWjdueKMHCNFbJ8E2NyWfdFuzwDLfmhy1UUHjZM7aAdDsU
3P598SjAT57z0vu2UEaPxlrHVbehdWodskNFlyL2hq0R2AS0NpVw+EDMCrpwZjcv6GWfunUrlqym
RhNsh9MczSsAT12sqLVR/K5NM2+EysI3o88uo7C5IWmgxzXWkFRRMkvE5DSgA2JcnB4x9SvU80md
w9HEstJ0I5gC/21WZXM2EES2XmfbB8RY+zDPjFnMye9jjXc0xrFe2913NU/d0U2HLzYnOEprAuwe
oPbRMU+Jzo+kFfS5WVwuqEk47LSjp5tJTpUDpM73lTm/M58s+KvkqfCn8M1qnX7vQHsRZmGsevUm
GefwNcU+gKEm7Wk/MLutJkh87UbxyxTuX3PoijsxvVUbGbczo/5FE/G4yK6uN5Yqn63UjZ+mDBEM
rOgzmR6mdZToq57y4gTFn7gv+02nTqxPVcc/NSiXx7a1fmTeEBnY6Wgqt1OvunfAvADxVpt5mty6
2sT4r2OqIuGEOgMXRLfGUdUn8xb4FuBEEsKescuEqnfUXNnYSJLiwe674uHf32FItTcZFdYb5I98
O0IveuaMoTlo4f2wtOZz3UwEdqPYOKExp0dnCb9HiLHoahmCPyhariL+Ry64ksJBQtBIpuIQVlxn
lrmQpNHVwQ9R60WngKkUSMQgR9LImRkIMZ56uf0R9i0iRdx8DyAIN6wlFUEWPuHIFZoCcp6GrP8V
xbhQ4MlVbIgw0vhRvZ2512dL0GeoOnnuOjD1bvQQ8CiUhbNlRpyCIaWKV6ewv2dc0cU0s0Rpw3f6
C83jogbv5vmDvSstbWzaLMxO4Ga+UvZsxz76XZRE+zt3DJSK6LV1j70KO/IVwAdh7B0mfwZjY+mj
TVcMha0DXp98OBchIZkCaQgG7pZ5YN9z5/ulUbCsVZDPuVs+yZa2U0JSVkDa4cNag89NzrBtgmq3
/TE9/gtE263xPOXtiRvDB8Zv3MjT8tXPrfdoSt1hMkwaoNLxGaXK39bSx1BIOhGxksaMwbPme+uQ
zIuhZlbs1cK0pRozFuUZXD6bRSvkPq7j4tbWHW+qGnoyCV+6vlhyf7S5c5wT8b1YKW+q5J5AJL7N
6LA3yOvmZQwLFJOZtR6GoX3MpPBoouLuyo7ea9Pmi4aN1cWdgLt27IYXyhiLI9nd6ZZl9G00fCxo
TThtopqUQVvTPZqnOBNo0+LZSB9Dum47xVaVW5Lhm2cIrkjC+X91SIFOmvVJ0FEOu9Wo414yYcXi
SUGnVjRzMehtpOhoZtfTAyi4g+qT9MD+7dX3C9QvOdu3xvHsG6NxoOc+vs7lBfsx5hUTQHhWkKCy
JoK0LYfxXuD2x4If4WXBdejSM9w2FCn7miKmWYOpSizZnBXOyo1JS+Te5bnfzgz6bES49kQChniS
VEHWksmYVYYhqrKfWbLz53d7NrfR+Ie1H4icYly/On/GZKbaAKkSfWeBBtz7n4lpxJelHvVD56Am
hhTN/1PmpnrRew9Q/YaY5WvhvqYLsFPS+gyoxch0Fi5szZxdGwG0xwmxWQZWMrmgEhFImEVVg4sm
BW1unfmKvUohkmbdp0TBeudif9A4dxrgnyc6/tyDhf6svUfKtMhnRFhVFmKn3WpCa7r/HPY02X5J
nXRruTjR+RTenFTgyZhKBtlilFsMcpAj0jHbReO8rZaKHnKLdCdVr4+a2hvdWGwS+PhZ4EqLYLZd
POn5AbQezxK+yCVdfuiu2nUD6GrsLschtBsKObrTmLC0Tt23fJyycyVgCGBPp8Ako8+NkcyZvBdY
fdUJe47e+Ja1PMZV+srxDD3Q18YOdtOrn4DE4OYPGTy3ckrYGTxVwtiYS/EsM9IgbUlfx9zSVaV5
aRsd3z98fwFXdk7XOrx1pllvQWPeJXfE41RWn6O2PsJEUWkbcxVaMubVlkmoDQdxmfOXvrA+zbwg
5wNRXrj1oVIoHTl8BWCVTvPmVEQUVDPndB5RAjNQ0VZOzcU3AGNjhPjPAaOJKaLecmJxLxpjvcsS
fzzVpUlU1M0+SHDcJdkXZHDvhzARAWZUFMD7xcktyRbmya9hTKoHYnwlkec1bGBWv9hIV4dqHj67
qXmFq7113GF4sD0mJSHBwg/NjJmdABDmKBPpSJ9brZeDJxLqCHR1UaF8yVooixg0WQ1y2Bv0q+7d
aP42bDO6Dm76GjX0MDkNEWpQtDvc4Dn9YssjM9VPEod/tCPSU1zWKkjZnFJ4tIYXXdjRi4esQGvi
Bup8G4S9fxJdLC+uCQkAnttBeyAmHau82LeBCw+uO7zpQ+Nh+Uy3/kK/CQenveHgrrexMuPDEPs/
/pIVl0VPL46Rupu08sODBa1zI9LGC7opfpVUIN8lobolibKnIiyPzRQx2hZ2eRgrrjM6K49FYrxS
8Mw+XCfVkSaXjbc42Y1qhP4wu1a7xSpIYi9jQccHv3W9COnK5FYh8vQSSa6CtQGltE3VdY5dl8Ly
0X2Inb49lEbebqCluRh+ml9Y7Wb2d+PTomcKib3ujz4o8lEd7RrMRvuq9HnQF+vIRbq4kLc90Qx/
ECPXLSgm/uOCATRuDP8h5Wf7WOt+qxeXliUS8Yq1K1kSlkSmuHYGApbjG3ezTJMzRtMnbxkanHwW
tWSNaW4SW7DHBlagOeaUFCGCbDQduoE4TcaodcS39V3pHM+4NX3Hon6BKCfxOaMPednw0y3NepEu
YghGmReUok+2pGB3xhinZ9cYsv0sQob3DJGXuc9M2wn2iOvcuGCcYne9No9t/ennWu3MgRlJ5Kr+
jIv2yR/wASdJ8zHI9LHNnOHQggEwEKckMfMgxwqm+vWZUNa3ZsWx6dr8cSjFzbfL5pnAyZ8Uos2D
34UzBg52kMveWvAG2WGsgooaBVrF3DuJ7GtuV6sVB5cl79QkzUhiLN6MY2bx7wqJY0PRUsObz30R
3mRfDYz9im97YFv1gLNXZ29o//GSzXiCXfqt+PpYUNk21G1TDtJ2+XVu+eXL0AT3s/5HR4n82mAp
wjg65xt3CauzmMV4ZEzfO670AEuLYW8v3gd2dUSYNk92fkMHi7OGlUIpjcDN9zbWLQlQdl0lil3X
9V+a7cFmDj2G0njNi62Md3q5ZtBf6tW1EWbihoz5qMUphrv9mlbVd72CUq04YbLG8Slr7dBd7KUY
YJ0kaHpeI5yB6YtppfXVXwp6xstrlkHC0zW1Dao0nkhLktbEdlNg9O4jozwZefG1cL1SFmW2nwOw
/S1NePcsHtIgc7L4OTpCA9h7WWZtOkyXO6WE2Mc1iziMLP22HokFpzyZVSGHfYOvm/UH4xSWO7bf
0xOKhp92D8Rh1LZLeAIXol/XnIBJpxOqyKyYRaOetrObeJuG39KmYNdh+RJTIrj3wASjguY1vjlT
xSnREPtx1Nry6iPKyRj7T3SfaDF74GgcD4jZaIEdb81kYBaIKcgIiaF45a8q+Q/8hXySIXK29D/6
GhOvm/gOcQ3udb5JnjX6Gmx0V6nA11t8P9j95Kizg/3qFxI3a1ga9zxvKH8pf8PN7HesBWcvRxMd
9G+fojR8Jdijqc67DnqtjaiMnyWN1yXnwKoLa8PgtP09rTrQpojwHuUrJ6JZ75mqONvJRQ5NbW6E
44P+tfyg7xwWS9XYHDzMYEM3nXOLaWeC3LHBFnyeidki+MbdXq6lOvkAp67JnmNzuHZ69A5mvBzT
ATa+Wc+vNm9WVM5gsZR1paDjgFtneRxiTmeb4OYxH3jNS5xefjcVjwW/3ZvnhQ+2FWL5VOM7BJAF
uDqk77zDnVs5NVToEBeoEfGzGNn839ss+TBXglwfFSjKUYKqZ40Hv2ptvF3ZCqKi6skA82c4/DnV
PPMSDpvqpCtbvsxSFFjYy/0yjAKvTlE/IqB81VkLXSCEh7eY3Usuvb95T3Yfk60MjJYgc8eNBKm2
e55r5Z8ijPmsRRIrMKkn2ooWpBz+KQcjSoH2MYqz7ZYPxgR2wKq8S7r23MVd/EDBAKyXmjm9dsUO
IUfOVfbLWLopqKMIky5Vo4i71i7KMQSwBTwUlsS+Rn2CivN435aflP1dau17mzzRGJsKAmM8+9jz
bRJ89KM/UX/qVykx6jryEekDE70jsDTyN1YHExMT//YxxGfoDvpNKWU96TYkoSthgPJZWcdyCiXH
HH9yYcRDkMTlwkLS+uPBYEwcsU3H5M0ysRbkWGmRNShQTpdxgycWlzPT23ZRVndBD5hRCuu7l0Lr
bO4zBwC8lfqv9piLvZANqFN8VU4h1abgthxkTcRtYCpcqjmHH7dB6O0cY6bo5EcJKoP7xb9AOiRA
R1+WXe0JuCYP3IvsfN152/nGyLS6u94Z5mh40Gb/1SbTf1pXKSphe0BdQWlL++jJEET82+aVlSwV
9D5pONEeZsO0+FJ5FRYwzCJM6TS15SHkgah6Jr4NlD91ib/zgWDxUFdbds2Nr9/NE2gi3HZ7wkLu
k5Mm5R+bpHxUDvpTKz/aJJ27bN2ZjjGJUfKs/KQ+5xMMkZFmFIBEBbuD0dlKc4+/IUUsVC5kCc23
j5dqvcngogUySU6mRTZ8WJy/pHJHgHNrNWOOn0I2lbVhK0e4tCZ1bVmOe9KguIiaDLP/e5I4Rn1r
/oBiJO5WHX0IvlTMojLcxTHWxlmHPJzR8htJ5ilx05lvtI9hPGeNMOnmnvMKs3DKnKWviz3V9hls
sqU+YK7gFtpm36LJpqestdvjQKozmFjSu++ch4BT2YUGZThQ2p2t+pPq+POb+nsxXH2UfMnJA8qL
z7GIkdrzd1nB7qGQqBuYN03NJFeYzLZ9fHOE0e01Ku1hWV02AFoNhq3WCjTJaaoEedQSn2saHWIk
VW3N2jmrzNdO/LF0S4iSsM5oC+NxbXBJVrkSGmhz9LTtnfCqfqki7GnnwkFicenaVqNcPwDIAgvv
Pg5xWGtbnfaUC7QMMTq5wdyqOMCJecoEPESI7RuGLjPaIKt7XDn3woPa0hrWA7moozDGEC5E/Z+T
SHIY/Ukv39Qe7qFVyEc3hhABsj2DRYdrmAdx2hTpTjU8ahH5yG1ftNW2yFg80NPCSyiL9cGP0q/l
qaDidp9FvKJ7BH/TnV9me9EHgVS+tUKOA93Y94bNGvAO6ObcFVXWSqoTVn9SWuYXwlF7EcFS1DF6
NBlb5yBdLTaNIl4NdWDfebVzqen3qE1eWNXIFR23INexrnwsM+u5V415LJT/C54LZb14DzeqijHy
hkpd7I0J9PtOiSMBmLB4IMAFn92YzwV+rX098LA3qms2ZlkQfWg/jDieT7brnSIkORxWXDulSzxh
sVweDWP1JrpfbcN6PRpPeehuuVBZKPW2cZ7MpiVLzc/PgQYkzIORggR0fFVSYrD8t/TI0KGv/prt
6o/5NOFw/OqmV6re+DHa3YlohYfP0sWWNQ/WaQWGB4kiozfTf8F6DV+DJY6QAtJt5ljLobecKBgq
gkm0MDtkeWURmGX84GgP+tiQYiHk37mf4M9jmvXqD+G2AUUnM2nlwrgjvuVnumblviIj9+ZN04n3
qBuk0XztPfuBM6biKW77o+rgJK+Hf5W9ph4dS8tKL04wiNvJ/BAlNvHLLO23YOZww4rmiqFpOPtN
jVfG+XbdJbsqw232iyJ6k7vNrcccyR2YM58FKQL+bFA3lrXc3dcCEH8NHPGrOsfSoHeUN9PV6obH
KuVW3YzTc4HjExpWwhhLoDhrxggTJDyMmYmfIVpAlaIDo7HT7j3KxTMPbPKIQqt3fhGFQd6HJP9t
UAH/x1tdj03sWD8LvHfkW/okYelA2bjFBG0xFOHjnykosN0qCtwxvbspmRLb4hCYSwEbo+sELxv+
grPID9wZn7TooI317omqxf6Odg47pMDoQkrRPpnMrCuvBR9EtnxlI+7ZHuerkJV1lJZ3MgdqmFIM
iKGFwUd3JpOxTDHvy+4EAEq99TOeH+UCI85cxwHa5iWHdh5zjF7tna2DAmvDPjAsYHawHcmug2Jc
Tlzc10Pr3Mivfzp2p1hxVO2xmuMLJkF5XlwrC8yQBlE2Jmd8Inzu9Hqf+rmznjsQABxS0v9cyQKj
Tq55MhPiEd1b3pzbzoOuRl9WMEz1y6zls6joDXMjor8c6Pj0Ov/MVmV56ka9GzJsPTRP0R49UInU
qWj8otyePQc+99rBANPNT4aVj0cMqIvGXi0m4yn32Iq6Iv016YL8t5lkx4FNyySWF1jdYOw454ta
AxwYKW4U4fiJ7VvfaTILOPI3MT/bn1SSkajr+L+k9NiXJuglVrqEJ1dV3UO9UINTko04laHFLtSN
rmVWu0cnq+YdNzk8mhhhVpxKf8l18uz1rn6uvbCDTEJ6oICiuS2TcTq2vf+X27CxEybfP/J2j7C3
Np2cFBIChmLaQP8zHddglJ8IwiT0aHh25T/VRWmcm7jHqCr99HdxyAubmooJUpM180rWk+PumoGB
eoicJ1F7fzW8FL7+XOIiqwnPzsjur25IN03VgGeork7SaCL2vV11yIYcUl6DSluTWsMEOvxus/pA
KU57tFqhH/Oekshh6aljotEBmvNx1J5xMtK43C6s4nZ1SuinL9JTzcOVtqKG/a94r4a0RNTC4Z8q
UHo8tnu6tP+TXTpfTanuuvT1JTEsQqMLHCkaW1KO+uswSMJmZfbxh8TSY8Oq/CRVEzSNE56YKb9m
p3UPGKjtW5+8tthWuNI6JgFMBIfWV9/0J5p47zNYw05NpVxKNWY78i5P3N8shfud5XRfc4+zNOIu
5ZEa6EmM3mzNudaMvF5Gp5NbB68GY3S/K2KJHWZy4vWjJNar3S+spizy55IwXZo/zYlv0l5VqBej
E0dLGAfKvbu3mnL0Xr5g/WLOsUCH2LhaMXBe4r5x3h3vVBQo+nnr/vX7rDxZy9e/AX2unupMpJe2
Ysea9ayJqyytb3M7Zhfl1kE9/sliyh3CnE9QER07DZH5Z1hU/jB/2encPVi2OMCbGmltw4s8evHf
lK0lwcKfznWWi173SsOaZ0bRDUKn/KjS9ZQ2fxAxfDJHDa5lNkhuhO3WGNEu09YcA75bJYuGuIQi
88VtN9p7sMdiq69ecIni3FTmq+/l9cu//4prV74QuR0MnE9dJPd+kTQBjhDc8WvC0TA+F+6re5Py
aBv/My1hi3+yffxkLlh7uA7uzZFxg9DWXAsxLkFE987Gj1P7msgPIzT0hVQ6nYtYd9GSCXaUILHi
IUZ8yHPMrCxghyqGItS5D2GZubcpe1miurk6C5vQKuWDTTp6crtclltf8M51Dan/3QtvpiIW4sCd
4XL4Fc76Yrlm8Vb21dHuiAlKJstjoX3g3r5BwtC3ll1SRlA7ej5az+vkLl/LB/01uY8U0+7cOfw9
Nh7ZeiiaspMjNZHW91RCg5gX61Sn+HGWrv6gsuWPT8Tzqovef0hkeRvV/BDWimcpgigXzzNv4p5V
wyxgbcTpiIrV01Nnd7sMotoVh991aDHx5GGHw9GOaButZedciubk0QnNtvaLbK680aFkB2Ihdjv0
5qfoZmsvfa4bNd1p+Fsp6quZLfrmaJfttWqAt7MNoIG75vEY7RHRJk/aU9tnZ6McGcPS8AQMrCMg
BXazoBYwMEX23QmX0iLD246xaW29uYe/MvSvXq+WB46p7TRwvE05uD1oRgBrTED+3kjoxsXqNfDo
wNw5Lm1d7z17EgRukj9xGA5PVFzrJNmlyWRCoyIrAGGWqJ09BCz1UQQAcfrGX2IpGO+jnu44ffRs
3z5AEtFn4Q0IsHjYMJXh63EAEfQr5Y7K0h31Yc1ds1zFG3G0l+glavv65NoNljzPRLMHVk/rDT2P
//5S64zvEsUAO+JCE7QSPpFh4AGRWIgoMzLb+jWyBlAfCg1yPQMwzcbGwUWiILR3FF75SjMsN8qc
sqBCu3ssRLyHzeInKXn2uOJGAA72aN7QzEU2PlmEGm5qhL8erh9RRGbBU1+KYDdkOFiZObJUqsFr
LknzO4l9pFN8FNz/uq1pxS47PTGfzcl/6xI1XT1/oXeTq8Sy3PmVaXuc6Ll19d9/AxIMam5B/Fiy
udxyhzIeTG6uFiBrIm+lHwZK5t8yrygvQSCK+OgJQzgnq+JS79kLX9f0c5ioafj3l6xn/4ru/1FH
y/sAu48hKj/CS3SDThLM8VRWHNH+2BcZ8as3ayJ0JR1ImHZQM/NH1nJ0TpfxudNGuJli6tfbvt1n
A7cGknpfRYrTbNxPdIEe64z+nlGXes2Nkp6Q3a12h3QPHoBpnfKlYzKO99yigQq+YpBMqA21aQwY
uimuOv/7Cz2x5v//XVWYG783+0CSZ94BjvkhpBJuGtYxKPi2cRhbYr4NBV5yUSeOj5PGVcDnNuX3
QskLhEwMgNze9lKJbyV72sXmpjvjr9Tb2vbrvT0gACKE9EGr5HMqwQHqSgUjEfMNDLLmbAEs2cRL
PIIWgPJoCsL1kYVTLvaGWxizjVYrIA9w9v3fbxwTMqFmpYjVDf5prdkqS+t99CW+g6boziLiVdxZ
a5kIIhTExa45Evt/GVv64EW/9auqpQezglKcxr9aOR9mHjY8Cx8WoPDzv6OCm1CNDdMtTp409g0d
xEcKLMnVx5hOsO6x3oD9so8SwWK+RmkiOGW5KP16EX8Wg7assZ3Oke0zlIXDZRmT+phqjVrjV6Tq
JBvGLvofT+e1HKnSNt0rIgJfcNreypvRnBB7HLagKEwBV/8v9L3xn3SMZkfMltRNmXwyV0pxruoq
BiHmYEjD4PCzQ/TCFmKqPcnKZh/7Vr439o8a3tSDVHI4W+AmTshI6raWKaGpZwDn/BtGa4LhE1cc
L5gZDHJqOXG5c+CD7Jso1tcwtu0npG130zGD/kXR8m7SGMHyrP2JpLkbqoABoY3/3LZj60aSsF0j
DsNHQrgLezdPoJtcmMUpwh8l92KlwJJAwDv6nb/cW3wydNwxU7P89msMHm3jvbKfhO+h9qujZCh2
Np5yX0y06qcetJOmM/NdRUSJZRv+NwCp22gSCUMfTEdgRMxSrbeYiiWy5pY8wAouPpQ7fsZm7u5p
LWEvZtxRu3qyr0MIcL1bjI1kAZ44Xl7Kokg+I7plPDpM9jPK7dGakpMrM5y71Uxd75Is1xzz5r6K
PRc6aNDAygRSkMsJpSxffhfB9M9MlfXatSQJZWjvZU8TIWKweZWlDTMuWP35s39tRzf8TPyeREoc
idW2IGjHOhCOyLaiKsVvoS4+g+Rf6ZDRdtVIGo7zPLo6M4a0rmvzH01JRWBxqh5zqwOdlT7gU2Uw
EWyMpJAQL092pkJ2J7iFDX31W3uAgkK6K/dL5hDj6vs7OAFDtdz0Pgns2lnGntUkREntJT2KwLFv
WvR0l4nst13P+hOEUrMD4R09xu1YnQo2M6wsw7MBG34bivKZu9Q/Yq9r+OtHG1TUs05yfJis6KAt
lWCE64djC9DzVKTxLh3H+HeI1WNDjows+oTvYQBhvdFz5H4qNOFNC1obzo7dHvpueoCGAPS1aO/w
oN6IAg/nPiyKU190KVKPmM+hLT7bDJnHd+3uXXI5dhbj/3Oz5tnRVD5Atps2Yc6EWiuvwlDv1s/B
SthqHZfyMa7Pt0pcuBSIk8DYcYlRXK5Tn1SnMUpgfan6TwgU4xBYuffUWz2eGtEFr1hy+62xsvIz
F1g//Fh4PxfZfnBs8Q8u/q5LVyoynJzFNjPEl7pp1N8mE19ctNKvBFLHVvVk5mZNGwhJXB7AaCVf
pepmAXa7eQnRZlPbwdvcUvboyJD7N2cpMX0OPj1NZFNYEpEf7BXmlmOttfsHZog17SphdqTObqPd
AS5GlX8lCykcfq8xfPPV38DTXORz/ugXwX4Mm+ZvwGM9+6957mS/Ir+F5aChfg9kh8NJaG744PGG
IvMeS+4GMMj26b7jJP7a9TSuBaXrPNld9ExQg6mNF+p3oHDZhkn+SBcHIxlYcOjPrfibjBiLE1Yr
S+r2AS4B/kyZPrWZAsmH/ZCJVA/iY6EeWA1nRsc133Z0SyPG051DFEjP08/sMZYCmBK9nwcfz8/v
nEStO725Y+D9JgPyYCFN/M7bd69NkfRb/8tV70pD+hC9F9zxd6tH0Eck3GaAVswXKvJDFG0ZR9dX
C8Xws1hpz7Q3vXG1dA8FD+ZWD/avYO6CT4LwAI+g3HDn5MuO7OwGT0p7c3PL/0TVQm2JrffSh83l
V65azyugQPE7fJosBElBcoxe9GoffsfHIuqtpesBA3dS9V52JAX8gaiOX+QuIDqs1k7uJFe75gSb
9ql+n/rxM5GhCz73wrfHiLY21ius3Pk5S2ccrgTY+2QgITLwe56ZnrywZ4CqH6r3/3tJTykD3Dex
UthGhe9OD+o5GFo8k4CE3dG39jZiaJTG5vEvrSHZO3WMHH+wlV7QkIr3Bm/Eruxn69iuX5IEKiEb
MxUwcH2OE9kRmApBcfItKr7i7/8NRqeLi+VoGzNnf8oSibCf2ewdJb7oThSAOObpMSr7x++vdKfD
FzLN2++vlChwsbRWeQmJgXPNGLYLp+lL1sn0HndId21o5Gdn2ulID5nNzT6Rn8IvSVzTa3b5/q9e
470ABmg2blfpC83GklE2KdMCDqvftRWUsZkhSopxkuEigKi03EV9/xbmsOn7PnkKfRFfXd3cVc90
a7AYjvUj4EGZ4ARxSWxfyTB5+8kCtKIx3W99fJd74i4oXUidYIVX7I6iR206zFZBf2/tsyuXBES4
Fj+rUHfHKg1vBhIhaz4rolUsR2tRp6R1s3O14ELCvLsf0Ho3Y57/m2g4Rt+hGjMiDBvn9fjgrDsL
38Em5KfEtV0k5OmiV1EG/usw74VPE8PsEHCo7BSFPIj/+VAvtlaQJ3sNXonIB0cPkR7tmvkQ+AnD
Bjz363H86OlquOmylfQoOntYcdGBs5Z7oegctcq8c2FZmFqVVEW0q4Nuoe3eayxsG2P3Up/ngnHv
lMBPhtcALZ918tQFxX+iyeltaoAd5r59ckL7D+1lwKEXIjpmqd+dZtZHRmMGObyDopLiOcBWNyIB
AXTJko0xVMpRcGLfhW6xVpEkkj7+IVg54xmFC7ByrvNd4RN40ZOdQZDhGy0DJ9mXNTdUrAwmqupT
mWO4RGrb+jpk0Blgi4SVOGD42peT0zwiD77xk4XHwV8OAIKC5++XRa1WUmTmS2eHBKg8ksju1EAj
/D1yFiNVGyy7OEgDnFDztrcMQqN2skNmqRt7b4HCwh3X403Bl7zXylFPc1u8WJjXybAwjdJromm0
7XrP419dkaUNq2NIF3HsqV1TwTVteiY+mGx43k0OEXEpxMnuaOVmjqXXfu4RE6CmWv7Ar8lmh5us
fdt5/9WumK7SzNO1C/TF8QZz1vMvIAvzLYG3nKzX5q6P29N3UXTnFRNs3xQp1+hNCXvg7sFmPcuQ
GaO5MTTiyqvHDyA33b7BAWta+W8MU3Wa/ewTuwBEjNnlzk72pCVEh+eF3fqJmQ5cSmxrnKHXvwwq
sLDOkjElVvnnUOXReSg9GB7//6VYrKOTD/4hE/mfvMgNxg+28StL+Q2Md4Rbwy8khvCg2YmMzE1L
Q8TRzunk2GALebNNNF5UAy4CoHp+0nPQP4k0Lk4LBWdkp8vhSdYJhJlsRHAVRAfR665Cm/axtxPB
fCsXayoZE9WIQmjT3xWZ4TKI4aZ8z34GzMWQs+/ASIV3NynC6/dXrTZMesTyNU/VhxXlkoJlXeyw
XbUPRQzQLVDtl/KZdCCakk3hun0bfA0zgGSMKKjKYskOd7KrP1WIk0aRAymK3Hro/OQ1rcAeq9od
9ypvradAyfip42ZRUsTptu7BmC5+RZkNr3QKMuIzxc8Ba/Nd+cZ/VPH0KMmXHMu1yYBsmbku2KIp
wIgOtR/81U3zuzAkfk2wmPMYLBG545aDEAaRTW+389UoobAEUlgr88x7M/ZsblZX0IA2i+gEco9c
CpQfDur415Y1NOc+SisiqwBTbtP30YOPvvheFwB4dem5TBhCZ1+sxaRN17wJrwkO8xiXV78Zv2iz
iMFncB2sZA1H2kbVNVlJljuaHnur2TgTMebAa36bRYsXNx9+MrLLt2kGw7kk2e1Mq7dvKfDOAeel
YpZIQzU8tBZhhLwFhuTaXIiKDnBt6rcHwai8KheW0ap4iJL6beSSvqnUWN+BOMbQ4MSfeLYfPH6i
sx9wj2va4vb9wjL4vz+hfkOuw5hMCJ2/q60k5gyXfiaOmp/DzPpyCdNu0qSv950zT8/p1OgbN8S/
vLEfrLN0c0RieKywDnaFfYDfcVVsfTtUAvOzDyS4uuwlqGb10FdmvFalbHbMPfufcGdeO9G/Kkz8
N5cTNGqSxFco4SyMkUkfG4ELoaaZ9eCbxD33cfpuo7Q8elN7a3xuL81YltuQz6VktrGd8iHCoUS2
jtSD6pdD/RXPfnmzzS/f4YrbyfANxSS82KQmIVCTGegJNJLGeRgiaOAUTwTmBgw5v8P2yO6xjvpz
uVgnPw3fNNnkfcRS+1xO4IodZiLb2QKdHfZjcIKdVKKchV9Tn+HKs/Iae9H4OegFzw7FJxiBKkPY
grepLDCzcdMGDuH6JdWpvDSDzvZtulTbgnHB//4OJVYj880wp1YhlavhTBcI5EaLx70qlksSmj+V
l6sPZAmcm039pxPdIXDCM5dyrH85avTcJ+9CJBFw7B6jRzfxEWu9x7jyvaeJ3sa0gzwQpZhxKdVh
tV1fRFtRB+8os6+It+ObB/lTUnlOihVX2eB5O4Ff3V7i/P790sHsR5YKHnTRLc+6ZowUgJAkaV3b
FV63JQW2IWzIhuxIP0aN0o9G4j9YnSjfB+Bj33+//kEG6EgDk+/7MjIBHyh3RZ5PzrEzj5sJBADA
FvPKvN07f2PGGkbAB6uNul0b/zCBILdFCPaUKwOoMluBkh4I+r58Ghgb7bGyd5s2AEwXWTq4LzJJ
bu34XFgeoa+Wmx6SyN8gC05xtR4DcbHquIsPQJejfeL4xb1rmoDG+ZbyDl/fo9XcHVeE6iG0fKUq
Hzd5zmdfR+FxDFt0T7gFdDP8rNKBNOf6ErnUgSt2kVJWsI29vj8Wfg5eU7jeq51RelqWzXUsv/hN
OhuQmCwyjvgsS3EKQJ3z6QifmihF0CssTAIYfjtvro+yw48RM/HiJMLQfJAMjhKuuyv9geFt9I9B
FaHMzJA67/N3gp6SrXxGpMN9n3kVhMBQ4qgnbOdJMM72kgRXChnC6zizhTQ81dignUNvid9RIfyb
6nEtdk0CMS+JTsUUhld78qxLDDOibDCi4EdsX/z1RXnkRP03OxoYiYw8pQXC11Fxhn+cW4t4T9Hi
G0uIv5H1jDfd4iX7NUrpjEm+z4cE/bsGO9bobiDyMwycYHeuha6He7C/opuZPeFpqB4zhYddIEGt
9NkVcMQmGGi8ZsIucbG4zg2oO/QVa3qvaMgCY0KYeLQaIi9uUj3QA4Rahca3TVNKaE3wgT7IYVXK
khW2+sH5v3gDR/y78+zfUUBNS7qaJ62Cb01a4jmBFH7t+pLrRjh9FnOP8iN08JoRNykb7qguOboD
C7CH7W4zWEwJisQ70U3P4Ws5lyndNgaJOHTxZaUBUnkt3p2E5laY6uNxxhN+dWR7Kv00OUaGAoiK
M833sQsYWclvcZYH1oSvHK/ANctwzI+yu4uc2X8sJ7PnThxvzLgaM30mxjIL1iDjmr+De4J8d0WH
j/aGN5GjQxNDDNbm4jnboAqpIVmhXVnvNbcwoUWeEzyrQd5/VS5osE6Qsiv6Ru0DbWOr6jQFqpQq
ARDDHajobJIRw/EnbfgvylrNY0NLywlFPVznNaUulQeoKHF+jHHIqJvK5Tp0gcb0ebRbAOvRwqGe
yZZ1x3QaA2wL6BaEOKxLub7UpvrfS9fXHYMcP927GZG5Bh7t3oPETBUNoLpAcrnIY/8j8nJ56tRa
xlWk7snV6Z1Qi7kXtIqUPgLoymbzetfc3Nn5UcbK3nnk5Zg8BvugCeNTkPrBpdMvjsraC2/PjM8r
uU6VDRm87+VLPpOpD8VVCLe6lrW8u/kcEQ+rzB4ZnHpDllHAzwjVQwGsLq2Hnw7O2MtCivKeg21u
GByS1TFwC4cPCPNqF/tJm+3BhWFcYcwBZcR+J7G2r2QSP42NhkCRcP1r3eA9b6fllLqOOFgQWra9
yEp2goL12PUuk193VEiGYOphVIrWTw+p0qRUZXctU+gedWX+Ct+mC7YYJ8wCnPeFqF+cQBLnipjL
iFAEOBjjYxuNBSmO9qPl7Sd43T3FFK2T0IjOTlllu6hw34IKHUWGDrH6GOsc7CE+a2SR/+8lax+7
9QrAHJPh2g/XKf72DjdrnBHRpncxxgjnJXWJjE/xCiKsFGF8zJ0MXu5MRLHw+TlseLp6rz5r/wbJ
RLjBeAuiMbp9/6lklB4yEZ9kv28CgqpOSSFgacXP+YjfdgAUvuOaFSH2zc2exPxKCmMZwKfINhDi
SVH8gtyYO7cfHWQ1XxHYpgOTvuQMle0/nPIvXszAKbTDvx7zxu0oepwqGU1fCR/HT1tN5xqKoh2H
w4tWsnjsuNckOy8z1lsSJ9aL4pdeuvFf287RFzlGEOSH6LR48zvOJXX5fvFGXxHdI74Pr/Mi0cST
3MawiXnIpDgyOmn1Rz+oc0IcaCQ6jDfSg6rL4ve0RDgjg3W0D/bc3RVecgFJwlOX5SX3ZRO9F+JH
PofJur54fEKpPfKEvHRzomkGgntFe/KZdemI7vfq51ilFtG7sL3jLx7A8hkn/2dsDRfRFxxbZ/g+
PYaJE2S5Xk/i3iUgoch2OqR6cMItQDiXgY+OYvwMRdQDUTy37gWb7C9lZtIEuZrPgE8pZqkoLvEM
/mZUpYVI92Ke3ea9icYnMfXtRTnVKcxWvXywqtdOUu1EwHbvAIZg+aLFzpcdFT9Z3980icx+I0XB
IY0PE+GnXmAKS8mVo+ldR010LXfGoUUiqy3QymmIBSRTj1xdcpxyRE97Mh2i43qiARhN3jNXfRZn
EAFhsFpO6P7eWjbrnjZxse8m/RR6wW5KgHmbObplPaZHmDbPyOzHfpOTYrolLU8wFbJ0CZN9u0xh
9S/z1PtC+fBlhpGGFdsN9lMw/gcCYtiHMiL04DvXzvLfggluAua/+oD2qTbrrA0HCf+SbyC2YOWu
4756DIcVmkrXld2IcNPjdoI6I++pHqkSy/D8FpYFUyTJ3gInhoiWA1kM1kQe9VLTWsBebrsGbCFC
k7q2FK+4TIEpZxvFQ2P9lyM+XGnrIP3LAXNjat1ck9mkH8KwFc85TizXZ8KQRWBrjM00MC2PoVD6
WuYN7gVKZZKdArbNCb4Ld5B5tqFTfxVcsw9JgyElKGwOuRMuT5Wg3LFx3VKNE2xAduZztTyB3/pb
q6QBRZ2iKefYkvHZb/xBBNe88YudVhFDhQmUSpr/iPRfNXXsfcaRGxRuLmoauozLeZChTnVXXopD
3cOizpbaYeaXOwbf3U6zdO87cEjBpIur7Ymt76PTuBIeC0ecJ7LPM30Dy3OwYJ0MtXzhzW4OdQbt
Ta6fvmpxoRCU6rFmczwxtyNnhz1w04nqXzWQZxiNBac30zQ+TYKQYa2vKQ7Aje9V3UPNoPKRX0DC
qFySOIXUomzM6EaD49EjjpYe+kxWjR8iFVgwkpiIX9sboD1yRsnIc8pAhuaBAp/pEuQB4rpNuAwz
xcFhutf6EThlCfrVZ06bBowHKakkUz+b8BaHM9hbVmwfXzOtPWUE/l7QdGNF1xGH4Y6oZ7UbV/xY
v0oW+rIo3mfXNS8GQtPIZ28z+MDK7aX86VRUMUXWb6J8+kL3UXOt0xwYsmmYZ3xB8CMyAzcKujU7
pW/11o986v7wLz9zlk1fSWT/DZZ0/NBi/GxC+0gQAcOvIxGdxiA4jJN+qxUCXB4Tq5+0ZupMX8VO
aLlzLMbSNfcXlnT/YvjlXLOpLnYuChmXvPhEPeNBturZXUT20PGeFfHZjMTNMS4NYBuldcd/9zQn
GBUCZhfDxkwcQ3DH6BNRHCqcF0nXRy34N+fynicTtqMFW5nxIxBxdjccNW09Jxxs4Nip4uyx3U91
lF/Ksv8VmQlrVlKku96Mu2TXLON4ISX3A7uhdYRFAtybsCdYDTO/pgwL9w48go1pxvkwTUpdwDZB
7p+aJzMSi2y4j++Zlh8wbU/Hqcqf4gHcUUxUZnLh2dK94V9jW5G4nGtsT9Cr6YnmhQqznVcq9wbu
jDjje9311gvmbALO9biCVoezkiiHXCVX0BSQ3aV/Z/8dT0mA5zaI/uOApi5Q24snSSCHYAkGSXW3
ejAVuMcpHx35fIkSItlsw71xw+QmFxC0RV/dQ18BvXS1iys91HeXOS15BItizKDDHvBvTpx6J3Fj
cA9pfxZGTScYe929XqhTKeA1H+G0R4CUz64k0Qd1XiS+efXHCbEEfEDpR8GR/YKErcajDl7mKLRN
ZyvFP03JIFp1XGECnd+RV+1zs/yA99k+OJX3b9SvIT0GP5XPO59kkFFBx3KUzhPnOhZwL/vY5sgt
gdosVume/dTd5fmT4biABI79ZnCtU2WsiUjewiRnKk6oXpISuHgh3hXtKWydYH8zVQcAkBOwm4cH
APiRazJMV51zUNM6L2MY50nmZNTTh6fOUNITs8fD7sBIU4XoUgQ9xb20QDEOnDT2Sib2kz3Tz2Fl
cI7sFHNUlsaCClqAmlXMj9m6I2bJZDwXGV4OEhHh1lFH1hbmpqEcdiWj8f8z247hBPJwqchYh5Jh
UASP1bVWPYM6BLcqj7ON6yXu7ItKsx1W2PHp252osIjknrlyzIcIODrMk3UdXId84u4kuXwuS+E8
hsZ2r5kEd1ChujYLxovIGuS9inx5VzS07hbqFTduYr1aNcVCMCkOlLzJZ3ztmD/wMkSSADy08xQg
IMeKiXafrfbD7FVzZT02FlyAJuS6gxc7OnJCaLOHasIAxtRCHOwu7O7OYC59EfpHgeZ47Mfsoe0C
GH2pb92A/W5btz+7c5ReoOT+SeoUv1Ja3H3BxL0eeRjYCDi4mvnEjMyjTm3wd56FhFQhO48t9TN8
XrFBMh0M0yy8Ins9RKP/EXqNQDOfj3QSvk4pilZW1tuiV/S65elTTBAUYY40Y0Dp0wL1+9UXy9Nk
96Cn5iy5deQIdaSX3aJSbI8h0VXXGV69gI4Jba/FNSQ0d6GdePvwTH1qeA/wig61ri91XD2MgZ7w
ir4mMia7nNb9Scbj3vcakNyz9yuJKIs0WfSzbXAJZl18FHkBRH0O73HQYyVzqK7Q6UtR9LclTPtH
yrrok6bGpqhOg43lQBGSa+cZr09HFiMj2sgQDfejsaNToiW+zSXgLPlmEZw+pMywNhSQ8hQ4AUd+
f0RxRs2lBQPhvYwItFBelN8H/qlGIwrTlVfuvpe0jFwuP6U4qTkUl4rk/KbKsOBOBfRZTU34pqum
I/wZjkFF9qOEcgJGyb472sseC77lCVvvNq1cfAnYZ7Grpj9ca3xeU2yeBQtavueTh9CpvAs9k8Mu
G4pp69segD2bliSn4zsREk+nj0U4qW7xVzcEzSlJwghpPjkHeh0qKucPDqWDswDLcy0O87kOiTEx
bcuL8EK08QFl3j7bVhQhsnUMg+KY3Jvl/lZJ0F3E5DG24K1FmfSQ4zgeteGReugza/SBU889oiiz
bOflwRahS4o7/qWm8TqltfrPaiJEY+shjnJsGGn9SLrR3lKlCudbUzTEiQhkdFRfHLsddlzti+3S
hjtRm77eRHUvLt/Lvls7/jZ3plcnbH82HCzvdeBxI9Fjs/9tDaq92q+x6bv95EfQMyHQ3ZzcusUq
7Z/F+mJEhjEMlQ4n0jkn6CPiimEOKbdNUhP2gDlASow1j1vKzOem+h17pb7nEeDDJZLnJODmbpzP
OidKQU9ht++sNL0xid3UE+eWTtPOkjAyEWQLYUCNy9pIluI/8mK0G4KmR10MC9hA51HS5HXhe3wU
ap4fDLaeh1aW5X7OEUNsD34Q6srNNdFPxves3t54n6FngS3Pzq1NQ42Eo71zDEFDHG3N1owxSJ16
vrHFnrO+BI43qoFObW+6BoaUSCGZMtReQh+sQxO771z6foF+hrebiP6V0eSf3mT9xSdnRTBIfg2a
UtO6cH+GuCMziFlqZgdtfG5oHE5pfgtIBcPdO1HzOuJSK/a5K5+btM1OVRX8INCRHAP6HNxaYpOw
K7QCyiB+ND4AuoGrTYPY4mFsi6ntnZxdz1EU04W7wb0pH3RMgdQi3LvLUSdBhIxrQ3aYQhUbVjXf
erAcWyf5cDWeUwS7U9dNVJw4GJ9SDg31QLce1kN+lJHP0xWwQoyaGHwujevfRKK4xPXJV9VE+V4Q
bd6WXKMYdwrvQgmHv8/E+NpZGXcSlGCeFxIEpSA1sNQ2EfbO3IFI+Ou45RLmpj/30I/uTmrnB1HH
//tZv39gkTfqPqV8DGbYzOBGCSis38H3Syp66HnS12+qJX6auZRakBZniBWx5QRDc6CpZHq0mrVL
a2hZqaN6fpgFKIFphq/+/eWwfnKsIBnYtlcT7vrlPBFdxmq/pf0J9NVIlX1jLcVh7kPm+VYIlt1N
RbN3MVGZLg1ulkcgUE3VyeIQeFya6qMrIakAccSLI+17nv/ps9KC7Nhy+h/MR5souRsciHvNjB2A
T/2bY6KTMGTClhz4gqFeelvT4j6tKyAFY8/SZk4SMOuldG+5DaRec7/AvjAt07au6uVBlKLYMjgb
j/ZMkLeyIfh2dYMu7IDTlo3aqtrck6RsD5oJGgVSqrp7XkpsNCB7Fy/ujXk9U5nZdGQfoHbUDUq/
VQB+D527rDhxVXFEiJyDgnEi/SIA72Gtg4pGUvJgcy8rrcS+K400APzuGnNvvMrkFA5Wtqd6jDN1
RutvrqH68knYTorohGXPLRsYZrMmQZY24fLCm/MeAkM7GYvmOr/iw+OU467m7zgMuEe3pxG6EP3R
c7y32lI/BuzyeLDqnZas1QUsADjXgJijkFNeZLVXV/Q0MJDoDuingY0k6kPESGATRMXvPKCMz5J1
dPcDnNnCtjGJ1cxN+uZCKdgv/DJP0yDrXZ/g+G4BhAx0Ej8VnOY4bNFwIlP91Mepx/SuKV+x/nen
2a7+mM56xlvsHGTB5gkHXuKxMxeBn/tlWtuTcyHuSjUPNNYcRt236MjOfMAudgq8/m+eRv07FCk2
03kqdqNAW4N1HJ+k3yGlRvrDJ7y2lU1EOVZOlXi/9kpk+Kh2+Mc5cgYTl+6pHK+pQwdi37IuM77c
pqtyHw4SjVrEQKYMBxjffc58LiMpvSAXw77J1AWIukLvyhooGD6h6GPqvaKaBK+B09jHwNTUWfK/
BDDkdYdIzOucynVOvvb/mcY3R2dJXuZJwrwrw/pNY5kgMNTiuHkoXVk813mRbUioxcfvnWjktkR7
oKISLf+rovllOmfAam4koHajxvztl7Kn+Ow1MpQ74mUcAyaDzc+qMIfKw9HA4OgcU3x1DIh/FKNY
bhaT1qiLHorhv3CJLzFDgF0umx9BCY9K6vfaxwNRyISaiyG7Af97iDjwb3LA9CnIP3d93uSKJYzq
7ggs/S9IqvqQzdWVDH67m4nm7AZUxip8zSZGB7mk1TbZwTv4jFiCdppOgM0SPTS58bZ+O/03i/TX
BKiR/BKe4t5t/3H6eqYNnduzCXNYY8tKr/ZxeM8VBgf72sZDcbYVQxTFiaIn9nVJs4+cMoI7H4qN
0+DRL1qfp9dmUxi74McorYnylIkTiyWouHW6C2SWQ0Ml+UW1zpk4JQSePM33qlTYDymyC3KGLZmP
9EDCDIRCllv7kSbPEVmYlYWuwDmCUNksPBTk3M/uRMt0uKomvfgid7lhO2BLo6SV8r1ix3GcAzj+
V5PMT2VG4xpX7w8n76CLZjluSqZm246aMsIUwK+t0R22fo+xNWGFTWv72TblQ0LLRFQyDiWPUB5C
3JXrRm2vae8exoGHnl9I8pdB5eLFjC3g6Vwea0CYWaAOOgEUxJOg0RjGVcJ8cgp6HjiDzNuZUrtN
DLzFWZUAa5mudTP+0RNedFkV0OgjrZ+Qu15roxY2LQMDycZzBQ7qp4545DsGodiT+TSz1EcmfhsH
N7rXuBhwCjPnbyhQcdy4vsWsiZkCHuo2JScHTbPrhNjbeXiPhIdBhlKCk5tG3r72OF+4zsbqMI/N
AeTI1h5udoGHiefmPIXu16hoo44kCFHwHM0xGeHNBwQmPWzVOOwenGCtUwyAJC2kSMnNxt2R4Ut+
ivTAfNhnJthWu3YJTm3lkjEFxnJzur8YKTg1Bs86JX2nfVpyCgI3saJPxnamPxzASqqQegb3TXWc
4H/gaXF58DHWlfDSAbXrF3rPDZlfF1PQUQzUKzCp2HFo/jPaJCc4HXobD6Lc5HH0T2DzorD89Cqm
HB0WTmidUYMbOuR3KgFcGqS/OgUkEWi2sD52UGOxWKlTRjv3+oFXG4wYRN96H3p3ZRGDojbsmOKW
nZv8KHxBE0oPj4WmqL1Rdnxepii+fjqWTbfxHD955FNhji0fliW9M7yTl8azqBwAphm2yHvGw9Vs
gt+Azp19VnC8n5lotRYxTY8kE9cYzIpeHoF8YCdpBOqGIj1lF4QmLEEmOK/SP9GCsXDuzWeu6SLG
1Zfug5nOYzLcB7z3+GX8Dw6qzbZZPfhxQMXYWP31JyIN4hpP5Ks68sWHRM8/HR/FJ7Il0HQ/JmhX
fo6sHBBmyLCAHtkSUgxIHnObdyMyv7F6QU1Od9RQ0yOwxG9YkPCfE+cyC1Xurlz9p9ZV9uRoy2LE
PSJOw0gFPd4GBhQO8yp7goU5ogUGL3iq1yJYikOtmYkaeVTmnJw1Q9WExEskwg4xAw6L8gRw9D++
+98MoJsH/A70XHvexddrtzl63YLzglQeLvaU5quZ+Nb6EKl9aHp8S8w7p4mjltMxcdKYCsH9qzeK
OYad45T+3rEkvqPF4IxIV65ctchL4L7TaAqczOrsLwfHQoExYZOplijbBVoxOM1+uYdN+GJjPntc
wjY9x8r/B7eI59qr9b4yAXfkkG5iOseePf63YKvYgDL7hQaf9kPhLau73wxTiWFkLy0FGJtumMN9
5CZvg0OkEU+JtQ4Dtrh8pid0OdJxBWg4PM3ncuX/yPWlNt15dqvi5GIMYqCZ7DAn/HPDc2aY+Qct
48K8x7CsiF71ZMmF+X8cnVdz20q3RH8RqpAG4ZUkmEXl5BeUJUsYZGAG+defhfPiW9efjy1RJGZ2
7+7VhEVYqlQN8kyMTMCQwDbR8MGO2Ul/7J3sV5kzPgCy+SW79113HOi2obzZw+lIM4DuGVWrpPzT
GPkRZkdKUGB8mfAYbOOGUUrN/TcMmh8fyyHezOGBZfNJw7TatktAsVGp9v0cllddlO+yINxTlTNZ
wQrteK7sH2uuSHra/1ox+YT1+v24UrpKv5XnFPRkjVR/Dnsen+DZUs4LlxtsodoDp2R6rWDFFiN8
3saP74pavnFv5LTyQvta1envaJA0aaT7uF5ALTpbDk4K3IUZLSf3b2/cLhZ7lfOAb6fhkKy2t2xA
c+SP4qvoZY3BWxxoVnop5nzfDcGFru3uRHcLLz2RU0eunyeYdWGj8zvHk5Q8lYJIDSQksmsdBjCP
7fSm1riH/BCSzVgk+0n0mnucDWbK0A9Br06hyq07KgzYlMJLq0ZmcaO0M34LbqBu1L9ymX7sdgJJ
YjkoHE2ZHz08zbPynG0dNs3OnfFWjkv8IvqfAjlqA/CLcgo5HbxWL+dRw/jv+ce56U4tEp6oT3kn
7oRcyWNEC3ay/nahsl47uU9gaQeIhQ9Y0KNAmjYrOD4NfZj7jw774LuwJFDrvUJqdY+uSXkhCfEF
ugI6RKxZuBl0eyN+YtLMCQzPIYp8hrCzW9bhzhD2i1Zi3fl7R26FzY4wMdbuvnyL5cA60zfe9WRU
R/fbDHVy1Kr1dwM5IBZP4jWsfwvTueKGh5lJpn87sgqwKrVH2MTQDOkSZk3MPsobn4dh+tSCj2WM
3B6BWCpOc6d3Y61pUW6emMabiIoBVqo9raDFfOpudhP/NvpJezk7DcmnwPTd7liH06HCm7fPvfHT
FvFLaSwnuurWKtaeWC19QlGVy7eAjjzyQKqiuNxvr0M8R2UId9HGTicdTB61ZO8e6pbKuHqR5856
STs+xkM8Gie9Gt3cpLtjsofXVFsYoGz+XrAjNAXYHzSvnnnNtqXqqCom4ueBiqQDrIQcgleHTyDF
yCYo5B5kp9WmKH0i/VdZjkmVevH4/xpqvagrvg+jMd54u+Vn2/0rTRzRjHbP7iiRnQOveuIhuM3N
LmEU5Zg08K7gQjSibmSfn5b3FGi520xqZ6sUUHfXdnaFWzh7HIoSIFiw8XQgjpktExZnMOJnYvOY
UBHV0XuiXOF2sipCwCXaFGHUjAo1UCB3BRs7QZZuGtvfIAjDY5ER0OUVY/NPVTUKnPUvI3eexNNH
XUzTLuuHf1aA1shi/2CP+QPtQS8VC+CtCYdi44uJq6hlPSwN1ANkdEKVaxCxLccg0jSNbvgpT2QK
ccSaVvq7nkp7m/zxTgsGWVMQjMEYiY2EZtaIy7MNGr//7mmaT/LO45OkwVX0tnsA9XTqPXHRTGIH
M2+3orfZdsSFQsrgXd5w5G7yAqfPOitBK11fZ8lxBGUCId+jPKK/VHLmil2UzrnDOVIochai58EU
CtgdPlA+iLP0RKHcEuRDF3lPPRhPavkfv9DgoZXDudPunluyPoYtPZVJDIlFB/5VIXyfUHpOtoY5
2grkCiJ85a1ymoPfGRlfg2NdMW3tCtLhqyZBSMzQx7TkUeeA0QEj0J672XrJnVNo1kSBrPCQTrb3
2HGzO9oSUgiLb79ysbIbAHV4z/BSivTap599BtRQ+3eYmEfcEea0XdGsQu9bFUoaYXMYxwgy1y60
35wKnHSIz31KVXUtp3cTGvi9pibnhJ3+w0X/OBVZuE2vRAJjeomSeWdKDjSr5bbu4npeuBoeOVdQ
Ngb7wY6tjU2VBdxuc6NdScqWGxpxpupYW0ZyaV1XRKnBpMKwah4zA62yXOS2XSF3ddX9sQtMi9dh
rg8DmEGkrBDp2kb+qH2jupm1qm7efma9KSnNvocS2G9auAYAbekvjHnE4QoCVah77lR1Yh4BOUyb
DnoXUCgRbEy7MS7dVN8GCd0Lsu8NXu4fWcPYquk+mLrUoUKPtbg50QjtG7SGutSLDpILPjqvPpKt
mTiqMcrFk4I05dPU/T/6L6fWtQQFderWeMJq78ZmRvv7QHdSX+I18kpu+4HXiEMZvGAC4fUxgK4v
sOuL2jrPyK5RQqXIOHgY+mQelTXboQZii9mM+RWG3oblkXtOhHLB/En6zV198deMNez/yMvaDjt4
8G6oaT/sOBKooPXWFl7wBK3uOXxZzWHtHSI703xaLHL5TZU8GaJVOCjTq4PE03EVua+XpzANph04
1XpvMVpadSk2oVrUgzkl45FyA5aGVDb0A01Ada35sGLHUgFm0XENK7M+qY6UzPh4R414b5t+d2/p
EsNySm+bnKkfbfukRLTri23v/AE8QJeoLlmXdcEzajI6PrB9vpogiPhGfogRuZg61il37QPIBPfu
2QbKzR5oG2sFv3oKez7I4hBgtZsqE4Re0XenuJYM9QTKAtHD+3VZY/n1s10E4oz2LoD3TjQVIaUl
rovgotdbIzYk5F2lDpZBNbVOeE+1Q78uMHK61Wqu28O8GI8xdYwb/088m6xLMwFDlmSY4cJL8F78
Gj+p9hBUuDMbS5i/YIa+mD41607YfFmahWIPqP7e3Q0VXmvu+d+Zp04YGGByW/206wdQScqp7zAF
1Vur/xEZc3QPDWWTFBQG5d4xXhGTbUYcoCQATorDzL2XIE+nfW/9Y9g8k2YKjuWc7XBzdqe0hkuf
xHuvkvVH5ngnPWBN7pAd0UgDshEU5GUFc3lrxs/LOgoWyYjZnYL7Q2YaiDQhjqYAuQYvbx5+2jEz
fTvvOpgtlFvLoyPM5YkLOZls29MsDcY303m2LHg7tWG8Uyes7sCVblufVcFcEDwwCEulqxuwZGHc
GglL4URWn3DXuy13uiC2lxO+Ohh7zIrc7/NPDpTgUkyFd/Z4Vlcuvo6lIX+NdWGnebh8dksczbnP
zlViAGgztziTIb7UhUqwB3Hp71kT1l2zCvcuXkt/8A+Jpj/BNL3zAn1rmq3m3GeCLpJ1mdGyFpxa
jaMxhuo6GBNPtMXFYW0SF0OmjzTxbpBLMC/o5UIGxaa7q1btiKNj0zfqBajccjcSD4gXzLZ44J+d
nMbMhW3FLMefxszeXcd1Tt0wv8vUvuSNG98K5yUsfHrlcxObjs40kebw5IBfZTKri2ujarJ2vP1R
X+wwWvLiLhyt+QGC9J+gDnyar/7mAMj58S3dE7b0q52EcTQGjJEqJC8pxID7ZtUci0adSyBGrCXA
2skGNtBG/lbENK/pBOnNdH4zgzOjyZl3bK5/53HxoakHJeEfz+suLQnLyOF/3vdD7h9wsTAPtlCF
ICjxGTGvmTvee048kIQPzavAWLnDz8lB0Q5RQc4LmtH7FDb5fswF4nSoAAD4OZlEM8RPAca9ajgi
ehb2m1mVQB4xUkIL33WtBK9W1M7Oq9k+K7OrtukKGVFNTfrZo2O9rdjDBLJjVkmefMA8XPnWPTjH
K00+dHUkjY5amIJRbVYfJrucY2qTtfVDwjjYyYzdOCzpJS46JLXAtl60bG+dms8I6+NrrSkTn+ty
bxa4rvJ5mZ5441wN4RxkiIhk+dZwneaBeeXgt28qbOqvOqFpIabOYUH2PSTh4N1pByLT4Ez3CTVy
Z0K/sAPkRgdm/1QGErLR5Lqbmsk9CdBJMfCRoPZpVk29t0DIbbM2S2LdvccRzc8z9suo9mgFGfV0
V5m8Zr53qUIrfG1bUMj4joDLI/0AZblHd6PZSyTHHk/qrqq8veF+LD3ZH4petqAk6FTKcdOYtVFQ
bd+lKyr2r5G6165v1WkCE3gKe+cEwA6iBCVGW1aHtsgEbkmVnBoT2ToWKjj2lf+YUUHMt9C3J7aD
npsmn511MAyn/DBjKzwz3/6EnvvQwrJ7qd0u8uLWxmhu5nsrKw+Y/GCPCkFt52i3/H4xAo0MzQsJ
NVSaQAXXtuuea8ceN1NDF0VR+28VE1AUhOPfZlywjuIKmWiLPDXtlz0OSMFjWVwQh6KhcvQJMcO5
jHnwA2Qe/2Y4PTU14JPCeHctGqy8QJ3j1o93uWZFC+2bbLtHjpL19zGfca9p8Av0sQc8HCYMZFzO
JAG9eImW9M0NOv9Rrn5lbkgZIQ8i+yVIzF4VAUB6fYNt/G/qe2djLONfJ2QbM2ovZfleHYekek3J
2dPfyrpXDpGTY4gL3Vw9xVATnkzNhCmc21z0Dp/kPnvFxcvBJTCvAyXB1xjeSFZtFxAAd2op7n2D
lgWUrqf/fzGU/pdrRi/KXTA4cZum1Z3FfNN/5JTZ77MAAb8ryIXEVlrdMB6WO7KrkC5dDckKzxw2
yfo8yGoP1RKmI5CDextJ9UbFEnhwSUtdKNjZqMVEV8ss7FxNBzU2pByr+7U7tlO5TxdNSJZxbPQH
V2kdOTwUsE7xFseQt3ATC9VBFx4YgBpTOOrq11SxdWJp4W0d6quCOr2xZWdLx20+Mss8xqjhxnc2
QMylK4w9TIpDaK0mGog50RyvbaWTS+HtgF09KBK9UmXKc94OVDbHa89eMiV7261/mjapANN3axeW
ds6pnlc6E6NUG1FGYZ/rmJ8QBcfQGFhHmyheie5wKtR9v8cZSAQlIMMm47x5hOl1CCv7kxmzg5rl
zafwwZDLM3cMhLGkBOxLmQhvfC46jaBsiEa7Jk2NveN4n2F/16QAZ6eJr72oLGZ4r17nd79nPUar
SiyaXVLyTp54fc+h9V4X6XRw1fDeAW8aSVlxpPNgbgXqueV2F2OkRmqxBRMtpGDEFa6Fcn3/1yO8
K65qbujsORD0oxwE82IGSxq9YUf8wXvm8IECYTXHdLVza8Yh1F68lNijvKhsV9FgsYYN3fRZhN1Y
7ItE/dOVf3Npkn6AQ7oFZtopKZ7MXrX3I26seom/C9LOBxH07qadJvvgQTvl3jbC5rNtEscN2TJQ
xZkn7obQF+/OkpoHx0j9aO4QJHwCxgec2mB1bXAYDAXbnCITTHrNJ75X60EG8QvWaPfIIAu6ca7m
d079B3Yq55hoJBMn+HCjBNsBcmfyKAII/njt8tjG/kGqCTaW4zN5U99yn8qS+p5WJFGfONTvtux1
Eid/HD1eOL72szQErG9zZv2QnpqwNSGrq/wR6w6cjFGnh2YMsXw1kOy99T/ES4iOcWzH+DJb5gU+
UohBwr54anBPgTEQWdY+m7bRf2yM0tzWmNOgkbXLLRWw+bnPpZEWkcf/PelCvxcLgcZBUxpYLsX3
yos8W01r3JOPBrpmFS64zg7LARGxrfAcew83la22deMWltz7lVXvS6qi2DyzoF7J2kNAMFk5PIdC
3/0btNTD2av/VcmF8dMJxwd3/YV+BHQL+4nWqoLWDBVQVJ8l6gwM8L6xF4SEQiYMLDPbBtBEew35
8jglwb5bswmL3Zsn6Zo4kDLtbFq3oUiDPIuLGwHnW8AHJaT/E4RBy02E5excowl7wwhBNz6qZG2W
NG36M5wmO5oD4nHLuab64NnyObjq7tAy0p18w9fnymgxjaU4SPCXzpf/f7Hpg99wGxFkUPCWSSwn
a0abV2jyt/9Lwrlic2pjjo1c3wlh1zHEJk5W7eIC7HfxXnBbhmnlcP+zWErwc5x2ofT0Ji6GYeMD
umRNmb/TWg9upvi3hIoEECPUQ8KpCjNq7eRlYiCCtrelrR+pk8aZ10Fr7HgbMlbaL5liBAOSCSaN
Dqm4RHnwTqRBDogt7WPXlv2No2VHCZJ5NYLSui4hylGRVwcIK8yO96ZsFbYkkjsESQ9hNg38YOPy
OSRoSd01JTSWY5GAa+q948O7S/VS32rLorVMhcWVFOhlRti4+eUzfXTjO7typpR2gB+Y5bcuGeVh
pvqLehICZ0FjdriRErV1GlB8ar5Ii8tPBqFtnJ6h/cT/qNI9YglfITyQSSzQj8SHuG+aE4+qaklP
ufdVJtq9qCzZ147FNNw6eGonxKTiNyvm6pYxGl7g+hwqEq7XWRf/wKzgQrR4A/FFU99aZjhR3HCb
KfU8AJrOtopUlQkulos+qUOxkCeiB4KEFKfr1gh49rR0ABEG6oAqrL8EM20aLlg9RLpc5M69moov
I/xTODkdx0tTPMmguS2zfg7iKX8RFpAJ0+ehNIV4ywwY+goX4GF02sfFK6ybgOiB7g5Vcymzc0Df
H2+zGLJ4CDfe6/Jdnel7QnM/6LVsFWfy/WuawrIppg/UGudK8mudLc1pMJ+6Gc/+Ip0dKFbcWMP0
xcDnXGkiZRu2tmbkTj0eZrFgSfTVhQeVczb0bSIsRVN19lobzXJa1v/PtcZPq6x50mXGv4p8yJG1
lONgaAJ3+UcHI6XAQfmVFIHHeroPjuHYv3q46h4LFrfMWN9xqs8CFs3OQJI7ODPNaZZ7qlOHq2wN
rK+PdRu1GDNy0DBQ7KGOlmPPRR0Oz8xxvHUMwyINA/rCS4NooViL7bxtX3C4fPhsENRs4ecH+bLr
O0uBXZlerD7RWCXZ2uoQPbaX7HVopk32lXW2YloC5AidXThgw7yWlUQaID7SXWMfK18gP9FOAtjn
iEPV32IxvrC8SLaNCqwIS9wlm8Pi3i15GXtEpKUgTQaRMGV7QyY7KdNTWZWRKBDfSml6B20m/dYk
C8Dfx4MoIzY2B2utOVhBJNnXyYReb3T4ULGuRilAI4fN+0sytQnQ1xoAdV/+AlfB/UVVC3aKZktF
B7B/Q3rXgTycrXCB/x+mCXPFtaCAcEAaH+Uzmcj4kxm/+TXbLSAY57BaYVFYQ5bMJR4IU4edxV+j
BR411733gj8OZh7sbMuwJW22e1927FQVYe1xwjXehl/uwIRHwO4Oghpzc8CqM/5gDL7PBMI84+5Z
yhjgwPLeOMZrzX9LA4T1u6T0N48hvZH5QO1NV65CdDrvett/LJE/b/kIprl6MCCkHXCNkpCSk8fx
vRYPzeyGGgS2Sb5kg9egk1CIEaQ1WABymrUAMpnb2jq44fJrmnF66lnDYvPzcFUS2ijnz9bjSdE5
8KesFNOdORD+IrTOknKltXb939BMcaDLhnWNHFm/9OLmZ/MbeYzg3vXLDGdavRaDZAfPdM5tpe76
jEoTiT7vt/Qs28k3/CHGcjTCLevBq+IT49L5xJFgQLzRggt1OOzTbtWpbUU5OLbmdW9JLNXe92Y4
bps1m3M3M8my/7LNDfIZPid9mVi87sa4vzN7HLpBqb9sAJM6W7+lnrHUJffAx+DUuPgwJy6/Ywfr
uqNUuva64OJ64j1TfXxihgYbycw5OlNy8UpWBoK3x8FAXFhqn+o2iwxD4xC3txTpT5fP7H4U3jvO
WudaTba1y/EbNMK5xrIuHrBnkcXxBKnPsdsslcUQRO1SbOG915J5EYSBsU0T79XtnOlIo5puRuIW
mNFq1/6eW2RVB2J3HPTWhfqgl6HhbpJf+3rIWA0Lcn+aEi+bcj8XHY5IkIyWRul9VGceecyKsCEY
yxiGtdkVyAa65VoPBxsLDjte4hjrNYHIHP/MGjPCXMiie6jhuLu0klMDDsrDYnUzrqsBCLbT3UQ8
uMldWApFPbN+WYpnsZQGN4z2mQ5ZOmdDhuhEfTtx/1QEj3PToo3mLPJxk3BJcnd2MZsIAWG3D6j+
Ps5triKTCg0eZg+4TaqDrtvnPjfcmz+b1oGjYt+Qz9hZa5NH1nIt5kaPrMr+3tbgrMtRbgOfbF8w
0OPWr1gx2wRzcmt7aDdQ1LsNXlFsjrOnHx2BEuzomy1Vdl9RqRA8z5z9lxkZDHvCUB5y3wqj1sSM
X0GzOmBmnOAHjmJXlbAALRNIVEwdFsvSteCcAqAFfALb1TldXRO0Qa4IFs0eapnHB/aJ+HXihS8c
iTBxN904exdhEwNEolJvpEC7Grk7pBggKunNA8uagdpo2WGbpuHvjKH76gdVHzy0oSbxCN52i94K
gr2pXDYm3bFtp/7yLwrII8G3WjqKf6zmYmb6l5XqtCtUz9ji4lm2VvtN9e6Utbz1Mj0BB33h9cZY
kbRRxfd0yvxxj+vwYAyD+bLixTVCfyQszgFVd9kxL9LrbI6v0qaYvo65DsqeCZ5Cq/lPlfaPS2L3
kQ80iMIb1uEu6dFD8RWWdJvbLuuNTuIMBdR1GxqLFTkihP7XTVV4NMLW3Woa0MP8D5DT9963P3os
sxOPp908oyyLGOMvTQ1kKKPZEhjWdbKDk0ZzMrVUjaYgoVHght0i3MmOzoXeWxdwPG12cYAZyrA/
mbKZ6VhXOCa518C1oTLWrrhWDuuHTBuvlEg9pU6fbhJ2W6chph1usY0zeioaL6LUllcMuMcy3fKU
ChKF8axGRV1ZCypgMyJc0E8V/cTHxMyw1+mD203DvYcNeEeHTbV3AVNdcAdFvYH7AtpM5CSEhYdV
yEvI7bWshGetDlPDakb2De4VoJ/PhVVXW1/kWDuGodgzeZh7MatsC5Tp6EwjHIlsavFigHTicDr1
sw0JBeMSm4zfLOZWWne00ZUiXbkeHCtOTYKBd8l920DXmWMSa9UAzKvBmC9zZ34xQyR0Vp4hAPo7
D6HxDZgMbz2X3jhwsYfBpn43Yd90KDye8oiar6y3aKoL3O7UAl14wm7YcjeoKRKliGuTAn64YR3B
GaSQtlEuxmcpjEtMMPBUedO9TQyZQDCncueU7IlDj9xHIc+LEhAM5NdCF0BeorgJMJ6sh4anPkE1
EQgy+FdepyHFKtAspJFUxzdXFONNQKN4tEdxN1YVauk4gAoZ2ksT9/9mAzYDVx9v4+IuSjoEabcJ
cVeP43TCKdvsfCqfki2fVveu8MR3il0v1+j6zGHJKY3zM7Gw9kTumkiicAk+zz+uRNyceGgTf6C8
h6KthB4Xky4sk4N/6hoWb6wd9n5jfntchx8t8uuQ9en7NmRn7Qzhlqfc7Oe9SspmX5RTeGK+FWtA
hUtlEMzHOkm5Z3Tdq5DARXjfmV44fEhibmci9WRNYn3o2qB4JI5DNsEN/jIlfAYSq4dJdP1qlAT9
HFM/++YKdXMd8n0FEE94Erox8xMOM3USCVvhBgjYBuPdPTsw0moB6SBYZDB3eSMZjmSlUZrMlb44
eZbVPNGmjnPFQiKKc3Ly1ryQ9kFkj9o6eFrc+cvzxOew4PNQYsQnXHXnaSwETGxq3svUjTxcrzWx
pY0zqN9YlO8jm+bjZJX3vpmyLmht9H2VvsOxN6AKRNmTnqoxmmsotoI3WAbJBhHBTne2/NIjz4XW
5IAzZ+Yisw5Yn438ga4DJybf59TAPdN1PxjMNkuXmFgtqLN33XIGJZA/hHl3FB7X49BJ+c87kgm8
6SQm/m2HE41ZvZmi2MNIj+wA8nEDpaaAXtEd81B9sl7eEaPD6xHmH1VrbB01681kz+ZbMfL18aY5
5PHBDHDMTmzMPmUV37mmvHqyD3dwYrnouJl3BxOzOuSz/jWXqyis8Q7f/U2mjXNohpSjgfC8Wrzy
GxMSURjtUQTYotLHncghkqXBRk4diqAgHkvNHNtGIN1XQpBbrw28x3EwMLV65Fs6INOH0TMIfKqC
GGrItRILNuSgtDZZhfAcqHw2IAoJkGuLXtHbHL5BYDxzMbnzfHAEo2nxeDdUwbogIbAzeUB+4nzY
mjHhFgBF71PccvQ0kGWM5XuRn64z7J3AVLeMf3/rhNYHZQBxkZpPgSG/DSxOC3WdG0Z0vYfA8d4U
jXzp6uqvgFJQOTOagrL3JI7wIAM43WvXqR6DrsIkMZr3gr9oS9kRQI/Af+te0glfDgM05iepHovS
Tn/ikdmjEqxI0v5brQohssqTMJzX0VY3t83Z8AkmhzQteubw5CprOFv//0I5e7iNezohW2g/paz3
8RJT7zWpBAh8JY4m+wz87OaxzmjUZr+IsY0HlSwMhNS265nH1M1Pq+65bBy+2dklD5mIfaOfy7Ka
D2oCyBizAz30dYnCLVAfduiePBc7hKuK2gxwE29QNaHUwMVBOFzxAWBjMc5/Bj14b50774tsImX7
XjRTRApMaczaF9g6yOnS/Qpilr/N6D1XXfU3TWxMBEb7krLWAWvTswDyW+foT28I8Xd9EB8JBLFS
f/KCQ2KP5rGN9UvK7nbj6/zjriWk8KhD7w8fgP2UBn8wfr7PVdkjMjbnuPffE4+HmFGvfUte/sNf
Xu49x1ibDaSznxkBobu+J0oQtVEslrhq7LrV59ZuU+pJNuQpzyniahXsTZeRyWmagO0YxqEkXuAG
rL+QamRl7XzJ2pujwm/eGGm93ThSHsN+YMsjaLhhESo3FOXdGpdIrmtZ2xHe186VT1NoAYNbLHxh
JI/RIuJdAj4knQbMNN1PbIHAWrIA9Q8ASlQw57O+h6O/9Ej2yPl9E588P4g6J7APuUyfPYA/gQfH
w6d2FlVZbhyCdDMMQw7tgjW0JGabaBlpv2wi6DIDwccZ3VzKm+Vx23GHF9pv1qCmdqJU8LTovG+b
BgQ5sVZwXbyZg4GuX3UxLDDPPXeJwN46JMTIkudloD3PvwZtFTCW1fDnh/SAuPKj6C7do3VR48TK
m+K8o56AWHQCn70JE5cOIp+bGHh/U3wIaOL1SLceIxY+rr5+Hwfrlb4PaQ5szhO8BTHY0Zrf5GQ+
Bx1EW75N/M89FJvReMhFnO18JLANykJKzANEZcAoRKNf/pHH2GvH3j/PyXBW5PPDUqf7coHyk5S8
t12n7/aY0H7LseBonLCUZMMdpbm8ldjQbEab9tQWjS6S1eyzm8d6kyGcukogmijCur2FtawBSp40
WEiLXN17esDfQm3sLmc4ifS8rJo/EmbhTQRy6NRdbCARU109j5Zb7jIm0x1i1Flz7vCHao+qoerP
ONMjYHLC9FUCjlL8DtDLjl2AFTUhbwD++r2tGEZSs3e3uBSIDXl4GXZt7mK0fSqkxV4+oN5Hy+Fx
tMb+4JJa2Gam9UELhn3N6TxrlZi2HV7dDa02sTOwz2S3C8iFIbz1v2nfZhhZsUeQoRgm7XnZa5OG
ijmkhMQRxWPY+3/8wVi29Hu/NCmDSj/5h2lxykOZlyjWYG+ofGVmiGdndYJZkYt0u2vXlLq/yEfU
DSZr2gEVAa9yLX3umQNGRj94jQKzafwii/KlUg5ugbZjlmicv+VCVjEVddSH/j1MtQOboZP1BaGs
ggng5nsUVLmbxAHnUkLFRL32D7TXIjHfmZpArAfraTXxcbRjqD4OQkMXJUJQXN/9reVy84R1GxLf
39GhCXAoZP4ih7Dt44/Msu7yZKnB3H64pM4idhVPkG2ftbAhubvzDoQ49a0NRD8uo26fdycDdMYc
TLdpEMhn8zE0EO65Sowbn7UsQ+pxmPJDYBpvVRVMB0BA75ZS72JINwgKe7eksEr5zZ1tcyXnFU8i
0+a1RXSA1+2NVMwP/oNy6PDyZwsXMe6fMKs+unI8V+LFyCsnajFh8mfbT0izFEWvfaW3tsKwRO/L
bhrLs1ck2YZCGLSNvczdb7xEUojHIl4hTEj7dpNvQjhNArJOUV0VhArhUZZu9mZ7kholhSv7Hb5a
2ECbPB5xkOBpT6kTiJTJra0riUBwD13CtfRo/HA6648LPP5E6hN01HRJEj4+6Tz9KwoGsUDnt0LO
2/x1VZVWVsKOts3PGTndmFLAYTFoVxYgb4z5b328EfNXaPbOwZ+ze5ul7kZYM9Wuo2PgP9kVD1WG
WbdsONbGmutC8G3lZnUpxpAdYSCjNXe/EW4/7a0KP6CV6FvMUrjhibMFasgGIsdO2SXLfTke3T4M
96rx7SMkPXPfxrh/c+r/WPTO6TnMtP0ALYr4bDiahAcCvv7kj8IOecBMujpZyvC+j8VdCSbpWNAC
dCRufm1Nqi7KBH/XnDbXYOFFnjV0R/SGFZ1MESoaxZ7FQUmCro3AP/GYkAYfNt5r+wH53KaMlQkS
IwLdEgvgK7IWqvXu8nAoMcmT3OW32aO1j32Oi7acQOWoGg7ixAJj4zWk1YkQnAjeuvRx2/rKxPLq
VlV9JbX/2ig2FGsWGbdzNJqXhtTygT6I36wpX2wfnYKf5Hnw6tc5ltkqyCoUgairPBdItY6prJp4
mHVzNPnza6B5ntD1m+2R1vM9nxYyQ6DQd5YzPw1O8/o/5MzjgsbzrMIssZLOQDfV+1QhpIwZAMrR
sr8Uxt9tCQ7mZg9BzNM4UayEue5LxzYOMqe9pMWBHQEmvmAxmyOoiZt+LgWJGpQxfkJbZjb97ayX
d2giRIks67k1sDlkIfZvA/wd2O4HYqc/OrD9A6tiMmHJj5FI+rnFUK87NDoUmvJntBJg0C14VR52
4TGV9rNZUStSMXUNbTwdZ6SFjns2b8CMvGBIRjfBXHkap6A7j6P5a6J2cN1hbKeD662YQ/tiFB3G
u3A7iXQ5U1P3r01t9pWE7g1gTNMELyJITESgcz4rte3MitsZKCefEIVpupGuiTkis81H03HvzHFu
7kIAJ71dcMxZqf8QsB57kJXxp0n6gaK2sbzXGS7sTO5SjE8oX+p7UcgQaVuKM1idtQAWb50OnWrf
IehsuyX5y3vzxA1kOFZFfk2amh0lMMqIxSsx2QUTTTvVnGJ2mzKar2Y+8FlsK2fA2XY3XPxJvY9g
Bvdh4yFxdc3LyPG19aW7mam137REKsnTZ/KSwlctBB4rVZ8sSFn/UXVey5Eq0bb9IiLwCa/lvZPX
C9Fqg/eQJHz9GdSOe0+cF0JVJXVLVUCuXGvOMdcaGSTmQFg04+JahuHOCkKo1yjDeseGDKa0f5EZ
mLSGXHNnTPB6J/bBS4t03yV2huzMUDA7D+3IgpvTIIrBe04mYfQV+r1Eo72J1F6Z2slBxWwZeGxg
4qIHCZnHURMd6KdVp8wSpJ5yIjMG7dZdIq9V6v5pYlx/7AJI5Z4wMFVhcHZCwmhN7PNMwyTWlHQ2
8GSgQTQd+/40qGFjuupPsakJaD2ZihAPQ7ZMZmWKNYfqdY1AsMyjKxl3C3Q83a1MIx0tM/2yxC+7
m162p6Qo/I2ZgCaSSUOtrXQyVvKfMYkyRDrhOgv4t2FPngUEfwRwBHBJl+oxd9OfXhMmeZDqAxuK
vcMLdABos9J6ssFdj7F25DnJOddKMq0GIJoeFEV8LEw6auqhEYWJJEao6OzkxLTj31QicI3Nrt7X
7KNHJWne0FflAjpDT7j45vCnlsK4FFFzMwLz1tWufcFjV6+b2j4XbtGtEyLBwHRpPdmCptxqVf4g
DUTf2y5bQXvV2cNM60Jdz0l5jGKsgeDc4VvhHV0gEgxXmbUd4fCfEUN4yfAIZZlsPJvqDKiavcjY
Hocd8mjAddhGpYW9wEousfTtKwrCHUFI/S4X6mxh+z5MufNT2Xgg+0G8dTHRuaYNJpZBseK2g6uO
hm5jdGRygYQuyNbe96LcxYxil6VFZaWV+i3XUYNDMoHk3vPx1DRmI6ltSXLrDkbL1n5o2B48EQlA
uMdN3wZfmsU2eppjAitm7MemiDdYCcvFgMZjPSek0Hcr4BkghKAO1T4cUkj03vkwE8IhUqIjuCRf
9IC/t8iokXpyJVMj24Ww5baqrJH7EitBdzCkS45ZelmkZb2N+Y3Jvyp0pNP+rk384tIPL3K+KPOo
1bcy8fLblLjfU9pUW9OjW8SmWG4cKP1nXe+OCC4Jds0msvl0rrGS5ssEWZbZSmN5F8ZI3Imr7vx8
1JfznSkY2IAO+mUEH77MA/T3M70pBBO9SHp9PMdWZSCksI01vQaJXJPWQRCjcx1KQd5cjth/rM8B
o+JlVFfu++RBqMWOGvllePLtqXtrdBJgRqoYM4CyU4PCxPjZVxv8AdqhmZyNKVV8GGYwcSJ6EMUG
N1Piqw/jaFcbyywZ/5TAcZJEOWe3X7iJVZydpCIVpbPhTI3r4E8m3SuDQ+cOP9w9j068NVj5z35K
teEQs7wsDa6pOI+3ScfGrnDCWXic/nMwS+5NnJUzndPDWIpQEIgBwWSwLDUHaL/TrisjyI92FVF4
OPZZWgaXUqPr65CoV3P8KCJFod7SGhVddtIiZdEzLU96Gh4Fa+ILM3bQz9GHEYzJr0aP/3Y4G8LK
iC85Bfep2eaAbZaTkSH2Gw3imgt0MHgCFtAHmO+a5rkN8bhkXfKXFSjc0d/5YzGKXsPxEQsC44yD
XiEDkQOwqyHCpJmUEP/t0mN/Qmb2CnHPsaqIfx8HhNXYCF3U3jI4dZkTnJ5f4XR7S+iW8TG5WwwL
KN6zScOTQaAUV6paZon+0oIk2+IsYyw4sElxETq8+qLQN1VvoOEvW6w26ABXnvrA+1Evi0I1OxPh
PSNKnHuCFuOi85jn8CZ6g9Nt8iCn3658CHZonWO/u8cYU45xB6ErYANNGKMhLxK0QEI7d4/p6K2p
+ne7Rb0/iuHNMuFPZ3li3W3KvnhO6upMNR28er74WTxYWkA/9I3xlg8F3OeM9n/FLwLNQ9or3rPp
4PuJ2HgVrg5UMoJWGg7XdpZ40nkjSvg9Y0uXNDQujLwBtlAH38TaMaTRYQ0uy+knqIDt1B6JhX48
posG7Vap54TYkea4U2C+vbpOjk5Cjh+BW4cumX7h1i7vSovhQZn5Ju2Ed03WpTdqV2EmNDV7wns1
vyD1k+h03oiJiK6o/IaPLEBQYdxzceKtFDxY0qHxNHpOfRJ5ue66BJpLyqqV23a6d4gzO3jwlY9T
XKhdrQ873zbEbWynDcMgLsIxMrfKdO4DEA92bdl2LJJ7EHU4cezCp6tbM2iEJsF8RumbHhuAaFW+
SWIuQnriwRGMvreqehCGoqSlkrYuc28kysupCIetKId7kBQjHs0uW3VFMy2ZCXWrIGmw168Nbnuf
FbyDddB47s7L9eFLGlvA09YnckR7L6SO4VTLbfI72MRGKMJqlA7roteQR1rSu7Wh8G7+QFomDdKv
ibG4ivL89jzI+SuiPBAqJ4DUU+okYMbkLVdCYpKqiNCZ9Bl5xJR6TfLBPepj/Bke3svAxNxtxCt/
/NFjB+k5/fZpGFj7+vMQArg1ybninRvOhMDOuGA85J2/wdTQrpIJTEIZIKOKQTxo9DDd6rv3uDuD
HlpkFN0AweJiG+rw7zRl7Ey73zJK9VZF6RJ+oyX7vLTVRcbTHEmeky8W/vip/hGlRMdOCnwVQyPm
BynOezf9DXRhXDeJMxzZc5zoFAyPWH9SgfZNnHBmKfsL9OC0ifVDT9LDiv7Zq1JIdhGi4sYk5NjW
KLC9SONuQWjmjdQt1Oypu0IAJWZczBz4met4RqTYW/4s8OmRsDCvxpBSyHU8RiWtAWJTR90bNx6X
PQF6NuKaQp5Mw76a0DUXpkWvEivFhHmx3hK2Mhtfc/jojGmKqYOwZr2wwqt10gTXJO/lGr+Bw6AJ
a5Fk10lPZjQAQzW7zmYCbwWQsEGgE0PXMQgJ4d0sVeOM585Fg9OUOi0ty3+08bgBeF5vss4t98E4
MtmrMrSH/RbhTsM1i9g48oy7R2tra1qC5rSHnN4EQje03k812smd/izrZ+QzRBHzmMv3146uH3I6
Qi43vCXt6nGHQhFLx1BeNTsdb3Iq6qVI6WYFwk/Z7dnIwGs29bEsf3l+C6Ya2e8WB0uyTSxAjBaI
58ofr65POT1SzFN/szrjb+sRqcIqcvoYLXVNYFQ/xDu7jvNt5fbr2B2f+Rf9TjoeOcJGbEPW6omP
ld1vEAsWyhMP0EFTr0XVo9PP4jscJrnrySv0Y6BbU93/SlWCoEIa8fH5Fanur4HoWyQ0HtxaCSO0
Lq019rH6kOTTgG7iVFnRrrV66Mt9vw+L4KV2i2+6Ghhlh+B1stp17qTdJ1G4ao9yhVJ9MFaWKjsK
Gjb3Lbqre28GiIaqyLwZNG3XunQ3FO3Dtk+ncU86lg6sw3l1Qhi2IVehKyAWeK76RuG3agxd+w09
E4NbM2QP5UDJMw2x6pyOMFO7D9CLWs4SHzGkAAw8nZi7Lqkfftta8KGR3fqIGjkBZp+JgDC2SNZ2
Xoapay+QP452VperJm4AXaVtcGlNM7jU8yHsq/DgM8p1SmMHVje/zypKxVsnEVFmYOu3rUY9Xvnm
tOXXDGg7ZvMOFnvHtM2MOTvRbS+xq5EdYVT55vmw6GR3QZqYHENmMJvc1h9Klz6K9ktuxOYpl63D
PxP1Gz0l+3YgRBChrsEca+zkqRpj/lpNkq7jM01KIB72hbM3k34h2FLRSFP2xYgab8ONCRTK0NVY
+znkunEOsrHd0zD9x2iVNDkUXgYZvDehxSQK6WAFBiLKLnZavo6VKdbKzKdVI1MG6lEvX0rh4RZ1
OQ2M8a8TIoRq0h9Hyojks1ascoN2A+F0qG1i47Ohw+SNiUAcm5ML1FBsRbPZI2jMT3i1jIoqs95l
koZghamndeDumC2BgMTC6htXICwHA21hhpvMm1NkhE0WFX7WgUBUOm+fqqzevFK1d7NqiWpBvkkj
wtwaCXkfE+g+CfkNi0uUIsdmagSTCwOzae5cVwuuJQDhV+42IVSMQWwZl9TLziO82am74c4smO5o
Oe36kREbLcLwhpL2LxGjy85M7G/NAOEcgbzbg+dz3jkPNmMv9dsczM3IvsdZmUXlikFM+B6lo7HN
ujhcQy0L3xOnm51gLRJ7P8SyEAfvA8bMR5ZRZ5n0/Ew8NFqBDUvW9I9jUbtf7HSFSAjvGuO7r2uQ
N8MYbRtNFa9PPjqmbISf8D9jL00+lJeyqNgZ7x5ekytr30cixGuAxQSxkEy2Pp3yt5zONuobq3ug
MA7XqvUWKfrLlYZVkDaq31ww3PrKEtfAR0cXKxx/oYy96/PADhry9DM9bxzOduRjKisDgLS98ZZA
tupD/CGVzK7P7Bbbwj5qTo63hrjCoKc1/E3dkysQkpG2ThuTEMcWeFud/Z2QdG7gYYT06MS2mtyz
bhGswJD2y9fNE6HCX5rq7XfZkGGFaAlSY5sPRwufx8opi9UkwuaN62VbOIweOlv7i1p6WRlY87O+
vyPFuLlmAvHSxXYb1O2nmXhsfissJ1Obn13gPXAzZ8YoMVRlODnHqDaRfmthd+qG9ti42t9QunLN
5pB3TATWBZcKur/yohrdujgwqi7g0HadXzNOjibW+WGZpsCYZNEeOcN2zaSKM+bSSy+AF/gjG+gO
kQzz2rzfsetLN3ZBFY/AQ1vnOMEWlPgRRj/9LZ15VDKpkHuC1F95hWvcDI8g84q7IHmIeKKVq7eM
8/3kEPsBvRmDrazbWqfWT7CO6bX9ncyj2rr7QPKafqeo+TyTtk3eiGJH9qHB6o6NSf1rcT8uY0Dg
aAC0Pd3Ar1YjdaSu4vGKsgqvJR+Lcs13pZK3sdbbHa3GaY9Efh/gF9saziQuUPpdsgBSCCmRfysd
/6WySBtrMamsyw+84sVrHEXxOVbV7yRO9Y2iLFwFuEDudHh6nG/WmxiYDzX8wY+Y8etESwTPCXgm
z3MRTHpqVynjK1WkXX2jfRvvQyF/ZWmnEXQV18uGpKrNMxinqNEDanG/s8nOxtAj0qU06lu18X33
YPP5FOOnxcJIc6B9ibnvL1vZd696sjSBa16I2kiBjrRoFWghISyjvkldzbri1MdNH9A3FTnZlpNi
wAIb5I96ZiVXc2yyz25xnfgwLgdYrsHQQTeIaPzJhg3DpFIizQKbVJcIzL3jVQdnPhjTtCEkcmHH
OgSxfswYC6KwRwoQHqyCUHK97QcW0ORbCVMec69uD2hiKNI0fZXMiMCOdtVeee01SGR+jHwHksUo
WESERU8P76qOx3yLVPyoNwyL6x6ZnAh1Envx4jy6kIWVNN1wnNGhMeNCN3I+hCirrc/gZmc2wV3V
/XjJJvWK/59gS/s7OjSFMVtsIveeONyvI39bp8GEsB6+SlJa7xXYeqJK+zg0bnnK7xuw2V2ZmnkM
Y3pvMfP7cPSSK5Y2ktaHsn+V1FB6nn/kcIzeB5+KemSVERQ7n24PxmhwGTT6wTZgML1vSD6ZrBc5
gW3Bn3ZOmDpePVe7VEYfY7VgFzP1r/lkfE5ogTeMoCEudGNzZO668RkVkGJrmvhjRn9p5xGRApBK
mT2U5THEonWxCzSrCejYjUCJjVrXZodNhuOWTSrbQVrkQF+Tplgb5TIjSIZaY7BeXARua9fo0ORD
NVyUQslPYC7xUvombXUSEISdyq/kWyut39445tegT9yrI4K3cHwPw6b+Mms/XoVGS9ePfcaqI8tv
ayn2N1pLpl1Z6DPo+bcGwhQvo5cTKTlyDZEl6wyBOv0TVq//DWehs98yn4mVsM5WVJ47QRhwaXgJ
8R7prYKh4RSoA5OAOS0e4q0WjPLKzzpUsE2wb63i2jkzjq/I5oZISrpTFSIGRi+6orBFgEFZy6ab
vVWXmgTi0APGF3QwndF65Ib7ogBnmDKq3zqrj1BUgW/wE//gMfJdhK4mUdAwvmXL89pLa9hOLDwn
NR9SmCSbcYr+aVDzgUFja+l6d+2m7Q9tRlTlOenIXDgME0ODGalmQX34mgp3uOR045Z5X0GBxuQV
Fny2nRGE5OYx0iEObdEauX9uDDi+OXSedfJTClqdTRHs8sgytuCJ/5r0RklmyN9bXfzSktlrM3BJ
ZIiCC77pzH3YWYvM6xcZFkGkodCOW7N1N0zFdbtiEBlkJrJHdUgMcUGq/CMyhe/CSGGaZIQ3U94t
m5Y7SDz91CH5waz2CEZwxJsZAK/J6kGM8e8kqgehOo+msPEv3TSFTS+HTV5Sk0tdR5kfv6JWoR1v
qWophq3VY+FBy/EgdwkJaTidhJgTG2v/DZLMb7/5rCqp6GZR20qUFbiNtq5zpa/MhD4jxoOWPADB
6U9W89EaoXeUGHsXg6HDmjfiQ63/6mqLdMBGfevqN5nlwSJmaV6iu/4rdSrK3PgX6/Ny73IQMsPc
oH6HFWtLlMIFGQFzyvY66nWxhs5K3NBUfNrcHDh9NLmm5h9sUa26DvRBT352WFIZWhZgca3mjeky
uk1h+KdqBmxgkEaB+99alhQAXfNpO7c+YtzQVeCvgkB1M9nojr8FdQan3l0PBxMyRrpCAZvcc+z1
4TJM9hhf6fw/H0UGNGB36s7JvP6WtOhTJgJHzc+ds5kbO1J61cGO6FY+nwommmkgSaNgG9bd7+cL
5vyqbEklod/Kj0GrwGdU6zqdHx7CLfwm3N3bkBNKUzep+iPN9u74vw+7rpyDOLQWKiIDBHJ5O2AH
LgjM/L8fen5/WlxGxMg3F//9gVnlnwZswJ3g0/b+f5/S56fs//ddz0fPb43K5r8fxAhg0lDPcBiC
bXkJMmx0TANrdOw89FCxHAcn/fffi8/vCOxfg22S7clG9qXL1G7AKEzLzB+PvZawzRoha5bkv/4K
Qm6rZHktzbENH4HZvVMGDg9yDY+Jh+waRDdKLLwtgA4nspucOdtNpHf6h/6tJq7gjXz0rNlDcnPu
oc3MlqFTiuOVcwMSx48yBWkppdHsG5a5tWNP6Tkq2TjbVBAb8riOaAvDb8mAatkI4zdSYuOse3Pm
I5yTZdS42cMU2bj0vKEhHY9brpLmVYxKvfZxdfNKBklpbViQADz3GlX6e9ywE6N9vjNcsLaYaOs9
Pk2yKPL0vWkLhl6tdvCZF298IZiQIFJ91E6PHd/+xV6CWyn5WfQ3GCj1k4RVpMRrbhDNVDrVxXO6
mjcyxaBka/u67xVdZ1vRbIlGcsd4aCvdWgqcYqQ5XNGdVV9FMOQ7tLrTwrOnX1npdw8CNLjf0ysg
UoCYehtLTh9B83SCv+4QX6wsE68zP3WPz0j28J4WgndhNTfMNkhv8xyFn2K057P0AfocBTVvpuoG
p6pGqQy35XkA7PmPFcw4N6H2FSN+OiLxRsMeZjHbYDxboFFpnrhRXlz1JvdfnIJOT1SeqP3g1Dql
OHixT/64oR0d8LQLI8+JN9bZVM5Sk3hs8xfXkGsHU3uBTOfQ4wI025hxQ1/uxxRNGyxQMnWGad/C
xXAb+GJRHPQfIO3FdmDnyOiLf2korXTj0d2/VAyxLq0PycI1c7lB9IrYM2IqtrRaBpHw4ujzdOiy
ZFXya8C62XUjCsu4ctuHX365qb8dhpYNWIur3XXgyUZRth4ECMVFjaMSvDGiuTRC24xNsTmXER4G
W/dOYOMAdpdmAdklK8+A2QUydiaZ+dyGMO8yzNLzfy/Nr2c+qNh8ss8+6+UKDVGycMweAFUkP5Ow
HB9Ri0CpEtPSdQAb2p0OD5RJ3FJCrtkoK/nQtGz6mfjkdaKsXG06+3m5R4Fqbhy7FGfLq5d+bNvM
HwGA0bBRiPDbAcqTKXf1pF+6IhlOzx9+Pv/86vkcHChrlwEAIjnBjDaEtSRHmjcdly9gn8nw6I6P
sDza8ALWzTijFf/Gs+sgwPTHR2DHy0Zr3NfnU/000Q5sx/vz0WSR4T4wpwwHiXZaY4j+qtmRbpwc
7JM9hJ9PL7XfC0J4Qio1rNZj9w831e+yk9UH0OSz5P1hoDaWV24v8d4uummXhqMPnNJDT58is9cy
v/qaP5JlSLUOsbp5dzGVnCMDVIw/NRpTKzSy2JQVGd9xCRJJ1cvBisnVEEi3TVOYqFATSs+yXpep
bS07FBGHsLetD0FAG2nz9bovArJW8FWenbiwmSrVFYhPSvJAa/zT84BqHlSA5mtnzdSiX3pjyBcK
fG85sHwsoq5M4WrSITDp4D4GQ1oLwG1fI1Z83mmo5r7nUO+bau+1On4aMaHu9fK/in3JiTn6D27y
7qVxKWWq5BwFPSF4ZeAtNS0OX5QV6/BXpfuGWqKejB/RM2xMe5z8QyXLS5jmb4lCTSTtYLwW9qSh
2hHYb3xkSj5kohGoIv3U9qjPEYqTVtUHo/3FDZx5DRozNm2tlW713lDnpBxcHNIEr4cs9XA/CmNv
O+o65IW4pkyeCjqPzBozPPcpiFgfpKJLC/+6asI+5wRLmmrHO6QdNXwFx7qUzCfkMVDj7yZJGxyn
nDSEayFGtw38AP7Zbj4w5+Z3NHqKpikkEOHnDTPQcHjQHEGPN9XlrnTyLZqPi2fqwcWdD8QyxQfL
qdSOAmcByLElGrWyj0w2wxeoGj+6NhCsZ+Gzs0J7NdR0Dmj5tkdRfgt6gQfCbNftVGsvg1k9vNEQ
jy4h8tYTubaVvgftle5Gm8Q94RDu2g4EHl2r54pIuADvz4MPJG0BfEykRXy1Qzb6xNq8D5Pz41BG
v3hZ6e40DWH5MimZ1D9X/OeqnvZiWUDSuI5MB5YhJENWQTqXUlkl9zN2CYDCC8HpTHfxedGGpX1p
wBRsn48mg1k8aUDR3FXN3r2ya5e+O9UHSxuz9yxRqJQ1MyMagVeLCiQ2QN2Fq3DhFparXV1baleS
GMJt3WPcrObnat9wT1lb7mFxT/vaxZwGvh5eR8IoCbf/dMr7l4lt5z6R0auDDsAXTX2C1YgPcoSl
6OAn2CQNwUEu5fMH5wfYgdk5VIQT05uaM9UuliYGpuPk4eXoAiM4l03UIRvizFYoxbCCDfF37rQv
jTFELwONnC2juf2g+cZ5hAlHvPpUfqQh6w69h27tlsj7MkbUp8q22Im1MZjGjArcMKdyTcnpvMQM
cwu/ju5hHV5DRp57TLUllQXd+LTQdoFGir3lEFyNeszZFnFRHTvR/4WkbeyzwhrOylEPgKrurnMa
m8KYej2KKmvXhd4b5kV37aCRmPMN/Stzeg/WVM5fF8fGKVHluaxVvi91caC49E550vxDD4atuaHn
DoK4vzQjoVupyN0TRH1kohHmOqc3R2TM4JNywl4uhZss25gRpuW4Ph9CQryMhEpRk3Vdz8WkqnNG
chpcCgPYA8ihW/t8ussymirNY54W7UxOk7fQeJda35wK4f9hYGtvxsFuqFegAJYMWvpFj4hmaWfu
O6KWnJsT6D9Q98fnO+G7s7kn+hy7sIOGGxuvbNWJJvM9tWxmmy3wPPu1mAfTeKazDy/IvpKLj52V
bQYzLV8cC91D5BMy4/H8ONz4qUESWw1CXLP5EzKCNsDONePleQjIE4BNhGi10fdoudRPqsl3SHvt
D/tBv/ypWzR1bWgWGz1Cu0aX5ebbtXmKkTBs0jDW126sZnIs+zmgH0iIo24Jtsy4K19GJ490vmWb
R8O7AagD4GTsZ+diGCNSdJs7wnPcd24KHlJ5+mby/R8XIu21yHJEq8lEnYBbxZQyWFAtNrAzp+YU
5NReLazbLTrXx/MROv6fHjTkA4nD0oKt0V6mxixvWkFcg2ME8QmzKPY9vPmHri6KT5rRYLzEW1T0
w1s+0oWMCvrZ4HioJ0EIeHNjpg1HfF11DP0FskneVt+uIhCi6dpwj1Or/JR4YZ/PF60LVilv3W3f
MQc1mAWAyJbsnw/1EJfbzi3AnPha/WVUX4kb+d+JjEFKWbq3I9k9/zDCYe3WdXmTgY90csDLousI
abnlAVSEk7nxWd3fq755i0ut++OL9EpwrPkhMvKkLSswDhQGq55aYt0FhfkaFLo8TBmYu2pmLWWk
slx1KzojyTH7ZVHfIddpR8M3Px0miGx6XesaGt0fWpTV/vmUNT///EozTiZyWrRD2skt4uiBgiA6
22Beno9SIfqzYnWBV+2KH63qtKMyzHE/suvISmxyLB4OdqFk5XvS/m17ap8ohBMtpNpdiQ0KJFB0
osQwj0bT0QPBoag7WCjbvvF3uoe2sR2di9fp1rfS4VURJrn3+qK7+3iSl0y1pgXSC2y2tmcc6egi
4dJASoQjbdvSeaep4F7AF/+2MijOysiCsyaJxdMtRqcqog9eKKACrSKKoZ8PJHmZIf0fR2+2o2jl
K/eoba1sf1+GPb3mGJUJkzbL2RqWulcOXJ5KuqsaX7k2uukNi6n55lTigqYhA/bfmW/za89HaJff
q4hT1NPNdjuEQ7UsnBaW9HwItbTbNlZD/8JFDjSOmdpoaeAdwG7/eCR3rmsHjR7NJoQzC93LxoM5
HxLISLpLQfx8KhX1RoMQegpzIm+bOHKvoanMXYR7ZfF8mBiqEOABjLNJ2CV6mQYbtmp8PIVA4a6t
rn2ltbT2Dbedq3ggke8ezYi+0DNZ0bL54fO5NAtJ9HCDa8oJ9nD7oj1kNXBIooxBmtF64d5ztxLT
Oc/RamdzPgzMDYkpqLFQzS9Ys474+RVUrC0dPxwvk8CRPOqVOmFKUae+o7UMgZ/1fX4uiTyAK3aM
X1zGBfY5I/4jQq3biGww9opIWT5ifFy2hpQ+UER7919D4Df3KKm2ZZFo535+9P+fGkMgIUCrifJ+
5jHJKOYvzzCNs9IepD8V+7GmwJhgSY49VEmoPvkwMiMmWeK/Z2qV1RtdMs7WeriprlFctZpNulCO
ca2cnIQDAlaI3AzWso4KZr0K+SmW3IPt6/lrmQ3eZqoSd9V5Nv94SqZFRKzvJZj1YEMz22e8GB+/
RL8u8wL1uxFH9+dh+B33tXNTWhfdC060AIvRzm+Tn+dJ2Ebol8sw/3E9SLcYkVzyxQcqKZXeRpFs
7NJpsTmY8gCV8q6YTJzMrkTUJq2C3CzdB1XHVnOyqpic1uA+n5vrMEGFpbmJWLsO+0wSOvaTwyxL
c6ZfVljMnod23Oa9txRF6a+83Ky+MhMeR+dj9xIOBpOgu7R11V8mqTOc08xplRkBWcgAK3rdnl59
erJsKt6eDwJ504ihegG6vfIxHl0j9pb/7Vz6Wi9W5WAHO+UUd4Vya+USI55izIRWHMQW5g3CgUKb
deN5KCq/OdHtiBau4U2bJ60wGAEYjqn6F4l1wSbnVjV2utMbyclVYZpc+nTXjpoq8wehuv6ta2wd
mHoeXMjVlGuCvSE8qcQ+M3bztlld/eb7m52rG68eUP/j87ZUpi51CHmFTeEN53IMAAaGwNIUXuBz
4Av3UEJqafKiWJeNPh7Rjs9MfMz0XG7ioxj5O1uqBJESUeuk5EYgTSJiVyylDQU7ieyTVvX+tqh0
Y8+0f2sAVPxqasjNLma2I2w72ELpGGwMB50HHHtkyX770LnqyYXVveOCxIY5/mOqvhqz1j58A9FI
7w/XcAj0rTvX232Xt1dPkS6DZO1BKUPUjH+lboKACshiSY92MY0ivkdE3N1qA7CLP4qzN2+xyU11
oL8iE/vw7LaoVoOTEBgD55k0K80DUSpqgTWxUfpcR6PED0J3E8/Ji+7881gouIWxmFFmw3WCQZa9
QoQbl2JKjVcNoRxJ6RJ+vjfiv/T14GYjbFhjrYTxh5Z9Gsx6U0wWDU/b4hdJRt7SxKfPi2q8Pbbz
AeRde0Q+jZMAm8KKJsQMwbCyW98z2otIbzuwiYYfio7OihP7FrlpsvbL2llZ9WQe6qj9jOvevrHj
ISpPAhV9NEhn13CLHqFebJw0snY9tg5KurAwzxb5liS7kGYPxnDVMoIl50v7EzCluoVgVm9Rj1HD
EsjI6KfycaviSp8Fc0zSyA0GONrPklmjbWb+qdJ769a1XrjAD6vbDLmXnuGpzTDSJYAtfqrmQ2jl
EQ6BIkelhvFwqnm/9XlGjZUdmG8t5Klp7WiTOUo7Vs5YnUKjFGs/bfWzC2jBSevgIs0Q7QeJtuvn
fvH53POgE8W6J9D2W9DqPUk6BAUhBK8w/+aM9bT/W+uPrGtCcIQaobpxUj8QlxjbnJTfPYvecCXl
+ycc6ZE7IzKLuI/HT0EWuhEExrsacFJRTeNuDqbvCVDzuaOe3ceMZ9dW7NRfCQZcAHTBraa7eTMY
XeEsDhm0xQlMsmLQD92Ii3secUO/dmoulSg6a4RWn1XgHSlEdtIwxC7o6+EWSg79kPTb0DYDcCL9
a4bT6VAyqmGpbItwNUZ8kp6xANUYr6qisl86iAQA64oFeCnKaiyi7qHrmNEvkNI7KBjwkXRjr461
BUa0yOzr8+D57luRO/0pIvM3FngOLY/zMBwhgJHKNcC6tm2bfvt8aAarZQNv/XNHUR69+cDdqtxU
I/YNp7RqOo7Y5mFBxURqa3+A3zo3ClF/Q7WJphALVu6q5gGZYh5X0JEuJ/PckJ578oIYB0bDVLCB
6reNasIlqHqLkyg07W0aaBwNbjCcs/qX1JrmZBOauDdLZGeopH6THqdvAquu9sMEBoGqJz619tAt
vQm6QpeM4vo8eLFmLGrWyqQFyNNOEilpS8mggQiX0sJTCS4wngj1pPH6jSR4ODnF/zB2HkuuI9mW
/ZW0HDfqOQCHantZZk2tQ0fcGxNY3BDQGg719b3AyKrMej3pCYwkqAnC3c/Ze+1sONvo60BHkQ9L
HxjX7Y8h7ccfZfrL4c95W8qxIXU1fTXrOr3LvCKmbDZ1asvpCCpTgHqTeAzgF343OWBkbMo2Ahb7
PrdK0jrcnvc+lxsBEtJ8sQFWcEJOdn/VIccBGrrslHbOg3YLPAUCr9VAfLad8AHKENnMkTaT/aIf
DquKRVrCaDdawzlfLw3t8BQq0spyDHCrSbPTI3GV5n1qyF8OS5I3ICOSak8yIq9z7LNWQz6z4O5V
xFbfg4Iq7jUp30fassfrTYZkHMe3tUQwYoO30BTVC1Xfwdp+SPM4/TEWqUfcXSfXNjEZP8oR68aU
q1+GZzGRctDNSUcM98gIKngtYf+QGQjcK4QYj2XlYVl1bPUEq2nro0haCidtMAFK7UHMsZA5shxs
rB4WUxZG67hvsD90+PV6oIVUQCYNLV3UIdqgKph0Sp0NhI0301DgqmPSDB+HqmLWKv2Shfl9W5T1
PgYJdqZZElyulzxWfcsqBPISIvmlwCGCYp/2yubs6Gq7oLPKZTYYTxm96GdesdxJs3NW/PHkc+S0
H/QzyZerPX2TSwiFOrBEsAgdeAPjnOjFdM6L+gmjo3li5dcu4z51fgZhRXJRBFxU8Q/tCiKlGwoy
67rOy7XltMWOPrdDIY6ONxzt23S0H1o0QQdevl9hb45/ViNce3cCZZCLSwgvndpCkWyY7OsL+JkW
wgP3QP0zYKUcAnXV2ufct3DHoydUkV9s3QLegRujv+txFaQcqM8uPLz12NOCaXROYKaBujz2+lem
clQacSsUWRrsPIDez8ToIQxqTmEMtNRq3eZInekV0c64aRMivYKkQfFTZ6jlUbW4HVhiVmFfbS7v
MYc0GwCjyX2K3KqgnLwtkYSj+yesMBYsyhKtj+75Q1E3SEu1N8yAcjWUCYS1/UpoEO4ih1NnrGWo
CaCINfEFgRUefKoxS0ub4F3WTN3rarxtGqJVlU08Wlky5YXIKdcsZV76PE72/RWdNyBpLcezoraI
k2sEJiEjRh/chlZB1pZqO8yHxbsfFP2pS/tfeAWwZ88ZlUX6FfppfkwcvaT4wwZlyQpzRX1QLERo
kM5C77kZgRuj2pLF+gJS/pQYwtyNdr0vCm/ca7J1TqxtguOcKdK6cyiGTVmirJARaNUvrLkaCSa4
goyBFUPPYXhwjDn/QKAJ6K+JJSG2+wlmi9nIc9LZ82IWtIxDAE42J/PCqC3wiZo6HU5/tE+qkxyk
s0g1tGhVOUC111RtCR/LnwLZJGvPdBkpH6yiNk9Tmoj1QKhbT5rHUujENaZxU2yh+SQ3UrWXyLe0
rUws/OMlPvTabiNSZLScshBWVlMMOPKTAWifwaBq1l2wxxCBg6RwoKOIidIsFvl9FSLhSAt3wtBr
mNvcEfGpgA5iJ4R4z1Vc+qJwO/UZFCamHcFw1lMwF0/nWNKd7KtPHQTquiLbHPOuTsxMMAbQ40G7
lZDmoEgO+143qd0koXvUI02++LD7Rj/2N5XD6qCrtOiRau9DqeOGLSsq8HUQxU8mbNsKQiIdv+ic
9CQkdl2kH5lUxZm8q6LunVaguU4Kn+jPSLzabh7sC5UMmPwz/DFxUd95zjwDikm5idw6O+fjeM6p
Kh3TwkjXXUMsVmn5+XYycQM52UApSjCJxD6w9cthOEoVdZvRH86ytW/rzL+v0w9VTMWKHYqqB4To
uA1uSQcqtwksPXyDclqUAL+q3ADbU5hbT1jn0iGPtGbKCirlNMTEcEuBgNiYRdn0Gh7RSlDLrTRC
XMeqI0oGLz8dOZgnE4oiA33KGMFQVMLHK5TGh4o85Y1wyNjEr0Hma2aw7MFxVHRCO5EytO7L6lbX
yvBDV96PnlALKOfpg4HgyBPmRy0rKB+m2dP9yg9tRppGbz/7Wnlplc+FkRpasvJqUF3YZFM1wMOJ
Rgkuo6dOaT95bk7N1HuG8tjsOlRnK4DH0W0hrJTAj+Z5tK3mpZlc1msQdvOWmWvaUVTv6X4bxKbd
TE5OC2DoV100bsX8TZVW5T924fDsu1Ozq6lCYtIn+K9JyDZpB/iQFsXvMO0vGGDuzMl8U7UAoeWP
v8grJvij1oqV5sv7UXoE73TBu9EE0P7sLWF3DqegMTlm0Bt68V4jLz32WdyuOhxuUzxnIRaLwisK
KhfFYtA4ybD6JqWiKuiY9vUHBTBZ3Ls9QpEhBn1iRB9BlGQn9LRUXRhr4zEFb9OgLa13WeQ2gM3x
mrTo6irICIvGwMxchCOCxw5hswdiJJlKjeqdJAsbcNkqdneJEVt3LscJy8qWTDSKCJNpOtiZxC24
hX6XWWQVplAtRRwikxYwSiItio+DZqF5n2+L0vZZF7D9baVrI6E+XX4wtIL8nXKiersAgDVkO5cs
1EObd+ToEmqRH3r6HRMKKfS+C3W9fL3H9dHXO1yvXi99P8qcH/X9XNdbr5u/3di3hOH9+VTfT3B9
O9eLf3vY9RF/u/H7YX97Y99v6ftmP+zD5vh9y/flv97V315aXV9aD93xz8/513tDifKvG//2Gqjs
Z9Hv397x9Xm/b7g++G93/n7568t9v9D3xb++s+sDBqQsqxa6Mbbf4TLpCP0df5Yf60xIrbvGrY/S
HPmnGP5ejDrCAPD9XYCtg2msnz1HRPVukJxeSq15y3PnAXM6WKMyO46oA6LS9egCtUvNCr9CV8vB
cxGp3EXWoznpS90HaWGMUUITLrSJhoLRrjvhXlOkyGDSCu3YphCL0T4wvUtS1+6prsdlHYTjzgnb
L11DvVhjTCFw1nLIdK2f/HbAkEHkKJYYJqCrOBI96ZEZFHe95f/mQo0IJhKUUBWwhqUh1yc25ht9
a7jVa+uPVPREEaJWzGp1GTSISGIhrRL1tIcjg2Aj9zJKoItVdwHiFN6AuaD+OSXBLq13JpYzvgkZ
ne3YX0Cvsi+iggrcZxCGEzKBLoGYx6f50nVvDEqNbj9RLmOhLevE7HFcueWmIyR46YNqW+e4j5dR
h0o+yzTyR9wS966mhmFnptnnFBDPQRLKqu/gsQYZZZypMjLg18WdHlnyIsaYenXDj+UKFW6vtzm1
jUowIH1NVgIxuuxazIKxcy6ae6DU1vf7wzgMnHS+StL8QBWQ5PHrVerUC0s08RkUu32RrUsvk9wL
APR44WuF772EDWkpMuKHcBb2KtqZJWkofafBZyOi72JUZnAshuzg0bm6DDTRdjambSRFyDX1Ot0L
6oAKn+KFbitGG7S21vxO8OyZGx+mLaOkotHYE0ow4KgPOhK7lNn6G28Q+J3nPlpRG095fjNYrrm7
zuDCxhHU+piQlbB5Nq5qw1PGIdJnXbmgm9TzEejEdSN5l9fv6brppDnRNO2b9fVqDNN8ST5HuKHV
SgfeGlEya3g4Sv5IjPXMaQvccqxuAxbmFgPhJkBRziTrFM+HC1GJm2kA11f5HLXzF6iK+sHQJp9D
FdRJTn3nhlLOTzkEh6BNyOO1ghaXEsnJ44jRtyk6ZrhwhLapqVc3IilaKI7FKzM5WkO+5y00aui0
ZPiBbDtd5TNd3cBcsaCfALy78/b90hdVdStGeJ6FzTQQuiVFvEg75hgdUYnAs7lOxSmZVfQImRpD
QUFamRtPGvNA36qfrlemfqn5U/F9JZpWog/TJxEK44mAl4zlzZ93Q7iC9fDxuqejZkDA7+P1CTKg
BK5tfO9J1G3Ue+OjcX2C+iHrrO57j989F4befD+msl614INYO+f++hxF/0F4W/rIuFBtWMYxn6bl
4ta92kx9nuDhShaQyvxbhftvCddl3PpzkIVeAUMEb/xB8VNboTG2jiOhgaec+rGqqggp5rOgjnlT
4/GiKRKps5OMh0w6i7wKo0PMuLWw+2l8MvCzZ/P7KY1sfML+sGmx9tx/74sSnCAgFK/7ahhAXhh2
t9d9mct0KdQNRBg8zkeR65e5dvne1wyvBtlml+u+SaivNMegf92n90BvYae4p+tOvI7Mdoss/76a
VYShGWU3Hr/3Gujamjj2D9er0ocWnyi3+r6a2mOH/LeQ++veVABKZI0B6X1+S8GkmF4S8Lz787Eg
bhNA+rvr2wiYb69cvZ6233vjsFgnQBG2171dgL3IGrCxXvcinos3ovHTzXWvNmTDpixIpv/eqxV0
jDyQL9e9Jplt27DM/NV1r9mEWPQCEMvXq7lj9LshQxF7vYq0IdqPkessYegNT2OMArdKaK9d99pW
nB/MRCO0Y/5Eo8jsQ2Vjxfve6yoFfaQBQD/vtZIuOmmsNb5/V0tnXdPBI/neG1Vpe7YTK/je6zZF
fAkq++360CEp7YtZNs99Ly9e20/PZY2PY5apPsgxxrwav+cxjoMwzbVF3LvNVrPqkUaztqqqMngJ
P+M8hnuhJmtr+7E6XTfh0KoTyJGPWMsRbOXJpXGAoeuIzIIc2VUWWy+MmBLETgfDW77gZFSP0nW/
tJI5LKTq6LFUrbdWWihO+DXw3cys6ryvj6xkkzuKatpybIiF0nMKanqH8thIhlfp/Sw1zfqib//o
lLbxI5k6dymV1d/iLkXOp8BC44Z/dfr7NCiTnaMZe+atYjMyEpFP0do3wvJiYqmnje/on4Hgtw9n
to1tPvkEV+JqmfzX1kxvoIvimpTFcBMgotYZnBKNzI7Bql9JcHsIphz9u+3ctYqfAi6ni5oYkUHf
Njwbip+Driz4FbUuieDoybvR/SfXLfuzN2vxh7CrdlT8zbXFsqtzSxfb3Kedz69TecYBcKv1Zjsg
VpiEHIdGb28tlTOOJq52M/kAdxHoMetOLf5RQekdUscBSASr9sYYTJ8OlVCPystII+awo50e3LvB
NYt1PEBtE4+DLwbEEtVTSr9i4U9TgYWWMLaMValTkusAi+OE3SEiKJaTNk2q+BwMEUGs89UaBx7Q
ADwRj35nZjvqbC9RM4Q7PXfSc4Y32ksH9zCUBfbmaPRO9DAtSgVVYaEq199LCTFt8rFG+D529gwG
PAwFTTNWfW6eSOJ88/SYAQ+J6wrDp3eCVMEvy6OVViIJdIOjSOiTqyu64N8bw+ywawdmuBqzylu0
XoyWo07Wuu0iAHCn+wnO284ImLL9tQmc2ASmbkFlnD8kpqAfksh5AgiNCSYmNZdBN4DtV5C7To3y
p32b9XtQ4s0510j0tHw3pJKMb5r0QHESdthDaWohP7vUJ8IxYgkzP/S6IdQQbh8SfoTz01tZOTdu
7qNf96p+mWLVPyWUd0/ZvFE2OIQ6HHbU4DpOAAEYSGw2ODvMYS2dnErrLPRtifwi1fv7YrJPveSQ
xLT9Mz19aeNh6VR9ciScKT0PM1oj7Oh7C3BBnXTtbZT6NyXtouPQim05+u6OP4I4NtKKDi2Nwaxo
Q9Aul8oKzSPBdWyul/69cYd+7pIGX1dVWDIvplotH2DvYG9L/QnePF1Nm2I88TvXRmI0BBlV+mDd
YsE89qEWHtW8SdqWEM+WAnJsY7JIwP9tOh8maEneNjSAimJpG7rLpG/2rlXWS7qMGSi/YFsqlrpD
4j8lej0cGoVQLxHGpomnLdE68oAhH37ifMky5bhXBTI/RN2TyM/oHzhr4AUDBknveECYsBitDupr
TLvO0XCW4I44ZKDGQZ2YlX/onWpnDIPDBK29dCS3Hjly3qrQegu0cA7Djte6QRl9otzVWDEIj8yo
bwKKAWhHKf2Gkb6tVWHeRYP3C4LbuCadVSIYhRfB71j4o7aLI5dyD8njdL3idRPDRlAFXe3BIFhk
OThgAGO8I2AAiV8ULmTEzGyHbSGL5C41ehMeO5lm1XyV6jtWBsXk3ZIwyvC0bQYH3EZFP3slU43z
10prrMdKT16kpBHfVWAzpUs9pgL32BTaOWmpt3qtvXIEfJSG/NpjESSrABvwAfPD9dtVxF1QqYDZ
BhuLomZcrcc5qQrkyMtkISOZqxhSyZ99hQNMEiUOknlBlFuwxi6o1QUzIhzqK/IlxD55EF757uA/
vrPTQqEtJjADzbQ8kaHN2t8BiGRCgq7SxxmKEcnAQ4KEf8ptSkj5Gr6JwIUYqJaIOfuf0kLD6UNg
WhRU01gQefrKrZgfeJO4DTQPzwDhMjjGkf+ofqTpaBP0RUqq/GUzWUBUupJuOB196pac6OTFFiLC
KcXKTC91RHUa4YEW2PeuFOVxqpkCxJERvMKp/dWaUXHxIDeD+JZn2XRMlclveA0i+n1Olk+3Rj0S
AY1SfEHnfQHcozr6+MoZVqaOuLiPAcXRbTIkagMhRa06D+vdoLzzECYvIwFOjw2ZbnO1NDsg1Ak6
t9rbg4tUmJQB7Irk4lWBpD3YjSTkAf58iEMLltdEEJaa7E0z+O1RNck2EqbzAAonpXyuweDSmK9N
jV6B+nMTVrLV7FCBrlTa43EwZtizo+YjS4N5fZoyQiPzxDmLQJh3dHbEXbO+Xk5ZIdjoyi7SdGlc
6BR3ZGrc2TKIb3BD0m4i12a+UE3qjSW8uENqJO5wsc0iTo90UY0gOptZbzen1caLIp+aA2mz7QFT
CY2dHM6GMRMJUlwoBzlfCkikJrT9Nm0JzVt0CS6coPX7g4XCXk8AdEHPoTvpFjNKBpmKEYSb2Bie
57b5ekj1r4SR9oBKNIXLC0ykdXtiWJySCG3hg36DAF8fNHqqFLAhsAi/6ZnMte1uGPS1Y+fmJkZy
sO6Ve1Mj71tnkji2EOb8kiI5vscmlXfE5tiLEKH3hmY7XttEHIB/M7LVZBXkMPZaVSAn4u/CxDU5
eTELr4bTUksNyswzpOQk0ukGohw47ilyhQgCMaA+S4V3tChYtRtqngl4BLbRhqU8LOhzc1j5SAAM
C3Ilx+HZ1OHKdyp6x/wXbmztl+67zt4V011hJ9Om205UIw5tD0xH8v9BGktIt29igZW/akxYeya9
K9WYeI1mDsww5Xcadk8iUtDA98ojIXx8G4a+2zikWhIp5+/Rg3o0C/618bpk3LUphdHcesdV3m5m
omLrHK8b2l7ObrJd0ICZdrxuusl3+Z80NvpbL73NAITRL/ZRt2VC7iwQpt+ek04RLN/NZfk8puln
TUxoNHDeWW2K0/fFLp+9LCj31/xjAoLseg30CbvJX0v2pe8ccPhWp8zVUjoe0S3Y8BSglj8SHp3h
eMKDt8gChuW6BiMDgNpZXx9whbwlnOQWxK7WTKZVQfYUG832IsJ1cyc8hPMa0HPsZQcdBDA4e+P6
hP+6PnISw9kWThAEeweolZtanMhCUOIxESq4qMAWqR8j383xe0Nl8vtShZGS3I6yXI7zbQ0OiUNG
7ImOVf943UDaSL4vXa8WTvqVo3bfiPn7dUqP3mw354wWOQjdeTAXvoiP17H9ugl9t1lZhgfpZn4m
Cu+HzjT2nT2Y64JizdEnJnQuNJMso0Ajm6mbH7qmLXBdN3AP+PwrNwS6BPvIXBF+/uEoqwLThraL
NouxxGYut5Xv3eVIVMikYaIbEL+51NKOGVz2r82omaCmmuzvt/nykMZRfAjAUpvLmCCoA+d/gyVl
89KjL19jiWp2wBu2SQ+zLzIqLHorzbbNX158aVmrvvnpZ2xa1Rnc4W3HefWsirIEoAq4JGpS9+hK
cFtllX9VbedRUunujSTjby2H4ypTI7E0dbFAi0+6gGOKFV7H2OPXKEzrYYqzg1EwN8m9/FdShV+w
L7NN1+Tvpe6qtWx7hixJV9T24m03jL+IFtGOfJ4Smp0gnC6IbzM53McF1o6aOTdN5XvO2Y+aZ6AJ
JWUo6+YJBd35OHlmXXXfMP06CdpMmxLo4iwxNXuypDGmirmo0YZfUO2xWiLcXeBb3dboSD3L/6Hi
akWs3glm66+2nFnYIr3BpjILVNxF3+k/kF2ems47ShehuFvWNDCr25EozNTKXtMCnJSPM9Agjb1/
4WulQZuj0RywncQNJtMVIT/5TWXFknbE+oK6GaGVx7xLuXsT5s8yrGfMtdk8ZiGWRQA0XmR9YrNv
1aDfj8i0F/HULUoINGDNllUEQ0WDxLnzZZauEVRF6Hr66WYSlYZsmwZ31KuVcJgTdbWuFkaECl3r
g32X1fGpDO21ibJ/YdUDnmRMJCtXkOxAIrz17PbOKqqaNytMv2yRACKarHhJ+/U2oTWGHTbG9IJx
eufI4lQzepPNxipUQKlbtnBYL7bMxZI1rLGrWWX49Zh++GGiL7o08O/apHd34ETMbRNr7zaCuK2b
5unCA/eLT1R7dYIcNmDRT5vaqe/gHxFOVyvoKzacL9nG+YOfRf0t1QBao/eFN5mP102FHtc19yn1
TXZC7WaY8zOTydbEMYnd0NwOhK7AxaR7JzPID3TKikXsBVSuyVlalvR2IJpKfhXSIYbCmwMhOTUx
xjCrr54DJ3hkzepe5d2Lqp8WxKWCb0ZTuBYVQ1vtMfSk8rYEMbYcnRGVgkcBeVLB4fff/uuf//1f
78P/Dj6L2yIF85g3//xvrr8j/6+j2Yz+n1f/uf0sLm/ZZ3N91L/v9T/utHr4P4+/fRX1b+eHzeP/
vOf8cv9+IE//58uv3tq3/7iyJvWnHe/UZz3efzYqba8vwhud7/n/u/O3z+uzAMr5/OP3dyo1oAbv
P4OoyH//c9f+44/fddO9fhPfX8T8/H/unD/qH7+f3orm/7n751vT8kjh/MP2HMEzWNJzhXR+/63/
/N4j/iE8U1iWY1iC4cX+/TdWj234x++G8Q9LAKVx4Zm7SAosXr0Bfs8u3fyHp3PIe64jeaBjyd//
9bH/4/f56/f6LVfZbUHGQfPH70iOeCpQVfMPOX8wh1MYbELhWLqh24ajS8H+97f7KA+4v/6/3Nwo
zAB0117Y/mfjyVv88ftINbBD50aoFcAl1/12KVyHurqPdx0CBBmxnIEmzDYNGWH2LJnwEbcLeS5b
IlnKMQDY31bwxHJ0xmqut2kT9jM0mYSJWSV9Ye2Gt/UMGd5cgwE4Ar/Lln2cDmuv3Nlxy5rOi8eH
JOxe94QF0/EZkYMmg8VcJtKWmkhjzDAZEk4tnblfGMj73izBr7k4yOOPTFervIJgMBAhwRQZd69F
baUxm1UUQxx0oG24+cjAyrlUp3Mz+66iJSjedkOReuZ+NPVCRzopmE+LrC7WdugwEBdVs2pFh/aD
pMLWnC0ABD95Q3U/2aWxS1q1H5Gfw7Dr4iPJlKpsUYsk6UupSGghe6EZaZV3uGNII4VbYvYHo51j
vuthHfb2TwyvwJpb40ZEzifhGHdRgv7KGuO7EtUGfA9nZ7oUpkw1+9RhGSHt7h/HlvOG50EcCGoI
7SBxS2Ya5sKJ6ckkLsBvPb9H1zDujYiTyGTXd3HcEenHRCCo6W6INGGIJCXLR8XfiHat/O6VL4cl
LxpToGpdi+2Oqa720DU0DdyAToP0OTXbU7mWLgRoO0QDHfo7txrGczJts7TUj5L3KzH1TLF/RP0I
dLTftT1hqqZpr8wRwzcz0i360l2TqIHYRt6qj+6fmfx4Hzl3Vk1Gda1ibWuQKel0sbMsijnng4GY
2Yjd7TXtrunVuCyICcZfnW+VQl5i69qc+I68yu30JWXbu/bUc+5dFbaUCyGhNVQdgzbjB9apeCSz
wU+LTwfpZGiln5mOzUZNyzxClYQig/hHAYNiIBt129ecnov04OvjLk/ck+/wsYLofdLNJ9vpTnHH
nMqwHB23bDeiUoVD3zofAjgG/yDVIlPXaeHXfN+3YIaTUxgBFsXDcMTgpJajbVjrUaI9AEoebVqD
NlhT3kuIbbuCDNwlgWifTRhfbIAqoDXEVu46UppZlIgqeW9NE9aQRkmPhc8Dvjc0WNpd2qFC8Ydw
C9XkNOgkg4X654QFv87b+9DCBNvpzY5iFjQAbKHLKAKMQIt6i7MCmXXjHDRsalRnXPLZC4NktOBg
5B5ZkQDQAB2PVx7lmginp6Sx753Oh4IL7DWYqglEefqW2QQc1CnTJTLeScYZYZD1WrYOgvwe/HSz
TFOEszVwi+U4sojOIQJcEgecIzPZOzCb8GcVYDLCWlAj1xNLYQ5dox33IjcZD2MM1hZH/qSzKNPR
zOhOdUlY3u1U5OwyjZpO60E7RmWJnu5nHSIoIAMdZ2RIohLS9Z7+3EyjSBi+aaiy2szn+Sn/Dhbf
TjbXzrsxZulsHaRD/CO2VIIbkXRnIWUyh3AL3JVrL6TfLOvZYlsSeQNwIG3yY9tlHc3d9E7I4q4J
tXqT6NGGw+CnrzdEpBlzQpPFW3TS7FfsVP6NFvvt/D4u4eA5lHCSYllP7pMxAukabXfVWcDOCZEn
4SbmZdNGJdvJmOk//o4lwY+6sDaO0fxixkDbOnN2oAH2WAkf8yFeJ5atID511D3H0VuIe4X7F68R
J2e8ep+0vW4iLXhsM4vkmUinleuJZWQglIcb62trmpvlyiKkBiF9Wy+boPzI3AA4u0uNP/gcc+jT
VtQ+UnHEaeucy9Ru5vHBqWhjk5dFjQ+tB3TsjYPbclHWgDorp3ivMrTjXQTcVZBjmY2cmipZwfyQ
+woCx0XX4p3k3xo1TrEcSlLmRg8rJOpVgjTrKlg5db9qCvEr0CvnZA3zUR4cCDYkJmRUs7MbkUKA
/0GQ4elr1iGsQ7WliPLgaN5FyQHoQAeUBXvrDuRATFwJgAlZTefeE7fecMxk9VWkjVwrSz5Agn0P
Y+TUqSef+tosNr0J/Z1uPyxSyHChed9acmPZ4nmOl1jSGSdx5N52nHXbQyZNUAClymMNagtFXUN7
b4WYLfCUJ+3eujMkyF+/q77i2STgD5W3VCH5BpFHEZ2m8ls2BGtP8x7J52pJK2v2lVsfw5IrnhF9
uTCatD5fg3DgxyiJmhwHkE5Odtvn1OrB4ZOudk4w23Meim6KSSD8xPjihtYPrTa0vY4egMC1LKLv
5tTOBvvCu+VEL/bEMVOLDmravPINyKryW2xMU3sqJoAkJJuN9XQeUQOt3aiyl0UQ0+Zqi58tFXNW
NbTHA1m+WKWx8ep6pzcDTDznJVUMESlzTpqnLStZ+zPMcAuMxQBiClNV05JG2YkjFVe+Drf91Ed3
jRAJwIBYFK77oSAA4QVG9qRhqhiidNVrprP0UgbyOtHeE4alCPPgfGy+dgSS+IX9xSEwgJz6IruE
yi36kVmwt0nq7qvLXiMT+k9Zd/FyJrcsJw/PpkGyuETT6ktvl5ZTtRhyN7jYrF8F+IwVYlNSCAL7
iyLwRKwgI7tRTvTjyn02eltk189lZr/042sTpJARkgCSnnVD/Hq1zmZFtYlcrKVZsIFjJtdEhrF0
y7Rn1ym0RV465FCJ+gHjOQRhrIfkLxzx4eBmiRrBiJteHCGOk6DcqJfjtnIVQCSnR0tGAFtkenz9
iFc9asOZO9obHSOkluWEEU6vYcKZhgTemyD4FkAg6Cp0uZCxfutq1ASiKIBn4drkWHJkOrlU2NQJ
TVXmA10PhhdfoatxxE0sNXJQqmQZx7RksobJnJAg4fI8KRcpVIJWc6jd6I4F/JLGuh6+mzMyrLTS
p4JeHN8Bh2daIDmaAZDACry1m7YfOjVfO+0+K7d5Ym+3GAyfUrWZsbKPqEczxKkpPUkFEQU8ng0o
z9oszGwYtq4035Cz3LoDnOSmhznU2AmYR9aik0YNzUtgKOoEpsb8IqQdMhlNdO2ZSuJPL9aClSwj
emJ6xVhoF+AMmgVF73blTcZrZhovfYlj0oHjRuMpHIC3ApecYwM1TT1WpXffGt6uEh6wJFwki5yS
rO9N+8hVeHnFfa9pMQ2qZtdgIVBjcoot4yZ2atTOOfjhVBIwPkcRjTnZ0tK7h7RFBqOLSCP5EGYP
IrJCLOk5QNKzJj60PsUecqXwuMrupPfBTZFRQ3O8/pCQHMevoidbOamvOQ6gAcGI/pcSmwGkV7e7
s9TGW2oaZEw3+otCCqAHP80M2V+eKrHSy/QnfLd1ju0RKAr46p4mE6oUh8rFSNFqY87RB5MJyUdQ
w5M18KOkNFadeKedzWJ7IsmeCBmkPHrQrbWRNKw01t9UyT+TaeYCvgJmEFoT5BQQBSDcZF3WY70S
I3rBRNRLDjyDb35muNJqpbCyA6zLlDelxxDTho2aF7+3GDVbaF2pQUJ8hiAmduMfXYv6OFYK6H5A
LbFlHichI4dljvtIBevaVMxsnF1Qw2Ezk3oTkFa8Ac/ZtPtOAplNMQJECRN0PFIdKwpwBvHEsTR5
73aeXgSeqC00IHJKJW5mFJ/GgqpsAvwdsVzhWQkI2fpJJhWtMZ9DwlvSHKIJWlEcwQB75Oy1Hsp8
OHVle7RtiSYrSlLM3eV9mkd37YCC08o7Y8fi4tbEvG9mwGwGaBarstM3NG6/ytYylth4m00lMB2U
BdNklX1Cd05JmAXA2VgHLeAPamkwk+rmycbSPXg9ZlvtojdNvYpno5dBuFHjEv3sCUgH9Ivh/rrv
Vo/Y1SuilZ3b3toGJyCFzZRR2BeH0OyfeMscKzsS4duS8ieb1YDgeSVltwkIGMtVfkpLOvlC9rNB
wwAd4tAEqh5EmQU3KUoXkGF9vPIpchE+Bjq5rj4C3C2+zu8m+3TLWP8Jdm8RyIra/ERpPkMWyFqA
OWWeYWmtfo5DFmyjnjG1641NzJqtqBkxxxRB6VgcQ3KK64YSfUEUkh/QR2A2Ulyoh58zE7LbANTq
4Kce0gAYM8oU25G0Ivj4YmHF4t2h0M0MNZUo7LxftX5A2R1BWGnORWLsgyR+y4cuWBv+dN97TMLD
dOzXQG5+hlFzjFT+MiInR3tPsU4DAJM6/5ej81iuHMeC6BcxggD9luZZeankNgy5Br33Xz+HM4te
9HSVzCOBazJPrm/kt5wyQA5sbrEL0hv4q9j+NiI9wtWmixhhOLnx8ta4CBCgxTK9KWIWgIKiSVho
bcUuSfIgU6yYl5bOvpqmnUZ9P7xIwoySZqQJGcRwlti+BPe2SawPgUUu+RoqIRxrzpcTQKCG81Qx
Mkrd11kNkY6/5M6dshbbkb03Zawr3SG3IovAAlXo1UvfDH8Du3WKFB4YqDF+ZuR71NP72GDP05Xx
aZXq0kKNGy+dnp5QXGlE31l9AM/3ZNVmH7Uubp41dx68Zj5MAhMajlKkGv1pqMt3m/IiaNfxsoDP
v/a4hPyZEMqgLT9gKsiAQIvXLtVtwnc4wkkkq6MNDoj04n+NweZ73g9Gg0DrfC0fs71YYDvd0qD6
LYbiKZ0PusfHN3nEyNjctYHYiySj1A6DAHPn3Ait+a3nQgYM2B4NZ6kDzZzONaP83jtNK8p5ka4P
qONeW1Rnsk6vheONgQYUBs2MdWiXD5v/BaPK3wBk/FpaIn1EKjAMBRjLVZzyDI6mRFWewxEnfQrq
ZnafQ2kMCrEyJJj7Byj1qCtL80UTe6rVYas7GgSuVkqVJ0FUkU+78JsaDxN6aN+LknE+rSaKFELC
/xPKoahgmMKeKPlgK3omApZtSIu2hNzO0HLFHzyasCCA/lBp5Ys7NwCx+NYuomirozcr2p9BZ/L9
kho6JqyxnkLAJaiAW/uk5o0IK88TwyVBPOg60x4s4h6wKYOnrzVuiKU/lPmwXZBNkRNfgEas1vq/
hKV+hOjODa0OvXovYlLZ93+g+GW3Jtk6wXvFlnvqeo242MJoznCRYr+tISzRBtEAFmGq2R9yao8K
uYFP45JHxeK9dcty46YFUnKHmMnceTNtLWwMnQsbf72OI5kSjapQd3QW9bEbuGnzIxJWs2vzZNfm
TPKw3votuT/4PZDOmVZ8N0AfiXUQmrNXPc6JR7615x6GGFJ8ixgI97t5YrdFWB/rm2XZsJJo7PZb
ghE9Tf2XXtBcmReHULBq4TbVhXjtk8a8tB2xsl4uT67M/pFWAulSGtSXzvLDfuzbMW1mXjaCRaXG
3RPMf0wtajS0tzFRn2RlhRk8HxIJvRvC4MezV1evYFWJr13cf27zBTD1jA1PJ6kXsCsfrt1p92it
fhbIMYWSCiYHS0pvT0XnOBCN6k+EopF1QtYEpI6B2Dvjus3Ok4uDZYWi30wU6XOfBoah0uusdOAL
eYYBjwRXxlb+0vfium/O2gk/cdWC0yWxwrbJlOodNhR69WpY45OOroIPPu2OdT/drV72Rgmtgh0X
4aXpFOojSWha7f5jhyxpdB9kMcf3SCvPKAPQbGspT/7sfaQuewq8vNTEYEzARpXjUbQGFKWN3UXD
Fe1rLj2pK3hUu0y+O1LNvuFxCfbldGePnhWhBfG13l6+23rQA/bR870NKcU3aq6WyToiGmkDZrUs
bPB23EyuxMOyh+JYGrF5e9RDDON5G1Mm/6RXNuHqVMl/a7E9W2qj8pjSh8RtXwyN6gcrWbeLS+qD
Vp0xAY83EtwSnV93mMa2g5O0r05qN1x1+dZuFzFYb+uo5ZHmIOHOd2gCDdnTplQbwENi8ZnZR9ah
7Z3T25FkT8x0cE+2Jm8HGfRM70m0CdhgBBt2CZDcIB2wHtFoyAm/BtQqjsQmwmnxXzFPxNNXGfWa
QUJOa98sMEqu60JjkUToLRPfrOfHLbMm1iBMtqSr0xjNSLKGPOkPedE34RIH01IdMNpuQVdv1e0O
2vP0LfXNBo1MupLPtxIZzG3iV6Z4ywhvRkdhAf4bDYvaqi1u0e3fDWgFdWYCYGEB+jfVCdxYhbwU
Ak8HK3RW6rOaduzTTPi0yxHj59mxXXkqFvA/wAEI5MyRRFOGI8l1Suu/TS5NpM3txapsjKcNxqfC
O3sa9+aAWSYESH4daYx8Bov7gJYvlXd6uLr7KJyPgXV/xpp4R35ktkt7QkVnlBlL54K80AzI6bbF
OAfTJwsNIho8Oyg2L2ZYMVw72DFyy/aoacbW+mZeZlUTn61mPpr8mVr9FXLwn9eSJbetlLdb0Ryb
SrVk/fGq8Ddz3sXLc5NuP7NXfCQjogd3ocZDiHSB6+DS5RYnfrLYnyZ0CJtE8ApCl8UvCOaYXSfJ
c+4ZzHcg8l5eyowWTccFxoXH275uXOBiJpO9E8klbYrPzRr8bCTmo/tsWu2m1OaPrefkhb7P3q1u
cTCpv3HsrJBLD7YEJZ2HzwA1X1CQGmitGnG7MdlqZYW5LB+BeZv85gxueuyxTCntD7tfp2jB50x3
Yz0ZA0nceGXf4vFxlrEdxgbfk1MBWe2Ora6fMg201gSa8qgt+htFthE1k3leyq3Bye0Qddmopy7W
aMKkSQv1xTHzM5GkdHDYFyJN5RBtmms1sjT3ILUcSplHqcERP/fq1SY3bc/4EBTJ+UfbzVHRVDIi
Nwe+SLed92jhjZzKRMO/kjgVcWLmiAt74AMz0LDZ80kMW0XHRDKmMSkmDSqHwLO8J+0M35NncmfD
oZpDzTkoolk1hFdTMVbH2dto8HLG2JVJur0d4wZB+dHGQKyXFRwUFMAj4Z1sIRS3ob41eJEhi+c3
ZkpN0K2o5rRlvBXtrpwMk9llJt0V5jmVNGc1RZwtF+aRsnnfGU6EzER2Nn7IrnnrY1ywtffQG1mP
W/Ip07CelSnnocEh44GQhHxYHVH/416Y3Bcd/RlBu3waEul2msgwJaxw7CSzXYRKN+OYv+Jtvytm
Sd3cIhdL7SUOq4YQwGXAMef03qGQ1Fk1G4zFdReSFjk76fK7Q4K9V0vrNKr6+cNVxm3eAeTXbEDO
8f0E+ZJNc3WysuK1NNz7dorLXYVxgOil4AIEVd8wvmWyiO1te5bedkII3wW8w4cShwed0neHRcHg
iTsKmhp/5Tjcd9iTwdPpOjHMIY3L2R3YrvdSP7puuV5La/1iiUbRYBOhPcJ37fhsm0Q+zRCfKZiT
qxwLLZSE+9keHoMcih18AqK1WEl4k7hnmYrSp9RjzNwOx6B8thNxLeyiJZtUwx6VjW8SL4W/mq3D
inZ66Jfx2vN0XvgykWZgJp0eCmFwDWp8IzCIHH/YNtMf4Gb6Sqv3AyfKekhFCmc08uKGuBOnQxyj
HQ0kD/GUP7RVrrDC5nccA3pUFgnzbmN8rQud1MQ0v+9qTKCzNXVRVZ43g4mMJRaT0FANh/I8okmp
oBTpaXd1bLo4y9a+xtZZz+YmGIx5uK/rNmCN/zVZrPAnbWXKTEA3c52vwuBRZMh1tbb+WXJqE4Z6
KEwsUJbwztksg54QPy649LoazYCGcqEXxHjrY8U+bmXxulRWdpzN9a8S5bVgTxAWg0eRQUwfNYUW
NDY1fPNWN4BBB4TtOI8JpSdoCvS7GTlb8Zr1SKq38scAkbpZ83ppDXmXEXxYvusZUMcKxZNf4gaI
ctVlB9Qz7mHO1KXDCQb3kChkzWNRZmePtmTl77TyE/pveRohcDjtQ13x+Slj/Su11oLfwPglzx9I
eaAE6UFGrIJKylTISqxM+9DHRh2adf8Y6xKta6nzxGDycnZgd0UkE8R5yCE2E9A4O4okK5i2iDNa
Zg5Apkz6iqTK7u+1Bv2jYzaP2LxNdGT9v8XAf9pVxNOituLw1H7wV/+kiGj/7+hmcgKlk7Z581cj
GA2nPEu7fDWI0ekNcWw3dT+l8URAytoeday7PsnsS6QbrL+UAIcF0sSkhFUwvhctPyxXIQCg0GC0
vFJEvLpGzTuenHR+H1QR6XYoDA8VzfjTbuRDtmMPENdgQwJuq9D6KPbKlUye8olinYkVsSjd+uHW
E3PlCtefTqblKM0wJxnAKb/kBtKtXFVAHqTlJy0JvGnWvZL8oRvQFZV7MaeSXcx+7xGsFFkIful1
HtcKYBgzQ3Z4thuh/Hb3eusTohEGb79mEX8csvQ/qrEzfsxjkxm0eg1nWk24rb+mC1kW1ODx7nOb
nN+5is+Zbt2O9vZSW0fiKkRAcjguSBWOoz2fB+cZEZJvrnAibOCveb4hR1wbX7PLDeM33FdsQLzO
qf20u2vLrETtPJQIlrs3MWVg+YnBC9CgnVePX3g5Jp6PDp8wXn7bxEdcRFZYBxC1Yd6adgjckL+M
9hns/Utc1qQrrgyEm5z54xrWcza8cLztyaARpJEgJU44qnAW9F5ewdVoU8Ap+W9hK903yDwK4orh
vcHURWfZV0P/QZ6UPMqlRdRSP27DwiQ2xifn6nbI5PE34VU74Kigfpmpgjh+RFJu1BMrH1nzIVzy
tVQ6GewS2hcXuL+aSx1eb2gPxCxIPHK11OAcCtaNY8MEzaQS9ikjHWaB6zGJLa7mdfiXEDpgAaam
pk9rC32Ai9WyvyE+S0WmHJPDwsINFcBwEvww6BOyt4yUD5+QHxdpwWdXuzxY+kzqSDwBxvMujtrW
S76PNzPCrbTRDNHI4XYmtkB7GSls9TQqEszZS02bXvObqABaVm3Ptqsr2VnqVmhflpntWdyB5HcA
eLMwYa6cdVgMXYZDrGCGZtiPr/lBYttEGWDm5a0zMNEx0BZBuUHznCgReBbWSdSyNZea1cct3hR0
kd0+yjBdYhgstmP2PBCynRgvnr28c4Sakd6xQE0anUeF1WkGceCYKgBkHMoIRsuFk5SxN8Q7hAUx
jBsutiJxb5F1ln7f1x9tXWeXJmXHYxjNVRWsSUBhO0TI+K02fSkp9Wiw22/lTLeTKn/QsZPuLPa9
ivCbMnmtFUYQR5t/LYwsBDkxQEApgiyEJ2Ta9saJ9aCx3VQ6Z5wxVUTpbkg5Vo7aLvvpiB0KlbL6
8/4htbG6WE6Demki+ZTBSXzK8jIJNrO9G5OEn8ORHyRJKoRyVOTEh4871Ygg+BkGNnaxDI7m1LQp
rxIWeuM+0Ys0EG3DXJEI00DO0joIxsKuyz7D6/QPzY4fbHe72zTxU3XOj6G0+6EgnCVpmYs6qfG1
GaI68OpsafkKvU6G3YIE155JleEqijZneNQkbJ56TaxzrcWP6xK/QVeswnHu3nutvKfBf0aB6oVI
CQ82rs9gaLofY6b6BlfzXpu8uknOtN7GV6RIoZE5TzaRRPwKNmSSBq90aFm0CtZiPC1gQoOtJ6se
6WaG3Lt7ZAh/P6GRVwRc8kKrh5wQNTJDLD/3rYXOpE29KlSv7MV/kwnjmZes/HAF3RIiuOqQQFf0
WRc9bSZDRPxc4Zj3PT4rjj8QSy+Gzg7RynOyl6oFbXTbnZSiBI0NpgILUeOy6jO2wiUcNjmaUWy5
D0U+y/14ejYWPMLm8LKY058NOz0ADkxgUNk+eK72vgJ16NsqfbaSjDUjIh5sliyCVRW6mXHo3PW/
BMt24qEtHCeLLOeELtBBvV2QiiuA53VJrkI9fV0Knv+8Zalmi+U07td0bm7v+JhYllQB71L1Gidk
nM9dk14nKxfnLqPO6cDOo5dhpryu9jc5t7SpMFkD1TO8Z4a494k7tWZdjsKM3+120aDWjC/6ZN5b
5AhZPUr2WG+cg9zjLty43UiNSzqf1eorfplXr5sRKAnapf6yMcDUWU8hqaJe2XWhWHuLjZpQJE9F
PT0u+4IjS5hALdILiypB8uzqBJ1CxFgnujg0MnkPNntecwvUyXIZkVfhwxh5uBmEWn3La6HerERj
FEY7Ku1d5P9g8wTsVLdQEFHNYbhqYUadWxTkNsqiv4l70zl4RnyP74xetb7lmol39dDC+PNfqQhC
LTO9PWbePoTO1btMl3M98K9V3VkHKIxsBa4OO/mwAs+IV7u8Gc2Wpfj+D2M27nSpvvcpR8E3n6aC
UPF1C0WxfE5lLfmZSGTEHgrL/RSX4m1rqYpsjdtoXN9n3UPn0ADLRHRw6k2EkW0DUEblI0JV3bo4
HSqdQZEkG9spuBQmt50j702dPMw4dF0yY0YHOcEimX6m5HiUI4hLU5CFZWuXWma/PIPbaYXS5GqI
hyjcloMzLJcJN65bi/pAhM3iGyTmCm/6lUP9Ty5oXeGup7d9Fu+ZPst4dostAL52U3fL3TwzHquJ
m0krwuw1wXZr023pEzsHh2uOscC1V5cd25LoxhNvblgiOwvKKY8GZ5vPTa8/pbZ6SKFEMr+Ip4tq
hpNhc1nnrX7pS0W4MD0InS1DUUNtR101uOhT6ALmTi9t7LNd63dgoluAcuKODpYM5Q2UuOFubKry
q+72ZLAp/bNym7usaP+sSlGPxhOnDZosdlEnh6RJbrktGDKG126uTJZ4RLqz18VpUm7HpJ+cYKC9
8Rv9qSiAHqZNfsA41p3SrfrxSlO/LXgG511/3S4uAKfk11rRYWEn/JDmW4bd+mANyImASkAnLL4S
d+6CDTw3wBLnlGr1i6avkvnBMpCFPHhccuZLW3VXd48ULhY4rnlRIqiw7gvRmDc2Vu8jxY8EphRs
7BCZ2va/hsytS4GsMsiIb2AZkd7OKYCaiV+aQ3AlbSD2kymuOcMUgSB6vUL8XBkeKa96sFrDioCl
YKlCSzJ2aRDbbRfmTX211Wku+JepjQsqno4dmBdGJyB+hrRJQxMkaFC2lk3CgHU3QcU+IUzIQWTj
5s1TVmvUhXgkQpWNXqRszGHWNr5qJLUoXZ7IVVAnt7aWkASwkgU5UWNB1kCl0267PunD2KsJGxAO
yhlJwCZoL+Tdm/rpJalnZMEGVofDjJStOCII7bAlOlyw7Sm2DCBos/eXqBK+Jv3xNDJvzxvOD6u2
2FZDJ64sL/W5M5/npXvDj/5cG8IM0DMUvjRJosja2AjY2VyRQC+H1vJe8NusR9l0l3x/SBxUBavj
fi0u++W1ALNpetu/dOrHqDfZzTbE6GVL9pHhvBwqxkNk9vH3dAt+lcggLoG3qVlCnZi/MG0g9PIT
cpKCUkW6TYTPaL8ipyFGJD5o80paMKcq3n4aAddsjomsTqnFydHk9qeAPK0SvT8Yg3pzZnFCNfZN
E/q1aTUxbuRPsduVSGmYOBekDeqmQISH3oKDdrwzGFkEgOEQiOykBaN8ZBzRR2hWNdaDLGBX7M+o
okq/HKf1sVpR5ZJU4010fNuerDo6aJ0y51854zXXdkcGZfm/whsx8OrGV59z6MZ1MZxLXHRBxrik
oPtybWxHSC5p+5beDfp2OCgLhMHSS5aV2KLWpeeSALZJV5Dd99igubG07sZDMoX2XvGlEHq4uCwa
vXrvev5Ir0tq661r4G80jPMY+qBviFZOoaO3DB+t7EafNAkRGNmMDgh+FFOVMvGTJmXYZIxf7cwY
mxLV0e4sFYPbkSPxq/NQ3w1DGebG9LhiSYHNspbdP7vXoVHB61yJ1h1iNfAlx/7AFXhjCM8Iqm5w
USM5L30tr9J1f/rVfligxZoY18/QO1ymCi4/rP616NQksql+ke6R420nP4yZUjyh8TUTkdHxxBnL
7JKAuz9bMWHwrUEbhpbXZKOCdSNhMkGQSXyTSvulSoiA4mvXSXPJ48W8Lm5DNkqP/GtIHyZvn2or
Mt0bhn6Mj7VTu9fRCdU5HuPkZGw/uUBURkBMekKQMCEvxgJuWCgGkfTNzDRRmzUb/zm4mYFaMAW3
WfA9TQ5BGcOiX1PBplam1XfbwTNIWf7ERUo30/I+Z+SnO+o+k0RmMpBkXK+VgJLaDo2Dm39Db5bB
5lyc5j7JqU25fhPH41ASyAasgS/axO0XacuINoxYgm6tdskDuu1O3i+Zey+sFVsw6TsxJ1xoSIbd
WivOamneIY/h0eB2JUOgOJKxi4JZcwMkSXCPhW9qS8eyksKeJI6oj5efKoZebE3IBNIWgU1DS99S
a3Ur8UhJGz9JPasC5Eu7Ew9pH6LwVVjHBKqdRVRMQIzmRUn3KzH6996jbrKXY+6qcMF/ksKA57iZ
Qw4DKtspeW+wa+PAhGPrWNy6CKTxfSs9mEeqg34GUNcVA4b1mB5msi+b3X9xFF2o9r6nHsFh3Ve/
rN64jDd1BaNfREaJapQJNLPKcnspYgrNrmdQZw8oOAhuSs99MTwineYrETeANJ6IynkcUcyWKhQl
Mqle7KZk970dX4YZdnlTEAjKOuTPbqxzYXV7vqAMJZpaxO+wuYxV8gdd2kOT1HCrRzinNgZRxq1M
PPNQ9GzuDQQO+B1HVL7VhSqO6acovxqOoH5VEXpjOAcIX00tV2fSV5kB9n8jkURJjQnQ0J82mi+4
I9Uz+8+rK+Azi25ioFS3cegZ4ykdES9Df9yoH568bMQ/HO6QFAYRrGbIltuCeSV1tTXNqBPDCM5P
HjcTXQSxKiTB7pXFU23mJ/w7Kd1xM/Usy6jK4cl6I2H1No9DQpO42ZE3F9/NXD+jkXlkm1FUnJaN
zJ4lCVnBg1fKJVqsNkcDQGSldXaUaA4p2IBZ20NUwcwlaHsWc6b4yBPnaFUbSztXnupxpuA2mU51
bxgO/w3FSjQ1A7OgX6DvUNx71gCB0VzfvVppwUiTEeSUkEOeDWdbw5Q5LPeEvzanxNR+qrpPwlmV
N5vr3PB8xj5TaBIWcamm6z5QcPWHRAAQTbYx0mRbHrP2xuhbj5SFCVC3Yu4zockpJjpi1SczUIW0
OabVo4X7xkewQa7ENjN5W9K3PCPLGVthNcWYUlf0hEE6OGwkhvHy/8WMmeGYQuR/JtjE8l38tREv
nIliIxhHg3F9mf26NUE71Z0m6vSCn7vu2KtTUOyts/0yOkl5EnQ2dJlIWR1ygVxZz1APEwt9+aXn
crjPY3aBoiVKcG3wVsh0PakKTretZ32wDPUE4T99g0U8IslCnkfKde57tfZN44AosQcB1K7lp52W
Iac75G5sYpBXzCMyiJzWpeHszlrKsK+mYCGfsa7EPlYhLsLSX0W9zbgH59zJMo3hlOT2T7aIZ1NH
oW2gsuJ+/WGaCU7zKSNlxWLHb1BL0fyJawJb6tJb1V9hDqQRGyTsxuNaUzfsSnPsWwE/AidQPd6g
q61PiNBPThNju/DY5vfT5vpxm1HzEiBtGfl5cXgYiXvPQjdGcdfmDuyGfw3bGFYqv9ImPls37fzW
Lb6VJj4Gm1Qk10ZBYoFaDkfZPnNdR4Tt/HNYBJ5VPL5jK3lYmMWUucA/Wub6qZWsjescQl6HqsrZ
bV5Q76l2/bUbNFSS/DJwmRmDDTNhRijn9bFD2nrCYq74Wks3xNvcn1y3Yhqt08w2CYIOVBl3PTqL
/ef4TxgAsLqqOGRikv5C6q/vmMAZLemA+IU3YXfiNp3XkMGbzrFFk7hNENNIgAyWGloj9jq4p+y5
qKY/tgYwdkVc+lSYxz7XP2Uj0b1bk3fwYCz4GqOpcDppAp6Ktbt87WkOMRidBUkiY1rh8FFtDcL6
wzBjiD/6LbJug9t9/nTdmI7fK3A+4vcotu1apRnszfWbFOxzvjGmAQhA7DtPRDaZ8ox+DqmjxiWS
xUiDTEwAW//gxbN5WEb9t2uK+doY2lOjIc+sKnj4yX4F1aHj5cbB2loGWfkjG39OwNhVNwBn0cuA
9LdY+5SN+mw3aRLiXd/oE/5gutvIQn64hxiwQvamP4dHfiu05oDa+ofIFuQaZdAiSDiYG14oaRTR
sM6HFQhyObdu2PTJi101Jz5jCi8PlGZOzSXIZT/YimdzrvqI3ZBy+uekGB9i5hoBWG3l6yTHBXST
X/kqJWAkqwqXjnxZIkGWa6FpZais4oafivtWR1G0SvDuZTuDVp6537fTxEfmZAk4jQlCfePs0XkE
kijClbQE444+A6Wam+rOaX61NvseYHRg2b9fWWZhtBywcm+nosxxd5bcOZO4HZfMiDDi8fwWxsmd
8ufYKRl552/EvnkBYae/GsWha6UPKkmPNj+zzye9hmJVGicQ2NI5YwYOhc6MWl41l22pJ9h1DgPf
eJ2Z+KZSPnOcdNDEGvGYOfyfUg3Nfe19yqF91NnMkx6LTcdp7mJwKr5OpLnPKKfhXWL2Uo1oBESP
il+HKlh4K12pZJs8fFZjbpCOwfYuzv8rqcCwhXtgPawAPSag1uofKyyVL2gVPNPwX7W4gPhc5Jof
DBbCp/3bn1yY4dsAmQGdv3YLmwkx38yPWXUwVpRmPo2kpM6rph3QS+pB7R5di8MFJujnZLyU+gz9
H2mBguVhoFYw3B7R+84td5f+PVn5vvvVJKG7sKLWSD9nuJZwbhbfKiYKRSHO7VDekTlCNemhlUMv
pRnogta4bRmw2sjVn3JOzSDr7ZtJaUiwArZymNBNp2BWhtdlLFHGl3t6+zCx6KOH2vr1oo3xJ1GD
ml+K6Q+4Foo3/ugACDXsB/m66PWTLegyib4ME4suTn9hUDiwjXAwc22IB7PUloxZtRc8uogv0BVX
c/tcoe1SOhY8k+Beo8CwK9iiI4A6g4GedjBIjoz5vtsgSNLa4sJxmI0wL7yt7ORaQkFik0NWmycw
WsyTz5L0T6zDjanjJxvGexOgDgsH5fzH44vRNus+6Jp4qnbdRk4XSdbIy2QSg5L3xmOiEXc6gRhm
d1VTNjgcJtQCl0YXduQU1l4MMEkeu54Y4CT5zQp+yfrcvYCI+i/eRSVyZcNMLur7ZGfNrexnLIMD
HW4LFXLF/0l1Yt+MYO8GsPCh+EudtjuKvPivsZO7ahMC++F4G5e9OqKUM5PMIHxEP5EiBlZNo2lx
D03Jp+TMLQLoimHkNCOr4QnI5fRLmOWjrvVxSFT7YWIgMs9cx86aXadR28Khtq6QkgjYmOfAyIUR
DmP53PR1TRnNttue2BNYMwpOUZyLdHsZEQ6LEQURb94jAB12Prg9jETHjtUdISPf4caeDk1nrX4N
ke20pPMz9Gh5zCRL49lVElScFmzV/GCkCmLRxqQFGftJ1NnrxtfzcRTN8KGKwwb82G+t2jt1DaIA
YroI6NTmoPLKPOqZKKqW8bbZ6/ceeMVBz2i+yAKppuHRsfobSOhUYMze2BOjKGCl0rjeKaGUPjR4
iXBO64dW87qAY7ik2UEcY1X9Oxatp0Z2BUJmrl2zP68NnB62blPEpftvUvdO4iWse6j203QkVoXv
Tczlu+L1Q3NsviFSc46Zld0sY8NOEGoIkWqwK2hX1DiIc0oeI46HV7kg4RhcxvxSexvblPJhlctp
8R5NvOd1VpM+0xbHyh6hHCHC8bvBQizLlJnbBmkCo7AiZ7NjzCu7jAptObvZizdY161h5p00/ETL
ODCRSMoLeXjsQaCO6EsemSMSRbeVfuoyV10GzT2kYgCaNn3Wm/WEJpAdvHnQF7LLreURRPh4y9tI
iF0SwTJ8cCr3tXdaO5wYplMVeS+2NdwmhY0JF72fv8ZCHGZjfeDY0W54PHdtP9qalrLSqmGNFTuy
qeIGRp0Y1u5XRz/uuzdVTKYdjVuGAThsLR1eLB3xTWqONssikm6Gkn5Xb5sH7dGkNGIhAHqnxRHJ
+auitOLwWfTktmrd1yqXD0RWpJG7xJCE030fPi43YHCY2zdXhgBMlyb1GOdMCoyFur10zI1CrX8U
41yd8OQRo0L8kk+U6XXIvL/KLbEnuNd1M9MwhhjAJIFLY5EIOIeRSwML82ZwexQ2W2tEMzxs4x2Z
ufPAWcWBuBzTUzPQ7GQkVh0JoHyhFcW3Awm5IEeuqZMHqrc2FDb+QM8AE4ZVYO17PMucsVMeP4Px
f0nGEma/iZ5nXqBb8tRvXfXozAWoY3p0LcTShG61YLjPg08jHJp5V4RNqgSMm+WSrLDY02HYInD5
sBeKAb1BUf/X9HBwPRC7OB9Q3lnbz8Shg1RPIXs38qsi987v6+K3xKmnj9zjhOJQWpPWoxS8461G
f7BUGrB57xfOM7tcRSRFl60+67gbhY+wEPxyPXV0CsN6gDXDZCX758pqOW55bTFkN24NFNihs8xe
ZDjUHligDtKljR/4W6riltgULoRW+wM/Syj7yis6J+y4JfrAY2GBbLVd4qZqs3opjD2mwBF3JLxY
t/WiPVYT3sRGmN9c1JAuioekh+H/1kscWEjXlqNB6pvVq0jFurySJONTaZqn0uaQYM5MnVrOx4I0
EGyG9WexGGfL5v1zXCaq0mxv20WCX8dLhjB1ZWZw37SCkYQlisBbOpSTMZM/WwzPvQZoQmTwXood
YcYUsqEoFUBXCMXVrPibqwcTALpgJJmMT4RMKeUF1yBTzaBahy5EIWyx3s/xKMZQ/BBKK0ceAdi/
bCwp44k/McciIWBNzA/roEfg6Xr0rQ7irk68RPgdMqDJXNkgGouEmNa8uCFAiX1gvBfLvC8s+Msb
Jy2LwC2NL6durjvICpG6CHh6XEaTU3XYVl+UJqNGNhBAXYHOZic3o9NR5QqxNjeDhXGkpbPTKKzm
UtiJenRd0tjXUjsneBoDsSUqyrrkzsUFG5IjyKc5Q0PUCzfU8hyKo7ghwuYwzTVh4UAei05+DHAe
9c5El7LhiZnYL6558ofb+yysRcOIKDgAS21CmxB/xwuDlDS3nzkRJxpydAIxf7Pf2uYT2mfnktpt
MCnI5MtcvPdW+zR1pHjAU+ARthHcstYGumAEfMFIOuuTS5+HHJhyTZDHUaO3JqfuI582oq617U9V
4rQrfu5KTKp35CSMqFZZ7gzpEwUGYhaNiXPXW18xVcb/2DuT3UiSdDu/ipbSwhtu5qNtBCjmkQzO
ZG4cTDLp5vM8Pr0+L7Uu6ragC9ylAG0KXZ3FJBnhYcP5z/nONBFrkfNd1hIQoDtTroTZvmYxj7eV
lrfOC6JTH463xWM9ansjxtTaeb8i1eHnzrs7v8io5qw8RjBEW1OHYK5JFnN2+E8dwKwO9bdtRZa6
z4irahidc/BKRhrwfkk/gkf1WxjtfbmMoa0/9aJENVh8GcpPr4k01mjmwH1EcY8WiZbQp7uSOBzz
DQb6A3wdgeeFIQeYEZKb3mzdMcWGlsgSGPT5kTAZZ3ko10InLMkniqohBbfFsW3rJ/xTPzQugIOd
Pkjx4Avpuj8GsYpVkhXUb4YF4pl4qK3gM01iQmBR+LqYXWUzfiriNUMyvccOBKrIbu/jgr2jHz5b
aA8rXFsMSEqCFxWGfc4XxDtNIoYlUPnoucXfuWphMm88EcfYC0D/JW58bVNYRZk3G2tbk/4LrJMl
a9hhlbpJKdXZiDuMuxJQVYJHCxvSMjUF6JkHgM14yfwE426YnZOZuZRd4TPLWYR1zVyojZztzFBk
TQERmRzLgjkjUUxDDKKSVSlJukVa5zgzASNH8TOXdE3E0WvmsAMU6ZfEkzTC5jFHMMixQQmn/s3Q
FIKhynGAWM9zPGdLRQmdoIQyGbOQ0zf9cUWNM90rTXuVg+sekA4tEX+lBfaipJR3iYsSXFMiSSx2
g3uLNt8GxUyCbVRUqnDJGdhh/Yaq7NxEJp7IHplO9GRj1EKVb5hXtC5lDYyow0Q2u7b2SOwEzUb7
wCqYcOy4ri2gULDDKU25C4577EV2j0nhGioO6ChuBLygnnL1/KKBQqy4SH+zpGYmj1XAC4tCDQmr
JhxWUv5iUscSRaSnfc9EP+uD70kLfKAwE3X93qr5sZzlbSzU9i/OlNcG5np2LShKTbGqquTbG8av
IHONNWGu3yUUYdZQZMgxPRdO4W2Mks9RqeeL43NTYJVl5IykYuGAcNI52znpaxcbJL8TTv91cjcE
5TFMl+oKZWYXgAscI6d042D8kbnB/iTEpy1tDug1io85dodmND49vGF2YX6FuO/IwA4MGiANcuG5
o6eRtiMWRqeZn1I4FgwGHap/aokzY2Am5jHPZotxX+rSH7d10P0w0Ak2fdyANZHxmSj+liMELpMu
uVZ+/gT4B5JsEjx7PdJc3TOr4fBFQYqV0tgjUoNbpxdtTJWpY1eHd0MV+Scc+kAqfDqMSc8VDc9v
kdO4QAHeCvyCvIZVWTHxZSkYK7x5pRURPIPbtlUR/zr6uXO08OTAkQjvZv1cx7D6PHbDwDZ2VmXi
HYheXYIYa2glUCUYPDtW7u8kmhx/4w9o9pL5vjlcsvB3nDmnOLdD7prVGvUQ2/mkkW1eKb59dgv1
UorZhCjXoKiz6fftcp/zidi0cXE/6wdEW3MN8Q5Q4nOo55sBhOLiEK3AQxx/VWaRIKPmijWMka5f
jr/Z7MFUcRQcekyhpa1xbsnxNBKuImGMxQxnxKsqqmnj+i7+zPoL4ANlASb6Omk0Vsdwh9xfglsq
nvsUmwiedPZb7T52DsGSwZRqB2zbC52lCLXyIPTxtw4RYiiUjJM1IR+bLi9MAdTa1b3cNBX/luib
7ahdjFQBtp/TOKeg12Eayf0r1DrMY6Su1UdVeeGZHhYnyPj8E9yGWoOsF81UKHhWu2FSgeeg4TDf
AknoceSRg7MI1G1Dh4gbfsyhlCcw3OMBI2q5Z3zuTsYepyAioZqezKF4dYgwmX74SrqG2YTZZxug
upwZfP1RGbm4cArTHkdXXNqX0WARM4qXEbPe2kNZPw0MufYgelkqUsz9sIfCJLn3jMhiPWBYLUbD
3mMC6VcDR4Z14fqrGBPAPmKFGZL4Job8XDvM/odBwCds8reJme6V80S6JU9XvOT+QUUks7loke0P
DDDbcK2w364qrgokFK/dhIUnlfO0xZ+06Uvd73PZP+q6/SVKfh2VhzerRhsGO5ZtveGJhDg/wNw8
oPDweQJIFPYJ8ygVkzoT57gY0EIN92O0mQljcIO4iLEFrr7eyhDx2qQLfKa0iRcXzdMgyD7P2iVc
qTdYtDS9xYg0fpHsqxYg+FSbV2dwGUrzFBpWw66cbsyy/LTqdDs75rO1FCj5U6thg/R/0qj9nByc
/ZZOalIc1SFlLrOZaV1nO9Gt+UGVBYSQwD57sg/2EHpfS5xaiqjgarBUTAd0cAeQgJF2LvZ2EO5k
RZIJMuu5tNWwM7rfeGCZ+ZIA5ZTDM6JTg9BkFzNQZhtjc2Hs3VebJHdpv804yqUZp0t0tr3u670f
fplN4W5bjHxrK9vS1QLCGlcVuf2E/hs6jjclCWTywGSbK8xp3TTAJUzLfl1l+lLwtxGqqE943G1+
LJXsnNy5b5lYttUrp9etToyzWxocB60uBN9rHzhCDiT00ECTCudYUZ64iPf7bLQevIDHStNUts67
6APqScBnIAK97RRHP3TUwZI2bytB2BGnmFGFSyApyKjTJFmewOmFyUFshdjXa5ZodcKfCwUgLo6e
mT95pR0t9/272cV3S/XQWzxcfVa0k+0zIh7j4q6wIOpxr2UlZipryslbj02Xw370zzOjDhye1DAX
HTm91B7AJOuTGCnGS0MP+6yiGcnB9T4PhHiaavLX2t9EKIMOampYErun5BYSDv0XdS0wMw0apwys
ja6JYF9EIZE7hwuwkTOgjHKsz1VznOvwje4FSrIyZj0cmkGzBig8apktI5xiT1cvELF3YRs/N4yc
ibLCeFV1cc2mCJBKEAzcXuYrUPv+hK6OphaDhCC35fbffYIonRr5YeCGMNVdcmyZswsOTkiP8xdz
DNRCbqJO+Rn0BeuoQH7m6bln9Y0O3rAp1YVq3ZPZU7kAUOIMmOO3K8UuHpJ664MBarvKvsus6jJO
xdHoxEn23cOyD8G9nNdMKl50TSZN6rY8QFk9KRkeXRzIu5Hw6noYe5iPTrKXXHb3FbTqTUhh8SHo
42tPrgaikSnxSyWcbxpufJQT8bqa4mqE8ZdXfQUcaG6msavHCG44EseqN6v2EqaStsjRxr8aP9mB
/sOni8/J2HyOQkUPSWQdSjE1LA6s895wgP34PmJ04lt/cwuuzmNPPD9qmea1fnGdHNLPJVveBg0h
Jk42/iK8my2J9Zhx36EsbaaWxad0iww66Ygy3oun3MTjYRrpZxGYT4ly/xRFQhxiSp1V2lLBqrkL
4gTAOISnq8cbsM8Xl1RJk0FMkB6km7szfRwRrdf8dmE5yjJ5n2PqdXAIG6Ox8HTTTUtO+JhlwDXy
6V56boA5DccvZkjCRIN5NXUHYCl0zq58jAFt8AeEbCsfW6KZfPeD8Ur0LWRIgZLlgJyZER+xQASL
+f5Ifj6xJtoxpoIYdd6DFeK0wyw9cvHXwYzwN13BvJspkLOlhBg5Jv8wSI3vot55xanmdNFBz8W5
tTgT+xI2lm+gGhKf3U6R87Zonpi/zTsDTFiPK4fN4oqUEB3xUR3HlCtCx1GSJ5IGVApMl2Rd/vaJ
xfEiLHIaNEnnsAO8H98sut2iUw3NyK1TkfHoahSKyPTTCxS3Bva2f+wx9K/zfHIJDPGuFMGjDU4E
LFAbfGDeK4+RuOWNyiArc5kLqz/uX/M0DwQ1/k/SkX4YRhtfWvC+1SFwlsR67sBzodDYl+G9jTDs
YsmLloFH2Ahmc1rdT76uyUYm38PokmQj1R7l0y8Z6z+GHC6O2JPu4LaxsMCy+iFpSO1OrvtdqO5V
6D9DFsFfjwZ3W9nZoxbs+4PQL0NKooZgMUJ2j+9EkoH1SgA+FdU822JBqTS8h7jyVl3Apbb0DeiX
Mnom0gFdxoZxP3Jz83OuEkbKRtOrEiA+4mQ8dtULA/HNUBIDMXR8c/P2dTIj/Mkh8yvGnQ8jDx7O
4eSjS0c4Pp5aBQ4BM1HVyCpkfPr2rRyTiJ4bzj+T/UnA/YrBijdz+gE1dJt0/2Va4bMXWkfVIsBn
pfXjKINUJPPJnAhFF9f3kEl3gxd9SdF9DsH4Qo7qhZLcB8PAaMZpfOcBvsS3E+7jCFJMPXxYdbjv
KloMprbEyE7PGi8eMmO0jVx3O8MKDUIKylLBByDgbOMuUAziBY0jTymzUgvJKuSI5Nkud5YOJAaJ
Rdgf+mkAomgr+PRV5P1MTEvn6+zIfWJoToMqRUowf3mm9SeX6Zed4o+mBvFceb63caPg2/ENuMrg
oSqMTKZ1alrlrgeGU4PHOAUTP6sW998o8jmcfPlR92a4hYf5woN7IwnikATj8wuvZSr11iwTYniN
eGtyeZqmjDEwJkgCdGC8xpK2KanfEwL+7DiHhEVePvBrDHyfiO4r08Fw5RpMw6r0wPD+RTKadwPj
jGxzinH77wDo/anH8IOzPmXrydnu8yehuFQ0ynrzzfGv9yCxI45zhKSxf8gl1ZcnIielemvD7ify
sveFXUKRc/+e0cQ8Yi0QmhB8b56qZrgbKVd3dPcAIKxZA8iIbD/ci0Z9OJGHdYdgAPzcmd3VHlZC
fw8JrmkDO2HXcXGfofs4I9ZhQoCqeom7YeUMHIWUyRGM4ALx7thdJGLrnun+vcXKzJun5PCiXXlx
9UZydd4ZMa6yEXd3rxC7coY4LrS/Dn0l5QWFxbavp4flOW3sHkoDR2IApa91YXEvzJCnI6s+19q4
V+4rtKd+7SvLYGbGllPr+McCjMHkCUMZLeH2MpadjeRo2mxSHoNRU2fHCTPVBm0UCzT59CGx973F
AbSTzaUX4yVKpre4sYlp2HgkIE49uwnu4mhmjWxSCbnmNdYAHj2/ibk+Mlo1cTcF0OAZmAe3CT6y
FuV2wm5XJ/21MwUIXBX/CG9+KH1Yww1Ams5LdobJlU/OwSfRVRySVH2u8UTsRagPeZqeHCbBmyTp
R5I+LXMOSui5lU57o1YvvhYPPZTvVf8+mtavWE4PtcgfIpbFUhWPekwOMb7vFQ46gepPEa2xmKIz
/CYrkmPXfiRHHE3jrRjTa+ALCy6xXW98ZW6cLPkFsYu0fctLz2doXAkOO7nvXzQ2Z5WZeEWH/I4b
N2elAag5oRHqILjwWM7BsqwJvkJ9Y4J9YW4YBfJKdPBtaoZLa1OaaYmzv0W5K/E7SeYURbVnUVnQ
MWlG7KN6nns2aCp6YU5wku7n9D4oSbCn5PPN2vNObhd+esI9ydJ7pu0AtgRnVuFaQOn8i1uZd0Xr
fM5SPqmmFcAMEiaxZEgoQjUPlu3APADoiuzE+XPgnAdYfk2uu9/aLDsbuKYbHVWgpUF87mvTfHHq
6W70GNXM9k/HDXo/CT3CLCJCrM2XJo0Ocb4jl/Dc9ma7rxv4Q255tj2r3mDEtG0whiodXoXr1NsJ
L/bKNenZTRvPX3vBroxnco8zaGLdY9THYQGvFORiwogEcWGljR6/ykwbBZI2Kf19S5cyziBrDx+a
D2OanYrIfnGHP+MsXuyoO5D4SXfkgV+tNrjrwD1cZoO2JCt+lRNWfbuJ/b3rzidg6v3aiPLkXlgG
NE2mTqVxMTGobRFoE9Jn+XtjIgQZs99v8tiGvCMlzn9Vfaqey10Gq1PM4VqkNb9C6f1KAePtzSp9
QQRsoAg5P2nnYxlpc+NklQFBkiGD2cbfPcXZHRSCa2zTARpgfw4nrldLFOfcxc+eUbfbCukJbITg
K9tPP4F0iND2hKxxnsmPnRCydCXI5VHFuJ5jjJCKPDAZS3Xt2JhqoIHuZFO1m9GyTHcMRjP3vQbA
HgK/Ys5E0xB5o4/Fn5+46R/JB2dlW9hOyEgwtIWHamq5r+38KT0w9Ow3lX+dLvFMrLK2H1Q0FO9T
zOmrk+60mQk5BfmxtygThdqT9bCTGsXM1PmGwGLc5/10lWiFa2l2L00/6p1pGo/FgMs+CyFc+4qi
CjTNIGZ6Qpk4o7HoaRLZUxz34yO00Y3B9XmsTgQGyDMJXx+jMsce7wiwjiENqS03/GLQ3D4zJPk2
EdhRrVpsE42AjkIR7cxAX2fk7VXS/W6GMHn26ueBEAMzLcHOl9y7LtH6CnmL9CavHpS5+UjM8TGC
rb3V+YjjDeED5E762/EJI3ql3gmGK15p9k8hRp4tQJxiN4U0lGfgegrEsLWEIO8vE582mSqGwvaH
U5Z0iVsUScWY01AQVlGiWCWAAntNgt/ctY9Mdf3Vxlss8yFukk3UmX94XHCV2HzaeN93ZIN3jDk3
5CpuuFmAj3RqXY5YRJMl+jNO/p3ZNQyDGtxENmZjthjrWGqanbLZukh3XEc++dlYwzUTM057OJUr
A2MA3OuvlgdHlnsKyHGIAeybPgeGDs9jx5qIzWKHdYi+LzdMKTv8GhNHHmeDSbjK9k5HB63ViWcE
mnhNhmVaR72rVlma430J1cM0QMPjhXHpjKIgu1tKhoKb7d/5ZvLGrck4TnwIvFp7a3Qe7kFRSI4V
ZwhVrpgnw7q82ap7g1UbrSgfWOP+P+i6v2+5w+1I5iGu6WhdGbRaJBFpj7lKWCnS3xFWoW3PCHMY
nB1E2VMvrVNMreviu7ZuUdJ/ZlXnrMG7r1JIjgcrKbGghriIku4x8pP2lgkKpmxictR3gcssTlTK
+TsgoDfCJ9Wqjcd0vfT2rgGlwqEfMjFdEmZXDmeoUj/CL6RZnhIPVshb46UPxN8IGHX6LEr3KSVz
Nw5dddSEbbTy3mGIqp0P1dBjPjPNipCNKA+4rqmCI3PQJRTl5RxQXNeq2Kjl12iqGsqGw2kP3oqL
l3BXyE9DOBjmaztbTd3NmDv7s+4/UL5+NeCB3nAo7jkUQJYr+t+Bwf47NSVBnGjCO2nna+RUB3mI
3lCK4siIdLF/gs9Zm+saL+m5RdGa4pKNBCr/xioeq5A0WhCJS0Pv2Y72BWbTBjQg0oWXhFt8Cu1z
l7XY3FzdHJOwKYka2WR823Qbt+07LO9N0rQhDrLwLR+LHEE6fMlN4gtSVz8NvsiF4lPyPcA/281M
C3ZHvE0ElB7TMT1M+pRbPYNf1PrY+6B0Qy/84/mYOZzVygwuTQRiAONhS/64rQ2UcI+lsEVmHqHW
BMReYNduagfTfqxo9WbPeEfMLO48P3jBiOw+D9qZuZon4pASawbNS6Y/I1DQlS4sm7pFyw2Z4OZL
ICsCpzeWol1npXlFk/txQ/uaW+lxxD90lxnqiRrcs1cAx/1rslA7PjXhbnGtzYp7+4Pdz9G59G38
3FENNrOc78qHSnUmP9ygj+5iVDVirQ5GkiP4/In67IoeTY2aLpNjAZ2UKcH4GBrhqzMrfahc6zWq
oEfjGh4QF83fOtDbwgy8YwTzLR+t8NJl5JcxTOBVWnDO8qKWYggLKyIRwP6xT4W/nUQrb+jipzgG
Ija17q40Pf8px7ezGVyOLnU3S3YsdBnP47LC9XBLOineKdVdw6SPX6JSkwY4UMHWPBrRV6WM9oa4
tS4CcQCnQoyqo5LDYmXqe+AAkde9NkGWbbUq52dMGhmCa3IBgc/VoSJ+N0/xm2TyKfsp25YyzddL
hHw0uQqWgDD3EKPJILoPtD7IswkFCSKo3A1zcE/uOjg3xXQzCuWeURcWbkcNRDVrrzRtz5suVPjE
aFRyGj2/qBABE0RnrWt/r3NgEjUWCAntcksOBz2sxeaPHafYlnVMiZPtPI5zcnMsf89eiJya2t2q
IjK8j1v3QrbJOPq5BfXCDZg0dV8AYfS9xh4XiOZs6BwkiurJ3h4aEwyzsP4Q8pwPsYd0llXzze3Z
gEWQHyzDbM5YAj5xr1rE5tz2aBqY+/FODzsf6g2B64T2S7bdTTqUDltudy9KAF5D1fwpcpjgc+N0
oKWABleuvyiEgGrclBtxlr0URA+UlfYImjAO3FmR3RqrtQlyOmeCiiHOeYs6o9ulfneGG2w91JPY
uh6psKq0zm5k5RvKLui0cA6FrBe0QJtxyOrUbaQOvDXCclcqwVQshkprEsNc9QU/DjVLfGGutvPQ
HghuF0dSdY3DgLctzc+waOt9LNhcjICpNL0fO2hg8cWzFOAi32WCH7mk2TzvbujIkhZcBjwZEJKk
ziYgEZuXSX3knPyEqz7bD37OILd0D7rlvYlasusqasB39cmj5ddAxnvrGA4GaklShvvWW5DffDhT
Gp48Rx+cYIaFVEU1MlP+DZ2JUUM8vCGnVDvLoYUrzwmGd/4DpYfpQXA75HKp8qcYTq7+iNmBdmZB
PFUTYKtSI8EHsCSRvYfZ8ZJ9ssQqYgOGt2o5LNmoOWOUjwyHyH9iUEUKEyC83Pwydawj4BZ/wLmM
gH8RYrvB31JP5239xY/EoJBTdZfuBaGQVdDSgwNkbWMOXUCVs0TwCcFgtTOgs6h2uD7q6mxnyOp1
yISljKqT3yw2brq0Z/rZ6oX8WAqHaAXQGi+6Eyhn/GriYKT+vPHLOrjMXfDizmb99G17TfMUmtyl
Ysz+e0xxT2MdlIeedCx8d0duS/fShpRwjlJgm4UhDedqTtrnYky8s18Fh3keXSoF0mvsU2U0FFQb
DAXLDkgytMGAoU8x4LattfOYTDilheWqTV01zWGifqdq5ke3rB4GDI8k9AAF1uE2a4tfEVU7+xS4
qloYnplACKnb6QNk02/Y2Pxcc+Ttbb1tysZjgZpTEJRhw+PRUTCZDZQ/UettiemKGE0LVBfJB0FP
IbgQdOEkfApa+BXK+9VHpeKdYnPt/KWGNmsvliXp50wPTSHg+UK/8UcuRf6g1pnyf4QvkBDiRTbg
ZkHWj7d/37Qk+gZK3vF84e+rY8K7wVfET1VWln8M0uRlsNNf8QQGPcfkg4Bdv0nLvhlEWYjSGE+C
ZCXJd+zSSX3gedjMJLwYZ+abisV1JvCFz4XpJbV7t0jwP2Kc5of46ij/syQXsu+LcdqkXbjnLN+s
K3femrkbP+i8ePDjkQ8zOIcL/l3kbA50KVNNQuH2PsDaEAgGM7qmIDiIr00Zqw0DUURrqyuINdWY
viaXdnjB8rvcaJA31pbrvUaWDtmDDk3+HGlIaZIkTdvapIszE6aFhd5ScRleO2LGnAz0y85/hdyb
oQs3FiPQ9EcnHlWVhGu2w8btUCvxAz7kpqwxAnRcvFBxscszGYqKRWGKomPAsZaTcKYexbKft95L
rGFzATS5izAHjBljnoUOSJ19vmvzx0ZXHBWqelt2+tsipN/zgjCYdEEd0Hoxg/s+B6n3yI+VHOYB
wwo0oqy20S5iuFa+DQxHi/vDjGvsoCxnwMG+wJxStn0XI5JpZp9F5V9ar8LeFs87u0MXD6eq2sbW
Ryjw4cMJxZZcgdnAHN1yBgnFVqACIApN5L0wLYKaoQyDWTHOFcko9zqPY73LGwqosH2eUp2xc+YM
uQLzLs5HmlLBklrOqx2gc+YvjrR4nAnnSnKFAiRJJ0AjDZwSXUGFVDxga3RgITQuAi9E/7yB8lab
eLSlPEYee6Q3j28l9sM1tQYfje3wjNJK2fRmsNI1eo12LzXzSkl8eUff1nCoSgQg0yPmyt2P99fa
KOSdle32f3zeOfxwM6N3jOfMR/AqsidGlQf/t8CPy6UThjzcCk6ozTanJnQTVLgq/vpHmDQgbLX6
hZSMuoZRLOu9et/SOLPS4r0uC4oRwMzNFuOeFnz+DtrKMjsf2RxN6fIr2Ih0M12cxDYrnNTBe9m0
exu3wtrxUMjytvuqW4QaXTUX0yGq6+fYYuKp3tKU/siZYUsSr1xZhpsi+cywt+BrEixLj0Nvk+OQ
EOzDFqJIMISHHhfurhz6ae02mC9HTgImR22DGk8f9iRgJjjHehCvgeP9spmaYW4BAVIlLyMzusQn
+TjEJWnfNPnDGRDjQ6X1gT1hN41cLuPE/p7a+b6SS+ZopFdjjqN3JJWKUjDJU4C/cp0Hxk/pwJ9i
4cIrGYhdcEbiUdvUfwfdYXMnCY9z6TsfGTfBUjM6JbWpzyWnC+Lf5TaLgKLNXfsx5NzncfswKVg4
8pbCDF6EwBIBoa8dPa8t4uOZwAfYpX7LKmLPa98kNKDogygNcRG8+CIJPoc4Gy+DTVlpyJg17D0q
Ovq6P5bpn97sD53p/Cy0oI3b83HDkMtfyP/FeWzpH2HcRpZ95U0pvn5R/4bZR7qlt6pdPOOJHiCA
pIQNOddSUhbwuTMAXHIGMfqNR4acz1jRSGNbl2iB0hh38PBxugRVu6CEvuRkvHHETTkEY4HQCd7u
kizpvpXpNQX4yqQ1Zmqgknc/zaDpYanop+IDHNwqYlVaZRkZFBEFv4BkxYBhu4RDO9UvDS6nrHW5
QYDwZBDpbSbcXXbcknCCgy6F8ex3GNlbD+NvT/chW/eTrdnls+y5X36MWSUvYaS30GXwGN36rr6K
gLc8HbEZA7yEjUT0Lyhq7GEM5LdjG5LJWOgcBuMY/DlYeeIB+dJq3sYifZ/Z/Tppf8IKYoZHgAgb
wwEYCk3ApA3WEQ28nu8GrxyHCxO6BgW1N1lbW+0vtcykoULOG4TfOoMWzQlglLozRq/fhzgoW2Hc
GFhu8KCL9eg5ww7BexWO6Ehag7Fypp3IHFx2LTqAK/mFFv95aVYP8BqIrJrQGbS7BGnafQxAsmQK
OojhCZzEvktwgnlj2u96/SQDEseVRczef+lnQFxtlm7qEftnXrK0zOV8nGefgS9xokODOXA3D0Tt
YmUYB3eYT5YRv1ewYrdZHyWbjrI1Rt+s21DsVkHE3EoTGN9Sf1Hcam9b1Yx/gVnBrcM90gHSKUtj
b3L/bn2mFrTlnLIMdxujs+cofxeKSV0inpKsrk7SGvYVN+XVtMA2hyB8bZjwc2quzTfqC38yugOT
wtBvzEh2zfhtUnhKhNh9sCr75KPrTdTEw/kUfOOYsHiNUVdGuBfMew2La+dmB1mlw7ZCgasrl0xR
ndJsU1ZrHBEsrVTc6A6bOPNmZDdgw4Evu02Bt5nFOZ+23gSgt/e8aff/e+Smv3rkHPEf9chdP78+
i//yXx//x/a//bs6ueWr/lknJ6x/cP6ySKEIy/QdZf9bndzyJxKlj0Va2UoK9fc6OeAfwvV90+Nr
cTL/W52clP8QpvKlr2xfebZrqv9MnZyyKIsr/lYmp/iQmbZtS0dKix9y+fO/lcmVPel41w378+yC
1cs0ps7wOYnpFCARMRY04XJwCBclFx5mkH6r6oOp/zrQ/b0OnyX2go6ZdPKUz2fNeD3diRmapGrW
eXana2ih6tpY1sIN2BfJcEiS5qzCRwBL+xImlGElfEi4G7EnE+rZG4v4A6jSwK3eYePzkum0TIQk
MWEC53+E8q4pMd1JGKyQzYVMI53cZKu+Rc/BnYJtgAfg/B4izmaG56MG/xQNAIQDmSV8xvZaDwm2
CqqlkDRCQUxE7zmY5m7x5rjyDxIYmTZ31WPENO3gzQ/PZfrb6i3GTbc4L3eZmf22ZPuREIsg+8pN
BW8mFTeCAR9WMPIIIQCVgY2Z7j3r2qhx/bfH6599gH/v/5PO//mGub7wYGF6mAtc+S/tf0Zrt73o
4v4cMV8wws+0fxdh+BsILivCBIZKTqROAqq5ynJfB29RfEkAyFSfg+zHQ+h+s180eODM4dZZL5RP
Yd9405CwsIj8GFgz/uOfV3jLD/QvT5jrSxMrBMWFSvk85X9/wua0z7H9O9irhxfDvnjzrdbwMMQd
lQ4bbmErumL48RL7V4hbKiI8wDxpDZhhjTMa2sW0HiXNRcw/2+GuNd9UdmTlwziYYelAbiuNpyYo
roJbctd+FvZL1SAoPSzdR6T/FuRhxuPIK5UBMJb4N9rnmHYETgCxegmGiz1eAvtXBcBd5t8l8BR4
DGn4GaZPDuiNrLosz0T4J0siBgUYaRwGxMOpG18EhjkT8n1o4PHE2mek77n6coNDWt/hHrFqJlgv
HiYho38Pa9zM5AVs7LkYjkKS03m40+OtZcgXAjicNW3ePOUtJ/IA+C9ILqgD0cYbfgp7k4uXGPS1
Cz7OiSpGsy5pfU7YvrFxn6N4Y5d3Eukx7ZpnZZPPp3ysBHxOdzv7CN4OIiZ9YFPIUu7gBZIFyHbx
d4cLVL0ko0IchabN3HEa6ht3mKNJJ1+NF9JBXU+r8ZL27SY13obozjS+cMxuwsbY2IxmosbZdAtZ
RFMQ3TRYSzH3MQKJ4/d26PeV6d4XxfzYQkIeaXmlbAQLEZaJjYmbv837p7aZqLSg0qMQENJidvkk
2GvyUdj490ZaQEt3V0xCcZBO+ObHtVPuFs1jrjLi1oi0OclBB74JV3DCioLo739+Y7tGXzX9yj/t
v/ae/r329L//P9eQShHp0hX7f2lIvRZ5WKTR57/f1viS/72tqX8oaUuuuwJiqGuz4f2vllTf+4dn
Kz4GLivUsj/xNf9sSXXYuxys9p7k2mA5jk216j9bUm3xD8f1XIs/8KRwYUz9Z7Y135LLsvK3ZcdT
Ui3fH1+NKaRtWnyrvy87NZgpioCD7BoXXCiqgbNtQW+ByBEDLO0tuJbyu+qgpsSAwqWXiPtKwYsK
cuZwrfVDPHHaikhYHx2A9YrL3lcw8Mi3edTdJ3NsnIuhBz/UGqu+YSZcQO5LxHhrGskiYU9UJxbG
JamVvRVQFenoafr72Y0eJluTrLdnDOAjU0KjNdI7lpBHj/LTrZSet4uCorhNqnloMcVxnpurS22V
9qMdoWbatIogTAGjLb3g0A+I+Z4gPAIvGZtvQ9cZLa4L4QeHT7btJwB3tWtHT5XXHQ3fi/cAQ+ji
I8dBYs64J9GEUgUgNmc7pvvHeyL06z1FAxjLxsrE2VIAnbgbAUFz/idL57Ekt64t0S9iBAlaTMt7
0741Ycgc0YIedF//FnXfpEIlnZbqsEhgY+/MleEpGHCdGEYyvxjGiKYPtVCPk/0If4puFPEwjzDr
2se/XxnYQm0K7kvsO8UpRlgXGaJ5DEkZ7YaCuXAGUobmBmNFLCLzs8gDd4908VIU489RNd1rBXLS
Kefk2NUjGAfkppBIkScNyUuE1vqJqR++YPLy73eYyia7BBLbCp0cArZTNVrT61SY9rPrIHbUeFNR
hAVbBjRwmmjfb9w4kU/pd+U6dE13T5URPImTLa5wrElYIzAU5Na2Yu9ZR1aWPG10FWujN8I9us2w
I/EvN/yn0Sv74jTyjmy23AFn53axB+9ZOoqwmGhR6Sxvibvynqr28IBZMfJRiZKiqYgzhCIWbJU7
+ytXTM7VXl5YZPlO54IU+7l0rhahWjT2Am8nBwO7XPtia8/DwoGMnuLfvsaRmdJqL9EWmxLTyfLi
o1N3vdTcVHIGdCWr7MqdQBCZpqyrEZRdEXnq679flT2i8AjdDcko/MHs1w9rJrYj8ebXyg9qdP+c
80phHaqR9l9nPcrQrj8MmQ53hcMPk85syGvQJgMKfVzXUDlbLk+0a2vd3LpkctfCliUNqB4vWq2B
+cn5EjFOeGI30ERtqWwXFF248wfzTVRTi/gbRajlFMm9l2S0Ro57nyZm557p3GDQ8/iQUW8E1xRh
87accMnGQcqxFC1FIBp8tgiSgq298MRpZZ1kNjhnBaAgKU5VCOYhrTjGZqQKc6NiqI+T6EEwCkEK
TJbpwfMAmbnxw86hsmaJ9jYgkhXs6z7ZCKfRdxRr0wHZ2a/YLPJLDJ9lSXo04otxwDtxnMZJHqY8
zEiCbzIeYPP/X1qs7XTWkpfAjZ9DNvRIplmJYIEw+7bRpDfTcO7nyldHb/klBUxjer8SZ4bQGEXD
mRnscI4qXLJZ2JBp29CTto9aYdXU0hQ32jI2uXADOvHCLa8yg4BmuHEDNJI/GAcALIVYHJUWHhlK
qatF+iGiTNO7/nubKa8+irx+r3o63oYR/B5K9dCxM94ZRKZvdHLeOsfxr9wh2Ztlkwic5rhNuo6Y
Kc9CTOjVvn2yEjpmsEvbFSumwFyEtsqWD98bSNcMvH0TDMfcUvbeQ/lzcmxUo9lg46x2Q6LGRkJE
IgB95xCA6rmzyr8qiEll9Oxya2FixEA9NWiJGbLbC85vwr9O5LOJPw/pf0p8umdPDEGwOWLNSS5V
FkBpG/MUM3uH0TETsAOttrhieThFZeZTYZJeWNONviTS/CFpI+6FS1GNHxIwO/cYcNVYXJHpVdfO
2vRDTuqkE18D/tbVsGDH+ApB3qAdbmI5bWnXH+hDVVu/hPxssQR5tliQUBbNk0AfaBjmn7kBfTDC
OeSUaXspidX4BE6xykioG+bgEFs1DdOh3qG9yO4B5k5nZs3M0Qnt6PC0l1j52A31lH3gocYFmhF2
bI0MWORUoSgnHK+xMxovQDWry7+XUXjBocFtmnV5eQZX/OwGhEuF2T8DYUVqpSu7P3XcY/97iW3k
1HzWD7AQTzjfj8TO/VPpQSZLR/kC7TyxK+MtJhEWo0Dz/PdOjvlvN1Xo+hymq4mMzXPhFYCkjQYb
hXT1RjUu8WZSH/UUndJu6vBi5MQD6zz7QHLKECEY3bPbmR8zcqE7LcpVITPEtZH7yNPhm9iKYMId
S/QumDq3Ks5oETmtivqbsWezVQYb28CjQrM08M9m3/12bVTepZH0YKe87FTaZviCetDlIprvIUmX
iPdZprwuCtmCOQgEpV1ja0ZAOtr1owitW5XV1Q50Ea770kRLo5z0yk0Lk13TgSucv13doFyQcwcf
CDOWV+LyiwcxXkUi95BhrG8hO+S9SPbZw/Hh5DwkEqXlW4IfdOhJZlaj8z0JLOuM0AleEsYZQ9ra
yWdvP9mNPHOd4OxbCs6nFexZ/f0zZttDLyhzQikIaB9GxoC+uW/9NLjqyEcBZlKPBHF9r8Q/df3w
hzTu4uYk6euoySoRVFDPuVkGzDjJ9rVM5WFeBCuu+4YT8hRpaBo2ZEUY1BUcCgaiO4bPCDxdd94B
i3TWVSeZUXeSRALEPTiaul8gOoj4EN1dpii+pN0vDDTBR1peiAv6JdzO2UYNw2DxFtCo2k+iL9DS
9PMZUcvHGHjJLjTyvWIDB0+VjN+DqF5k1+BtCuBNYEuCG9LXO+Hg5szTfD4rU1zlLPU+qKU86dQn
ijNNaWq79S0vgzViFpWwOo22dQFL5325dXAoYsDBYnCTvWnxPTZE9OKOCi6RxOdD/bBwsotell+h
BxwB5J7NQvkchoboAMfn8FLV6iYzBMwMVmPf9d+kNQZbAe5FTMRmUD73z8wNdygjQFv5TF4oSNde
o4HoIjrGfJmsrIFxKxEWjA9dpFU8AxisG/y5U4uLBMFPw9JYIciEdHprM7qyzkiUeLlY3EmGVmtQ
U+Oup8xK/SQ/xDXSH8StBl7Si4lBd2hZ70mejzYqbduNNxAdbJvI/FKIbl7X54y9VxO46D3BwFBZ
jZQyEUHniuRvMPRRuTa9GbyDKMuvll5+zeQbKNvBbQb3YqNU35AcsvXw+4GxjMUNV6SEqTGl99gH
fbVQccACuPowoCi6RTkCzoATBu5LR5/7fkb8CE3GLtSVuQpCX02MivS9Rb7pfZWomDdz3UTY6WMM
spltXIWvMcSYzPpx0/vnankpQf9pV/yyFLwKJDLEpLSD+DGDWZ/s8MT5MAB30iaHMZwxOVrT/BB1
7EJMnhYUL44FL4GTEQBTWwUqnMmAsqw9wvD8AlMOHWs8bmrkHSxn0Pn8Xn6TbIFZx0JUH9Z3e/Jf
jJKTOEBdefV7i9SYGa/9RA/YoKt2ERiT/QSqx9jZ+NA7C1J2iwzOSJJ/RJU/XTPve5LwEGeQpRVL
hDEkJ9zJuO0vYQhv1hqEsyVNwTyFAX0CE/D+fswatYXbSt0vyi3pwfOL3Y8/Ef6LtadT663RCjit
o+03v5gL5LzxE3hkds7LSnziB9yFQYVtzO3e6wlTFHPa1yBcyGNlPx2TJo2uw9yekURPp/AkRXHm
75uehsayO4H6OCg5Fmdznr4rF6MvtIz6XFeq283tnJ2ysY+3cDNpGyjELg51xxVBxGdDDgHUh3b4
YzExFeafsUbeVzXlCa1FcWmXF1RjoFQ476zDvkYK5yafSFzsO5cf1HraXm2ms7ihgNxOLL1nwryv
rdW9Oyy831MdffYUoi+VD1FD2wTtGkP/WSvcEZXAJ9GWDXIeTmLNkkjidcnWEeZxxGxIJUs9XzDK
8UoOYw7k72TKz1r4ybajIIAfFB9LcN4oxxYQRyxO2RyXFzx95WVw7fgkzGYTGb08/Xshzf6DnaTY
G8lYXWaVWAeSq+/xgHAq6WVOJtKYnLM6nIknADL4720dMklL+2EENmI2p0C05KAsKySDyx6h0gmG
e7DtXMyWGQmvNHrHk6nik2ca0cXqo/5RTtkvisAFWtgSRAUjnFOfuTS8fJAepFyDvY6OkW/9ZyfD
/J+jvmhhdydjYtMIUWilKKRDR5nPToNWsEoHcWDr3LwuBsDViJtVh/oy0JHDy/vHjxpn5zVgkC3o
kwfPxGk5eao+kGLfYgD1rHfojrGdHFWRv6e9BabOr4E2G/ahjD0YJIb5AtjhKWNwy8plZhGkEcDb
nFq3H4ivM5R9jkf1rnWX7FsjfohKmWf4k85JA1zFIIKLA0BCDUmPEMe0tv1d3frdOZxwTsgGeHZY
mz5LARGQdKKVEcpXaPwjSdnEJlmot0/gWl6NxvgLsQ39LAG4HWJhJ9gb8/wg2BkDt1OwtdbDBeDe
fGqQ0ACDp8o0mwGp7fj/L4nyhlNb2e+TMEFVA82Prc7CRtmMzMKVa546szBPCkkCSgSyQzQRJWzd
6tzL5ORZ+sNCu/gN8t9fABW0INuZ2eK0hiM1nSqiQPOhM3cskrTN3HNrWPG9zeMHPbT5jMF85Jxp
lOSgzyOCyBiJCZewc85hQvTZjoQP/1ea40eoPL7lsinPcPFYGJwc/lpTDttkZOhto4Booow0ajPb
JdViKJqn+Nio6YsFicV67JxLoykLlFnFZ9eSH5PkIDkZLXYKxMzkVPbBGXsTWgACCJacygSSLTEm
6b5H9rsq0f7gbK6vpkdfM02olAlgIHinQSkwEtJA+8MCVErs8VrKEeN7lh97BpRXWM8hHp8OzOcw
flf1G6TU6ctNGJEj5NkVTO0R91f6pRrSW28Of+YEZK4lTHkeiD/DjMV4wGQXRKNBkT3j8VAFikmZ
vEzx/FmaJiW29DGGMmvWSV5/zdUUUFHg1/Il4P6sCct9P306NmlmuYsVKcB5IeI53gAEU49irJHL
YqXusYg9jGiuVgXTzjfVl1htLMq2zvmbdHmFkmP4u5jQ5hHjVBb2zboWYCgzNKppQdu2GBYPZvPB
QHzYOglitKD06htA0qIme0EoJU4au88TWXhwGvPo9793QHyMbShSBP09IW1B4zPslM61zbjVWN/a
vbLS5lp74juuypfc6AKoWum8dttR7doeArXtdMAArchBNhHiZ0Y3PIaLm4pspn001i8uEOzal+6t
Y3B5nkqkYBPWNT/HgtAU6XDhOKbWUFLJJQpiA5F8Of5QKv5KPgwzBTgJQpmYG7hlJKLQ6SX3/BiQ
wNNGziEK9HzGL81H6X00OfYRalV99VpYbgipCIcAjHoe/AVr546EKBSUhE7BA2vSSb/8e/Hp6KUA
7w81gDPU3yRumkC9Dl1dTVd7jPRRevpZp+XvKMTTFGmjW4zC86afcvPa+zNtlJGpawU5xwofnW7l
zY42gdsaF3Km6uvk4WhFV3AUg+1f3PFW96zADTGqPINAauYQOoHZSfIj49HnyK70ljbZVow4hRLp
XUqlh3uVAeN0wuw9R6m3qRc+sgu9rRfDZ15zgpa2mo906bzN0HG48Yeh38rO33RLZ69s7F2sOZP0
aeceElm9edg82ETdCuEo1B3GfvElBWQ4OmP6nRHgg8q6KNZEWpOrEITem5TzPnBq9tuy3UdRs69s
p3xpjEgR3nr1B+816rPuowx6jshe7h6lPe8Ckf31YsfeMpAfVLAER2I6yZL87E3UPso8DmWzoWrP
14Nbt7uwGyC+ycq5xgE6YqX9VTm22TWphq/Im//ElBx4FFrkjSS716xkMBhi+wpfdlgVC7u8rw04
XX6XHEedn+KK4YR2kd8QYpcU8kABCdJBTw4BkWTYV6bi/s8+dDk8OpA5u2mYPlhrf3f4LdBxQHtJ
OImi+wdJPqhfQQblGooh8qAwil5qvMEkiL6btuGcAKfRIUKiuq+8ClVdal4ECu6LKfuDDwJppysX
lbvbHLwpfglME8+M1bg0GzBYykJjO2o+hBuRmlqmjExYCOcp+M/rMoCNWfuT/yBzMMjAPCzXbes2
V9vN5N6uPOs4D+YJbW+2jZnlrHWGkjjV/rPyOAhyLi7fUtG9qvrDFLn1G3wPd3wRI3HP8U33o/97
8vg0TghhPJTVSyKb4Tg63Tacs+ZKMNbaGJyr11vFPYjCn/2AgiGl8Y8/lD4J2vjiDA5n9irvBN84
45ZjwytGYeDjIm4nwpct8ngh4G9TGU2fBFAjf0DFqV6ZJpLgRkGYhuIx5JgKqFpS5GqEHTPOsVJn
3hqt2llV1Wx00CLimpz2BNjjb9NHmFkIWY3c/Tz4/RlVIHggdU5F2pzi5SWU0zfaaNI2Kc/PMMy3
gxV0mACi/qjJ0csdGV2BWlisDiHqwd7MOCjzhZOPAfVXJ8CFAkR0kDZM0EdVf4aVfpxM1wIb6JFz
1TFXGnMD4TF5f0M5pgfokfuJ7sXagzy4djVzqtbFMa9anHvj3HGJ4MK6kMTOvur3Rgl/gzJH7Urj
Zlk5wqWRVNrBrGCDdDBjg45UMUEaSApWY55Bb7RBdRorP0GeS0itcIIM9kb+kuSEQmYzBWgUoqez
bJe0YubZFunlRvkao3/ct4IMkbmExBmOgFjroU3oEibbGjQjkzyQBFW5RDubR6dnam12JvK0TI/0
zBHr2RFa7zJr01MWVwPNGOeWVdhUgtwat4PwnH1i2L+En8odtp2fJK+BAjD1sJOanQsl0DplTL4G
fByd8yh1aG8wNEkSEjWw2Gdkt8/Kp0tsYqkdm/wVmhMsLYfxSxN7xhH01slpmPSrOOPGwHfQtRpE
1WHy0vTWBfqZ982FjWPpZ46nOYgIQcj1p53ANybpcNpACKDhqV1jVeJn7fP0DXpC+w5O+EfpGXtv
AGINGIn1y7XuvY8EQFrav/jo3gGVafj1rrGrmUWkVBfHHlzByvfJR/EV4sssCLHtuV8zAfTHYm6w
GJc4mea6+1G6VbYdiBlpcWPFsUFh/DeYgYtmBCx55DDUvhHt3ZKUrXg5zCA8IFeD0+/Wa3rMr55P
gEWPTNpIDHDjWUgeotl4a+CstIA6E3PTKoO3fUZQ7+59dXHvQ9ahq4uae+ymh4zibN2GXrdtJuYU
g5PtaCeIDQk2I1axFpSYBn3L6LV0Rmfpek14KTANu+6lwvLv2VZ0K1Apr2cenW0YlQN5c1AOPYAJ
h6hB9abbhTju+Vf0BZSegj0LM7jiEpLpBNeuMiHhii46TTYD7Wlq2DN94iSCHs6s1wmMls0L0eQR
XFAyuSKg2Hs3+KnDyN8zeAP30AL7gBpOyJzp7424boiTibw1YCoqkp4jxsC2nHNoQrd40lLycw6C
gNCCXUswFllgwVorlKt2gJGPwK25NB2o9/69NVFq4OeOMYqTpFTMOfPl/gpP96rbZT8qwpF9scOR
OC/OqNZJ1sphvZB46pZQgbLU28hu747X4PAmArpXbDIR/SYDA1lb5x+z4ACNq/o/0ri8w+BSj7SB
aggJQS6rM1Soc9n1TD62ArrowWnFByzQfK1T/mc1ShcUQMWOlb5fGd4iigmQciHcr3HTPRoYf4co
L9Q2196b/YD7kz7GSW9ICjcemeX+NgggskxS7Mai+msZtJNyCbLH82pN1xD1YhwVxCXyQa2YJK9O
tL+wkKF+G6EIRLLLtqZMqQ4NKuwoghtXL6lC9sHE2LfLVDVRf+1RvmpMU1m2zRbYlFc80w/CnJAH
Wv0HNBR7azjOP+E+E6ue3peMvyw1nDAmObRJcw0chIZBV/VYKukzeX7fnhKMc8Ll1raX3Cev/jkK
kgQJo0B1D/zMM/lsdpBviTfGOFJk9OLCBm2lJTgkM40KNkEHLNzHHbWKyGvN/OCXAXOJUKcvRpN/
51rPr/F8cwV6BwTm1oryS62dOk9OLmrduHY/BmW8Sw8/I7gGidjp1vGYXN0kfZZJ7h+88m+4SDSm
WUxY4qi4VKuOUAggl7GjcX7L32Ta9Cf2iV/Luci04IRHwvkDQsg45LZ/tyWZpHnmfrBumsBMGug1
UbUVyC055GIHDRipprVfv8dOSdCWs8bsrm7lGP4JscqtE5nY6znJ+82CMkkLGLPEHYmpnA9WVexz
2NpwfvrunPiEAtCPDI5Z4jFbTIxtDvJl31E6r3HJfdWp/E0AZvA0gCVXlMN19ujDXp6rPsS6rLyL
jyGfHnv5X6hFfUoCWtwpWAtbNXcIoiNurGkpJxMaxsr/g3D/S5QhkpIJf1+SJCtagSnJGSxfSeuD
R6iift93EXjOsPfQZSUlq4ywL31RP5S0xK4cOXOmuDCAnFrEuG+gH7COMlkveujDDbCeVQtrCr84
+BKVN4cuzF77mZbHNHICBWo4UTXOoYCigUa/py6326KCq1AcOMYv8OxwQKlMIQIPau1ryiMOZRgS
WB/XEqVtIKW5BX5yNNu6P8cpTchKmJxACppAIAsa7TFahZngcy7cpP6SAAbIQkWZsVdlS35ySiVq
qbH/ZsPA0Mz816xNCxMFTqmAlilJCR8LOJXna5vS2t+1BhlK0TJ9snyUAnYJgAJLxrc1ApyNUyTr
M903GCQ629sie/EwoKfSzT46wzpm2N5PEeFOB8vXUH2ncVti6uRwSRA1xFoXjIbGng7drg344mFA
MXlo7iEJFv/7nyUH4QZH+Msf6a07LkMHc+7XatSbUQXMq1TCaLzE3DTIhK+Fc+FpGKIlQD4RG5+O
/hrV4NGDlnmDl3fzCOzYge2yCJEbcfHSD0Bdkf4HaSs9lYbmRNq/VQX/VmsML0no/jWjP+k41I8h
BNHZ5Pa2RkCycjzfXlcMrSjr0//aZWBqMFIYckZcXuzRO2MGwkVZgl17thanrjyup3OratT4Dk09
JsFcVlS7miEKDSwBhZCDfxbS2Rj99tB2/DMRriVK2nHAYO+uyFjHUOdrzESxNhDJ9m/xPByEhi+N
em/5mjWxzMwCqMymMAiOrnmjx0FDa+LHpe3XG7/GMe4g9g6aAbmuE+CCn+kzTxSJMTYSbOHWbZyd
G+FH9TMyp1dZGGLrED2zKjPqo3EkNC2WaX4EZrGokdtnU3NytWmrrFUw5gd7SH6rzvQ3Ndm4ZE6T
QOaM4jO0oUzGBMet0RTLVdo4gDGavN+mfnqYvTQ8Dq1x5qk0b0iuN37kB/ciCn5ovEDcL8XRK9CY
T5isOacTUje5JzKWzbvh3gtzHNblCOVVkGu1y+Q0371iqo/4+v90biIIv4Kc2dPivRlc1lCb2aNa
3jkjy7GRv6LLoiVgDO3FziImcPQji6wNt9zbcu1D6NoagGA3SWAWz8lKyo1RyG+d0PuD/Ge+hsNo
rSNnsrfMpb4oDvWNMTB2B0k3kePAeLE0NUALaQv4Dh5rP5ftb6f5geuQOZUj6FWIQd2dZHgOjr3O
DGP+DYKSeOBYbY1CVzCpS/lkT3gNTLKne79kOwCnD+sdKsxIX0bIrzEYdhZ+uGfloMduQTb8e4lU
b53M8HeTmRYVYSVOTfqF852sih5lHzXi38hm/NGQI+KCQc7dwEYZPkXnplEMtYtk77C3rTzjr0EJ
cnBL3W6z2qXPnat7nTxs3Th7QWeKTBDH+psxmaFf5UhA8qHaWF0znF3QTEXgvtaAtHa2Q9FspBmK
W4YdortWRcj2XBbNpmd5IYcXkw56BlcEj2DJhCDsmCA3/P5rv4lC2qFy6xPpuvOt/ic0vwK9v3+F
6U9UnW3cOPXcy4LV2GJRX3t1/e229kULOzk0EO4r6boEs355vfD3hW38F4wJJ6R4DlZFx3yJkdM6
yYV3thG1bvswoLjLiPZJjf5QE0G0rYXpXEPgVkyAbLU2ERk8lP0RKy9caQN0KmrRPel/kC2YTV/m
7lKrnvOtH+jrlKCGik1rbdZNfnNiumh4hLfKjq1vJ3lp6J+tRa1pVbbMvEa7BR+qXOdTwneSxnzB
+Du/QjUFPZwi2Urbn/U0E6hgRMmBm9O7jEX6m9hMJI4N60ToiBNR5jVsDgYbDBKdA/4YCYuHvC1E
3dAfY6c7gHsv1ijhmIWmrvdI0ARg+i+OY1wMr1RDWP1U9KVJ3Nn52kwfdbcYO9yHZ4fVlxym40xU
DgF5o7/LmOS+w39bDa2Ceeck7n4yveyr9ot3qWgBa7PgUB9Y9nnGp7Rxa6ffEQcZH2fIqg1Bmt+e
wrmKOIHrZzAxb+3ZxXNgMzFzhvfKdQAQkdmwncbAec7MPgG6D/nRCay3uixaRrbpSMgKhrAajxix
xf1Pd2J6L6Za3GR7I4Teuk2QdolkjjZpK/1ji72lNkjCDZWe18Q+FWTd9vk5zavxAFr9AEjEuSQu
SgIdm+T1Ln+oPSQLUxDx8Uf0YpHb7boq/aX7un4yGUZb+BT9kkUn08WS66bUncgv4iFMDsSrqyvh
Opfc55yeLT2C3raeUTo7+6aKzEsTdfMF/90mruL6OqIEHykKt4VdMCas/PhutwwYiZSdcIVz7qfh
5l+K6Vdv1P+GecWdW3nluiibGtfeWyFd1VzpTxlK90LskkmILn5NiAZ7zhnpa4lXkUfgNDh1dHLC
NjqUmOSS2gy+bOgZ24Bsj6Kr4isX1to3IyOpIWdnGRPTpfcezpA504yEnzg6odlq6WhhmDES683v
7N1sofwzPIhZ6bRWbXls3QBBsq+nXSSFex4dLF5lB7M2EdEPGnYniaSpIczlo2vnD9MHb1nMen43
YdIVzQx+LG2Sa29xSuxMYDwVSSog0XhGvGQ+2h6N1ahP8TxGnTowPW6eDSY46T8cSgEO2WJn0cJc
l6bF96idczfMMVNTirecijEKpPHG7eggzqIZrJT7w2jhA7Rz/qH2tsm9i+g9wUwIxrczrgnNBXQB
FWk9rtsdzH4AoRUzQw5FEUAjxIVlhMEHOLOYyDpZrUWQYefnhEG3o4s4xzuVBG4xAZq1e3gD5rPW
bUBzio6WmoZHg0CLrN32VNt9/VK5OeULESCDWVd7fKauNx008aAdIdt5iV4t06yXgsiZu2wwbUKo
ddBbxeN9wJcFZpUO57+3XhJl3srCbY6B/wTnwNr/r/++NOHJaS5PrRRvdk1bIwtaNshmPMqFbjIg
CEGFlL6MtJDXyLFGMlATSoQhw7sZhcGhjsDrG1gvA6P4VaUA/K1wOv7rF/3vJdPppcs5mIsi3U8Y
jmAn2fGtEw4zx9Q/9kG60y0eBW2Sq56YXojmO0V9Ra/+otNZUpoK9xGEk9qkPX6yJAXfaY0hpMui
+WG6afSObLZx+++RruffttjPkyILwkaXYHcZ/Sm9c5jB5nE8/FTzD+0xPSmrKn23MCxu4sguecoE
bYum705u07UXbeYvU0d1HE++9fCXyEhgJnLTFkm0qcA7ejH6bymC+I7pyVV62kYAsm9mT8SMb0w/
A99ihDafMS4W2P5VvSrxBjCwHFfTtiwRNlSOfYLS4h7a+NqNXrNFcPOCcFSzSDUzGg1ikLLZ/MT0
liLcQ+HPgHQ4TIXb7kzClXliIXSpRt1GpaHaWuQuGBWWVCXsej/LAQNkWH8mE971xLKopcFFbTO7
VD+YHF9ombavqXEHp+Kd84pWfzEZJoIqjqyiBardzeWzbePwypQCmoJy5W2yoUakCWMpABnjXlvs
pBm64FtU8fWNtWH+mKHW4LXOpvuYYFcYmlvKKrbygcP9MEASotkIQALl4PhRLxMw0WTyIIYpuoFW
Q9nnuXcaOuWBf04u6cW3kKRDpKLNV0/FfqhhIJGQ3lk/zPqPXxkABA312lZBsEB8f3mN+hG0LfDM
LNzaIXCJmCAEuK3GdCyARGybPrj2sGHf+xilA+RQtXyP6KyABNtuetIAoFDNrXVyzQAbX2m/kyg0
zVcCmP5SduRA4QaTeeFDaCvbxR6GYBf7vLtg5Jzqd9eztk3aCdepUVvXlB7KaJt4qLXqn6lOva1p
tX+YP3s0h0N+RkuMPg1IMkcHdwbq+8gNWArs2zhZ3qWda/NadGSyzl2id2k5j5fJrMYLvVVKzTSr
OZYKgVFh+s83avGYrZ9k3OlH5SbhiVzz31bc4/JnrLvKrHR+WoVdHTC4870tb8mDkQfEgzwo0jSv
JYqRvGc+1BUdIYYTah7vGHjsmXZREbMdWWTwDV16CAPno42ZyGYZMVvyvUoD0IWl95ohKz26TPQO
dSC+EPbuJDkZV9EwW+koaremGzgYrqgLx154r/RfUZgyZ92NPPZY9LdTEf0uWk5fgzkew4LbmAzl
fMd88OimjH8tbdRr33oLfX94aX058OOAJ0g4pOnShOLcyXHahYoW7NAEJHALozmOTOxjjSiqa0C3
LNCnVa2xhpudWEUMuteYzVnTLTPa+lHxQ7D+7PlQLZQtSklPqivpxOrqUkVpP9/0GH837pD/rBxd
7ctIJxc9EJ+jfffqTwu+TkiXYC0C22igH4G6jhHeWEio6hwhXupT9pTBLqHqBMWE1BauuO7IpcAt
WWTDLWjda0x5cRZd+xsj5sUEYb6FdYDYp7eAINDMh6tR/YIYzNUQRArjujTRSD6Qc+SbTBoACQyI
vGnVUU0WCapGXPDm5I2wygBWhP6PTsXvURyLZ5dzD7YGi3pocdQvVZt81ojs5yz1fwUW5TVtY+rz
FAk91rLtNFFkk1Uc7TMa9/cGOCVrEpjkLCsOslKfVgSWcDRxFnVgWqkQG4HlwRTBkaYDilOLaPOp
nxJgnDGU88mdtjkCg0eXBOJE5A6sLFFdybOghLeiv3MMVodOGHmvlHKtprjzupw4nwAQJ44lBJ1T
zDExwOFt9OlGLd+HObv7YajqA98x4kcdwq/gaLIakJvseDbl3svYRLGM36IeTfmszOI4ufjmfcLw
qpKpbdpxLFPMkTYM/++T4gJ2VqfPc/rlh0V7K83gT9bzu0NfUbXldYdKYcR2hX9jazUd/mkDvbAf
+mTfBAet5Qf+RdIz2xkF7KJoh+n7GaiCNHvPBSDJHIOQDRIwAg9dcJzq/+PovJrbRtIo+otQhdzA
K3OmSEljyy8oyQE5dCM0gF8/B3pYlnd3xrZIsPsL9577Blim28/0nZXv6feujKptGLnp3mBTvMFk
rXfQ2JEVztmvgbWiYkdb9Zz+hpnUe4NtRygJi7cNJK/IdL57RA6XPj0uQ4ZM1dcO90ZMfwPei9kO
b6H8ESLZBqnU/grSmrg10zEPSA0/AH7+RE7PljszDgxgM86GAlh6ZFon9EXVjjiY/rCM37XXvqTj
+Eck/UdoJ9ExDXEds18+WeyJYpelXVvekcX7MEiyL4+W5BnCCtvKmQxhQmW23z8t4aUzsSMAD/gz
AJi2dfSSoT0KtTW9zKNhbruKHRgW74Rr192Gshbv4VAC+Cl/pQV0EbLyyLxwSwwcMnmCh4ZelLLP
ZOoidpDQ/makne3c9mCzcLmlJXFnSx5yZj18w+fdCK+RlPJ1CNlB5xXEB05KYgyG9oE8i0DPtjD3
RVztrH4e34uMKFi2vKgpx3PtifbNMCO9EVAC6gkXoMWMrm/J69N1O5DFSPWUl79KZgmf8VLO5eCH
zZ5ME22hCEUW9FFTs39lPX6/0JvSZ426rK/hIQBwZ15MOUb1F7AIV2xzSwqdxWRd72qfCBHDxxUT
sg0Lo+YUez7n00AJKhpLbz4T1ngQ98CVYKGzAYvOHevusKPKDnziheQEkySiF0+KFxwH7BQSroGo
gPsczKJ/QYhHVVFt6dlQmTEbOniapQX4nPyUYYvEnmg86MiPNaFVMMglBqFRTtfILf4A92B4R/II
uq/WPaJ7ApoyGDj9IgffjNOcas//bSx2Hc4wgulccDG4pIKxRxde1sdJdhXdKKNF6byOfE5X5Onk
r0YxqU/EzpjwRNEUFTsVdT8Extq9gBCqchJj2S0Qb4yqnTkXpgFekkwiG/EnNvwZEog2XzY+uXI2
ysqduy7WCMjbU5Q6j3xyr2VB0ODKb+v+BB7ts7A+TADgd7tgw9ULqATejLyby2WxRgoCM1zQCWJM
jfOE8UP9S4O0ffMmx9hF7USEUukoNOzmz8EcXuOAVAiszajNLc/iKkl43BKbBasNi5u4Q5CqTnmd
G6c5k9gOAF7gHkUAkk7O2bILzS7FJpLH5ymTIRqsQTlg6/qaGW2SKBZy3odfYwOZqvkwemTUNIs6
xTMEG48QpKMob00WlacF6OBbFz7fd1Kygz2T0KPdJfbJdGp14wbeWQuATxVhSlHHl7DimVjlc9ze
4xJCvNt9ta2rKFMNA/jubDz6ND2pEntVhr0JUstC2LUDfYZkIxlmXecJplkiCNMAa0kSPYHXSQqf
bbQxyUTpRIilBdxb9wymqKKyY+OE8/37BfMzTlel4VV56J8b1FjWKckAFo7M/TsXjIOfZ8GlQC6I
AbYD+YUXIY+JihnCZLiYowIdJZKrRJ6iElBnqseH7DkX9qcL8c+Wu6FlDNo27rgtSh56sOEecTWd
/dTC/z1N8mxB9Dz6pSVQE4v4FMJUNAwx/iyWvymNVR4BAl1IQFmjL3b/Sja7xjzTUJ8MHXU7qoY4
mHvejzKFFk4vP7sa5B87aRr6mf5qmPfdyEOssbMFk8Uh30VJs7MmJNhphBHEpqhGq5Sxb/RgeZoG
HrwC3DCGWOG/Br0ZHhvEB2wUCe1NWUpgFTp5eNkZGRXIirCtrKLFieQ5qjvqadjpzhdbxCjwPm0A
dY3tfQUIyFZNS7Y6CyS2G75ZncrWekK2OAhG747L/1pF3XwdLcnRusjFAShu0KvfZmQ/5MuLFdaL
6igz56sPU/+/aKF+6hGAcxSpS8V2Zt2JOD1XMjwDGk54bPGsaK98J+02WUq/eNOydNoaU85vjLLs
NHkITio4v2SRGzU1CHn3yulgZW4ojZo7MTePmg3mzjG754R+7mYYwz5rA5R/pkixNTfDmfugW1nj
MO9iBDLMDf1ma/KzZ46JREmHpwD1+r1S5VuszO7IbKO9jbaJsJaImnpZn7Mg90IJi2eeTuwI6kXL
C4MoBnQ/5+KXRZ+wxryFGaLBYK4Dwkqk7xQ4jMjDwPG3tvPGOk55+i/GKWQTN3CIRLZtHbJRMENf
lEgJRrb7+aLrBkJKgF/JwmrsdEOznSsTATSxN23/przEOStpOufK9VpM1DrdtkIYp5x80SpKgwPp
NMhB8rbYOovcBPXLStbsGicP4B6kzU9WjEiHMsQuQWl0cEXVzWgs+267mwBduw80CZupV6/tThsP
wIEmfuveLkjXLcNDz05+H3BuQk3zqyeQzKcYGOWWRQKqXrbhS8HQ07Gbj4Erq7ZRZhnOqO+VwV/X
4xzZZVxwbApR91ya7OGR4a2Zteg8RUA/8XZBdtoueLehoWJux10hg+HFMIGx5YxfV1XBhrslgPcq
WvAodugSVZdzKHcRYkOe9eSie64dxENiG7XEJXmOrUktCcpDMFYssQnjK/Dkn0hk38syYxsAX1QB
9knAU55cjjk9Nt3aatjih1l3MRAG7ghoJya090+9qv5imM2280huhD92wFnuJBDJXZExzyFDvAN9
sqauFOsqdV97L2yOWSTze1HTw2QkxiMVe9alqFYERBYwsBj5lAl+/HaosXFOVb0nwvTm5jyrqa6S
XdM3zyog6VF3iJEh+AOuhAVM5meKjtbWz/w6GQ62eYa+J2kYsMeFi7i2TxcFo/3ilgFNzbDLur55
wJTeFbrt97rB+j/bnPY04z5+grI+O0YAdaMmiiMsrOfs/degx+DrYu4H2IIRzRO3BarsAQfKPZlK
qt2if5hT/EIPn5/w4E+rro0esx6Oma3bO+PR7o67rL238ARQIYndXts/ci2qa2I3rGhYAdRZVG/n
uGQCZoOK6WTdHKqh+ehkCInIseP90LN2aFo40ZhGyKqxetIDhL3N+9Tcm2ETrLQMX8JsnPcNJAR6
ql0XkDsRZvJRCvbHoI9Rl3jYwTzNcqVNmLyzRtsPuQvPqPKXyEMiTnRp/Bc6SJDsGZ9v144wtUFC
V3ERHp2C3XbjCVDuHNF4dz8cbmL2KwolJHzEmp1nPZe8dxGjbDfO4gPSDfQYzPcWUKsMRLuPgq0k
FzYpiztlJ0RXPvo81Kh3ETLRlTOASw9DbbzMc/dzws72m3p/G7KHmvQg1wGB6fxLAG0J2pxyfzy6
rR+uIXa8BZOBlciO25VGqF3l2ARKe7pBDSOpDgFFOPf6EPnurzKobnXtkvnnFh5dU++u9ZLaQxlG
/9dtMt9afA7d3hw9kPh+bcE6lLBSCoor+u5wb0zd8D7m83NqY2vl2L1LIlfxAY2KBPKc1E4F078t
CK3GxH8uAoYBJcSruH8boKXvbVSmfAmT9TzD5RsJ3WRHhJGPBzpLhiMwxdwoPeDszNIHUBYcGkB+
R9wGLUNN4HrWQohdxlB+uGc1fPVj7ayDkmB6LRW84Knn/sIAikpD/jMEjl7frzGq5vV5yMoXh/aT
fRzJap0xXyvENzZuTao2GnJEL9wZ+dks+p+yFf3WZ7Ob+Q01jverx8y4jo7g8ZyLEbNVjcZ0J6O/
Rg7P3baYTRvVa90Vf9j4/WBDQO4GcKVGP4GUnGXejuwMmOcC+sZh0f3x2okgjY4UNp/wPMuiQVeQ
0ieWMfyDDo3RiAg679xFJ1ESIBxaj75KmmM5lY+ROpYFQkClNxkz2kei2pI5Zn1qR+9xDmnRBEDl
Kf6B1OaE79mg16L56XbVV0HbtUrm+Z/rzli/dU/SNYKO0Znfkjo5wickJDP+NblQ9Ln2GGkaN0Q1
H1U888B0zjaL1ZG8tUOs23e3wawYMXoPooT7ucS0pu1N2Tv/jVH0WuTmGT7iL2fqD4ZX7VQaIxLN
Np0d/lB90ay1naNYiOMIY1L6M6aL27Y1w3Uj5sjNkXHb5bTBGPeW4AsjcTNjVG07722PgUL4nThm
ll/cnOXtcg1Uc57wXvDyte/W0L4KtIN3Frvde+9yapdiRCUW9GtBb31gV/HPpy+iJiXBzybdFpGR
Y+74GQLErvoEZ8279LXrXdrlJZxYMNV4uFPwghFt1dkILW/r9wwmZFgBYFsPA6X7bMcxI2BEZyoz
TYwGuC08khk3MsGr3NMsmjl1rM23rIu69EYnk95yJ0tvgPR/9z0FT0TRu1Zdmt1Gv+sOUnofk4in
Q9plvyoOUZT9eq9do7jMumh2Y1zXjIfYnSEPw0LKYIUutbtNA2Mkx4+eiD1+2t3YHD1E5IzRWL7E
efWVyQ5bMawAIW1nF7hZTTwUsZ5s/+luqlMXFv8ZdgG8tPazg9+Pv6dGXQejnUDeYn3J294itA2F
AHU7Osay2aaB+ttZ0CLp+reNRTQPANTknPssFkLM56uGYpi+iyB3308+DKIyjoEshlvYkIUXjVRW
yaJJ1RdE2f11BAzDasPFpBmjNkFihOZHFSzB8WCYdXJ28B4eVfvv+2quNf5zQNQfhSz80/dLkJkA
itOk2WSeh289crDwVvrRsBHuTP9nKib+NJLqSqyDZyzq4/n7V2mCHs6RQwwLoWpfLDQua2WmaD9y
JqwchX9Tgs1PFc2vxPNwJKNU00z5ryAKKD1t+jTq1B0H2qKFs92zYJcCAwhZvvDfzYHHq7KJY1EC
76Bqio+gDG/SwEPp5uqrTqn24ImzdWhgWQQoFmwPb342lPskhx4QKRt7psq8bZBQmQ1ZnoAAltY5
ngc4CKXlsvfEs4N8d5lPOPsUoP0tzzHiuh6JImHO0iBuxBMqhP/M0Dhs+5GVhhPbzygB6FHRP82r
BhskU0urRH8gL8xGPWx/8JIcolxHl45e5dm8tbCn8CxkCfK18NYMVXs0U9Q2OiSEDbtSG15rNo4H
4C3cpiXTEctQfMVLZmKGcWKLGyJlHF8FHyh3rh3wKJp0dWMUXLLlhawgHC2ocncF+OJjaskPYmWZ
aPlIGHAZ5zpF8jpzx4Se+M/FnbmyI36akRn0Wo3yzQKlcnKs7iVLarkXTbyTDt97MoFePJPIXiAv
B52SOYEL1OdKITyxAw6xYZFDGjkJD1sTrfqGOdm+QEZ5HKV3JyG1OFYYuVZuGhm71ObRhHhwg+Qy
xmTG0ZuXKyAHq2FkE4Zsur+NGs5UPNNx010Qi8Kjx6beNvXwgASFxdt9pKKo76xmEElmNgCHVhwt
5R496e8qQ+e3oXK6R2chxWGATInvG+ho22hvfGKJavYBG5+uQttHGTSwRO2Ndxfr4Jmf/X0EgaQd
Ynlrxw8+u4pUc0zjF9ESW0FCzUuCFjEg8BrQLKMRU/CDlYN/GFt9UDG4+DhhdeWGf9EymbtuQumZ
R310t0104JGJFqb56jPHf+Zemb4mLbnTRhuyQlj+a84A6zSG9D5uSHKOaOdrPRnkpkRxDucAtWpv
1vAfrN+qgIfrN9mEIkYtKpRkcYqTCUeCVjESlzCZxsdYA7Ke0OUAzsZ6WONXKxUewpkDFvbdf+EU
oL+zB3mwJufZuhHSvjYeD4q9rV3gFI+r79BSNEtmW2zizIaBGKZXT/92tBWfAIOKU4kINiOs9hCb
bgRsLZyOCZbXhoBKSGaLSBoNVnj6/lVbV09TCH8Hl4NMNOUMuygla9cOWpguzjMUhHKXCLfYlbOA
KaTd7eoGAZyd11thRvmzrADFCcauhGD+Ks2heRlicg2qsMj3cdL+Lqj6D1NTxmjqKPZp26Z8K4Lm
veutv4Gl6kcdFeG59Kr3JLQHxu7mn6xuI87uPH/kgnsOnvMWNeOIrwb9GdPHAwxr58JSw6tVtmfe
JLa694H7pPIYhjEG6zHl850J/eaDZaYyMqwrAq48MiDU5IsTzhqxkppuyFNAPeYJnVzUDdikAmDb
NtRWQoRc+cx6Rvhdi5FZfUmHWK2pNsqHgXO5rOI3E8ndRpUSCxCaUtz1AWbHojwHWV0+l8YTIBud
mLZP1UJhtpNWPXGrnecUoS/+yWgdWN6S2QJ2NnStzZQs2357Wy0edml1R19SZHDKRxdlUGrNdIDK
M9VrSzrnzpt88k2CMUflhR0sI4vnYrfWafTlheEi3FlH2fijraPAb3UyvXgzmxKVWSD/ydhqz4Ak
4KfVfweepTtG72FdS9yQsTiycO+Pg66gAc7w3SEpX12rSzhma+M0qO6q6GlWfjdhffOABZZQehiY
G8QM6vwVUzfhpyWYcL7CqwIqDcr1PgYp8DNIzPzZEby8K1X4ZwrVOWyq/kQvkm+MltqYBJjXORuc
g9tkJDjQ1cU5m2oUT+XebbDBJ0nq3pdpT0QweBVEQFo47XFulqDZsvDWhl50iVT2wbTEvPYh4Ux1
EKDhCZh2SV70FBEDhDg2G/rd7FTuWZnhK1EQxG+I5r9eOgeBnWXn9aLZ2DiDj2wFrUUKHjJnxk3g
863LiuSHXcMah9XzXsuyPSF8RhVvd6e4untoOe05exiQipEVU1B3lngNPaa6dFyvfoUwRPTC3/pD
cyAWSR7GUO5r4ce3UDor+i3cXCyANyOn6dptxLi1s4iElB5/iREn5sVQZ7qCF3Rj/esQkDlSTpzV
JvVLGtzcipEk5TwR10g/1kwAyJMetxWX0A1XYLM35/pfSlbbmoFhu/Xpq6TsfhhkI17KGRZshZV4
zS61Xlsaq28etXuSzjACxM7GSrr8FICq309qeK8WfW0VhJRiPg6osSlRFUTOhN+HaBybRVUQVC6F
3pXF03gcGEq5rSasoGpeId0T4AeY3fO8CIFqiOJYG88o0E9UUMkh8CoUBRZ62VFR6mdOue/oAe9m
05pH0yxcjHd1cE2GDDpez72Es/0sHd9aTw4CSbtWzaYc4Xb08kRUO74niPzf+y2P6QUJwNbejocT
A0YYIZg4Y8tGo9XRMVY1GddpvWNMplk6BxHc6SiDqS6r8wRdtsAEvO8EaWUx0uUooJFwWm/+iamn
XrGtAHMpSAJQZp8zUfgtctu8BSMXU9d7ctfI8jmYaj64FT9yn2MGq4KSQFsH+V1GgCW390p0trmN
h/4nVd9AdBz1nzAhBbcA6DMen7Jyf/p58OAOpzwEkPCSEtkJ9fE/09HBI1By7wcFAtw4/1MY4NBn
gUgd37NKTDa/k74KIycoxLJvrpb23klM+70qrnwUYOCj4S8E1Bevi9p1xK5lMwdiOlvBSGKlDP7G
PqNjXZmMqAyrWWeq+OyxuR9qW7y0VIUbenJ6h7lOTzNlV6gq7ywt7RHLcoqgbW7x2xAJKXlCLWaV
a8rVGyOLmw+UYxuR6HJBscTQVspyY+N3Oyt/CSyes3ibzHlKyDqbVBKeHk0zYecsimeZ6mhfTVVy
Nbg5d3OV/bXmMtw0PqP0ssf+3zjZJfbxrC9CyjScnshHtrwp67CB4AQogwe+Fq9JqfPD2EX3wiHj
YYy99EeAQPpQGiYgVzIzKt0ZO0O1854x5QvrJP9gjjBTFbomt67Phd0I9sDoxOuMKyZv4GODpDpG
UWq+5SR6YZn4UlHlH6gmpy0hGIhx7cq9LHufpA+OfguZoBf0M94AklKk/QRTHNx76yIDiJEvR47z
kjWlcUoo77faFSMeWy9/RKEDlrKuMb8y1y98mhIVspCJUVldVNnGl3HgSpwEtTGq/qPuMNEQisn6
RjDPT7NPJMtA6yGAC4AaEBPeVTS4G9TKm7n1/QNn4C9kHSwEA5LGk/xBdFLzYmNwwhduDOsYuCax
w0BAs/niwmxWurnPeR/e7dh6IkXujx5ROKoLL9hR2sZ6SVCavkSVfIWgCTLeG7/GCl6UDJxPtyq6
Y0oACyYlJnO94ABUOZgon6xE1x0us9yrjg+j9cHRT4lgz0iQvI+slLXKlVPvYxqotHvmrGaLUbUz
tVibWUFPUhkvTevPBy8fAI2FJbPPBIxvo5M35apXy3W/gqogJKrHgeLOTGl6Z2y3pjD/M4ZgOBaZ
7XNMz+Urs4aDzU92thPSTqN87/ZG8JEXQI1S/08S5dhvCe2BxzW9j+3Ox+MScuA+qMjkOkMxvG6Y
eAFNsf4RfBluXY0GJJcI0YMy/o2TGTc2cSHVmFw9RvTnaSqKva8ARZUiyS/fL1rzAXlM01ed2hUI
Dh+BhaAuNz3z4jQV7pvEfJ2RKm8ZN4iLWrBdiEXFBVL4e+NO0eF7AVEqjm3yiAt+i6tlBq9h37gv
eRmdYSPMW8c1h42TaaYqbQWE0UUm0BkHdIkBaDG6+kBtwK0LxjDJXXgz9RB6EmKDAeJMCmctAdUH
NB0zmo78MhZoA2h29kno3GqEYvvSkQwcWUmeUYdw1Bm04JABrADUh4fxd6wIrWKlSRCcZFUuNYZk
NF2lRm45K1QEKvlplyyD1YAboE3SEx1EeAhCqL1dz1y+c3CK1jK7jJIZnqpSuRkCws8iBE9gmJZt
mE0kY5Z0aDqJSTWIHSr4TbUPNRGp1o8xY5TMSA19pVjYaQn5EiL7GYyteZaaJ4zge/JG8lzuKmZz
CzayZ8d1N5Nn2VJqBXbnrrK2gxxUBe+zh3csH3NEZ9UbotfXBq6eTavKyssH+8vXQXZsKwRabXi9
E4kYSCk6gYqw4Szuie5pa+s1SYIfpUsg6Rw776T3UkfiH8tQxjqUwiuawabLLpxt059mFaI2xH9f
rVE0e1gx+oAlAZLLVNe7pIGiyzDTXdlDfu6QYawwbC9etQBWrHSnrWHFCAaU86BOw1QLBSQmOTf5
21bIn/B26zGNd8aQMJ9EycxDN5IUUcbroWXrxXH6d5Ljedln0pe91gzBIyP4oiHeERqqmNWmmO4l
qff9awLjCiE00KGUyFdSBDZWyHAxH1HG5THTX5M7fXRD81KGbrdWsmRwatRIIAf/NrP1e5imi0C4
ryJ0qRYU+YbRgBVam06t+2FiU4d8eQMNawOTpD6PvRXd/ZTgZpPxOMaV4oITaj0JZoVS+D86IzrN
aGYfIbOKJToj2wlpbsgEP8NsG9ZT3DSnps+ftXZvraZSHDtyu4Ymfhu7GIIpZq43xyNN2yCvpC96
Gjj6NTatNZKHRd4bdu7fKKq9hxGb4oKpwloXXX7jUZhRzdRosyyssF5Cerx0GnOL0QoVl51VG0KV
FHYO9G6uaWXbfPqabBldWr88hpUzX/zJtF6W+ogZ+yfh7hLjpEVkhw/vaSiw6lqufQ3SZlkbpAC+
CbuJNf0JMEz7kfdYw3K+ETiLYG7E4J5RNWMsGnlOaFb/ZBzB5C3YHza1Oo4cqAhpcmPkmN+mLmBs
EFrGroxnvfVy38RpUr7GmiZEoDB5Oq1xI6r0M5srfKPkBDA59vchX/mtGFzE5kyd9xy/P2yjEzcy
pdQe3yk3T8HfMxiPzhBOmMU4FLRGtyKr5kitEwAUqxDtkVp7oOLPzo7Zd+uKXSeBuObeUzFhSQRC
kv9ut2ax1yH+0gGCdlBn5wElTwoq+0kvsJKdx8EaQBmL0wpeG7oCWBfjetAAbXLisLMhja8FJlhZ
nEI8IlfpotzP+0ddESrpL0ngnapezTSV+ylJzENCPG7amE92wnwgGvy0VkAMbPKPygm8j5ibs+xN
ZuYe+3BJFNOqZy3fzLLCALRiykmXQt1BCjoasIyr2OI2lhtHkJHO5CRi2aQjNrJd+AgriwF5hpIY
tCGGQObq69qfwn2GT0lqsz844/wJcsfYDjZb8aRiD2xShfItJCu2NEcYhIBEYjE6tDOsdfKGjoGZ
XEg5Hkf2LzH71i4Wpri68OQ2/UKesqtf9eBZS7gluC4WtvmMuMow82vomatUtN5b5f90ke2c4wQB
FioT+274+UMFs/Ue80PGLHXPKl8OIjBsP7hDmI+WBzP0v9qUkM+o9K5uZJH1ktTfBunu3tMOoDAz
oo1rA5d3RD8/vfbpV7C4SwTNfPB4fiWJM99ykVTxaRLxhiFCjsu6mXg8T0EdEpKQW0M4684ruERJ
PI5l9dEO2P0H1dPFzjAtRAOpD9zhBmrOqUv6EZ7LF53Av87JsT8hJIJYEaIVH4xDNv2em3gkRTjw
t3qsP42hZxolE4lPP48RNJFdXdlU9UQJkNAiZ7FHAvXa9cyqw6h46cIaBPqAFhsVpcFyZFak5Uby
JtNFyAj0D8tUy0SfKGXy0s5pzMLFtBFfJCUE98lC/UNPhvYFOIJZ611VFv5u7IxfoQXEUQysdrmK
g5VPKb23PP1SzGFB3jskdo0IN+yJ/WiJc4l0Fv5k9Yqn0bsZAo9YS/yHDlHwTsElL6G5KOvTy8f+
XmGTQgIXsmYZiEHIrZfCnz+TQlI45aRwTFkCf0ZgjwnuZJ6TXO3WxtaU5SHCOLEvgy5bQjTbX+M/
+IA77eTmx4T/ZxNOznFKUclYZf/uYL1dM1FZ7GLRNRQsEBiJBmerct8CA/FNr2fvaLOMwYdaBJRx
7EkrUkPKqheMfUBvIfNvEYK5OGZtvN94V1F8yFfW4SScqYD3jww5v3O4M/qGelyhj4MCI0z2X7hT
XhAQzOdZrdXs1Oegz3/lnq4PYHWdW4uzERvAu5EmP6IBwE+BivA8MrlneEtAvEb41Y8uwbvGxBoq
sKHXIy9bk8xSro2iMnexXaFBgwwZJuiTM2OrnTn+TJNPWTg/hWXrkzVMh4r1M0jQfyY921UxiksD
omDS3N0wYrS3fuwAFNBYLEK4c8gXiO8lWAJdCqK24nPox398P8bj5Os7ikkW+BY6J8xKAARbD3lA
3J8Lz75GU1Xs8kkRNISb6zXuvOO0xGlP2ZvVdOBqpgD0mEg3XUZoews7h/g0PCgKgmHiobZd7NHf
pqVxdPGwtyjhvBg5P+MGzlRvidhB8nBX3ewc6yR9NzPvLWyr4mx6ASPCQqENZYiILAqgUWwgjcbH
esai1awNt3mvSjrvPk38nXITbzUEOr4PaZncARH5qzAmtjkz2BUEdII9IPNrVw4/It1NO88E7W82
c3nwSvYeUVPjd4VZN07aXSMUY0E6quZkFWZzcpYXsBqgEQz+4CD8Mw8OYepNBiYLwlvdR+sEF7qJ
dfHhsvXnLSNio0vzV/IROaCgg861AwGs6LuHnU0HlCot79SAXakgHMzPvxSVDSuddg023dwVaPT9
yRqO36NLd5lfhmW5SZUkNrUP3ROtXrWDpPHLK1kz4A+q0a646TXtE/JfrQtj/2YVqDa79oQaLcsS
/vJeqx6yzIeDrzxgT/0Ni2uDUQQhVWmz8KK9hrvmxAWfts2YmR3koBAXeDYljOO0vwrXc7ZDbyUb
6L0pM4z4rRzrH42ti/0kEP5bfDFX7cLh7hPna/K7bMV0r9xV7ufYtK+MVhEaSdK37K7lD0Utza1r
KfSen3XFeLnoQUyaADifuh/6bYYpuvWqasUAaLgHnvGamhzANaDFjSaxbqXzrew5pRO4ZScuw1/x
gEldX80kKu9W3Kh7m8GpsO2BpW3q3TvPYcZe+6cEJR/tnPWFYkkhi+3jO7QxjIdpdm1y/OathWsd
Qmy5R+ga8lnl49oI9euchMwRl99GiX+DRW0eS9HTFFJftS1JTE1Hp2MFZAwVFCd5mb8QGU1ZtTjm
4l4YF1ae/xHEPWxg3N8H6amTQm6BQ5SQaujJZ5+Z3zpEbwZpAS+exgPsqFgdUMNDiF9Ekd+/mnqu
wgqY/rdkzCgZIVQcVnxb/H03BzBhTSNn9pyTZoWmgrveC9iv+V/GEE27QLYNtS5POMxwAMEsBsZi
UvshYcM+Tc0BNd7e6RyyR1tAKbqZenodllOI4x1O/bXMfAyLqlqGlXgx8HbCFRNkGFcmUj/yYOXp
+6UJE2vriPl37RWvE4XXzQCqiR6I2XqS5X/g0bJUArbu5ClOv9mJ6XGmt9i3ULgF6shEojmOYVYd
VYAxrRrOjleah0LDReGRfPEWCvr3i6nsqVl9/xKwLEPQ1mTDnUc/IRMiizPtwyjh7pXspVYaN/Ym
Vw2OOC8293bJ6A0CVIjXqEw2bhw/PGe6Ixx9xHCR9jhB2Q6Z4LPjANHKMqjL5kCSpo2Qom15Wqam
ukaV+WJ6PJXVhJkesVGL5KXkTYucBKGpXa9mXI8u8IrR8tNXTAMNyTzqi3LskQbZvgztyzQoOlkz
JxQ10f/5cDSCmbjD0AsZMbn1ZuirT5e3jkcKhYwwzqUb3yyk35vA1gTDzP3ewgq58nXenxU6wrO7
/EqQEqPS0jiIRWX5rbdUAcd2UuLXWFRQe79lUzG2THpbyw42Wab3FuaUWxzGH2YPnNmjKiAP9Y9u
xcvyn0GgiiAVl9VIxPjFoHIY5YvKJkJ7JduswU4u46Juox1IcAmxk4p569AA6B5ZWkfasTma+6xZ
8ghDcUYD+nvIJoPoEs4jBmkU3rXF/zc9nPbcl64+Jh6DwW5Il2hJEnLnmfDQFFzP8hIxVdvjWDhj
NRhZC8zBpkwYsTLQoPAU8Xomk+w4BcrnXEaxEYvEulH+IuCXMM0bzSgiT/P3OfIx4rQWZkziaY/s
3DEaZf2F1QDwjQSmeY18JSapEjJkemKPoNeWRDJUosLwsws2mDfbgfqV1xNZflN0BdX3c8AUeJxh
CMr5h1frfUd2xA6ws7Way7a6VGW4nBfTG+PM8oLTp3skFpvcYYSeUxoI89ARoQPLTo3Pdc8Yduuh
F0RWBC+maFF4pcOJr2521A5EEFkCMBYJsjhM42zlly9/RUMjy7MfU/IxODqmLOOZdQT/c3Vmy3Ez
aZJ9lbK5D+tAYB9rK7PJfeeWpCjdwChSwr4vAeDp54BV1j3TN/kzJUrUn5lARPjnfrzdZBLKp9cB
dk0zLqC0wIiASaApjnnDXhy/xQPBGhQvRFT0KEZ1KmN27GU//CzkMBbKK/aFO0W+CedcAD29aJy7
dthrtN4c8Mlys7XdOA967Lm5V1iOve46zldXZf7OrDmfZW9B0umTFSum7wvyM7B+m5JlnxzPR4dA
tHZzzgXYduF/Tkb6EPuUTnX02xSjYR5SuhkBI8CdiIbgXU7es2Xif0Y9JhiaTL8UCINt71gchoIK
HPqUvXdawbaxEf3xb9JCjK9jlfowq+wCLEyd28dWReMV7Cyaa4wCFkFDWsPB4urEH7GbqIxIRDMd
IjstTwDXSLDLlqEzYcFdVX5RpwT7K8ZZ1MNL36jAQoVGvZMVelHTL0VK6C7bekAScAeaTyrTO01K
/ylLzoaWv7NMEJm4MSgPJzfaGMQu4rmhtt5sUsoY332iVjs1L/cyf7oxuBxOdFDQ4pXI06hhFeHJ
OEAnsCAih9Wxza2TuzzzyB8damu8eQ5L9eg4xbJJOwIvo2ees/Gqq/Eb4vvaTW5czau9q3OQwHRt
5stlVvtzsa4ptN0WNCs8AC4DUmA2pJmYd7F03UZDc09goZ/3NMs8zG6Psayu8cKThzm2JZ+w2q34
2xsMR9l8DIySEx2NXVtPDe5KZclNCSoz+wrLrmUM5Ov94uYAVcFQzSERAOmlGmKxMWivPVA78qOZ
iheuqXf2D8ZTy8a1L8JrFdlflWIbumCCHBG3D1pIffSH/g7vvlx1Ew51oybRI93sIBlpZHEIVDmJ
drKpm2s3tG+MsrFjkPVh8hmQph/Y6FmbtuJFGk32taHzTmM81amEJdg7s/mYjJdRNJyGkTme8HWl
ztYOmF0bo+y3QRZ99TnptMFmvTT03Z2ilCyN2e8RcEKw5l73hElgmxj1QBsI9acR8vZ+FsNL4oSn
hIMCW7HoHiqPhS2q350Im6QCtpEwTKHCTaqoZpyRu7sf0QALT4arUePQ5vqb6I7aZOyIbrr7mZsB
4UrMZuu89+lzrmwKTmDSG2GScMainqSDX7nvR/VnGPNhNy1+7JQI/DayJaW9aA+D1eNFz7m9uwk5
qi7aaej+66zkny6b8lfiGuUqFySoatnHa95I4+51gFipLDjOfTW8yIlcUZCV7Wr2exDEFEIg7gOz
PHBDni5z+MRc/Rz25vtM6+pu1HkAI2zb1TRQR8spbpAUepWGgxAzmHts9H9y27hKcLLgPUx6LD3D
OQM+Qt3kdoj7m+UBdEEzbYYhK69JBzt5sinXy83PAHH8JvkH2ZL0UWmZoL9CrORp1LwqOZA6HfI3
JOS5A4tlESjFa0VYwCtcD4azOoQlmcnA9X0Oi955jGGxTgwDqFTHOFZUrlhlwtNb/NghaTIquqS5
uLegxyrOWpuhA1+5T72hOoGDT/1wPzFLwdjWvUkCISB802kjY3ZlQc9ns6l+dJZ85H9SbDHOw4My
xZVC7g8H/t7OSrJwHceBsZUCBFRiV3rTTPUB0mKNwNFn+5ktKhYqCtXi8FR0Hm/nsLBADI7LFEi8
uy0ffObef+c8fFPWwJZYUJLGR/vSY9vh/3Hetjr6aVWVCRCy3Efd8GHmZAdEzKE6L/uf0dzqfdjb
1rktnF3b1c8ixIYztfEtHLG3+y6qrbQ+qFj+abT65jf5kbCiuoWdz6c8IEM2tH/mhMIHK8pAdHLT
YmoH+lqizVCv0FRNDNJGs41bsmKBnV9zbUbrsgJqCHFlhfFxdDSJbsN9FwuwL8QosR58nxSiD+YS
g9TBjCPaF8tYnAQ4iG3jJsAA4vISiznbZTmyYAYEW5Qk/XtvQXfBpQZ76TyYSZocOxtYVm7gUFK2
gaFrocsYYBL3Om3vde3ITdoxSEY1xAY+ePVj6VXvqYHnIpEjFgTHxhyEixNG7K8hBG1Tw0zYAZsD
EbkAhOPMIJnIVZUPXQ59s8vWTuhzQxy4jmSBt1XklEnCIcSEExRHkOzcvqGXlg3dHpwDNjnRs3UG
Ep/FiXOcM6QUqucQd9ukv9JRgC+ROllcnxfsObRbsxaTytQ7ZnRIAn21dMYxv6CGAsct+gt2Dy6c
VKPCSnuPrk4kQA5XoHrmycUwuhBPfdRdjBiM3Bsz2bdkfypR/KyzfD63aYDkUs6gHqd2OwatvYxO
obpqTk+GxukZhw9s69x7+1rnUOt8ig5S3evHELMmG3TZrxBFQNxJypITv2aqifGw990nswdu0tkg
GevA0Lg2Tlg12FGn9gfE08vAdgN5qtuRVNFk4qK/UuZ/CayN+HHm5zJrLUgpCkw7PRdE7FN5o6/3
JDZJjQk+TdV7EEi1rszxLe2BuEwJdRDK+yrK9tcMGnAdWUTEOEmubbIWtD+nHoDZcZM1kBNFMLLL
3OaFTtgf5OY6iTnlOKyJlYNqgyy1wIKccZ3ZY7GDunVAIsh35Cj5uLecqEKf8uth+JWPgtwDg9xN
3AMtp6qiq9KfnuavTP1rUVi/QSSbj+3Ye+e85WARufTJO1QU0K7yWPXda0jTNkaOv6b5/kyr9XAI
HfcRuTRcBM8z4hT4ZlhKU07zT5dQ+NONeJJIni9en4X/kx2hklDMmM9vPjF+YvsZlpmW8ZYLbV5N
jxxl0w2mEbHuvTeMUQZePQev3VIa2YxIMU5s7+bkB4Rl9Ehr+u0l9KN9P2CfyTnvlWejSZJj4Iyb
YVlF4iT+O1iSwXncSKarDdR09WrZrNJBnD/Vvk5R3DizxAVmgNrHEZgPA8OoNqREvgUd61r9uEf7
xQFIzyY8hORXZLXVvnfqdWkl28jk/0/ZTcRWpo9eqFTw0SJX5fd7GhfcUt1xWnuiHRh+lelR1xxb
RmzBGhM7DTskXDPgxE3T3wVFD2HEx9yVKenCgOXFSOp6F8JnXA9k6IRPnixka571FKGVSf7bLugT
r0kq10AIrylrCP3lv4aE7guzx59mFwFBVt/fMp4A9Sk5pwHQNqxtJ7Z5W4ktR614W5XGIZbjck+E
CxLXmPeJaE8zMCqktl0ax4xjhcfamfLPKcbpM+/IkNZWdsrMJlgZjYfpAm4miuq0NSoG4LM/vjFM
mTAh8foQF6m4ZxC9BCTr+JRZt/gyMsjGcKj2QJdy4PBAg3XRGAc+KHpXmgGlHc6sCDPVCBL8zgV4
+W8ujudpgt7itL8Lv6vhQeVcxd6MZw52MkOJLaQZucJ88kOHvLr43IgN8KoAtwkf+tIudynZ8n3l
QXZjCX8NMP2dgb5gLzY6rlqsUekmGtxX5P3dVLCFcCSUIZhUHDHY8Gatu83BveFMY3wucDLZv4DM
cfHb7wCx1A9Axlc4mw+GJPRbzOJr4l4V+1h5eLH1SvlzTo8munXMAJruMkBdksG35K+SJJByUuKl
3T443oy8HKi/k0cIoYrqo9m1NXiiQawsP77VDoYTn2nOVDKoS3M8qMBSi1VlbwqEsEp/dIJwtBuF
Pol1M2biGbzPI+nmSqj7QDvYntmC6+TiGd4tdib3KUM2XiN1Rlg+8wu+7S+vx43GyOWJfmGbHu3Y
Xhk9yQJO4Bl8qZlMQ/lJiC17zAKgUZlpbPTclGsdh4qetGuRiEV1jZC8O2+mjZbJQFIn9P6lzIhQ
p9yBHLRtsMi0WQcFkuuWf2HcMCDVOWqZURaHruWUZXPNrmbBhpf0wWiTYIspfbiNlfVblFGyy4Oc
ikUd45UR1Yo0AG4jH8NhhRcJ8U28coWNbJaNjevfAJIaVyo3Vk4yG7fUrc95VNA21tA5RWPa1cdQ
sg0wGUNY4waLRInbH809H03eUmvjaPt3XYF/NwwoP0aRXww7qq7V4KWb3HwdGlYc5s4g6OBocRed
1krK5jCbEwl0f7o4ukkPgxkzestqF0s7RCX+Ky1L7tCVd2Hp/1RNemoSDpl92Udbv4fUUPPKayEg
JbSY9TXN9s+VsPgBQjPwcuQOSTY/xXAOzhXNFE06JvvQ4JYvgonmV9vot/GMWydqLDojEMHypmbb
sXhhGqweLNbEzxx8rFkfvhtmczRSzQxhng9ej9/a5khfpdwh3dB6iwGflXFJNQDmkT0t6SwqJM9Z
VD29kWVCtir032sSazHJaqEKE6MA7Y4VJIqDcBDtPOw2B4uIJYMdm+pIn+YzFAJKfTiulhkZ2sI6
sHTB7QDXP5Gf4XR/7erKvaLSV/vC50qQonpSkpdNAV8GvOJU8LHiX128gMc9+YNpBdWMRO3o5FHe
Hg3epblJwPXTCcBNY36h623r63h+hYhzcbng9mzRKWWqcEGA/HHlWZhlfip8qNgk/mEqZOkupEIm
mDqmlbQ+vNnav0QavxeBYTcpKFUcnJ90Uql1kEhiIP2Sa8VoqILsOsa2v3UjhTl2OHZuzSSLvjKP
m8WW0pfeNxhH6OySxPEfx1ZErpzs2tBDuKlI2q+lEsQzq1KyaAcX4olsoiaj2pXR2tNsTCvYj0ft
WIeO3HyZwHrD69seKtcNCTiEj1YQFcRk4ZUQlFoL/OrnPhOfSc2ApMZ2sGIjznzSsJ+ivAEUE+Pd
DDhL+/VlKk1j7dXA6c2SG1syV/W+aiaWb3Mcrq5h4YMPg0NiAZ21uQWoBOZd1GkgdYwacssEb1bM
8VOvGTs7NM2SDQNayA6G+sGh+qUXs5FPIDXtAwLqNLzurNmmYKE4GKp2N1kkiDBq2HSw3L4bUrXr
DwTqWdiFkZMgqyI6i02vxlgZ1g9OyQjArC8q4WSiRUoGsugPxeh+VimAaUDgq95ir48zad4bESBI
H+oLOydyAJMMfhsBgUgadTFTd2MDTck7Met95aCdHXySj0wrkXEaNIm+0TgA7MT4gXOw3GklPrym
sg/4oIGU0k2JtqypQkFowoiW40dEfOrM/m9aRUdz5CDuAg1iS/QTz5m82RhVVk3aUjmSFjcSGQew
sA4fEVPuGVUTqQrrG9nRE3VAFyN35yfVFafJg5wZ14w2HfRxPr4Tqq0TXkcTV6SB3/0Qut0hn5yP
3OLfZ43jjkvjoaw4+8zJ9J6M9b7HtVnl5AaifKSttQKtx4LxUyTzexay9VI1Z5x5IKBiR6pFJsri
bQJ9gNFLsQ4bRN50iFDFSludRdTTCMoBpExhBtWRn65DxIiot+7m/JnNkl4NogpaEv6pEo1y60wb
NRgwl++NFfSAyGgdFUgwp67L9gg81HCNGR+57h4vUcC0t47S0Ei4smywI/7q0oq5WNnsZtwkba/8
cyjwUBjlfJqwpSB0H+a801sad0CYBt1uCHh/rImrToqYVi9zfDFb+Xcchb4nqfFsSNzMoWu8270Z
rEPwaZuJoCbLQWduzElYzIYc0k58BIo6+aFQsnwz0hifNv25ZU90qI3qGluexodXpKD6GqgvyRNN
iNHFqbr+aC5WzxjnEt5d6wRPFNt3YH2WbhJsiegg+fn7vDUAPk04wHyyBPFmWMKjM3DIG5R5E6fJ
ijcdHkuArKl9wVQiWyYWrnGw/bcYVtORLM2wwyrCUQ9phptz9iepq2UqB3oEJDmCLElLEsODv7ib
X4VhvuDNIrY09oSesdH6Tj1uZG2wDXeUfZh0++46aEZgrVdNO6Z3ckwVYqoeQ3107EQxO4bo1sle
MJiemQ5jXaFt3DtbnXE3S1BVpY8QFUzNg1W1O3v08rvTBbDNFUdPttTM6wEKDiU2C3f2EM3z+i2k
UnETUBl4S8ZupyGYHsNpLFeiNJ471PFn0ExM4zMYDoBL9rmtmcIVxFhZGv2nVFJg6hHtmE3GLPPQ
188ug9tx5PzoOFgtcvrFtm5YPmVKAp7jTLb4Uch04HZLdPs5tbClJqy1B7oRWUQzz7uosqIRJ3qb
WVIecMB8hS7xg8JXyYse6R10gvSYjvZjGETpXquafXTBFGwwq/5i8RaRi2nOFikZr+93PbL1a2bK
7SBLjrhF+ZjCID4zYulRAe8ab+I18wN0g86OmFiqnddb7qEePIbpsb+b6ugvfUcS/7Po1/3MSZ+d
0Y9mAJGC9vaYajZUec+rzAGByQTbP77TvrnkDTel+RGAkN6Zrs1FIbAMx0livjB57bZzOpVHQcoR
YkzMstHDwY8526WOJzamLaDvGHQX+YT244EBnkhx4TmlvQ0wpe2MktoXRjh/nYKJZxxZp2FmfORb
IUD89DcSOs21jn8zMjYpTJyvCMjOxnM07vnP1qSqsPHT3chu3PP3Fn7v14i5wTEjyL+K7bc8ba1n
n+6NVRupYEeWDXaFDUHHsax37KjHRiq5cz3KIigY5kqic6O16scuwVKhzJZUoXHPs6wk0lbxRyE2
8yaVUJpygL/UPbBRURC8/XHYziJ/MFMXssG8yL+TBcY7sSCuqmf/qQ9SCJV9/EYjLOy5iOMzR8ET
XLdoi8uqeR7j8g0N+kc09riBGpZTnd+l4y+HFMEYGAAEFzRKDcgCSnko/zEpMNBm+xI4WbFzTXiz
+MaZ7tcwgXpuM1MWc/G49BvCiPLYJM765PTuNR+z5U0mDePVFQ4qQbisc/pLU1cRtkh57DvQ1K01
r7r0rUONB9/Z7mIz7Q5CBB+N6SVr0AAYJy1SWhXuha2nf0wUM64RVdU28tCxg+outfB+ZNNCDYfJ
xv2eMUqFz2QzUeHSDJIphErPggg20oq4Wv1kn5k1Gue0EMfCL2jpHrEWBa711yT4dmttMoh8hNK7
2dknk8TRJoqvheJYpBu4raKmyVJzfiRj9VPlYfLGQtB3+lhnvvMOjJWUoB0xkbL+YMGsD2HbBA9D
k/1IOcv62Mp4ByPyCFxfZ6DRWDCofOtD65EaODQAd9YHQ/Qf6QwtTNtRxhal7a45ZSjXnnKRNYd+
4jszentb2HevpBdhpvys86PHuVxYLD34haHl6EkAnqYkaE5lke7VFDyMaWb98N3ooJfeGZ/CmqmB
o9cw4OWpjZKeWwWGBhD9g9lGO3t4yGyYz7IgKITlffHqYr/1YhOG8d7MTGhQFa14ygWxVPUKwouH
H7Omi1rmDmPvmgBlkmFvjtiQ+SGm3ApvrcNYwYh1tRIz+s7cpAKRdXhsCnXKEyqGjR6sP0VkId8M
XjnTSK1gr0i7t5K0JHV6W+xRxt5vwt+aStGmQWfEPy+Cpr/Npf9q4eln+oUvwLVGJKCEA79ZUOUp
yRxb01Vzc8SzTAsblT8NZTJ13G2UJGDlddx0WB4nx3dXcd/km0k11RmTcB4Dn7dVdQAUHL8lwAAT
n6AewybxwCGH1Bkkcw+9i6Gyf8EJzgHQKrFbNw2yuxY/I6JyqwqFYefFdxoK8Oh15iskHLCtroZI
YSI+FPazueRC3QG1jrR3ipzq15uaWtnKbatTV8X7gOaine+6T/SJZmvBVGzN6ALJwWAdkCM2fME5
PIy4OOL4WkeGe3Wq+lHWCDLOzL4M4Dyl6Fj70SEB7lBIecQ0wzuYhdHWm2hYLhlcA+GQGaIQSXyH
TO8BMxsulPHE7J/qgtSeF/Z9jFut5gyDcXjwJFWjMIl4SdPNtOd4CAV3eXApr+Rsv3w5NWYxrwXS
fcJ++hCUQ3EapwmyeZTeofPkF5g9z5jOHcwb36weYMNhltYvnK+CU+4LTJLNT5daIAj6TntIFTET
8EV7oDHpzp2nvyPj35s0a30k8foau1hASsfAPMGsWhPRHuIOqQeoMlKSTZaMnNV0TiYW7TYczkOF
t88MPmHy6nVaRNgz2Zcc0FQAZ0I7J1qwF1anzyW2bM4XAWCtDLNMEgH5QX6K1n6g8o1Ms+psjUOK
d52hNG+1erBbnBp91Z3o6TT/9VAowzxhfWQ4+v2L38+jkkLEKIWwugwsI6dNtqMtgd3mbDQncjIH
i/Qobu34XA5BfP7+SiU026nuNRmT+MyGHAbHVHaAgDVnbdayVYDU9pLjp1/3MLTJkM9o6hq+tll7
zBqyveSElOb0kWNfApfr2E+lTZMSBJZV4bAHQznsSMYMBc1A8WNtFPGjU72IaCi2FiXO0Nadq4b9
cGgXWpJwUz4ko3dStmKewee78MSLb6XN82zRNzhXHdqPsjHlDulBlWJx7Wf9rSlzfDUj1C2qz7jN
aIMuAcqDV0xRspVRzfQHKsAXtUhQBrUD+XEmcwfMvNkWAnROLK5+sJhAmHa1C/zTZk95c5Pfs+M1
B7mkIbvJfRE1I2AnjwZG2GKxOI2PHvBMgOIhRRkZdfET14c7+2BzGl1S1eO86tzhrB2Zlymzy3vu
Mwvr0uSDmaJNuHx0Hjn/O48TKtFukHI7TpHHoLWnVXZhQliCeXYFMKmSD+ac4+S2E462RrXkL+d1
ajvq7hSKIi0be7/gDnVrXG4bbCsARyn8It1DHXX2D5cJGKS+ZFMVMOL55oyDdDgd61Z8mcuzGRKm
ttpzYC3q3ZR+SRl3H0HUfBTpzavaej9SdbfrxXLXs/0RB+EztOD8cVmsW5n+HEREocYtkz5c8356
KSurI9kd/2RDTrDQF/jjG9TrlpuNgMB1cFJuK0kMiqsyi6vvqGNZZO25wPOoQvqrfRBoiAAlpXOZ
DTMUEl3bJqyuNKmM+iA7PptTzh6li0eHKWn5Edqje58XC+skJ2M3t7Sz+hYKAsroJ5Cl+Z4q+CRG
OL5is8WGjPGZKVm3iYUJUS3vYRYl7vtotOxeEndPx7EHZuoNncbYgLWtGG3gOjWxsa4kHA5mRGoP
9eW5nsj11So+sn958gcyaklhfmGrI9Td9+kTSQ9rMVhBqzDsfcop8FZbvK+YqmjIhRA8Bbl5DKKH
bJjtWx4i1rlLH1VpRPTNpNxQ4tK31h224Aga9A9SLZfO8Oo9ou6q7MfuebDzJ9jm3b7lrH/CsJ3s
XUsA3eOkkCry8d1I2h1CNMRINnnKj1kXlpOuDKdDYzmgZuzFxzY62aVroRFNQXsIJugRdTrge1dF
eHGKr5hj6trsjHrLFGcZAxiPU+FOqxH/5oYiNuTOwOy3Q5RAqLTYmYCRwcdBPLyb5j+g5tZuagZb
xRw4EcAel/OjGi6VeAxKM3zgFZIU5z0rHDsbB91hW4aPXaCdm2iibJOQQlsHMm8PiBp7Au2KzxUx
DmyDycP3gzG1FJw36PwZ2QQMZ9Ux8J4MH5emM8eUUGCp4CqG1TngCiAvIU9e2538bvSuJaItNolz
hR95Jtd1bpMuOodewKIAwpF7od6MNgaNfvzqO9VcKPDbI+Icq3aEXUsRCzokEC4vIaI/JM7R4Ny3
NXpiAw2lLs3oRMBwPLIicF8O9kTN0li7P+3AF49xlRxYsNTzXIgzUBX9rLWa2eJZzd6kiWwTmhBe
cIzV+8Dn4wCSAecC/glGIghhA2ff3CZewRhWqfnZaificgH3pkZNzq+Gz6E1dMld51fq0psT7JGV
aEBNQFApTl4HmSYX+iVQ0wyqUiUXkFebkk0asyoLngRkqjJOpqfA4pKN2Atm6Vi/Yf4SLDrecIsq
y35giYCdtDzFtIWQE2P5Ygz2NUVwokyvt0/fX6liHo+td6rUu8sN/9qDLrTL2HzVPhLMayAU2poV
TA/msIgmyYfMrYGbAQY37VukY6BtcGdmDHLsULUf27KixKNzbVp+OGYj2IRn06d4bhzs52ZMi789
Fvwkpq0HZhO1Dfn4s66n/MGPwQuPhK+6kVhSgaXVce7U9a7cTPdbGvA8oO5ABWJWL7QMgsQlR0qr
iuczm0gSQSURgMHNPrvKf6fQBmuhoJ2noU4iSlbMESv6Fsvis453ipYYU3nka2AQ7rRrcyKrdbG3
scbAdQSuJTNIPOMYXLVpNLvEKhHvkyahZoUHiB3rGgycMVvnotMEEqmRwmIWvbYV7BLfAF+Dz+o0
tN4vVULeY+NhrsyJ3HqZNy/pgmeZxl6uORSla5aY8yTn4BQtcJwktIFcTOLQg5rnQN0fQx3dqi4i
v2Da9bWNCTdqOo44lwoMXL6cLkkSBUwkuscpK12ETJK4guHQ1TOD6wzx5Oj2TwJhA+jerW14r43U
ZtI+dA4XrOGDRZmLq80LcAQb/gREwiHV3Y4ncExvygbJJEHPqBlwYEo3FDTK9oFj8rq12/juqh5O
oGL4V1BxnoiMpl0qLUSaPbImZ49wK9ZDIdtTQfGJLaMOsjezgjAkL1PnYI0aCZpstpvPNqnlLmKs
ShUxqA5IPhd7E3J0PcPBAoiFI3rbioRXs39idjmdiYZ1F4BUil0k1VQCEOI1EzgzDUuDkFr62034
nBu7BmeklHZ3jcTXgf+2uM7oM+hrAeK29B97dtv774JHkvo1qM3yOfHj4hC7fXp1IorO6dTYw2wo
z4G/Fo7ZH6gY29nBJwYW60QVMLT4mdXp3IFGPFXoFEan9KVbipXxaRc7/AZU6IESP8vvh9z9NRKj
27mVH5y/H+ZIC24duHRqFuhN/Bs7R3gs2/jd6IPk0TbHL4+JKZ5JwoXTuGjiYaS2Yw6KrRjy9ipc
DngATPdpYN4LSXLfxcM0ckSC+YL/jzSOQTsds9EcJdwEY21jMW8S7r6UK2Tn7wdyYtkZaggj7+8v
v3/RCsdfgIVgEnxjlAAqnX2Cg2eljtHsUFeyPAmWX/7+hqjblF7p0i9Wxh5C6gIugOF6npiNnacO
K04VO/e8y8rz90v6/RXbSE4v38+LoMnR29gg9ZhGclwaUzsU1Im0DFpjglZrb7YOfQvFIAQRCfR1
8epl7fATYfQTCjpVK17216Bw4QDY5tAs2aRoanCqu967DJQ+c+2wLa6W3/h+7jZEm+qUFz+vq/Gc
L0irplYX1xHTgUEiG6PBpkjbTw+JxIZtTPnrlPpPwVJnM9Fbx5yvvVZNc1FwwI5BI9prylBmS0Fa
sUaqq28xnQx2VeXb0iifRIMrBqGmhtjTuB+KI8ChSvXdq/nCx8FgMAq98n9Y4lch05FQmPPduvqv
6tUqgNEBfXvHHYF9SuqduAyrM31EgDYs3oa5eqq6tjlAWZhGZzjYwMnG0S73ugFmvrxd/gEnVXLO
lm///jP9CGtx/f2lmabmCVkNdlgxn3DmQn8JB3VwseHlZoxWwSLJWaK/x2kMMCk6DzULNXWuAhQJ
X02Ln59EByPpxfj9/RA56t9fyYF41uDWizISnBTjOyDcTLUDy+TTygqOI47fyNv6OU5hSdB2Ql2S
NKeT1X3JhUqVORkGOtT7FVV5p5xt2yEa2awDDDhQkkwOxSp6g+l6gx8AWyYxLcp8Vn7cqW2sYQca
iIJMnF00LdMp49tcwLhIcEL+P7/mmdTqcHKnJrliTM7ZDmgN47oow4gQ5IV3/e8Ht2HDMrN92TpZ
9uYMGq0p86/aHbDELF99P0zLU4x6TWxW//oV4s14s4j2rTioP7Wlsx/Q2fE77mxfl0erNuMdrw/F
PE68N4sGpO3yk7BuzSTtXF5H12vv88ISypm3A4PDvbz6/jlNYZ16aadnrm0aCrHZtACscWu34po5
+VdlDoD9F9Mem4hwocUXx3D42zTtq6rhto119luO1nHy7zi7xa/ZQRGiaOvF8SdOp9r7bB34gWYX
9z9Sp25w9cXeCwqc2kinf4OkMZwz7cHrder2qaiN5zynzNSK2wjQjBpWQ0SaVTvkGLXf1CfKCOdj
YQ/t2dUpYdUsI+daHuk9HW8L4/bkCE3aiZOlOWUN5WJ/BwTrg7ckheC0YcMvI3nTPu64rixMhEir
3PlmASORuyB3wC7PDotMELsB8k63U9R5QolzBbN/CFEGr/5NPYsGRnGQkdmC5hDz6uk8O3MAsfcU
3jOwCrLwIPwWlEkTrEUhfxbvuU7+5AWtQtqDAdmj4az6CpMu4Vm479VU7q0xejJMswRdNxj4aPBZ
TPzcWGsP5piyVqWsfFCbJP9lneKw6wDHSR2QxZnBpTuZvqe0rJBreFH1pO+1Fl/o2h73J35rWIyR
AQP5LUSrY92k0116c3xg8kBPr2OOd3ZsKV3u+WdoJ8GurlPohBxtnhy5hNCbbF9IwCkhg0hWVh6a
tIxxuydijxtMPhXLQw+XaTX2RYbnIprYLzG2kmbz19CGs60Nenvn+LFr3fpx8rvq6fsBjDU22GJ6
+H6WFiEf9kA+s/Ul9QFEb9869leYRJqbRw6MJ9ftwj6621bpXmt/cq/fX30/sK8kYW24j//965L7
9Ugr/CWaOeJRBNlz/qjx+LjeVcXFL8rGCLcsF0zdq5m7CnWGNCdmN4XcfOR4dCszYpcqYOBWx5k+
q5ovrKo+fT8wFCGU3NcJAPtmRoNc0iSGNHjpVb/Piy/Gi9OFOBEyjGcMwckCK8kUK7pyo0m2nbJI
QuF23FQ96bhY/FFTYt8iE4sRgfWj4jR0kRKCdO+Q9AOkHl3LGSHOsGqsVFXEwNga7XW6/IY3bjnM
PHreqNCorZcJwMbekSc29MXGi6guLsz0BbwbaCmF50a1Hz7X0mbsqa6UJnN2x61bnGO6J0QI9Mry
qpMbxL8rn6Yp+oD0Ge+uPg+x/BrdEh1+np7TtsArIwbtIIQz5ag6ylgcp2kOrXSYQfeeRYaKYpOp
jEoCC7NTXWz6dy5WZFlodSykPtpNail2pyxFYdcAdFnkwu+HyDP//dX30w4JjUCCNNdFDuKcfSxR
M9cuDxUx5I0fAgqGnbcLHPnV+a04ot0kG1r/dpMH6gAA0YdwCEIHeCny2Vr9r3/8xz//8z8+x/8d
/ikfcQlQsNj+8z95/sn2GqJq1P2Pp//c/ylvH3Rkff+p//qu///P/HPz8n/u//hbNv+4vuzu//M7
lx/3X3+Qv/7fP37z0f1f0s5ruXEkbdO3MtHHiwl4czAnJCiSElUqqVT2BKEyDe89rn6fVM/uiiCC
2Kp/oqOie9StBBJpPvOal7N/2GVN2IyP7a9qfPpVt0nzOggPKv7N/98f/uvX6295Hotf//nrB3pg
jfhtPvLrf/33R8ef//lLMY3XmfhnIsTv/+8Pxav+56/7l+Rn2L3UF//Jr5e6+c9flvZvy5QVsDia
gRAfv6r/9fr/q/82HZX6NYmdamm6Zv/1L5xhm4D/5N+KbGJUZcuWpWFvZ/Ej7CHEjyT535asGLLj
GKqhG4ppyupf/+fVz77R//tm/8ra9H2OUFHNu8h//av451OKV7N0xtcZnkdRbYr9psnPf7w8oZcg
/u3/VQcTIpjCJFezsQvIH7Oa8zn/gH7RtvPanYz9Kzx0I2lv3szRfx/kbGDxi+cD44Sn2DJvaVqv
D/Zm4Cy2hhL+v+y2tA6HYAfQ92TADQbHsJFDViguBAXF6wbPI9AuG4nSgYL6yjiQkzaYCDm3K0+0
NBWarCNDLRtMsZj1t1MBIlCdKqq6Ll9nM6loUjgU6QINsABGf73kqvApObtu0/fXR1YXR9ZVHS1m
U6NnN/sIVLbqQp+YC3gSmD3etqmFyJW0U8f8hQCBCsPfKBHeK75+71vdLlP1W9NMDhTZ7wrV/2LR
6xkB+cgFTSBXsR33+vM5C59KdyxZg8xtavTnzydG0uBeobItu7ZVbABuYO2Xhuo9gjcYB2cnCqy7
CWLc9UEXVyaAB900DRa5bIinerNAcNLorUloW8X2sK1SiqZdt8vH94n+JQd6Ezgd4oZ7xxvu/mcD
m+JrvRnYdMD+InshuwUOGpOKV4iZNA+J9cU0QpojYLyL4Z2s288DldzrY19sCoEsMmyFRg2Hgqla
50OrUZ50NCgmFyNMrPyAG+aA3xCrqnPp5n821Gy1Ez+pdoRQuVs1xib3w50Kd4Ws7AbnipVPyRl3
vtV5K/YMAB3bhr1nzb5kV8h4GoTUhenK42YWH+hMYcSbnK6/kaJcH8eefTi7azUnhCfsTiRmJCRb
lCIOIR4pE1ZVaK/i8UD87yMXMdGk150P18e/2CbiNVVN13XLMJAnnM2ooevFYFUZ2wTJJvhaJhl5
PgLZByGfldBxGD3Fxu76qIq69NZvhp3NLlTKxFGinMPjNlGGDb55LloL9GoqehCNDDUUvIaOcnMR
0kFd2yzipc6OcfHSmqwpJueDphmzOTepjfQGWlKwqr74QJpNVTs044DbKYx7RaLofutJ2YudfovQ
JWwOI8p8tlbDH+iA6ycHSWnvGn/tKF/8FLqlO6aB3gkoC5767RZmORZhw0qo6+9dBToqCXaWpNOz
q2Nch25hDCuyR7IGVnua4oOjkwlqMczVfJ8b6fvONu5Rrg2VOyDGK99r8dm4wTUucFMz5ueaE4y+
D3RPdsWX0r6m+eesT130XfZqC3gdxrJR7EkSt5INRxf5rAmVxzHvNw5TFkpUcS3cxn5WQPauP5m6
tJJUW3d4KPphzvxKbqVksGyNa2hEHIVKwU62xn03ffILNP7t9i5XnZOh2c8s6qd8HO99rKZQuaKn
6USm66eg1dQMrJX9UaWI1UERSk7p795FrDdNVhUFHrvBfT/7slR/pj7DdQ8rKWln1Q3Sn91NAy6g
Qg5OzBJqnveavrag9IVlrhOMKbpsvwZgswVlwJcfQ6bGr5xjPXAdpN6HnKJ7S48PG7uT6nQ7vwbf
aNVH+Krvup7HcLxP0draXlo+pqWpsmyYjqE74knfLu3e8Iy86yZAytVh6Op9aPtPptfchbbyIwxf
wNpKjHt9aVxexky76WjcTDpXk0XQeTZqKmvQLuAjuooEYiLfaIWHy2CPNEjz4Pk9VocBouvdTVA3
DytDL61KNKoIAoBgOYo1e+Eu6SQlUpzJ1afgS9cOd/X4PEUCwcHpYjnHjh6OWR+BC+3EE6CXuLIv
Fk9YS7GwT1Sx/VHngWGJkKtnBVjb2chaWBRS83TcS2r4hMvcsY029AYrIP1i9Jg8XvqyMgNLi89S
Oc5kxSJQVmYzkIRBUqQ2409jemiO4ye1Sg7Ab6BEFjsLDV3HHh68jF5f1m7x+oEXiTlTVq19CbG3
5me9ZTgkHxhQgP6bPYceQGeKMtqmuucjrxrcGhypaG6dbCV4QlX6VCfJyQnS01D5a3OgLY1t02tW
WPuaas32fWEB4mgB48PytLf0wpBM2Gp656p6exfjaukAxjfwVVEtbzcodyqwrGiQVlbC0t6zAOMB
d+Sc0+ZL0U4LWjE5HyLqg12fUoLAeTT0E1czx73Ck9gwIaATXv/+IuibTzupoCprbHfF1o3zvSdT
WwJsTKRW0pwVMamKJFxFqU7kIr0UrgSGivh9F+Ox1UkLFbIRQ1z5b06YIFLwfpA0glAflVRErnDB
Q6AkzzDck+znLrgRrFLkPlGJ3nK/nVTfeZaQu9aKtUdZiuhsw7bQgTA49ObZaaYF1KYdZXIH3dxa
wIfC9H1doIdY+09pUT/I/fCujZ/jNjuNXnS8Pu/K0pqzWfAqFw5/yub5RCjJJA1Jbk7IVNvQ1Cgv
m/qREuGUQ2dUhx++HsOghWeUTifZll7GqPsutStff+noZevbZPqaTTZki6d88zkiO2oH+lDwU0s3
MjFfdNobB4GVuMlg2yRwrIwtgD8KlOlmZQLEC85WwtnQsw1fUW2tRzBDbiN1OxHSRngPB2YLcem9
DndLnYzbDhWHEIWVavgOzP65cUZ0/rX7KnI+IHW6tiAWdiBTAXrF4iCQOY/PJyO2QXXIffzfBGmI
MAGJD1Wl32d8Jk+xP9TAs0zHv0UjftvhxDxh+1DreGdiCOkZLXKVkAIUnq0jt+9Xg/GFI5KGBMUU
C6EC1TRnzxdJUYc3Nc9Xlz1VNwPEbOKykPBWDv4GymJ2gJj6G69dvSQWR7YZUtMoN3FXns+MP2q+
j/oai7UKnkzUpOLGo+1X38WjeWs5NaSLZvv3UNU/ri+SpahR50bgs+iWbBj67JXVIDRDPaFPKiEQ
CnBnWwUYQSLKQCV9O+DWKxnRo8H9bVC4rX1z63cP9QhyU49gwook/u+i7N9JavN96qQnbT+14yYi
Lbj+nEu3uEEdjs0MY9/h784nCFEwMt7WG5mgjVZV9JPodEO0+IbKwNcYmPymshhcGZ/7Gq1wq92q
w9r6XVi+hgxbwFYV2iY8xfkzTHWB/5tOGNWgeg3Y8YAv6GOHCq6Hj5WNfIHnCb3+cC18Fd9gtpEN
sWd4bVlXL25uJVHNtDAJGkuwRyoyfPJLrei3cFopJIHS0sa9wJ/QsYDj5m0R+V6LHRbOUkpqInxE
6YSrZfbmWo3uKbxNNmmFSw42e32KXG8J3qtPILncqTqsbgRXKlM7ZOQZ4xAiRdGuHOnq4mM4RM6a
pVmOrc+OdDXHnAe/KC6UEslJ2jUmVluRUrX02jBus6fxI8rBmw6b2jjyX2oNrRSEuxXcPm0l+tb6
/l7Bkx7BWLcIbkEO/pQy6PWqCm18HGEzlCshx9JtLMq9CqViiqXqPPgzKM5msSazXDT/AyT6U20Y
OyisLbRj86eJPLw0fYxoHG2GAKaukuwD1BVietaRhiavuV3ZRgt3gqEoYEoc6lQkIbM7ITLisIex
RCaQwRvGSsc204cE6QWAXVi6NVL54rctMp/afepMyQZvzG/BCDI9IXtN9HsoENSB6j9Z4awunQ2u
6MRKsw/bRzCmDN8nNMOLYaPq6KaGenyYbJx9JCIWJKghYADm8YvHDN1f8JUHH22JldlZiJ0oNxic
wQ63gDGvAcXwb8YSKIcbIJdaaunJ1or3VuY8m153k3yIJuQ9EAp61znFSxTbH6J6OjmxRqfN/zIY
a2feQnHGUCnskzuYnNDz2yhp8V9y0LdBcbR6b0YdvCv7Z9DAiPFh5nDclLn84/oMLA2pkSOLYjbV
4vmQTU27PlaRHuh1iuWWTEuQYaE2R8oe/h8sD3Xt0y8EiYamm8y7DSCNXXJ+qFaFU2itjx2whIQM
kJydMhgHvwn2dUGe7lcPXik9+ooXbXpmv8aO5forv27B+emqcQcaBjoZDu2M8wcobaSRm4oHqDNA
Z3Hsfx5KPMhFthxL+CDFB90MH3M9gCohURNskWyClGAqj8PX64+ydL/QFrJlUxRcLzYnfAYVAWxp
dLMEKQ/HLUEYAJN5nGw0vw+DbLsUlW6uj7lUdoUdYyoIkbP5LvIFNVRHKbG4WEPiL2eqH5RGP0rb
bKOV1t+2gYEMcRByf5vEG/YrYy+dRsjDvaZjDkZvs1wFz/KwMSeUHSPkAPy/e8P+kDfdXS36tJZx
CCTjAACAG0UnEoMb1pQPqKUjp0DXXbPvQPGuPNDSYjQNwzJorWnkiLN7znfMKoM1RSkdkyG5C54m
2Ls6XP8hqR7MqH7IMAEoxvSYqfFBCad318e/XACkiXSSRNPQtCx7FowhBykPhc985EBdfNbBlNwa
vvfBQwbqRdAyEae6PuJCXMWQNpbriu7YzsUbJybK8mOkjiBG6heVPiZYOaTtzbtq1EjUbg1s8VQb
I1xLu6MqfArV1dj3MrwhI2D3cUmq8Ifm/TObElDrJQCedE9DciBFOf1znzauKJPhjgy+ucZXEA8G
CtS68Snqk7Uk7TKuEDkJMgM2LVQuodmtCGEMCFFBHYJq3F4Eu1bfHP+p68YHkaHpRXqYbrPiZ4nz
bIrvVoCDxPUvcVknUGWiGggUfHgCvdm3z2RrmmQnR9YjTYG1+XR14sfQwZmmGHc1x/D14S63nioT
FHLLUWYnnBZL8U1e2sa9Ak+N5FC8rj0kLlo2+1JoWVOe+B8Npc82FRxdP6jwCnJVwMD6xGVSoH8U
bmWjXzvMlj4kBAvcGgi2SGdmQ+Wanho1IsuuApBCtatHe7RuugoSclZye1ASkbdyDafPpxcaqYKy
Z3yLKuD+vvft+lsv7WVE90ENKKxtKj/nE0w1ISUuBLaTIXWWOfWxmuznwFbvg6ei+2bhBivHqzW+
ha1E8AQ7hBCdFHt+gNR5bQ1TUgxuHSLP1bGQNH8npMJKHQR4691gHws38HPB8pWLbIuG7sfrr30Z
QXCU0BwxaWlzjsqzdZWTpSsNevUu6PcBKg0xYxB/6dXPDdeXDYv9+nALVR7Go6hpEWDzpwB7vF3H
el1WYVaGSDYFmAxbwa2Vex9Qmyq6X9AADpKuIbGZ3cSO/VyZdrjRsicVzM/1p1j41jwF+QgvTCtt
3nqx6s7U+hytFAvetqz5T0nX3+Ha4CpFsKlLJC+gJdFbu78+7MKRwYGp2KITRfA0D+YzpNYHLcKr
x6AcotEnLAtjW0GHQRAG/0D/D96Sugh3BDNugnM8n+oud7yxdobeHTGOD0k4rSDYtabhxvBfs/Qu
p2erlPHaDXV5J6siAgbHQ9OIUuJsTws9GDOM0t5FTmPXDs/mgIBOFO8J1jKgX8jG+PJTFlLIBz59
fYIXDkmVvFe2HcoOEMJmb+xYqd7Uud67Zki0rQrfmmaDc/NWxx3q+lBLS8jgGBbYAfKzeV8RlwoH
ITQPjdoMIxEtcSV2DpS4Yz0NN1Hu7YIet61gWIk4FvePAS2cdeTwlvOuQOVkkZI7FlqRWOQIadga
GZoS9awAHxeaAbn1ArjOTSx/H6TOB2T+PlKoe77+8kuHBogJcWbRmLgIQqayDn09R7DSR04QDv2m
M7T70G6wPu8QSJN2jblWVFmcbx1Ig9ixYs+eL2Y0d8ohS3nvntDXpzdbGLgCtI8RtkuGRXNSQ3Gq
XVlPC8E2QidUF3Vbs22W1mxBIdes9TTiIZQ4qWsDikeiFtqb2roxSrKiNo/zge87J7CbiPar9fH3
J9okwiTmY4mpArX29rRsO6s2Y5gi7uh1B3mL+u8R8OVN1iDgczf02sreXTqgqCs6RFZgKy7OxQlT
pqay4c/gALgrA5QBI/Xekj8GKUUZGi7XX26h1s7sGsytydVH019s5zcxjWkEttwaMtt1GPc2zO0S
n0LzhRpuOw6oxBPkOI+9qa7c9Ber1xH7lQodWbpsvkIB3w6L+xRtqxzEUaUoqDabW0gx5IoNMuAC
AtTv6Hv97pu+Dmnrtsrcos41e1OjxwVYK0d4BfhzbNS02kv5cOfkybuUHkNhm/gfCMLHgDbgOKxB
ZZSL78rwnIbk7ZZo6M/DDBl7nMDsKQ9Icrnt1ehr+c5xYO+VXMbbwkz/xmLju2PbwHn3cSp99uT4
pw6E19ISlRKlcYcZ2Gc4ISsX1Gt6dpbKi+ci9HDAVoJ4m5cvapyOes4RMDyq8zNIpA9SC0y+OcC2
gIsmVfZ2UJsRocQCEhskcwVRADV6yGBJbj4HyR5n+6RLTrAJH+Gd/cCCOd3iFHwfWdoBtVpkIbnp
IGsglBbrt1o07QPPusWFbcd9uda/WZpkBx1D0TwiMXdmJxR0Ab1PUCdza5DJCGQggThhNt7fDHLi
GkW/djYtj2eJ6psIp+ZpWKOjeI/2HlJdSFaWVX8TTi958EF0y0WTNFNqLMGGd1nynISQ/W1n1wMd
qGpUWAb/GWGgT4mprEQ4l/VTviixs0x0I4BKqjjG32xpPxxrC7oxMEL5uUT60blRo/TE09+F8SZR
0dD22xs9R6nA0+7hEw9lu0MdLVurm14kFuI5kLOnMkaT5uLgljpjbBo06lx89E4KMlRFnd57Xv2d
w3TnlaM7md2dY4Rf69b+2NUgbVAXKtOV41sV0ex8gYNhkG3KBKA55vtea9quVwyB5dSSOztHhzeP
TsZ4U8h+tlEV/2Pb+0+hU902foE4sfQIAZuKcntE1nCHTPI7iQSkxRTItJynjqx/kM2n3h/vcYnz
PlYGbZTOXolsVJE9zx5aYB+4Y5m+S/SJgdZiIYXMHXWEO6jmcLZD42Ogh5+ruqbUGiOJZmk0/GjS
bk1BYomgqht6fQyI6dHmhL5t47WZfjP4YZW335N2CN1EsnbVhJiml0jvnY7Lk6r6yjkr7uPZo1OX
oDLBpgDaOS8M+FpR2HpCQ1BHgyMt7a+WglFjcW80MB+a+GueqccC4QVIOYiBy0KP7dNvP4IlA98V
0AHKEyQY5ztgLGPHsHK8fkJF+oihz3FMYZK11THt++81voFtfOq105Bhz4y6KdKIKw8gBjifA+Iy
ygQcpwpV6HmEaHaqhOo4HcJw1D/YoO2m7ITe/ru4/2zLya7OiVUHV8db+frAl9cq47L5CdAUsdhn
d1wTWLUud7x4oOr3dUMnMpBOsfkd/WkSyVSwpFZW6mUAwaUhQFmUYDXzEqaCBGPZZUhVY1ir/mjU
4YSK46PuZe8DPNqwTc2n/qE39MNoKsHvLzXGZlyWG4e+Mb9TsY/wRrCBk6v63s+Gu0uXUdUqUWNM
TFBbAJfbVj1C4XvUem7RpvlJMvxyfcqXJ4DYlJ1q8anni62M4ra3U2d0iwGtN8/alV5yGhvnybj3
AuQT4uaY4wMUP10fV3zK+RLjkgMco1hgtOZdslFSJAOq/Oi2FacobcVGRTrYegEKcHN9pMU3BIsC
AJFch/FmEfA4eGUiiz4y+h7xxqrBf1hO8T3TH3BvBGmKqJbk2nnwNevCr9fHvrxgCUkcIm+CNpbX
HJnjewjVI1JBumEk7qjRQ28IK5S/MWohbzZXYm9xM17MqcNtDuqIm3O+bSVDdSTd4YjXQTcJOkJJ
yTqt2ztn8E6ilUdod9+ulWOWNi3nFTV9lvBlJqdl0YBqAJs28pCjsZQfmaS+oLwIJOtT4SkufvMo
BH4JhuRgDpLrD96u6YGjDR0B1qOq1A+QSuCkwQj9/cl3yK5pNWl0QF/XxZtAIpbqrNVjyPIpDYa+
bx7Quzgk5TuD+Llt18pSS5MPqoLLzqR4QJR8fmgHnTaGA15krpX3OAaIMP2+8FCfdaQDYCVh8wGP
UV+Lli6vK3IsUhAaCEDYKemfDzuwmmVZYoWZenQ7hc0RwWd3GIcI+T9B/rBxWfYOeoi0UTmV7+Um
pp4frmzmpS0GgoVwiSBF7LTZy6f06EpU62kpVMEHI/V/ISOqjMFjOmLsq93IWbCLIwRgUGf4cf0j
KwvzThUQHT+LSr52Uf8cIwo1NUZbrh7GiPn7N9owIN69kWsLjy3tgG379zjxPgusu5cm3/Ky+TXI
jWs2Dt9oOgV1hBwFWmLDe0HPWXm6i0qWAAFQ3AG+gKMyyeL558nBHU2ZwxoEAHao8DLq4l8dNxwq
is3DYOF+GEobFeY+/kgj6BYnXMkbF04g0BsaSTLNNjCJsytVrtR6NFGWcGt02VPL/onm8ChNN9yz
u3iSVhbCwqnOzU2hA9inDGJ+thrLzhuweKGb5evmR8No8Ccd8KVTvqmRslbGWlr5KtAPWRyvMAdm
YwUAnPtaYaxGeV9oAeZF095Xw1uIzwirgW7GqUxLLDxtPgK7tOO1KGlp4cGHwwxGg/wHeOz800ZF
mKc4ITCzpX5AiuFhqPT9lLDKRuwJ6+Fdk99o9Bmur6iF76kyIvLW/I+mx+ytIc9yS0H+dkuKvt6E
MHaLQnNk3BZdI9yAj9eHW3hJFQQ9lUKKV+BZZxt7sO1QCA4N7pDWD8ht9MYHTfJvHL+/w6Paw3Bw
mJw/iMleqXU0UfjrYs1Kfg2MsWyFj6F/j5P4yQ+kZyi79xV6xwrOVk9mArQSJYfNH7wtbAEq3VwX
jj3Lv82s77oqoJekYUsxtV+G4nbKMFH3dQyxUCWCNPFnISjVbtg48DgI9+fxiae3Gtr9LCThDxrj
3FUHzx32ZYpeHeNj5X1uJwlt3Wbl0y7c2yp1JEBm7B/urNnJ0CtVoxVZzs2B/V2gaZgu4g8x2R+U
CTnlOMZrzFiZ36V7QtUBXNiCS0OBQyS7b65kxUzTsBq6UejZ3Xqyv2e85zDTthrQw6qBuBfpN1r4
M9aCx+ufdvFt34w8e9sB+WCpMDmIIxLQaPps06HLy22NHdeAIQ5WiyvFlaWNSh4jE4qJDu/8eBp8
K/XMnha30fVUUdpbI0eOdkJ4yeRi0lbC+IWDFwKiDYgAUAWQydk+DVGCCWVLIFpQS80HEHtgOgck
z+p2f30iX5fjLMqkDGjDDLRtPuS8JxQOqLipsIncRg4RZ8SbGq4bblJRtB+qEH+DasQ0Eu8NIxlO
hjVsTUm9LQ0DBmjVHRT0kQfs74wCTd54LNAAm367SUYMDGIQtBvHJEfl7IzsDCVGSJrJiFTtlvh7
D/ocB+5sAzf4Bq7oH6TLeLwKarQBihgN6PNV3UVIECUCTuRH/k1opKdJzr5FffZNqU6DSWM2wEj4
0zSQw13/FkuLmm4zdw+ZmwpQ9nxg1U5LC3NnIlxciEUZGiNIXCwAM5jlLsQLo4ZndX3IpQvBYH6B
YuqUR5z5u0623nsOzFMNsR91BBJT7K2MPuz4bRgwuS+nQwpZ8/qgS++JCRVNFF2h1DuvC/jYu4/Y
VjOoULiyk0OsFw+Igbs4vW1tDOMtPvD1IRePKgFUogpk6pclrKpsKq802L9IaW6HGDoidRappRgz
fFZ8LF3xdu2sioVsrwy9NMWAs8D9Umcnr5p91SlrkRrCI4hjKt6bDThVQ7TH9E2AJnUXfRFSuZ6x
0tFYOkDoocCXQ1aAYuP8fESG2opCBu2K8FYUfomuUCLS3D9osbJ8yFSgnr6SFuchzDC1UZugiY3G
MdhmEFUZemw+tRa19lZO/cWpZCAKDFAkQRyeb5AEq/ZoGNkgAiogwxst2v5OZKL4w22ZfL6e/2XU
1sLgS4iVeMU346rn4/pFilarRFKiYVybf5WwPh1lG7/bhxGfAhXNqQTZMOi+6YPgH15fuou7RaN6
LgOvumSfNZEmR7ZMgbrs0hO6Z7u6cU5xlJ+C9kmdaCzQab0+4vJmAfwhmGYLsIQON+ipa7lduxFW
Z4G5jxT7aFJUD/hJHwNLO8LQ39Ve9k0r/ihcpHgNXkCkHZxK55ON/7AqWV1F1RDZ4Arll8DcF/iW
xMfUThBG7jfRPUTTldTukkYhvjHdGoDD8JwuCsWalHRtkIEgKzR1Y3ckv+NkTTtPy1ytvJc8ic56
q95j1fHDoFvhB+1xSFJXdC7GNsPDd/SwbEnu+yFw7R5XSnKlaltYer3RFO9Gb9eYuEvrAl4ShVWW
BZyX2TwFKFKqCcQj17KmfYHmszGlbjehoFll7w0Lw441IubiiHQNBa4al/p5iuSDZnecVsUeo/Vv
lMnbZbDpGyIBo/umM3gWrtEWlqIuKuYOH4ZmOxfG+VqotaH2UKbm7IR5qVe4DdY4PI7Wc4Brr7e6
CBZfEEEWGdQXKMJ5c9/Wtanv9Z5aeGjctpiWOFV26pLyAf3jLN75ZrkS5y2+HzuMsWiNwd85f7+q
mRwrTHi/yrmv0G1U0xbJXmZyekimNZDk0ulJQIm+iVC9uYDoU7yOoAKxYIIA/qLSHCvOsch8qWsV
KM6DjB+uoaxdvEuDisUpGt00kOa3A45kWIO2FV/QgJau+k9BFSJbLqNHK+9yBN3TSn2UoCFdP8IW
h6VayFek7cEhdj6x2FqNdR0wbDqGOyw5HyUgL/gQokdvHLI4+QaxxEy9laN68aIAysZRQq+FJt/s
2p1QFTRihWHDFhfMehf535Ppg6LCGISlDnmRrkeXWBvPRIxu+IOwyiGg0nVqNeT3s3fOyiyOMrw7
3OJHPxk3ve5zFDjUqMFOxv02G9ZY+UuT7AAKoVVPa/ei31ykia42Os6dAnRbYSeIJDG1pPtS1m5T
6eMQWxvc6/4kPKcUJZMVsa7MefQIfAMetA8sUxmbY6RCcQFlnOZQQNF7nuT2GCXJN8X+lU7J7/eQ
iZTfDC2285t8N07rRho7ZniCDxSPGDli3IA+JidtYsV8bRMX3l1DHKT5x1hCLBjq3fWFfQlAYnHR
9wDtRZfJuBCMso0OI8lA4/XliWG0W8NLj6Tb1rdYMCyIbKuPuEu8l1bZ14thAQV4QT8SUlXzoHLU
KwTjoGm5ufUuzlvUTYZPVSt/LhGEBJCBfm64dXKnQ0HR+Lzy2uKkn6epDph6uonaEjKoUAgMJh/o
x+ghIpe9F+wiEfr5svdRKT7Tz33AFcFDQx0PJrbnzzGs4SNUK2tg4YrgpBbYq9ca2jw6GWuM7D3c
XlG0pwtR05jBaD3DDK50sFChR1+UaxishVieIQmJRG8N6qR4pDerTnbUsgS7QoBNvDHE3slps03z
Lsrqw8oki+tmNskUP6GQiI6TfCG0kPit46R4R7qyBVXUS0j+p41eY4aM5IkvFXt1KF0TcYMEX92V
sbXFscGJiL4TRbvZVR86WK/pBaaYuOtuS6H/bZCVNbd9If8aBvvZGX/moX9M7OAJtNRj0xU3nv39
+kMszjRFEIGKEhons/2NWp+C2DQLvFaCLwjqOMl93sXvdEn7+/pAi6tI9GjR1dC5G2f3RIPnujSY
nGG5jk6uREFWxpJxo4yxW+O0aBIAo/oKgPD6sPMDW8AgRHjDn7SZLm7FBFl92xvVDrkQeS+qGx5G
dFPS7XRsNAol2o8IN8mEWNeHvbgW/xnXoitvIet0IVKUygY6jJGMWkQT7nzBlw+DrY/fp14ChMJc
YyyfpX0NrD+EJB3gIbvyAPPTQzyATWmFWxkRGWcehVRyDy+y0zoXK45Nnb/LcQDHVxHnFcTsomfz
mOHarZQgtGJOdCXe2Mkjfqkr8zD/6q9PwROA3mSBXZTaqhBLSztENKM0+50ESjjhiqjk+ljX/VEp
jZuSysvKm8+39OuYEGNQkQZ5bc+3Va9FWLlVdudGcXgrMKujsVVi/44+0jaRD3b0ke+ysZTfDcD+
GdehjMU2kuFynB9a01jRpFSZcTw0XG3CL70hY8Qkx/K8d0LMz0aEilxpf/195zv4dViYVyxykyLa
a3vxzVnZe6WfWSA2XbUyboWcYZvVD039PWjVtbaGeIO3h6UYikIEzE5GuiyxqFGYa6iXo/qCEY+j
eJuoLfbILjwLymmu/sx7+S5FWjrXqwetr09xuVq7Xfq4r8R/hbXNSTKbZKmJq0obe0xvfmI3jNBw
8b5SiboU+VltP6iFidWHfq8Fn65P8gXk/PXVKVHSr8Kzlnr4+cdlmephVoEK9mMf24J00ycljbrk
JDdfp8jZ0y7Yygg4GvTPzarDukjdkh+s7Oql04zM8P8+xey0xuMW0xAViw1Bqn9lM5QTAqzCeyNy
fSAZQrRPQOdW3n5x1ilPEAoSa18c3jGc70IbEMAXp2cMEFXohlXYgCVmg05tfEePaxMg149Dw8qi
W3hljQYplT26EJe1EbmQ6j42AG0a8rCpGpQxw+1GzjQMiZ6NKNgQuKzUgsQkzlY5IwocFxAuQGyz
4GOy6piIMOhdrO9csC/3fUtOJe0mC2vfcO24WhwNhSFTYUg6S7MF3RL8YfRD10GIIg49Amc6mh3Z
qZQ/Fc4aeXVxMkGDomfGwQgB53wVtyGur77P0diq7VGkMGXj7wYLB09EM4RBsOKVX+zkd9UY2TyE
cwTuNqejTMHpfFglt+nhlRK3AAjdWDGOda7w4dqV3XERrb+Oo4nCM9AcxJJmzblIUhprks3O1WP/
5pWWgYJOaYW3mMeRmIAMM5ptJUm8srRy6yzOLDJNOpiBBZ6RN0ZTXsTOP4e/134TAlEJpmtw1lJe
NrbhEYRrgpoLtysdDG55hD2o3837rpKD5y7gv94VrHd4ybcN1h9me4TXJLCzzh9FFUISjTwftT64
TbNydGraMl6Xce82WrczsEITcDBMbN5Hw6nR90Wg7IWoZ8hNb8UtARYilPkhK62VlHjxzd88x2zX
DHYQxtQC/2FNZNkXbfgUKP5N1HwaMixuVtu+81D9dWW9thUMpB4u6oBRVhGom+xSIxruRB2wAzgg
oNwx7tTG+1wKtk2Q7iMdXCmyVF6VfIxNdW19L9y/wLnpOwuZg0ugWlf0vgFXpHORat+jyr/zbKz2
MnOHyxumwbhxRFiwEl0jXFxCRGr/IJrmAeAfAeyVbdLB841MSAtvpiOcs2CJ+BLC8QrJd72Vlc84
4ICd6zaZvXZ6LG0tAaUH/SMKavPTAx1xvcymtnM1pdmKhDAgY7D3o8boKeDh+7ifVmKqixax+N4I
ZAPJMlCnJJI8f9FJLWs56rh1aE++H3NysepQ4qQlhf3G656H6gPl/G2CFl5iHVHh28jmsEcTYhdY
9sav7u0KZftsDbBzUQl5fSwYqkTToG6Bq50/lp2mwDBDo3MzTMRRqy/VhzbCYbjbFAXUVTIa+Ztg
NApNpOshwNKG0/7fyHM+tJxHCm4XBLeiaypI7qX/C6H6QP3mU+CTqtX8ZSHk4APQ+sYpmq70fKkF
mYKNST+Qv4T6QevvhO5Y25M+9TunCZ688TNaLzg3rtEnl+5jak26kEvC7Xpef9exQu/xgencoAXB
jaSWAHmEhFSV1zwpsXdzfV4XhzN1FJrY0SJPOv+iXhsNaj80HQVFY6th7Jwju+aoj0aWbIp2rR6+
OBqUXwM4KaH8HCod+1Wqtkh5umkU7KUGPTJDvUV/CvAwwYfiPF1/uaWdK9YqkF3xx/wbWmOZY3fB
osk6us8Qb0UvY2y+QhjAwCDc+gbqgsVa/X1xlwD+F8cUhyTnxvmcRm1dSUavYEFr3Pjas4fwSfDT
CQzSXGnHrYTC3h5jw6F2VqAFiwGIQf8Osg206ot+Ay7tFQp07M9epu6u6IfIQw+OasMUeSft21BX
rt7oW6xtV5bRwvYkLKdeBoYU0Wt5FvkQ3+haVqMEiAfhJjaknYQwbC2XAByUTVPrt4IBcP3jLqwl
vilFcFICIbEtrsw3eaddNqGtltBsDaXctsKXvIp2QXOKJdP19LW7b2EpAYLm5gVfBkZ2fiBnvj7U
TWa0bibRhAvAoYvwIjK3QidL29Ms27ZKsvKKi4Oia0PCha4KQfr5K+Izlo44lXTuvWU1OxUrvAll
I59UvsICJJLKm5/X53RpAdESe+1l0JCjknA+YmV100Bk04EpOnbmdwH5DbhKtCBHjOs5kp9bq9+D
9vqTYaH20kaBZ3Bx2Hq+3mmDz46RO04guuAC1OD1yWmIPkvJHc2qjWg9WuZv1/a50dB7pIGk2HCF
LvRNnchupMbmRFLwghG62ZXnqn23p3xwHKOTjZOk87Xpyn0Tr5ENls4J8g4he88tL1+cvShH21Mm
83mFco0IZrvYIC357EjpDoY93LSBTPM5AkWIOunKjl3aPhRSKIdaKmCvOVJTarRBxTSOo7iKdwqe
K9ywd4gpd1hFdfGaSM/iwqL6akOrEEzJ+bVmx74TDUFBfgKjuPAd1/ZBbMOIUqaHKP4JsUMJx/3U
r/KbxYqdZdOiY2+JG8cQfOPzFW2MXe/D8YWNn0s7x8dtYxJOGuEt0IYNPXuh5y2EAMUhZaHi9gcr
GwwuOCjAV7z/7C7435yd127e2rakn4gAc7gl+QcFy5JsybZuCIdl5pz59Oeb2ujeEn+22OvAMGBD
gCY5OcMYNWpUgVlg6NtgJQQ12BM3XjzC+CKAN6JvcEyQ3MMDMwkPNEvuwAhbkJH+dmhxZr85INXC
ZMKhpPpCKDTCo8yxf4x96RotsspdfT3JVyYsO7s89kQ4Wn+j07O38/r61uyjwcidxLlCW9r7Z5id
vq51PWeVIUdlIhFQSsVpiI86Itp6HMPr8aP8WjBMzMS8Nmv7qS+DK7vcK9RunaRCSBvVD6B4kMr3
z6HQ/jVUetn7WTI8lNZwtMkbJ5wAncUT8s1xjemEVO29/kYQCa0eJID2elC7dYI8aVqaFU7XIwWo
XsteLPf0/f4t28LXHcxW2PZ4X14t6d4xvpGosdQB/w0hXAD08f51oTal8NT63k9649xpNE7QQFqb
X8LQPMex27Hmf+Zm500Y8ebyHiK8tdnfDb9aefi749FtYqszp8a1XEGOpo3EgYInN0dn/Dz3XGJ9
69aw1v79emNkUUkS+DAOsu9fPK0cqxpbALMY4kFV0OzJRYn3XVEfhChanKLTKklHSGuHuPo6fsml
Bwnnxo+fQiym1ZFD8wZZG9EJRZ/X/uw3Gy+Lh3hpkqD3p+Snbf+NMtPLcwCJ3dNFzOPFQKqQSAeF
oYi4mmc7HuXUkabel/jMQhw+COLrFoEmFeM1sakMttnH77ZVWAIGpZ4Cd5ndtGZlS0UjE5Ekg+9U
0cGYDFdIy9ABfh5m++v4ffIsfDEL3R2T5Ez89mVn+I0dheSKRh5OzuJcGPPYKdq+WcZGTiWMsJvP
4ew8lmVLh3ONOBX60HbDPyRtxkRwd/CNUwSCC9ECDQ6k5et8okFYLUsHBq+H6HvUDhitJz+muHiw
audRsIe7tDgMC0bBUnEfOB3uac6t0lhuuCjA1QaeFt1N5Oi4c/ePiPbtHTeXdzoYHE0mNCOIjO5i
PdShPg5N0PomnwEbNgu90rSNTgF+CX2EF59ufBm64iUI6K0x7S9YGfGz31W23HWh9CyOX0osO7vh
cpESNguxJUpEtBKurwCZVu980tTWb8ofPYfAGI1HFInC/EW1cD3M070zYHNAuKPwVAQouW6RGGfW
qKNMrZA/iJUf1pehNVzBbDSKh0H1hEQdwYePgzFgCjVgFLBEQXjA5v7ch1ApuB93Vq1+sVFF6vDf
R1pfP5Sz42AcW79qdZqCTVdXe3Jf5Adqw7Xxt8LW9IrU/zHEaML8nkQogkBqwJHzvPMkl/sH0rAA
w7kDKNldEArTRanMTmkQwzDcBPnqtuq9pOApWjRXYiR9yuqqDeIDh+hxZ+zLUEyMrcFxFckMf98f
zl2xmFLXqY2fFZ8N+b4fblEkUOxjEyvEBoirRbdF/I/k7LWJX25bFKjBcgg8aVO/APBC2N96tnSN
7ziJayFH2pSgYw3vP3yuhWNQSCo3Puy87eUyZFTKdVxHlB0uvNXggJlKq+eNb8f/8Vbrcpiu0MJH
7ZhqZyNYXAuXZrEK/k/TwYigg+a0nj1wnNc0IoTRQev2rqeNIxx4QHTNQ9yCdbmmQOqyRL9aEDa+
RPBZ54DJ0fhqmzQN4bVIfEyOdTGuVabn1yqN9WNnci43BAkMbCq6ujmmLurycycZsxo7NPlC64o7
+iyuE2RKyhfxKDmyFziiIjljuAFIvoiTBLVLKnZ10kQG/f4GNaC5Yj/HwURwbqwCJSdturGttcZP
ZMqq7dcm+4ngNQXW2u2EKHjodhxZX5L0oDs/WD0fT8Plec3onIhCKoIDYs1sUuU+C6rUxmrdhFgG
sIma6NTcWVrhxlAlPh7slXdw8a7IgHOBQemCbvR++2VyGlZzHLcs/ea1H6PUqUTBXrPD+dThmuUo
19KnJgTWaFDTzs6Kld2io753GF6GRwbNiYKkAChHjXP1HLYx62U503/4EqXLvURbb4mCQ2NBbEax
UzgNCRaBQ3+UCGEsNJyHQDoMGcWs3v+7MykCmFpNCk8BfiQYq7jdrBaAXRh5GqRh7Wsg2lCR3fZO
gSaaZ892+I9VpW5Z1/hEX+fVVdgjot+7qpvsmn5cxutMyZunEGfJm4hxHCTu35n8o+1v5yyFofsy
zI+szC8NkrrFQ2ND9ZQMX9ITPx/anWW4cT6K1jcIHNitIIAhNuub0eciUJZBsSo6uhtPQD56hDMX
ZbQ8NjwVTWcCvmOgPn089Zuj6hTxTGSnQNTEnLwZNZ/DpCg7o/Kj+JRNKO3w8YUImHD0aWhwlJCs
bcydav5GUgzcArDFgKKOtaYl2dUgwU/g7LOt7/U5/BWnfhxdO8Psxk2F8NifuTqny2OK6VivWDsT
vbUFYYMBRXAf0fi8Tk+4f4xQ0ipuXxsGGHnJhKvxi7gCRD44t1TvKmxOspeRQvxsIvcqlMxJ2j6e
+s1ZYK1D+uMUvrwBRkjjsZZkzSuRRhTxusEruIXpO/GEerAgiYkLUhTy0JH3KzQyk2YPKH9FE9eb
j/4aCkk6N9KFQFTiZIXpTHHjl4qOhdd1BYEFInNxXyWfLZr5zeBsjb/LVHLhaaJG+5ymLZbId92L
KXmjZrl1/LXKJogve19q4/ImlBb+HrB+OaRWeeSk55lk00LtOxQm2uVFPS22QpnzhbC1QQFt53ts
XAQiQBQNgcQpXEXv9wIldGmslLL2x6H+nDoL5QkZanHWWL/UWf+9LAZmjv+5o0WMkHMTtTiSd+l0
kFLrNi9ngqoA1GRU9h5tI2B8bW5mDkktyCreP1phd5WcTyqO4NpyGkfcJNmjAviWYgDTMnT1jiac
wR3NvV7yCx0zmpFEERTtMOixwoTu/dBKX1vLpC41yH7nLl+Tkga+ipsAlHZGzk0knpMuZOUSzwHR
EIs1adHXi8Kronrc+UQb8yBgWhEnQHYg/33/MJMzw7Sszcqfw+kwZl+WdnIzRb229fmuD8H2YB/F
dXFrGnsNoxd9UsyDqDigzyxEGi7ajppyxhKq43xWrcynHxlFyOsMJ6QIAwyoBsI0VcaYFosRX5B3
ALo9q4RXMz1qZnowCTIttKr7X1Jo+nk23DT16IIe7R0qG/c6J4roiyKkFLro72eI8LZVaZSrfIdm
F2pcrtaObhTCCLDvu146zDrON1Lpy/HdYDZX80zDfAwQikdoQsVo1rU9BHQjynz3ROIKenPFmPGE
LjhG4H5ER68D9oNliZ1dF86LSfYj2qjEgSfmim09my8twadS/m/WMU1A8AXhc5F2r9dxIye5FsTc
7l3zfakepM5PhxehgddykkxD54mVLL6aoOLWUoY1DnFQBIyh7KVgW98IVApFFdYxFqarLSWPQZ4m
clT7nZ5y6zpPDUFvkhV3Zf8ZD5oreYq/iSeZB8Pr4xfBo7GD4tXKQPRchrv4uNg2qyuAllnuYg5a
mnfWRhKzEY/RUqbscQSCu9jLbbpYMjWgDnJCGA7Zb+R0zb+D6cRuhTPNTpa2cc4DkZOdcfSShqzR
rJ7wWxkzdrVQEB50nZKw4da0eiB1e9BTzY92+6S2Ll8uFuTpgIV1GiBFTvJmVba6aUqLplWvjseO
9dMKW09QdkeMoqrG9OwqQ2PhdozKo63UV8ym1zQ7zcobBBN60IEAYApjun5xtg750qBB6pR+JdP0
npyiPvFrd144SqHftebXhg4bigJeahKW6f1BEIiFxkOQYDoZ/6ny/koJur3bZmPH8lii4wRXk0ut
3ZbaJo2nITu26K466wm08RqBfXxOuA0d0D1Qiq6K/al/GnT1te2Jeo67f+hufSXBu2FRCgbBRcd8
gzDNJKVN5WOC6mld50lWfmpPc5OeS707VP1jBdWmwNUrxVIqpta+50G+lafzCJQnWSx4nGmrhaIu
5USwn1W+rg5uU+RnEaktmNRONVpU9JiZsUReKh3jpr8TdssVjQwfX3sb5wUwJ12YxOminiB+/mat
OiVwZ1XElS+XgonSv/rST1LrqfMex21jK74bahVoaOVgBVbGUE7/rQnDT4JwI+SPnTE8FCEH4vLt
374bHg5UPtkGUArBxN6/W6r21kzrZukLGEy0gaqKdERFHHO9nd12OYtiJHH+0zosiDbvR4oHXc4H
yyhfbSogZ4r6H93enpTsbaDNkV5V10nmaDlZLxmpStOy60u/4BCJVPV6XuD9g87r4x54sVHl4a0E
gkR9C42utUlnpld61hZz6Y9oaxKPtVN4so3suoKOFnBpiIIutXy3tCT34y+3O/RqWZpTjORMP5Z+
2zavHbxLCfjewI+TfxqT7rZa5paK44UcGTtDi2X4/sLireloEb5kuG8ZqxmuKyNRhroqcRyv22M3
A1dZtZtP0JlvrMQ5KPbd2J3SZrgzMEMXvCY7zs95DtqIk+TO9bVxRFDPFLRt7jAo6msnB1mC3zRi
0OpD1ugmdKW7/FaKTz2q5CKj1CvJzwxkVQS9qsa4erccJMCa9XQAJgumGu0EbKf3Szsts84O+oBN
NH1xAK/rmR3LDZKkX/U4gwpLcYj2xIrTauz31Fu2Vjv+V+IqFctwTcoxIr2scjSp/SZlB+uExOSp
oImuzAbb+e7iu65fFNY6gZMgy1POX71oGjmjChsTPWvSZVa91F6LfqYW429QGRFIBig+Nwqnle0p
ZERTskMmuHhdVYMPSB4mOmBIT1fHyMwVQFMVVJx0CA8RkyyAA0r4CgnAx297gYqJkRAAwB6DLnlt
DdGZmdWXWmIWfmvIJ6xJ7vUQbx91j6JwAQExjFBLgRWioDO0hkPkiWLdlDPMNFGrjIqr2LS9DOWq
QXZuBSmmRjtMS/Y4j5eJpRgXHAhRUVzFL+72sQ2rqG6tws8l/do8lFVLhbj3YlM6RITeErC7iqNP
nSUeMkzXY9TfEMEfIrXHiXuvWn5x74mHoWse9U/4l+jzvF9YUkQbmSlJhV+E9w5dYgWHdVigIu7m
+cP/R4i19W3fjre69oacRCV0Al6+fURw07XZnjAm/DqYT3LKW7NVrbZznfzwmteKwlgUH5z0oJU7
y+wyyOLdgb9hR9A/wCpY3fm1Vpbou3KOG4nuCjOWomB0rUselHkp8S/LztacnZeM1pBqUO7nIbrJ
ZPTyy2RP63Rrcxmc6QCxrHtWxvvP0CRNARzFzZmQsbZFfBA2thF7fSj1ndfeGWoN+8N9mXVEe0uW
Ni4dbeL1FKAE1p3sxgPK9liUoBAoBkhZJzh1gbhT0jYl2AH6cDlmMCysrih+yjOCCHrxJU7rRw4W
rGy158zqbC/4ns7z9xx2/xJJnmVGO/j/xQUqvjmurCAFgp1kr26MSAkcYym4smTJ8AQ1qe+TH3Nv
/VlKrNWxePr4KNteY1Q9BNIpdEZW4/VRWyT9kHBJqGzzPj5UHYLMOLShaXCouTjGEpSbtec4X4o+
PAwm+kJ79NHLi5q3RoAL9AamH+Hm6vqIacAxA5OwQZJeRKdV0BzbaXHFKW4jNGSiphTkhRsat8aE
vILyZWcWLuArZNwovtKahMTwpYdpm8algU1lCQe5v6pQIplaK3CXMoGEF9zpweeeIlgTaH4YLc8f
j30J88KrRMIGrSoGpxwq1uibJEKljCKVQ5D7bfMb1xigSyJ72BJzOB5VaTgmoldI7o8ZTUqiQwow
Bur9QbQyFkMPG4xqEBsR9Os81C95aLrl+M/Hz3jJxXx9RjTvoE+LhbmqgaQA1FOBIYAvIE6hCio7
dBrCJ5FakHhJ94SZq+jb1Y0Uy5u9I2FrfViIzArLd1jU7I/3c5QtZW23HXM0xU9YQ7kC5BTWb8nS
H1O6G1TE9xA7P4VBdJLtB6nJjx/PgNgG7+IbJoAiEFEkmQqHoPb+AboondPKsHgArfaoST7oWCdq
2Dd9PMzmi74dZzXR6hyHcifGAWOolhGlJppqRsoLYwBomHqtg0d27DoZh7yAG5S9+3bzUwvogxKo
iS/1uglRg/EQRZVOnYXyXn0os0OvHTt0/jqbcA4wOcr/jObimvmek/DGYUylixZpGFRM85qFWHeG
Phh46pHXKkd5jM5ZavgdcUjRpDvY50ZUQX0dOWehoElVYbXnELueTY4kzvVY/iwg+xDkhAyN7c51
D5wRFzsjvl7W6xVkgyYJ6hsaQOrqyy7BMltRjZWOWpceOsagrqlnDQjToK2YQH1VgVZFnVlX8CwO
A4CT+FpQymE9ixJ/rKNrru/kaxshJvPw34danf6LHpUkQCy3ABSpnXqvnb9GbOkJX5hX2ilq+U69
M+hlfspmejvqava1tMqNRUxFKReuYUM4Ih1fvin59zSYXXpg3WSpXLvbkTbeHpdIEo0eEKMLdk9a
pAq2wEgO1PJLoRhnkxRUtAvoI6awFCYC/XmwI3pe9jglm2c8/S5ILgL+w+hYzbPZ6L0ZSoy8UEMP
meACi2z8FwJiaUehq5hDvBs7z5pR65FJJhrF65Irk5aq17SJPuAh0s8G1Ic2HhBgBRWncPHx4XPh
hW6L7/LmKVffRdW7JNU1SZge/qSqV8pndVJBCdBTi+FBUEQKDNXvrtS5dPNUpub57IVThMxQcAgs
SZBXJ+lvmd+INSv6lJdkJzraCth4RB21CjBiasRiY7+5LKuZtsfeiAu/EjZuTOYCW9ZO1U8mJqAi
nY5hqvRZ5guikPB6EQymeWJnaew8CkRFLO3knf+PaRPSlmAM1ItX05brOc52dlr49hMG2yfdpGwB
9XIkooRJJR5QbG1ZG46YeclB7Wf0/y0y17UZnQAWXdGjF9am1xh3tZH+6GzAylEODmq3s/PEk7w/
gyzMn1j9GP4IWGB1BsmVVlupqcWEGrfAy76ul0dd+6M7e605l+crAyFyTbuTIoThV5+ploppwgU2
9q1MRpa392Uc96IEXcyGosHijYG1s3g3VoZQwqd8BNTC262bL43EtHsqJZj4mPmnGNperJr+ENWn
sJ5jN7CC56TS7+y4/5I2xYMDHNIV41muI0/6OhcKvj977XwbR74A/rC4ARRBZWbdRKIWbTRFac4j
WRTzZvmQVtFpXqpne9Afskk6m3J6ziLkmhDaUVS3VZqfQRR+CVX5d6i6wQxEZ+/F2hufBjgBdQ6u
PXhG60ptjeROOWpjTL9u7EbYBfZy7inTY1d3vpEfdGlvwM0vIziuJLF8Hrjn7/dsP1hTnwxJ7HO4
0PG3uLmNwya4H5ZfZgKbKAmAOKLTAM+ps4yDLuBR0xj+wCAH+Ai1oxJ+ssZhL9a6jOlQHjRQgKfS
J+RbV4dyTyohqYYUIZtRXcut/i1R5N9D/a0Li0OZdF/juj7KeXmN82k4j//Ax/3hoIyEx8JvpII/
Pnu3JkmYNwoTR8GoWLPiYQK1KH6STsoLKzNq7nKpPbGgOzfH4DiqPL2yuRfT1DOVb091Ul4taiK7
bUK1IbKLE4njHjF042Cj9QlxbQAYpC7BglYfjgrLiH4w8qHlcJXJaMwK9b5a/dakCLl0acjezhtI
o53qRvOtPizfdQf3m1IpDlLSX41N8LnVr1rNfjZJpxsZMrWkkVfT/QDmmaqwnfcI+BvLG343DdjC
qxliwOqjDoM8yUNo88yVdtvjcT/Uy9OsBNejCiE91n7Xs3Wt5NpfR48esjo7aw9Id950TUExfv7T
tU3mlfMY0elmnHa+8caC49kgONHIRzLzGiW8ubzivuvyFHEEfwiU2zJWPz3WsnqXhtMTTSrfNIfW
J9Sg8Frz1QmrhyT+ketXo1z/g3TyHjR+gUyD7wlJIgR1KZ3Bbnv/bTNkMGOpRTZuyZynuI0eUeh8
FgZpbfvZarRbOckQ0UfMTw4eBdVqZyrEr1/dRK/rCk4dFNeLAFw1MkcuqgQnBDn3ESVCEokKs4rL
BsXDNP5roZwTR9yaSnKc65C8J71t7O5Xb0Q7WhUbUSEzAYpoGeQdJCArxA9wlQ6SLkS2FtUEdJxv
B7u7as3oMVmKe1kHAnCiOzsCeStm6XlnHsQvv5gHhxqR4LgSQKzyyhAqlUyFAvU+5KEsLOIF47RV
cYdI+yORWIT3x9x8jY1ToWk7H2Fjq8D61uEXChOZi+o+lpuJKeXWQD8wWV2Y3S7l6DoFvi3JfBhp
RGx3LeI3sksyeHAEuunBdPU1jgjKXcklyvH+BGggdFHSAi9IDKDVcHZrhz5W6yjQDFblOZd2Xngj
u2Z0CEoiyLVw81mFJb2em/9xc3UwdHHtoGrocrAGd+gR8+1nfNF6E6ldvCkUuf4p50IsoqD+P++c
BJdpl8Ax8DQHaxJsk9XBOrTJJBm5Ofp2UN5DdXkYo86Xg+IQ2s21CvoGzRPCv9Hs3DKXXCl2PYUL
ygmC4kKK+37Xg+BojSzZ4yvRabEJMdPyUOWfUlDdEIsOGC1/2yj+ovZEpabz2C2omRoUb6Lun6JS
PSnMvKJVY7bCgD9s8lxnwy9Dm+6EqNbHW2NrdTrYEwqZSSEXtDrIFanuF1ty8DVuyIk4HcY4uR4Q
lMgwWkXX00jSnTPxEnplct6MuIpToKNoDbQLZLR0CL4gbz2jhuZvG1K4CMf/9ftxd0LkAE6jyXgN
+5mdKU1xjtBigtthqerXpY5/Zu7S431STOdW5yz+eMSt5f/KLKeiTbJy4SrcJfkyKh26nWH7S0MM
aUgVrvaY9s7hOn9RQsKuTP1sVeXNoJeP1M3+fvwAYgJXhx00bkrDqLbgsiCLD/Dm/rMl+rnVAkXN
pYyvic1uQgPyjlWdM6s8fjzUxuohSYQ5RccXnOJ1pT+vi3bJZpTBrTLxhOICFlWH3pT8tKnvcR5o
4j3W8EaOTwMt5mzEbqCExLrv305WpyUaJmbXoWMpoyRk1VdFahfeEKLpiCq7EhrnsvwVpmlHiCE9
T0izeTi3uKxwdwLtXSocPGJTA1rt3SDXjUNThp0b2v/8+8lBsIdARECqFwW+qJj7CmWX0bewtmCh
nJVB+1QDPYRtem2BtefOrhnlxuYijqSnQUNRQL0oEIeDk0uSyclT6cuJlPm27vTrakrdNMiOkb6n
BL1RxORrQM0RiRdDrjvLI7nD4rcYCDC05yKxjoXaXY1qd9RQhirn4S6+MsYnM/fKQvYyfK0VSXbn
mMSbDvSdU3fr0nttrAY5F6Kfa/+WrrJl9K6zCWnmBB3q8i7Tntswe5jsKywpYKeqh1q3To7U/cJY
5t/n/EQ3RJvmK9i5biTAcMoIS4sIo1SSayHLsUj49TZXervXKHFhlScqtK961PCyiL6tVZGwmoa4
bIUUsZUW90493TSmfmjs5kmAHZI9HFUneUyU+KxN0ZVaDp+qLvxscMPq6bHMyq9WG9y1NKB1yZ9K
znZYRlsL8M3D2as7F2pnVBTBiJTuGB8iuz8GcQyrVoIxj4J/keyEleJ6Wp91tjAsRLaYAHvd11mV
JThVjdZMLiWvfNHA0j2aznfAp60jFbgDzgUisrQMrSKapMmqup2QDAR1my2dWkxHvRQKBuXZjw+N
vZFWHxf5hihPOqJF0SsqusAcExdlA2lrY2fqts7uN++0LgCnITnBWDHSUNKPjqLYqCDKqw2QOUDW
6MmfUW79+OU2yqA4VwigSqTf9N2tDm89r6hMpmi3Cf6KQPBKNfEMpT8mqnOq6SGw/07zq75kMUOi
4W6u92ReNlcM+IiQ4gXeXOsijTExm5MgxyRO4BBK+qT0h303qa19AKH1/w6zWjF9XxYd3st0qIM7
99E/ffoMHwoM9RjvFpM24lyhLUJrKeqkEKpXe67Jw2joLPRyRI1DkPEtikZZLR0l7VPXzdRzA0RH
/r0eKucQQSPaNQr9tBe9U06PxsA0oFoT58ONjletmM1+7m+0uHiR4s53wsKTBv1aHeyvOwtpY3qh
jnP+QZTgzzoKoAU+aILY5JWFqAS9BBQpRYvrkOHO2T+hk/SYVH+bNHtonfFbbuk9bTruGE//SNJ8
AyL1HOnp90i1d3KfjU9BmAm6JKhwyPWL7f0m9kLn2qqLiYQ7o8BWOPODLd1myC7UifEV220rCdy2
HnbunsslLcjThNQKchPk12Ky3gyaBj0oTIIIleoMR916Vjnr5+Lf1w0pJtGtRl5Ixxo6Ju9HMRJ5
CiRd76E7Pvbjo9MhOyh/S/WdCt7ll2UYmLCsJ5G/rmH+WdJg+6pK78NIcFupcavyN6XYavpUV3uv
tAFKCBiQM8cUaSqktvfvVNpKNdpLjUr2nNzJWUN82N9OToCo4Z/eAjgrHbeLn1WIGx8v4MtjnoFB
7hEHAKpFsez9wIVm1VMwIAjUV4FrStCsFsfVs2O2Cy9uzKcwGHUITRhGWdf0B7lQw0FFjKRUrpIp
gBD4vS0fKIw1eb6zDi9vFMx6kESFHijKfmsublMWcMMXhxw7dej2+aPl+HKPkmv35zivsc3aU1rZ
GhDzcQQWQFaglqx2GwC72i4pA07pix1+nswfYeTTqCj8bZLnj7/Y1lpRESfmtV7br+QVRU5zFh3j
J7tDo/j7SxM8OP2fvLtO02ONeyqSbP2Pjwe8PEpYkKAWnOg0hSDD+X6JRFJG6A0ZytfrP/H02CNV
JeMVEJyDgr7w6G8b7AQ5GytFNBqIjaCJxEo80JtjJDGGLsvNEKmmpKUyj7D5JLhKwUlbruhG/fjt
NkIBtBfQ5QeltXSC5tXWq2fJqaoG6S8FG+XCSU+FGSOl3pzNnKQuOQYTiLthHBbDvsnj/m76NOj3
/5tnoOGaqE6wWddnTZfLdq6GyMhE8ePY3Q5TcIpy+WTFwclQc3dx0qNcWUd5Tm8alxqOukeQ2DgG
aLmkTihQKpQIVgtYl8AhmyTp/aYo3Dr71VXPUf24UNP8+E23Pq1YTNwTZEfUyt5/2kJvNKUOFpSn
GtsL2/yq0Z4UMz3mRXks2y8fD7aRoEBd5KPCbAF/vKCZBVMRT0auoVDTWJ5Kq2CoPEzB5C7tg1nf
54uGwvaP0gaUCH/QeVws+WEsxoNq/1b5AuN5dH7oarxz4m6khzwVpy6SQaLHfB0lpaNR9Clmb/5k
/FHK8ZG2i2Me/rFT6yZwJnRG25uFLmDJfp5B4j6eko2D6t3Yq/kfw7mtlJlDOCtEObI7WUNLffpJ
6arjRKdHmO2xP7ZHRHMUeIYC8bq/K7CWqu4DSsI4qLoN1SLydzcu0Y0dbo0WC/dS3png7RFh0SLr
gfbVOrDWGt0eHBpDfT0aT3zgpX/CVfY0IJCcI6sRTP98PKcb5yNz+t/xVgfInCRNazbIiy0ZJ8Wg
eZjJQdFb0GFODuWfCGR/Kn5+PObWJQCcjMEmsj4KIcrqjOwIehdaYTnuVfzEtF95pV3JQeoZzW9J
046jiWbiAnlEPe8MLFbI+0QXEVcRaguBSsGjfb+D9Qzqv4RKpK8SQspQiKZKpvXqbzZSda8QmsoG
Cr4cUZmFS+YeurH1bbVXPFFkTRecMbXN2gSYmNGrxDWz50J5ipxv0Fi77C7R9tbuBqrEywIo0lSC
YBEsivcvWzSDbRVq0ftD9dlBC2QkuW+Vl0g7ZOVVPp2Cgpc1I08dvjeg+CctvZu1q50Z31pffGt0
5RHkJEBczfiYaolMZ0fvW9N9oype3MY4D9Pv9pyqAVZYui9Xj6aJ2PXgZoEsHogOHAXZsco1z3bf
uCEdcvm8s+y3rgykxyhp8GxUXldzk+FHGgYVYUisfBWZRZr01KoV+Kp7kuObJyat74gHE4oT+a/y
SiWSwmKghInD6+/4r6DpI7WdpHRmgqZTsCs7P5cfp3EnuduAePn8xATwdcEx0S9+//mdWG3jKeRW
jAavL/G35PCgg+isjleFed3/6H8b8NfKkyS/ADGW8ZE4xfnqUMGXryPT38vp1M0pJ04XIj0EY+sa
QhOnhlnoMZlPcl0MiquE97TYYST0dQyeW/UWkqObaTignIfuaRlfQunY19+D8hMGnb38UPUPz0OZ
u9N0NPOTXHWuFt/p8y4uuLlJAZzhmyAlS2D1ftokmoYkdEZ7X81vptBHXrovF9wHotuskM+xda/S
GtU6v0xnOQ50OWf2TYs0W4BFIKKk1dHeZVuIES8OLTBKhRZWMuJ17tGRX+mICxHeiNryqN2aU307
cVzj6ta6RZJfyfJdqDw18GQSI3cTKb/Ossw1F2fnAt4MN1nCIm9F8gT95PeT00aqmZGyMDkhipNh
68vhSB3uMY1ytyhbF6tm35BSz+aq7JXG1a6rcGfnXgRhoJToGXMXC8Fbss73j4DfOoWhfO58W9fh
PTBuwYmhp55MhWAni758XzEYYk5gERwWuJ28H2wOuzas0Rvzi8iXANGUb077Tx1cO7OrZIcWblrk
WlhD65TC5J3Jfr3q33331eDa+8FVzOVDTEh4U+W6jx++WqkrGrwbf4y+LNanJfKAbL2G2ZaOKBDE
8qfRPlSZq2UPsu0t51lN8Jr90SWjZ4WupZJgBejWll7xS00jL7YTOhyVM80dRzW6r5bPdfc1dR56
OXN7He3mWnWH8qus5S5OHR4mzl4RZZ62VJ4yPyj5IbQOmf1D72W3JtQ20EAcNTfEag47gdo1oyMN
3+HwByMr10gtlJ9Q43H7hNrhucs/t7CDPr5rLq4a5oszVjSc04l0AUPgKpBLcdF1WFo8iU4ooRJc
zD5cAkrlaENwzuXm4eMxL8uUNBsTSlCoJ4ai42C1QjJJ6pNEQg5QIJSC7S9El2BouBX8TfCyMn1J
EDOZwx+RsZN4bbwvtSnemNo4GprOaugiT53ZKe1XcURFC0Wnv+78lTTdtTxqFn26R1cSN9VqQb4b
cLUg5aIhcY+d1i+JJGI6yM0OOzRahAv+H0o4WrAtsPQWInw703xxBoppRiNU4D1EEfLqEnWysOAe
5V0rI3at8CYvTRdhWk8QsoW2nKz+zZh8w8x8ZUSFTwhPTeOh3otnNuf8zXOsUpBGniqn1HiOYIHW
i4mnhtRbNQ6HWUZcSJrwNV38aufIe+WurSceEohIQBwuz/WZN7eaXBex2flD/aNrvzTOuUu/Bpk3
618k+2T3/wyEr2RfSRf7xqkN3KA+KNMxrU/QtEWDmLUHUl3e5nwQQBVBzAUz4qZcHU5OtTiobQAa
TUelOVvW2ZlvzAaZi+/VWVq45N00dGmFBDHPO1+z7xrZL2PX/lZqt8bJGhGn8uo/xug5waOWXX28
Xl7T0IsZ++/jvWYgb1CYssHDYIiBfZLIr5eDkR/xWWvuk8xrPjczuhzHqT4kNvvyNr+V4dC0Ojv2
ZinPS3F1W7RuqrmouXfyIVJgAHhnCADO+KBYO+fHK6324kE5q9ANhFZF/+T7ecyTJAsWhXlUZv1g
M2sRYlF0zDzjpfgnCem5t6f8ypGxALQUn/rkYRrVq8zpS1ptmu/I3bnYm7h98LdJ0tNSfUNX61AP
RPqG9Dk1/xoyjQrWOaOMan6q4poavh/L9tkey7ORoUqPYh6ZAJYHqnMsguIMgejKMh6IATxJfemG
hVrId7QU2+oprfX7WJaP0N1SrE3jPjt3kvIT01Ohba8Kl8LnJPXr2byJ+qek+GqaV0lEGGd80vMT
2u1uKt1GUn3o4b0H8n0o/+21+5iFDL8jxUo7Ey9SX5ckJqW1PEVlesy05krLIPIgvMyF9PEyMbeO
FeU1SIZ6AaKxOkINJwinqVS5MsRTHtuf4U39YIzHCm0obsebpD8vcH1ppVPPigmtjcrMYZw8PUTi
xaMjo1avldZz+vsr3E/kJHUjBX2r4g8L/GAYx5igu7li92kPyqfuJT/OHWfTweF6/mveBreSdEcP
TzJ5jY4Oig/YoxqnKrmpus+BfUQZLXtU7uqjcx9VsIz7Z3rVh+S0MwkXEa/YyhC+iWwFv3G9V/Ra
GkOt1jt/7stD8b0v7m20En+Fn6UfLbukt7BU/RmALE0sqofcvlGaK0U/6Nm5hgvS31ndlWE+R+X3
zDnWcUdvm9e2vj5VbkXxuj5JxWEOVa8pgDE6KBz/w9l5NTeunWv6r7j2PTzIYerYVUOCWaSo0Oot
3aA6qJFzxq+fZ8n7jJuhxPG5cOhSqxewsMIX3rBxgnsVqvakuMQzk76EMY1BwktgLK1amyGY6z+B
LTHurehn3++y9uA78/RLWryqTj+PlXJZ+gfDw64q5gikFQRi5V7zVgOqf6rvu3n7EwDjXejfajdc
myjQGQBRkSKmfHBWZxxlNfdstScahIxFRY4t6S+ECcEsq9/AEN+49K4NRxuMWJt+FEnTWSYSp5oS
SVZG6ToYFlzueWuuhcVBbP3SIvpi8S3wu3HlfgftBK2N9hdNybPo3uniQOrlpHELyHxj8SbkWoTS
7efr7dYoZyfegH9HSeeRKkjA6aM7d9PwNirVrWDlIt1kVRMZwVOl0HJZeEjR6POLREAV2y8F7H8H
7s/EMTpQmlbiYZdOz45/3wkCOte4MkJaGvoDII+FXpHINbc65tciReq5RIiIXMBqOVf0dqDIRkaG
eDZZOIdLr9pbCRXUzP6eRH8GneqSVPqe4paOMveah88n/bLkhvYD1wyNCcE64aw7vWc8gmYziDRq
Dn05E7GbQCkKYr7q/fIASSQBsmrACfLq6fORr0RM1H+AkmO8iUDP+aJqeyftoohCrR0SBiMyqKIv
E2vZ3IScmv90XKO91cm9+rI0mdg5fGUKjWdLLB7blDgqqqEOYecafBGsMOEXImJVoXUoyl1sAezX
mhuL+9pXpnJA0Z4DVTZo9Z7Oc2jnk4xDAK8bfy2Mn4k0G+svYp6t6Flu7u0AVpcEhhJnNSm+VTy+
kht/gHQBhqAQcOGAY46GOVCgR4TY8WZxd5+IKhMKgUb3ZljlrVe9kg5Au6XChEPmh/jz6asWKD/b
cQQBIAJ6b1XpWi2XhjJhC30vCHZ1jYqiBTsV/dXPl9S17ytMfgg9cS2gW3oWhSex5fStY1UuSlNz
s3sTqvCWwIAHLxwmH0o5ypsQyrkxrggHzoK1k3HPwgW8iNUWxiQZOFLzffWz0e+UfuUYb1ivzrwJ
z1zmPUzngsfnYxXx+fBXDk4hbUX/ifOMfvtZDtT0StXnVETpQZubZtTXRf/qDeGtlxQr9Pwl0UIi
mdYFz+icCJbFYcYp0nBS6C9j+2hQEY3JYIMoczu9XeL9szSRT1abe6Etnvn+shnsmSk/fv62V2ov
ADHYQ/RuyTqpnJ4ur0SCmKKM6PmZlBUi5Hl01CWN6mtOtG7XD6Lo1hmzytFng00eZkhuf0s69vLs
4hFwiRCcDyKj81a84eW5ldh64QomlYZooiABlClkyJC4D82Ltgi3U3KD+nu5i09HPQszcAyu4lDI
kyZFusbAALkCdNX1NTjlu7LIjjfm+XIbC5Y3YBTK4FwOH/Xr31IlxY7TNIhhenrYymNKPKsqZd7V
MPwSGx+FeVXjIoU7ckB4dWNo7WKpEW0KnAo0Z1oV5ypIRjvUnFa0Cydna6KqFQG8QjehVdO7rEAt
WZhfgyvTWYIRiEyhI25Ot1yTL8Osk4c431ZxERZBZASVK8s+VpQo4YbGWobOo+K77k3gv255GV52
ZuBRIE2DfQKiKdQxxU7/bcrLrmwyTRlLt1TyRewDGjRlN9KajVVKCyF+VQhhXgmbC0Of5arktn12
bJJkHWAgqd3iKV/J5QXzE5VXVrpoc54da8Q9fVwFQ+l2RkA/Ip81XeR+T0D3Zmid+TUgQ9JjHxlt
o1sK5ydxjwq9YBMrO5x/3DS974EVtegG2wPaD6YG0PI+b7F5K2YgWV3qRJ8vnQ8x99NTikcFK43U
PqqO1PtOpzDtbXtUxgb10yFawNFDYQPCOoUHIUDv2JAzdX9WIUmj2u3Cn9pZIh+FX0S4ydpv+nRo
uTLs5nnosFBst5GPEgjUBlG9qYJga8a4AqrlRrKrW8erOLYuHpxmnEBLkEecq5aXOEqqnYVKaha/
eUTzJhp3PULQSLQK4QqzXk0od/Y8V9LeiomvbHVq57ZMtiekss7vTdTwW1PSStYd55gIAoV8SzwZ
86JYqSnKDhq2hFm7NOsbR9q1w/xk5LMlhhdhSzu3Kt1wxEIHTQEhiCKEY8Tolr61U96eKJQ/hZjx
qFD4rZ+fL5nLRpzongjALMD+K2pFralVUlN1hav1UMdEOgDIM3P6Zd7Ga5liok4tvYnHVYx6hfF8
Y/TLuWd0/MOAyQio9TnJo4vzLLcilVNdMpf1tDaO0iT8NKN5FO9bb42t3qouuuXnw14ebqejisv+
t5MmqSFmmqNS0EPgK7f7+p0tohj1Jsljt7VuwNavRL+nw50dbMCCB63QeMlJDWbAZWZjgDgKnvDo
4XZI8rLOhP6nH/OZvS8Ct/T5617/xh9hCzx2E2TU6fuWUTZhoi0j9UruWkfPqr+U49RNEnsOnzsw
kg972k7x7mSqxjcGF5N5urV5+98GP8uxmnCMYCdOLDC6LQpoCvQVUm3vePS2U4kqCae5+Mz4BmyT
Wl8HKZrjWHJm5a3j8UqEzKMAB4PjAIRIOy/PWj6Ox10zCrnseA46vJ2+5FOHNF627kNhtf4cpDVH
4S2I1GXWDZxDRecdzhQ93nPzWHotgBonFMEmv1xV0/sUOLMSUCY8oRsl3isrm9ROpNNoGop49fRL
B1aOOGrUoAWG3ZAaVvOx1LEpp+tVrChsbuPp+43Pe3lyc0EiM0RfmGAFGbLTEc3C8kssCnJIBcPS
IA6BoLkausOAH645VjNjoA5GIz1Y5p395fPBr7ytwNZScyIcvpSsTytPSQEtZC5mP+siafeBN0Nh
KcC3us/DX0P1/vl4V5YyLSU+JO16mFDnvaVUVxNfS+3MlYl+5RFpI7+6cYV/fKGz7QJcEJoLMrqg
By+gIVwJkZ2hZyfpw3LUUIOOjH2QGXtIfcsx+YoKyhpJb+it9hchzmqm9lM41NQm8++O3v0sY3+i
9WTqrhebru/gDmYffDt+jQ2ECNppOQbOs9d331uMYeZ1Ga0No6tmNpKMLjicZRhJPsIb6kMX/Ph8
9i4FEjQ6gqL2RKCHEOQ5eVDDqBoKGRJtEqCiqUnXgec/VWW4NftuVyX3Y9/NbAXV4CG9EwwYcShC
U1nVZrMryC8stb4x25d+JeKRgLezL9F2paR4unojtLgB5qFaN/osV0rXyUCkPWYzrecWRh0N0hd6
DnSxogyIfz4TgonpqK58+aat25W78ORZzlI7Tw/UQIF1hIYHce5AwJYHrzWqBmaQ3Jles/M5FUOc
4W3/Jhzn2soWjBV2MP8NsO90HghbkRpIwtxtkAcbU3+pZ/2yx4inkNaiYyyclPTX3DeIcrWPIzob
iuUk+7c+iAh5zpc/DT2glAq1JtM4uyvzAQ7vNI4ZyChIjMaOFiel8xhlK+NDRa0wu9lkytQTsBBB
tGgY1jdW6bUn4CzTUTMUWIpz8LA/Jco01DlCefK9RS6voPkkxPNHtGiR95h72CwYg79ILH+lrg38
Hj5/gCuXBScLTD9BLwc5KT7Vb8GJkuqhocUGuzGgeazBqcf7MiJXaKLixlBXlz+JJqqNQhn0QhQw
kKKstfo0wyLIRMarW6jOXVHQWCPOppMhMppab+aNHNIJS2aDcQR7O+vVb//pK1PCAb6io/P8QbM8
feW+kooGVaXM9VR5Y9nBykGMXat9brEb6+uydoEgLpUToVkBrfS8BjoVcmQ1EfwZT5dnyWgfoJTt
Hetn4u1q1CllLTr2XfqfA2YYlevfULDxQXvw7I7kuqbd1iho1dlwi/VhNQXljiZSKm3bNNw6WTXP
nG4VZenCa8K9JhmbsO1vvPqV45fVBARfSMFA5zrPr/PYt7JugiopDYrbZj+j2tiQDuF9Li0zo6KT
yG4fH20l2WhTvEDuSVLkVWtPCIFN6zxMv37+1a+EY/CX2WFw9WgggR84/ewZmt9SJqMe4tTtliDD
RRMHTqL+UZGuKxyTEEuzDBTCRnn1+diXm4yhhUWjEA7hJjo7a8Oxyq1iUoFJsLx7hSjFOVplgFRb
ePx8pGsrjs0FvxP1HTzQxHHz23auC83H6ZLWWBjUG/QQvmbW+AvLZLetO2nWWHa46Kf8Vg/3+tz+
Nqx2OiydukCOhQYkeJiSKkWxTdX40NtVDPygcjunvvNkf9fbOsttWH7+zpeyWRxctFOIQAVG/yKd
jww1Uo0Kvbai2ZRNsUnH/DvA/aXkZT+CblwbLPJoH6vBq4IjG4W9XZVXd5OpzMZZUry1efr4+RNd
RoqCKm+L0AOhHO770+mIkrpSxpCTPBiqrTLunBZ5oAQ3FErTnZxzxRg3ztar3/23EcXPf/vueV8b
ZlkAxFHLA+qwz5KVvEjVj94DYp1Ee78i8rH+Rzvq34OeV+3aEbRXPvGatemG0OHDdFyNMc3f0V9J
VjHvwnDZRMHedvwbr3v9k7PQuTNplnJ9nb5vF8eG5XUB+J9kWJk5tIu6uStTUCahjc+PuY3TbJmo
1bwuckxJ7Zllja5WvIDZ+Il7/YGs5UnLjRtH74cm52k8IZSR2eY0FzmCzze6bQyxJ3lw7AZDuvPD
LpjFoFM98+gXTjEvsjpbTSFQkRx1e8K/sHQ2pXdXwfVyVN+dKv9r6JvYm3t5Q/qaf6mn1sTNKdmg
9vVziqT5qNb3UIg+X65XLuYPQWdadYIMgAvD6WzaZaxjJE+v3gEiPdhfinbW2Csf3K2V0tzpvxdD
c7AUNBt3MeaWEQ3aJHC+33iKy9zu9CnO7q0gbnKoqORXMLcWfK/Zn/WDZ4BVjqFVoS1rhdMi0pOD
7Ee3TpBrB7SoVMDDpaOBnvPpBMTWYCdljhVAOavzapX4xq9WHmlQ+vm93yabXnOWvWwvZL+maDF8
9WRnGShrqf6iaFDYshvnx9XzVFydGE8LSe/zavCgZDUgfZRsqwS4HYMlMTBnNQ1Wpc/p5RTPSeUc
+9YOaLoE/yl7TpTGUCFACsXGyvU8Jxz10DGDlpDQl8dVZcvSTC/q7WQ0SyeuD5qdBzdihWvHJVoE
CmVkYZt5Lhunyr2lVbZGb2vQ7jHqWuZm++QZxh7PwLU0jo+1n20+X2wiwzjfqL8PeXYjgxfRrJEq
P/qq7L0oWLZKOvcza4GSyRLVoxtTeqUoJ8qN8KmFQa9DynO6wGh8D0XtKFThfWODqPdsQsBX7pRd
QGAPeqxy4zqf4Q7zq8LiOB4TQGhBfyvd1y+TPiTb6TBAn2WlX/QVG23sUxXnEtdA8zLR2pUlRfsu
B0Tdm+E60UgC25S4LHlpm3AdFcHrqLVfKafiH0n3L5CUH6VMsTykHeZVeunGZQL83Z5erKRcWlpj
4ysQ/hkZfw4qSKKiXXZj/2emDfCRUxssqD7eFRZANKsOnpMk0kApZXR8huouivRVkvZzrUjWRmEc
UTUeZp9/9Es1Kxg4ouDPzcytcSEi5+EG2PdDIhKQ4G0fTtaLHaUrs3aQQJftdmZ5wNvs8TXqmp3i
9+u4VRed6m/qIJnAfev1PHosmhQRGKIqTynn67T31/LQ34gXLw9k4AuyoMTwofhK59ebF06FKsVK
5I7auKrlGlWp+HEKtPskq6Afy/Wf2XdJKRdBGv/yx/K7qfnfRqyWpvCWucfF3hRPgjIC1wIxM0Hs
6cINk7bR7YInsXrHLat202jqPbrIM7kt5+UUb2vPu3GLXuxNMSTsTq51shjupNMhVc8Lui6zIteD
+0E+4OXVMu2aZWxHa9O5NdfXXhCEiiCTImsI2P50tEi1pyzs5MiNlbeUBuhQNnQdX5zmvvvWNzdK
euIeOTl2eDXUXbhoGEpgY04H65CqLsMSlWNNfdEnH5u4Zibl9eLzdX55fYhhaHGg2MVbYQl7Okxt
9IqB9Vfsjla9jZsGJCeQJ3g6WtI9ZnirRSqUpCne14rydGPsi6uUsekI8oKc5KSgZ7FvFTRymY5A
UAMN5+No3EVqvB0S688wU+4NI93bUFfIhnZjbs8lgRXX4n05dPdkqevA8uhwBu2t/XT1oej3UUbF
JIPo7HRC1C71K6kOYjeJkm1YH0bAFHKHGmlrLyIPPtbUbjKvvBt1Z+ZI/SxxqISOwzGRJ8glYwFy
zbohWnPZJhETBcKPJU6yxn17+kxWnSaBKUk4UMv1IjKrO0kdVrZGVyAwjxPMU8uT5+Tx6PZPOxSo
blUAL9cidWUUz6BhUtDmMjwdPysUg1SxiNyBBnM+FQvJOxq9fGMtXs48nAHBwieYgW+pnY0yjI5R
qAO9bLl4aYvHwiYLnfYY4ixvrLuLq42yBjgGTmFAM0BzztadXEl6gCphiNVhPqvoMqfSS9V7Mxsr
EijvzcI6Nl5wY9TLw4NBhTiywZ0unKxO5zBXusjIZSt0MxOQeF0LFcyZLKVrlMF2qW7NZO9GrCTm
6/QEYUSYNSBDIdlf1NDGTAvl3A85j8tpI5q3klo8qN60TM1wn3bejSvzylEC2Im4g4SG/XzBgK/R
MsyNxIuAvYuUBKV5U97hkXYse2sxsoUap1w4euWDkTBebnxTsQXOXxYtVSGCL9pZ5yZhE+qTbVyZ
EfqDnpsCWtc9+V6O6V6X011gq0CY66WuTbtQjWdT2YKkbOMb+/Qis2ZdCbUB+D2srQu6shx2mZ/J
PEMwlrOKC2+02yc7MQ9WaC9w+/keO8NDXN0IGK+NCnmOTETgZxn8dGElFT+QK+5AqEfwbaZZOahf
MYN7agLbLQL5mKbTS+f9+nzCr45qECDhZmtfmnTmraoFnBmRW2e/DK9ahNnwoqjDQ5Ta+P0Oj9gh
H4Kb9IsrHxlMLEcD99UlZSwAg2rYHhPcVvZSSRx36KYXm0Q0lfiwevvFir5//pqXSAguKKFiC+jK
hMtzfh0ETkzYXQLioXa7jVtnj65zJO4dlB30jdZ0z6Ncr3ooPn78q5OJQZSgf8iq/8EdgJ66wsub
tGl5orO0ACnLNGgiOIIpmk66PDxUk/nTzOO9pPUPQSdjZawfWOxfBiX6Nji3TLqu3EGMbwokPWVa
aqNnp7Nq18RFPdHdFBdzw5jmRr5G+mbZzUrPWxUFjpPIC5u4g4F0vXW0iJc7293EQsIvlIbYZTsg
dZyogj5L5EWU0sfDQxHfOZhAhmayV3ztXgntZaoGbtNaC/blXvbqGTocSym4qaghzumLRyHVZtmT
+l7YBRmSUVhBPhJvy+MazcGsCNaUnQ4qYsOVVm/iVgaWZy+CrLzzc+dlAkxckC1+vi4v6eKsSwuw
JbsAnW3usdNdXweox/uB0PueqoWWjEds8twCTUTh1RuH47pOp6fYM1+10gZV3JXLytwV9lwrfVfP
sdmQfxiJ/KarGUr9hjaP+SfaabpxNn002c9ni+AcDrKwauD2O33MsQxTtNu8wDVL574MjYcw7Y+1
ah46fzgEoBbjXvVBsweukSkyRp0GtvY0Qma5U/2waxlUSr4jeMTns6jvO6k49GHxGKXZPnPqJa46
i3Hga987jfcoKfm73nrWbBzTnWIiwWKDfE0D/dnkzl1IbXzI1JJCFS00O3RuWepdueDp06JnT8sA
OPf5qyrUVQuzwYpA4EDzHlixXy4MPK2qCip/OGsAHX++CK5c8FyzcE5Qg3NgnpzFMT6OAVlmk5G3
+fuYxw8mJ1NZRY9kE8d+sm7UQS7bNGLJQavG2wjyLCpep98y0fs4hjKL8YavPXRJ/c1yBreZ2nWu
dQj1w0CLWn3VQNHwsbDLx+x5aFTYC6UCQxlp1JiVWeGV8fkkXLmIqJrzNIIFQ+RxNglh7uWRbWEH
EisS6+ctToutlFaLtkT9q6sWHuTB6hYJ6+r2gyWBBCAVEpF9n86FKgVJNWCT49Zhv5UK7xfC18Au
0z+71Kz46uNbq00zdTC3lZ0uG2+YN4G5SPFa8Jt2Lf6jxTqc51I1BaSQ3iYd4xznK8n9fHo08STn
O5BiKSUcHvZSx6HPmjqgcBi63XiQrf5o05t2Iq+ae6Mi77TkjQrmF7ts6n1TerAoK+fLaCGIWRmw
b1oHmqovoSMbF67lPA9TGyyCVvIAtoT8HRnmUW7BEw81eFYSOvOZLYQu8WCIPS3dOlMEPbKZflrp
uBwzdZ2XXz9/v2u7zoFWIOSGAdqfM43LMK4UtJHZA7xbwNXgGvH0VU/Tl7jNdzC9uSx7c/n5oNdC
XXqD/x71rBKAfXup1fkQulDbMdc6Ijy/BannDcW8d9DlwNnRKm6cpdfuwN/HPFtykTRFqE8hGjHK
yT6MJSo4/o0AVuzgi7ViUEYRYSwRz9mlgp58Xdo+r6WgseKrylvepHPbyx69prp1gV05vESPFQ0A
tPMQmD0bK6urNpZGcspprO7GYHgYPWlX9VkMizexF1MxHW21tJdlJX/TfedeQ/VFM2ZxEi/bfFg7
WvGoYU6Cn5SqLTDeeAisMpyXudMt5FxdVXX+Um07tBQiF7coTQ9uvMDpwhMsFg25cWTFKJqIlv3Z
uZNn4ziWDUlkyEXzFEpPOEPBcVfmhA5zO7Ju7GPjNO64HE+cg7+17brMM4rB9ii/pjUU1OkLCOq7
3i8ol4IqU6USEOe0k6cwmzkeYO8s7x7NAmK5B6k8xK3Kl/3HTg4eNDJ5pG5Xkf+lb0d3QG9GqPVH
eKa1AbCtIABUM7q4tVlTt/C0bmcX+EdE4MYnFaiT/eQPX0er+moOwWt0aBrZbaV+FfrJa683h9Rs
FDevUb8w5e6563UPO3JyvjqrvrVA9dsK+8nU3KakvV3N03btLdVC/eLbIIVNVITRIAA8ruOzm2pC
BgTuthO6TuYsizJYWmHvAshHwGieWfdM1GKYOpjP1a4IlLtA0w/PDbiGti/uexlT8cxqvxjyiBNv
+jD4mKqTnJcRyWSgQX01nwp/vI8wCw2rmb7EsXneKlTM6AuMw6+RWz+VdoGU7YOm2ilettcwERtH
Z4f3jquUslsX1qrMNx3S9LD81v2oLEd1PWjjjQrA6X5mzQiHZ8EfJB8HyXFet9GHSG8diTXjT4At
fSToxodU/mm3Pz8/D8+q5f8aiP7qR1dQ6DSdnYcaplNdrFJqmGpIGFtdseYBPjdWVi8LOXx0xrtR
te8bPD8q23kypfjNgXz8NtgHqXOTNMGAQduWnq3Ncg3xkl4BYnfLguGsUv7fD0mwxDGJPMN5sbiM
G92chpj0HNy2HDVfzbp8ShPKdgN6wboHGcFMZnp7GBGABOabxUtPLg6eVN4A9p9FD389ifBjRRgH
ZNH5OVvlagqoPhPJs0do1O/TrHqapOprGfX7Pp/u1NbaDr6zlezi2PXlo6Go95qaz0ftCZTCTO3V
JZYem9Qu9pGu3qlDsFUUuECff9aza+6v53Q+bCQoaIASOT1zTCORLPq9pF3jPtS3iv29qraltWmN
9xZQEmF90D1/PuaHM9a/76DLMc8yBq3wpaEVY8oZ0WxYHLLcWDk/kjxfylK3B5+Mo1ahZruEIz1M
SrBAxSGYHidlPwAmUBM8bjxlGefwhsN9hXpNrf8yYhWdw+EIXePzx/2oK509LtU1gis0mSkPnNed
wIL5We7xKctyOEp6uazp9RrFU68X76ls7ApHP+iZv7FgD4yjNhMUDshdK623N2mr7dvmLZle8r5C
a8A6aKPyFauYdlTnStduO71BUUvdEfuTRTSQ71u0gWI6kW9ybryqWnuUY39u+ulcGxzIGf7K9se1
WpkHPUxmE2F5Kbm5/Vr181qC1KpIC6PFGyEutsaYuOLPoNoXSvoi2RKu08pC7akX+kutKpDzal0F
uTOAQiutjh/kqnos2/JBsMum3npVp+7o98GrPyZPeYRogta/Od2trOPi3oP8LBrMuG4Ja8bzFrOt
x141mqyHsp+wQ79zpPkE7LVvF1p5F0KFzqdjlCJQ8SzniOhk/zpC/9eP4X/77/nxX5+y/ud/8ecf
eTFWoR80Z3/85+o9P3xL3+v/Er/1//7W6e/80336P89/+5VXf9s/LZ/P/+bJL/LP/zW8+635dvKH
RdaEzfjQvlfj43vdJs3HIDyo+Jv/vz/82/vHv/I8Fu//+ONH3maN+Nf8MM/++OtHm5//+IOg5bel
Lv79v34oXvUff+y/oRESfrv4jfdvdcMvK87fyX4oOJIHUmUWJ1j/Ln7iOH+nfk/LmNgIATSgVn/8
LcurJvjHH9bfiZjYLKJkAbecvs8ff6vzVvxI/ju9FupsGLcIaJiA3v3x369+8o3+/c3+lrXpMUcg
qv7HHwbD/x7I4uxDpQrXK44TLM+t806d5WVWmMkV5KwgIOdQxzf2rzLH/ly9kxvWMS4AbwHs54fC
kF7VQFbxKfM2amMnD3Gn48kzoewhd3CS5UB6p1iRH5o6UWYWHfEAMQn/sbBCZGiSbnxrdLQw/dKv
57rd17u60C2sOLNhmdOu8j02pPRF8WJrK8fVcVQ75Vusvcj6+DahjMb5XxuvVVkB1lGCeVZ53p1d
4iZpKtKxl0JzU6GmZ1ZK9VDQwNtmZGTHptMl4ZMkycs+raDZWlLxqgMFWGkJZRKkdM0bjdZzOMDH
jAL9p+lJEQDSoZjx38LPVC65m6K8BuVhmisJl5e7OGm/+0jSz/SysB7ipLfcKRNeI4klL5QRfrWS
IBZAmQoKAFCvPgDvF8vlctJ6ZxVOCmKSelYuiyfMe96arCgQHJiZZg3lpqviZz+xiKiVljKnin1t
Vdnf9KpS50ndjve1FCDPMjWHPtIGNwzD9s5IMY8aJ62YdaNVvHYZxCapgvrrp+GNW+pDFvrfxz7H
EPUWlhUGj1QkqfqL7Oa36Sh81aNpqpQrO4wBhVTfuzbTl77OkOYoywszN6UZBc38Tivj+hhZvh/N
sqoI8eBZpro+/mkPlepqUlw+WbBHDVPSl3oXjcesVIZF1pXysrL0cu44abApNaSYON3re2uvADy/
rzKzn/XcRnunRFk/ydGvaRD1xFgrHvZ1U6WLeCptt6+1cu/HqY7U4TQjrB+OtjxtcAGeDLPfe1M0
UrgO6tkQZ9mxiIP2PtbvFcfXvphSqO0Ab3z/7RT5a6v+vjU/YKW/zZxDxVKnByakCIRF9rlZwJBV
RlKVjrZRnNw7WrNQV6dVrcjxxjcnGeM0XX7obU8Z5lOHZK+s1PpBSkI2hJouQfyM63SisIDXN6Je
nr6QC6JGPRst1xkTa6k3nXkXJYZ5l45muxvtUgDT4MSXnedGijU9ha05ELl36bzp/BZRD2SLFNgL
GyfKeoA9yHXZLQhRp+0slBmw7+xG5aAFfXRs4k1tK18TxSRuo+h1C5ppijj5bHKI2UV1nZrmZTRR
J2ZsOOGgbxCccGYk+c2LFQ27xs/5Fj3VXjlvo6WeOKC7hqz4iiqfayTan06lclp4ubEz7MoDBvhj
UAbjKXa0Zqcb3XoAbLuTUMpVinDY5towZ6mVrz3dnbls9jRP7HQ7GL1zrwjdD+KP6C7ehmabb1tr
dJ4iBUWhMNkh5ggdjoq2GWkPtu1Pq8rqtK/oLLyXYJoeihe/jdWlbQXac5/n28DWVrlWB9+9kfU/
pY3DKIWP/LNDw1/OD1MajkerUrcRYmjoNVdKfZBxKYtKXTkgWpmUQ/CU+Wlx4zz7gMWczjS3lE55
BnwPAjrOWYoo08+gWWJpm8kZilfHQ792EnsANYV+iR/DiHFQN+2gTz/3RfRdTqXKNcoBsm1U60tz
6GxXyg35YPs12pJ+Ofe7ZNjaNuqWWRUV86bEadMOx62vGlSzq6Zfjbpvz70K1+AgDea2XYZ32Eb+
CvSp4z3lY2NTCtfsqnk00/zJhtdjW8mPrG3bL77c++CyvXk4BvmhCLihkMAF0hrHyZKuE+h0x/Tm
npKPHKB9uBpMb6dl6bA3wKuMs664RVk8p4NBAaGzDJdLSD1g93tOr2undqDcrWUbOffKdxDz32HK
Rl8zqQ1nbNdhG3q4MWVVr68iWekOUMPSWZpAJW0tvVkpLVqWtO6wSswoI9PK0OfkYt4uiGV/4feq
Omsk5EJSp131uS+tBoeglbly7oKUWBUi8tr0gmDXVV69NX2zRNJT+7PrjOZe19rm3rET6wb49fLs
EqKuMLL5HxqtAGZOT30tiWS1z9Vpk5SWupn6ZOEXcv+9DsNh3pYD8lmq3jz6RcpR26NRLf4fp2s8
+9gcgVYMwulce7bzuSfbw8z0om4FKZDORmPuol59LMgEDgHtxVlvpO/U6MIV9kHVHU0UukgGNkFB
uODICu+DHquQql8Umed9jQPD2gWZ18yLOlXBq7PSeqOuZ4antbuwMrrnsME5N0yaYdkg4/GvKPkk
SP79VOfwPqvnCXkX9hHIL+GNR4P2LFf0m9BwUiXIV3ET+VtL66Gulua7SYsG+4z21R5CZVbK/qZJ
PWkl+4ABLVtEEV2xHI3oFeN3x7Vx7lgVk4WVXl8se6nbajgHohxi0U8n8a2kCqxpHLxNQ7QvvI5K
02A+Frq+D2sk1yA0/OpKbPHMpJxmfqsCn5fTWW1sW7/IXKey38IEZUGtRlEoHUR+49kLI84NJC3K
EcM2fV31DZq8lglkFjfIxqmh2Hn0zKB+zUscswFgmu7Qk59TH54DRah3ZeXvtM4/tkPX7hwyr3mQ
xUfZD58dJQTziCm4G0iePp9U9Tj6wQoIxVph8c9wg7j3lIyMz8Nai0f8+LtlYAk7zGCco/JwaEbq
63EqvTtROg+UAL13oAyqDTmqUvAkVySWm8KztkZULOTmV+xQXgPA4pIzJ66U5FDkpWHf9o2z7iP1
Z88xR+DxqzLsel43BWzRileOsQS366Gf01QqtrGv5ltr8vJtUmTOv05JYmp7luiOjzJhXWwzRV07
OWllQHlto8WYjedDObpJY6z8PLPucjXrt9jaPOYmTjZVkFlg/uV21lUrP3WK1ymuio2XCmfwOkQf
DqxINzMmhA58068fCCG/aEaWzNMBnYdeC4ynXO+CtdUn73nZP2jRkD4bvTQwhdVuyM3wrk6mb7oI
gSOxqbJyuq+08GhA9N7ZmmejF1YHRKXd9H/5OrPetpVoWf+iBjgPr6RmyfLs2H4h4jjhPDSbZJP8
9feT9wUucHBxXgJtJ1uWyGb3WlW1qn4rd36ZnHTerYW0D74rf6nEcs+l6+BztwhtH+2QJBcMsP2P
rAExlcOc3lXuqJ6tmzdFU8g7f2QuJAu1PDfa7aObd9bL7M/LMyOKzJt6KiaDBtk1QXy3QZeco5ho
nVk5065Nepu4PBe/bzl6SPvKnunYNMOmMMOYnXyKwbgWt1fEqGMXrYOoVkrvwnFNjoJ7de2R0W5k
uTeEP137ejBZKJBsP1+u9cOntKW+9qfgph8O2t1cFOhV57q+Tv40XFK7ApK9feCgWTjTuKyDyoc9
jnnyQbC1E2W3jm8gkwQe6Tt7XvQ9GEj/tgDhyS791SptMypDhxIFYR+taZDGsq/m3yy1Q12nzr9O
rQSLON5v/HEYLXGEeBpD3HZ1s16tvMk+yjzZrPQbrxPc/iWdgU9/fq7ydl+0M26KXePhKkPr8/OH
pTu19cQC3pzVJuOnAp/gaJpz75w0rnuef17lHTNk2InGQ5iNjFtrX8VJmlbbnqkikeE/5JbpsBOF
4T679ZJcLG1/cOi4zzST8mRONpaII0bRTVdVpzD3+8daNdPeEU6ym0Ezt5Ux2q/lqKuoN0t10EkH
s6c4xJMwKK8+H+0qnPpltf3PtMum17btUOXeXpEcqeJ2tJ8ZP+nvLRRIe0+3uEiuHcrmrDO2Yz/7
d7oH6pCh4ik32vquu5XteQMJcRiGPDiNZleckk6+ILyYj7nIgj1ZX+ldGkJs0wn0QPult809wVz1
Ev6+DZpNe1hSLzIKu9omXi0/kjF8LLwJh/+2FL8HBMqdiZ2pUpa+ukM+Xc2EuJK6u9rOEj7l6Tju
miV3KDt9eUUKgjtBY8rgLiyrzIyccvgenZSRPWF8SXsi3BpEnIPKxkiim9rrpMqLIdz53rDzCkvX
/DUZ6+N/TzyYkrkNl78/D66VS4Iaf94/ZNWdFqe1dmEAf5ETenj3XyOl/PV9mEvxaKxE2QXSfElH
23wpamc3Vk7+WA3PJYHTb9z6mfbrPfNn60xQEyboou3fqePQiVn9cEpNq3+fxyzWRSVercpz7vrK
BGANlvRh8sYPNfjDYUDyEWd2Pr1UfMlrmDmvYz1NL5nlTy+Me/Rj7T0vDaqnSnuRKLM3P1izhzZN
xJv9VXSt/bbgybX3NTbIpUXNk7JKcetU3SbUS3hSfm+8LQByVtBRq3v2d/uXkZqxBPAiyO72IgNz
s4r/Xvz3k//fPymcObgAVq7xWLnJGR/6q+v1+t1KxMbIjezL1O4zirFfGCh6j97cV7u6atVdPevy
CPPPkCtqL7JS7CezQRni3ZCIyk/sa1X71q4A8ImKqi/ge7P1tVrqYZtOY3VXNXwLt1+SHQnO65Or
eeLtMJm+iKvbNJ03f80Yt5QTDsdJ7X1bY/OVKGHEa+KZh8UlOSQXjPjPSxHct1SRWTY9rVao/sz8
i9tVmJ6ybmghs5IOak91Z0HcfdxMtvvWZua4z/TN8TRRzbmmXY/SNOCq9uG3L138UJO5GHYE4NYM
yZjfThG294axJjetDEJib7qRh8ZVtPZTs4IADXo2n9tE7XGlvFplMFw9e8yeVYFeZUQHdTSVuJk+
BlOyM5eSpqwwXurS2gwJbXuj8ctp7OQyt4neOcr7s+Cooea6jSrDJLLPSH/J6b2hMDHoBqKcyVgm
6xmLKIeXwVvfjdrUsaiohBj2vlK1kX7SYknAF4FrJACkrKeDMSCJhn7qV8OPioWT/GaMtcmM5aXr
Jpeom3OlpuFk5eGV7RiOY53Oa4YtBKbg2M6jNUhNB9c/pNWUV5Rmt8zwPMBLlj1mS3fokEhgIhtI
/UMajIS2VeqXo2gkPKP+qqrjwKmBKwJezWGotvSTR126hHYnH7NXvjYt47N5ri5j0n5KB8py7PCS
5uPbs/rDCK3pzL9c2d8ZPeb2TTlZJASn86GdMceW+bLpWzyGhGaApDdJcTUfMrOCyGQBMuduxkLY
H1YH5QE/obcI8yiqcbYn22onuf8eeQtFiF+TG5D8Hiy7aeV8zcvxbCoqkF73n24lY3cpw6jDqZih
bj9WXXB7EvA4QBG/tdLEojyyGXcn0PHiljZtSXiyi/G3NzqSd4YobOUIouIe/GF8qTvnjPorypfm
rVvQPZAeeMy8MouEpZmAKJXHCd/HZtdbh8VWb/SP/zA5stD1jynRzglmjH7zWqn20GeyjW17CSO0
ZtQMiYyc1fvTTQ7ubk24xkmnfg0YBQnTlNFiYZ2dON/dnO/Kyv9KiuTVW6ddUxh3TuMzQ+h3uyKv
2kj05ibvf7eFbqHTc0a7MzOMNI58OGCwRjyIYDV94Rj/qqfu4mVEGPd83ihE0lpmpBsMqQEWNTO7
2zdOVKTOmeGzLlL4t5Nwle5rajAwhamNg7SFMz75FqFqbdhtnSkEGCPUgByOChfK+jwteXK0pWqJ
SQDh68L79MG0Tka+PnjOYu/XKujg1JN566qk31Fex2b7IEXl3PdueFjrLr3M5a/cwzbcZVozAB0c
rfmUAWR4tfrObwkkSZ4+BFXl7lCEcS/51emY9VTUstiJhTDq2iL+wtbrvGWEzr1YshYkCo3uVgh8
rQZTnBMiRiLt+PfTxGng1J+Tw5S6S9b2cPNMJp80YpzmfrGgmPP8oZjkLy/kV9vGyIAAwzl4OdVP
HJLFXTD4BINM3mbNJ3+nbm5Hq+FAO2J9wcwFZzTV1d9KDwaeT/lzlvno2dYZ90RNTUK8d7NHVIHW
iNxp0Hlnmzuo5RDVv6tKv+GxX0cOvSe3st4Ojq0wU9NT7Ah1e8LL6dBmD37GoldBebTQLbnW/DaN
no/hKituNaZnX1XRAJJ/Yr3UqLfmE2Nm05BsML+qNqS3GzFydXQZZXFJpvRFOuR5jV7+N0MU6lk6
Ab5YMAWfFwhC41g0qgbX4eMEar12vXyUEneY1tYfi09met3UbFbrW2ITnV7luGe7mMi05fxWSiai
u+qhFdbv0kvRIfV/+gNOZO7NkWpbZAa+DGQmbTF5wuAuYXQXXnDXY2QH4MxX8m4zSP5nMGFfHbTV
ZzpimIepWh0tvvW6VvZD3+T1zhXVx6C5dWxz7kbU81c1Fo9S47I+sMHgNcEJkg/TwZHpLy1wAG+Y
m9sVYs/02x/VdOc5E/erzdXyb3fdLJb3m22FNiVbvFYa3m2wttmdu0ikmHxX1S1v1pCbR+Fufem7
W9VxsrfTH2iTyGvzmdiAx6rwOYA9RhLGG9gflh+hzE0mk4Hf2NUgH3TP/ajNj8q2nmn029iZbjV0
B7Jwu35Js54WW1bExaIWXkKsbbLxmWlrJEvD/JgQ8IyWyEDygTDA1GQbuelONLhBlLUy7p5wf3Cw
eOv3tjlgdWBZp6RUb3Kw7X05rifLRPzVJ/eFLlE+rcE5My1SRoruClVA+k7YbWrlDxenf8osHkyn
Gr51W+yNpguOyrEPiTZQUucnE41nPGvbiTEHpI2V89vP05OIYoiyjplxmqmTPy27nw+iO6fZ9vZc
ITEjVRjf8EsaGIQ23vYci/idbW2q17HQGQebPexHvHQjheXQz5uOtfnWT9yYhR6eOeFGHonIu0fk
VEe3ZyHLuSDMJB2aKhz2VeCek47zxbc/6wD+Z06Gb7dN7vNUvhtmcD+WtX/03CwA4uPWD0F4z7IE
JeidGLvoV/ynvm2va+PexlnMkE+LBSZ0G1V2uf7nYtGxa0j/amTrnjYBUzvIAQrFdVfwkK9DfiyQ
VFxNSzY8PyH1L+MNJeaaVcZcUhgoQl3WfyY+FNAiA9Ywlv8K97XEPw/ZMuUf7F3pCUzivLDGmdfE
MlBXw5ZeR246EQRRUIt/tkiJjGkvGQHBxzm3N2aG0bsep4PV4M60NLhMskuR+PTza1PvRNt4Gj3r
geRuflpWFoLPZ2w4CQBDifdWkCkQmuW2yGUf+SIkyKFa3gwTXUVVtWNEw3YXZKhtat40V+5D4YA7
A4p9Ytn+DKnxVCIbZsq1BEVr8w8Klk05DubeX3ACdCdV7xmZO3iKc6zxm6gVOXSm+BfyHxtpnJUV
2Ls1kBKp1MTIZpGad9zRSE7lQcyupJAQDSKT7Ghg8YaEHWl0LWl2Q22/2eHy0UhiGBrT3N90p5Gy
w3RvSBd73VFtGylueZJrxJH9FSYJ/qtBzYRL8rrWAfXE3BtbO1lP1dD5h27KTlbdNuzwNUxd1Ys9
0qzvMK0gjmQ2HbpluUDb5Qfqbyu2+hW5wyS9Q+UtU2TXbXiY3bK6BJNmb1qHo1GZT3mSbe1sILlj
QZ01KcpFFwtp0T/4XofxKjmeJaqDrTcR3dDlrs/xgW+TrdNztyYN9qx9seXwsaK1Qh03WfM924px
wGIx2ZfTcnFl3sb0N3GRNdh6pfKO+YYYO5ybGbm4jh2bmgNui83wGJkNv0/bBbkLzXRfa6IE/KK+
KQvmszeFqPAS9GSZe7Gb0dkhiuUye/2dw7h8tJQBszFV71L5lTTZxOVWPDT7wgVTnUyj309VK49w
zX1sjO6yCx9XCXC3hBL8lMr4WHNNo9WfUSmiC38qAy03QSGH3c9//vyBu8k1sYqzNkL5TKRbHQv9
khp9vlumwtuSkM1PCid9Q03Nq7aR94Qeog1T03m0lxpZ7gBaYJZ3C4Pux7K3jcukA7UPZv/oLM0n
nDdOA2yE1l0+0kR7aK1y1zneXG2O4XwbkOm89CGb0t7eKKyT1A+DOxRTeZldBJB6rMNTaRU7fL8I
rgiBuQco5bgfO/CoZM3uy2K75HbctB4BFUM02nq6Gr3VsOPu1lq6b+m8kG9s5X8BYeNlcCsaQaHv
vLNgeP1elLgPmIFQ+zR4qj2GLUfh2cfbFxCNetCE0/3CG4WdVXtvuu4CVCqQyqNjhcQ+CvO4NoyH
4LWJQLMY+pVT3P7bjt3yCWSm4iBb8HRlnDIqg/E1CZLl03VMEXeDzi9j48vbrQWMnLvl5IieQBJJ
AltvyH2XF/arbBVOb16OD8wyXHNbhhsQtVisfbCvmnFA3WOZ9w2gQ56ubzCvao+0z7jgnjZup6pp
9j/EZ74G79IX630opz7W9qLuktD8uxbMYlDS96TX5TkSZS88+2X39HN9zMQL9rPjw8T/NEOuXksO
h6n767hPfpGPL+ZY8ZcFPztNNxAy1+waoHSb/24itgDDhtaljJylHQ79PKr7xXd2maHoNkrZXnXt
i6MVFFcZtCiAhnw8D9rVd2XvdnGTLyMfNdAn9CC7YkU6vkpH01D5y3EVqIn/WwN9oJbYLM1zvlr2
LzxUxHFI1s8l0VcJZ3W36LZcCPHJhr1SFbLKLKl56lPF93Xl+b83USV2i2nnm3ujUG8gh3QVjJDg
M/xaOWV4SGRQx6HK9lbXGyC/qcY1BS4Mptu8OGrEHKUESquzfI9XafWmrDbfEpLQnFLotlfLx6LL
3OXD8Bb4U3/JJqc/2EpYI9bblGd2UimiP/iDZvIz2JI/kN5Z7mC/GrJ5d72Hn6+vs+xfUnjLYyjS
/q72wSFK6f1uhqI4/VDTY7H2ADt2u6ly091xjYnVXRXMwHBLMfGn4gv+ZufZ2vkHBr1rG2qcJFgu
pVU2D5VJH2bkgaTzMIDHAaJbtwj2ay/KbUeVJGsfbYxz8EkR/Joto4t0Wj8KLerHvIfz0aVRP3Ka
ZpEsUgOzbW7UQjzK2+0GOgGjwbhkv2cJvJ+ox+61mydkAvCE/W2pj5Uv9m6QIzapgbsNjXgt1UPk
NbY4YixyKKvBvusT9171nbMdJ7ncjRSwg6nWh9YrjxkTafdSw2CYfkaNE7aY8NnTKy3ON6yJ/arz
HKaHGMKoyzi8hXV2heG+0O86p6FLn8aKQ8q8tQ1FNy83RwX3WTG5MY29g+Kx0oxVSWPb1sTmFApF
y82QIhZq8Z6bBY+9tJQxJ/78MJmrPHZ/OywR70dXLSjSxwYD6SK8r8OZNDftzntk5DvBHNZHWDi/
6/ViK9N+a/NquTJwR6exhvRZWfIhxHxmc1PPaVf+qVJFr2/J9Jw24AbdCOtnTAzZlfyCVi/9o5Zs
r0614v2GAHgf6imNf/4CsMrf2T/XNknyQ3BztKXkiDs9Ndt2sNxtk81Hb4IkxNE4M+6MnPzayhS7
wWmTN29NwJVZEyyV438POPUcOx/8t3Wtwxzug7uISZNb1RvDZeQgpoG1qBmb7Agxd8GDgPtdlfhU
lEB9zhIABXAiP9Se7I9VDpGsbAS/Pk3AHIxnB1f6Lf3+sPdconb+++h+ZcUDGA5VwvLe6dWme07+
++bwCu4ulSBQ8Bf1XeOBUt/e3jTq4CJJ7fG68tTnqvnFBPQKY8xminUd9iHN18+9MdNuPPTErVAN
YTJVdPlVtouJi6S0DoYt1FPo4XetYNXYNDdTpZd3p0dAjmXYbq10sFEGhEYfNvf+OLy0mke1CVKG
qwDCRRuI+//3ShQsXZHOr6NTZfuMrvXV6lH3cv74lB8fhqh+twbK16pJCOWr5XbIRvtQ5oHYDmxo
G+tn862Y1/1Zp23DEbP0iX/s1vGfJafx0R7AiNBg/XWm9cNz735ULnVl1q8yJCwWJmIV+jVUuLe4
TMNsxqCagPibgfrNScZTNX1kRDT8sh1tUqkFSMSLh7no7F+ixwM5sEuDNrRkpHlM7WvgP46Ln73T
VeiTzOhtcWl4+FGQjX5o73/owZ9dKlTVPlVue6zS4QWj4SmLs/TAE0SgqzZ7ksNW9TQwbb9PR5O8
ygJ5hWF3f28vxFTWsVsqa8+4cvOgLcPchdntAFvKQz4y/BeXJVZWqzsb2ylDHjEN4tzcaDawVwtF
efm9ZGxV5oI10e0VQfMEH2leCb0Mz+06PFIP4243Gv/3D2HjofG/i33+p0gAUhgvQ8b5PTztMND/
n0OjXe36mKB4kNwJZ/dIJ7I4ZX5aUOSx+ZvESPc9UV4qKOLGUPk2qagp53LVcV5P/c7PFBfZ8d4q
t1keKC6L82Lbzznc+YMQH6k7XlA84JWHLGY/Or482MYcbv97bAm2JIE83NVttb4sN5VHE3RUQ1jD
7Rta6rsmEYf//ftyLv4PBQ8FBy5jLiadmEaS/vc/TQxqwHVd5T4zofXwhuLxkLtNE69Ab3XlyJMz
pxVt28QGnDvqsGqixYKc4yntl83kNnFfc2w4Up3L9ZZUhltkZLpLsnEURKjwAvxkCGI2F6ygkfce
5JCteKvk937LdGy7VE8tXQ/3vUGV4lsbMExWfUafPczOrvIO7IB1DN73t5Ge3v/03Pkrtg5v0ux3
FhIY4tDyEoNTTsRF6wNciXMcrPHiaaKeKdhiW7te3MwlurWd2ZbPzsiIx5QsViRHc4+nnL2cyZ09
N5MejiMdVGba6tTi1uGJ6r3NlL0Z7Jw7XDAtPhTJ1oOG3bf8vyO7Miri7NWjSyaxYNr5bddQx9t3
rBpna3ldH3vbYroxq5mR7SbSPC8iqB8a5foRVjBpjOPBIaGziJYw+FACOKxp9Vdt512cyBABVBYc
lwmi06jqOPEWtDF5mJDOOL74PQu1PY86aXZ1amI41AanoRfuYaq4OSUYhlTiNWBciSFUOkVQ86Ad
xdYLyFzI4Qj2ONM3trY2QvWvsrZpiDwNNvpVwF7se2f5veYY4Imc9E3cTQksXLI/dl+Nx4nIyBgz
QCuiDfL3vZfJo6GoZjyySXGH87a+kYhYeskf2U/OQ5cCZYVeWLI6sq324BUGNXq7pUDzjV/vk5Bj
spkRdNKyG3HRqS4qXOkzfjL846s5QfprMZK7MVvxcqUd5PzKNkt3Gw68ATy29+BLke8ch+4fiUZc
kBRxh2/jblEwvalnMQSu1FerbPj5ZNmaktwRjYk58gHnAblSuUk4XuPRTj+zujmvDh6+ybj+TsPu
gmLpUhIuHfUyE3tTqGmPnLua/9KEYqgLYsadDWPGmolvEUTkqiSkds8kwo72j89sUZkk6jB4gNKj
uPiFU+zcHu3lMjAnAbJzKjObYjk9cTEPhb1+S1de1s47yDD4h1Nej5NJ8TnIo5WwVCbsgvFczS5J
r8qNx1x3matzrbzfonDBEgWTT0BwHFx0vUMXI/dia+0sbrqrPiw0Nacsrbc1Os4JNxacQW/4SjAj
cnLF0+r3h1IX2Mn/9dzU2qNYKYBn56ut7IeK+d4DyS0FejBM9x2itLssiRGgoTXOvY9MwZOrIZpM
QV/ps2YX+7aKJzK4EU+IyX3TYTy7q9yEE9wNTE+1q/pbdpq/R5HRHbwKIn1tvQ1wH4kN1i+joOjQ
WbmfSppdY6FTxwIFt5v1TOMxAvT1w46cpIm4KFD1pkSr5Mtz6Q/3lbOQPClHziiUx6slTnNgbpxq
xtcLhU6v/uXo6+O8aw4rJwMUPLCtmJb3Yh26g5uFf0sBiSPrOdsA2cHWuhCcRmsjnmjqo3REGeUd
gZnNWj+4Zv5vqvhiS+Lu7Ezu6wBIQOVluM0Gvirwxavd3QKlRHlnhqrBAHljyKmJC8Fcg6mCuEc5
VU1uer/Y+a64hWCuN4fyoHgb8tbaMpAc9/7w2Pn+R6Pzz6xnVHuk9IoS03nsq9zgLddmy9gzM0Mg
rquqZ1I3Vr1tJbt6TzYadN8pmJAzVmPJprOsQZQZV21aoDtemV+N0eN8bz8Gr192Mqne/do+zMLN
z0FSfAP7JQdX62RfzwOrumBcNfDE66jE76aoPrOsdbZ4YMc8fWgKWx4DPMU60qrGL0+P98jmfKb+
V3lpKnev/XV4hWFzp3DdL2tdRUH+KKqAMj4ZuBvEo5elAXzFZjmkqT6NnT2dqLBfq0CEUWWmLdnR
mCvk87TrSn3Mi+pF1HyvsEzhMDZoz9cNku1mS3vYRbMBWpvPnHVj+Wp2NbbIEp/Nid+hptdVDiQY
rMmfwEYprwmaSZkhDMq/AQ1MlOskj+weUb5fi8eq9zBOQvoYa5gqn7LsQm57HU8SfRRA8pIsZbRL
UuzNMJU7ejLfuUF5y3DHGrooCPiVmMNj74LQgtPdc/vHUM+/5/lWBGQ2Q6xe9d4b5X7BbwtYmHpe
ydHeeE6R8DXm5+zmJb60iEo6MR5K7B0HDfRoLANDWhQ2MXrcLdvMp9OJHmkIlqUDTlCEzRt/UhPh
hl5DZnrInbIKCJIkaUBCQqBaTz24/vhcWOFvq9betrGDe9Ptz9YkHpsG5B1hMaU+A8zSwZkmFOZ9
XqbG1m3mh1pY723hHpsUPQhkJgNqRXFdTHuTz92zYzstPEc4kAFkd5cEW6agC/S59szLMpcIBwuf
BW+2SJ/MFey+T+PCu7BIQjbUKWQsVmAdGE5/aG9umR/GxXbxEEXZg5baNiGMYFGjWWTLoZPWfknd
dTeVT8McDCAz6Xcgd0MO0MXE84Ryr3NZJurPZAJdefMLzCks1MDQpKfDgrJFnuwhJBHK8H4HY8r7
okLMOde3hYs3JXqf28CS+IeHENFSXOTCNtN4FeiA5FjsK99WgOjm11hbT2ELjuK0/mticv/MlD3H
BfOfGrFXqAwz13wBqOfw4UqjoNf3ncgiPa1syD1SK8OzeKDS31VP1kkD/L5tkuyE3Gu47zt1IfLG
GDr7wFE6EFpabhOr/IPc9XVBXrFBhwjtWbhwXuHytKQrp1g7E7sL/xaXSelsQAdbAMmV3XOFaLQy
vz+Cj6Wxj/PESVsafWJt/BWWilQ4E+Ob12tsrex9NehXpItOxzdQOvenT7pnezsk425A5ODzvOGh
FBfTbER2WbNXVwbObS5lpSt3qW29KEOf8GihEaDkU9Le6X55zi1zQLExAP+nHgb2wibyNSeDDwta
MimKEGj9LdENaif3Lw3gjUgiFtwbKqanBxb5DKN2e/fMrkg/mrvH0ErOicTfNfdSc4sSAC1natB2
u5e0nNH02/U+6M3PpOrwycmy+yKRBHGEgCBOVs9biyIhbrNQnYwM3lkugt0nUGdzaf712Co8F1V5
tkrzMROsyIkJs7O/jtcxnFaoHPN98KHr7UG/1rV4SRS1pZ/eqgI7eJxqYqKh98bAuwxGgRmUS05Z
7tu/BlIdoEOLfesBi3iZ94hUZJt3wx84Y56NxISaNf+tZm3HxdzdAoe6WDniTMrYV2+v4KyZvxsW
myMLuXUs/eFPpzlDUEfR/7eB9SAsIpOcDoo6I9a5qZ7CTv/C9Ss4ZsWFlIl/5pS1u7YMllPSpDvM
5ty9y+R0bFh4ZIH6Zxt+6cUI++rE3X7giuUbRGp/ZNj/owCK/KzwtzZodKQN8IbbNFu0Mg0Sk0qN
lAfVa5WAE2ogmZ2Zzr+xKwEdcP6NbTae/NEKj6DN400wAkju4aJvGjKy/NtT5I0m16DazUS2z2Bd
/U2xqjTtlTuYUWjyEOLQiVSFwZ5EiyhRCiTDms5WJgwwxNyK6jz7HKuM42pBeVF2A/qQ7pddSS/q
Z6qEQFtTvFwppLb4xh5TthqwtWaI7UR8+HMRM8g6POpS8wnr4I/w6YU6s52PtNbPLeLxeAjY523H
2gYZEFWf0yaTt6C6co/1r3rTONiQizug28QHxq6H8TR4E6q0Kdj6MwTdmr0tpprvUCNKNPoMLLO0
ZcBYKxT/k9Ut8zMeGrD5HdREP0P1psaAkuS7ypDZjig/m4r3YqcuV/+jshJiHYfpYSnWF52MxJYt
qjqmyAJptftId5Ar4VDPlynAnSRQVTyMnvPsTHkCifytunB+1xQB0VqvD9pBXbDkxFurDuKqHuR7
4t4iHNk8OIncR/BIdtvSHePFQOCI31K56ToQyFAnW7NKgqhpxkOVCI9pe5Xt2ALD7dCxXavZ00jI
jJ4aEqeRLIB8LZAeleqajuI84+M0Jjd6ioC/KFyzcoeLIANDHrbUeGvdKUN2nHXORXd1tys7NW/c
vJDQDMlT3xWf/YrCqM4ngdSyeq1h5fYFdtB4gby7rfioZfqGmJMNOWNUoUsIF1DdlvTTIJah8+AB
hQFDFh+FP9Y7O5D+qalb++gido8c46YLsIdp49VMe9Zj9q5JZdHaIHPENUdIIEZ5UDqH27nIfYCD
7MVg1cmJkrRLhzVeIann3ttJlRTnMYGAWeSfulvcMzGLJlnoXRljoIfsCN86j2q/ApF+ytrBOzbW
7Xs1ctnyr46FGLCDZ1LDkVenLtGQiFxvg2KlnLKzUzCX1SfsXf3I3WxuE4FrPFVMZ0/KuiDDQJiU
hYfFbw7Gun47GQqrysBNNCFgwBpvo4adH+5Hm3JH+0kc4sQy7ygrscp3GRVzrQe2e/BtniGwYAsK
7MVo8uCusAYm1dkhIlKQvsb82Omx3WFPGuo36U8MhQ3YD61dctayAentFUPE1anr+/aUlrjjBCge
V/dxdI1nfwX0o7XMbkNSJf2bK5ujWL7R9wXR5BO3MQXul0Fq7cYwkHH0pL9lXSfvIEputnrGY+8H
W89s74TOvoM+FNfeoV2HbD+ntLLQz+489wxXlSulGq3MVKSbyVDm3lVrQ9o6AepOec28GZBTdDKi
PUWE5jTXJYcsR6N7k/6ZuDlggpzUf4UQ/tms1LfR5nJjiPYbfOa8qAWqAvI09gaiWqBGXXUtfWhI
q0I8hR6qpSf2frl9cWulqQtXo/s/XJ3XbuTKsm2/iAB9kq/lvZPXC6F29D6ZNF9/B2sdnAPcDWyh
1VrdLVWRzIgZY85YWiXp2WFubq2g29qEWSsz25RT/Vlq4dvUkus18FzzWIrBQ79Q594tyQNt64CX
wX+LuR2UlX8YZXJTnU/gcS7ipcztasO0Kkf/4izpF+zcevXIdddcsH/qU0Z5nWUukbtWsmTGmnU4
xUECKwBK6xzZ+yEdyuuo4Q2KI8bokj0no02MVWvyJuRFjLvIid897+/Q8uStSoYQTdCv7LD9ULGA
9JmBkRQnCVNfF9lFgsxqyCGh4ZzHtkScxpa1wLHHdIGIUYKk4OJ+VRXUXd+K10p3X8qW9a3kyiNH
VHV4Sv34byj16jS18UEU/vcwEtsVCbCCsW5PQzC9py0I6pDXSFY8vIyQEGiZM5zz9GyJNAt3Yskr
jiDoFhbE27Ju960D6gPMM+r9vmeGw9BdHQcruDdWRch8STvgEkeTzMd5boGkDTZ8iz0EUIvRRuJx
4dDgKqV0++dFcu6Zo5NG+4KZ12Z+shKppb/aCPCLOA5+t77z2XmJTzw91ZoVWesUaWKhBXPidGuz
tp2UZ5y9c3Jy+2ozaamBBruSxi5yFBszWWuV8EayF50bmbllRBJMtfEKPVh5LIVaTsIAsZe8csns
s+9YbBnJKttIQvuWU2L5gBgJ7V47sVqiLg+uG9mrsEmhmLQ2uwwtVaQsQm83DgzFC32kyDa792ro
vFUytDdKZ3HGrk/QStB/UlbtC52OgEJF7Rotw1jVJgfImIx6kSSSft3XvIS2pd/thJNboX9Yp9Kl
ZLKxzCzMcQlC9KV1xtlpJvjz+RyP2rpe9izAznsU2zqkMrVCw1hbFpCfr7mURqRYMZo0DjH5FBhg
v7Jiug3o0sth0ua8+6JdkFgIDdjGL3mR/tMqM1gOcY9uEMt7Z2TermVs2vOsSbRyFkezYO11LosR
GMBt0oFM9wZvo49saVXtwiw5SPVRXEQa3MkMfC1SPB00RgI0SvuSZRaRWlBSW8O+wz5kmEIom+kE
FnFijjvdbXiTqsvzxixxHqp4wIUqXbFkJ0bP9M70QiQcCE/wyYxO3zwWxXdZCfcsJjJp3YDpbMfF
xW0IIaSzxVoXx9Gp1yS0IWQp9UM0BWSaPp7t3LmlSfD7Oxj6/NAUzrvSOW3M0b7FvvFoE+13N0Ym
z4/KXJVOGx71WRSvxuyMf0Rf6dbdYSyz9SsUKpW6t6xXa8eqH6xKDWk5LABLXTHoqwWbZ3W+sdEM
H7NBRvNt/2ToRBhnrEfIDcfcBOxkjlta0SY+1JMD7eewJisOIDO7/stryaPFU6ZOGfntC6W0TeL3
CDxhsnYifNwqC3Db8AjitQyZ2yULo6KRtxKa1F57dUufO0DGLzWnz8pxJNzy8MO7xQ530/tMjRFE
OYWUbbt7pnvndsyZ37oSFAKaOWvvepLefU/+y5txQbkC9uj0AlEA7tYybrz+2S6MuBSdHtkV/YSj
Kr6OihptPsFJj9c2dmCwmZWhB9t5HSCjgJlsnwBL2WdWkAO+03dq7lwi1glTkZ6HKBU9Z/AyIZlo
4uTYhomFCRgxbtXoo7npTAX5lGvgue7gMv2ezIVj66DEDeYV4ehnj33AU+zOSXiKUEyAp20loy97
sjympO6XsOmDPZF86QSTrc0+34djad6r0DfuNmqg20f32NjF1rYy/GQrVP7ThtNAnCf24iH3cChL
tHb50tao34pJ37rWxVKrw7OVmeU7zL4/iZ+xvRHLF6/QSP7qfd/zWlM4NAaStuH89RCX+inW39r3
2MYoqpz84gjF2nvZfiL4X4UYmrUd+4tpQBQo/QDYThZHZUL8dOEAVJoyNCdda6kjuSyR8tZNRxtm
pKe24Ox2+noridVJjAGPTgQ8AUMHZFVfNbP4VITJbYbcPs//dzWakHwTwPlfSiP5I7XQXE4M4JTR
vKdxhl6Wu6hR9Gq6m4JBFW+h5kKfMjh1Og+nWpywxyWjlhuttzgfG9hVHed3MKCOpZHg4ovfg3mQ
O2XOlyuyO+jHNXS2WstBy0pCfTXJ5EN1I4cNE1KlYxxLC7kukyxcpSyzY2kBTZCH4woIN/gWHZQZ
mWQuZ+ciSqdxiS3qCl/xToVyCPRS37gOuUK9LuQtYTGz7dk/ntD3nFwcAXWOm0rqf6rC/NNYLLNC
ardXhlPf27hniR4IgK85wcXom5tZT9XSaOJ/bU+1ZLinFHhuyeq3aG0otZBjYaxcjCutbVeU8e5R
Vayogjplg7JnaYumqslMsJgqCOaNvUA2UyK+h07cb82m+9vH9onkhc+5DS4iyOxuGMHvffe3bdxB
u8ZlC+WNxYCTzMk+c2ssiBOIH7qDImM26kqEV7izB3PAlIF4oHffgl0jq7gE4EHnI/zXYid247On
LYc3JLTlqxb1h96RQZA65B9g/HtJDeQW4H2kSDUcjanZGXX2GzUG8+EMzZpk7i50D4ktdk6llXxp
FYJvVDIe6T32G4rGEkuR9tayD9w3f4IU7BL95EOLWPF8GDPPULIhDxZjohJyMTQivsz0K3V+sOyn
ylhotSl57sbBsom2WemkS9VxYDe1tI7VOXZMY59VJPuxab2RBelqA1r2YBrveWUwmYhftL7QNqBv
jGwsl66FHKkAIn2FifkV99OmHlqHzRcNiU3iV2/yjvdJsdS5NzC4HuC3qBdH9dHU6GDaRFtbqnFP
gRlehgBMj3Kfi6FnJxM3s2C6sfYxsDUtAc9h7N9Cp/oIk+R3NIpb44QYNkeTM9eZKBFz0WzKZKRZ
en5P/Q9BAtPSqFGfKiBPHKH84EgmxASFZvxdeM2hG2hL/GBYWBhgFk5B9LqqsWlwseAqaaL+9yDl
yyB0rrrQeLWJM98YSXHuc/+upR5CgN/0+8xpy5VtZNNa5h0OPGybAuRqMSWkq1NUv6B7ffSuvdPF
txPQaTmBaHB20kDFxDrznunxqrTFySiGZeN5ySYswFK/k++CqRz7wVraG0IaumB89QMSjozapEhR
AlKbkcFi8q17XTCRqirSeG16PjCPYY9ce6hHy9xEfneSjeFt21x/8WZzSV1ny9JkbWMAKcCkJ0Vw
oEnDSrkqGPFuyBX/EzeSJ7+NTNhmzIeGWrt7TvQ5FGy/ZiJr76SKVpXHwKodzFUUmy8iT4EBacMn
pLsTgimgJOApuSWEaPmpSf0DtxQzqJ+i9u4mTUr+my9WA7Z12nvMFAnvBK+XIb1mnegFLKbti6Xj
+ZuYWNKZi60XADUrRGx/k/KvIMtF2PyNQxnz71qaj+GrByscyAbsu1ugSMBVBsukrLDbN6VeYAeo
j+SCQtoJWLl2etRm6/LIqHC9lOMdXwiP9vIFJmWti3Tnqal8RP5DhA7qS0dimpX+QtGGtatg3YtO
sbRKIzvDolQumxhlAk9+ZDr0QfnN1Sd7aUyMElq29wX+EvbsWiqmP8oN4w1ZFouusfBj47QJ7KK4
opLOWWwEGY6aS/Xopnh4mnz4KFIIa238nFyu90yTn0lfGzeqzpPZjONvLQDEY7N9wNrd4S8hLQ5y
BY9Sk+z1w/ND1OoLZ8A56g0DRvPZ5/z8IPPKQj3LsxVBG84B0dfYiCrvt/hPyLsob+YciyKdzr82
GbhNJNG/g47c66IkiliN1Z5OrcUeyxeGfHp7Gu6qAkdQBJsvieNHBayg6QVWAF+/Z+WQHIeDE7rq
AUnibnuzOdlFVW5tGcZr7nL0JEDarXRTsowx/Z50UfJeRWP/MDL7HXEdC6SDGChyiL9YJd7dwJ23
BTmoAPegieoeny84f7wdM9swF9a+9kdxbucPVQU+JLoz1tSJwdmQbSCX5WPUnGOROoxDLNw5hdmr
AyInOFbncVI8P52/MMLE9YOmrXXVBidttDMy1yL5YIQslw04efpM9DA1YR6eyF9s9u21NzA5tYja
u9g1myuzPnZu58wxY7yaRUpcTpchDLHtSOmZBFT1hmVM0jnUgfzOu0E+iPoECRg9oF9W3Y6cClmL
ny0uNz3Dp9eSovC/+Ji6Sv+OuJ8OeRVPG5r88ebTl9xa39r4HGWn9r/QpQYBn/9t07GIzrRCRydT
OTQqmygArgIf1tNQh8kmFoA6ZMKfItKVSXXIhJBkY0O2207v8x9TWvzgZvxBkfwRS01ttNCzXpKJ
iSOLCJZ6H+W31BhQJxQR7vHQHWEYipsAT9rLxut3RawtBwr5zpmcY2h7xblU0roNqcsiOjva4K+s
1gJD2alTnAxpY7883/MOqM9mv/jZkeLhgvcT7iumW1pO2qoWluD4/wgHD/8d4frkMcHZWGXzggSa
buyxKTaiZcNknXbi2OmA7p6mvTQ+uirAjnoLHbUJe47eYfDMj8QtOfDQDi5a5cccpflGw2f0EYzE
rRMbVX2F1Xh4/muJGbqLIVMcVD3VY1hZW+KfkJFMr8UPL6ZNattkC3q9YEuCvMsJzDYt4uKqwHHn
+sFBKs6/fV3O0aSj95H0y8DLjVOAXHNi8cpeixXtq9H3Dz0ss2PoltGqyCQC6fNqh/X594QC0TJU
w7Rblg1aLNjO/J0Ei350cJGNab1P6P6gUk7KluNc9P81czVt8Bn/tBNcTFNYbz6MHsJ3IDalCKtt
0kU8Q2fyNh+hZvIp7UlsGrn1W76gRGEsw7KWK1Lxli6c4dFu83UzevFJi1P7YkZRuJYWDqhWs39k
PZkna+wGirup4O/G0yjma9ofNfXqTmz1NrpSYDekOvrvzpjvhQEMeQ41y7a4j/RDHE9/cKZG18Kp
2qPd+/vnZ88PIwu5uM59bVtHtrkpywCWvFAUiVrvmzy6TSgfIrUsT68+YmEXy5FqdysHP1rwlLXJ
mlQxIS6EnASDoHuqfOOiYQxYKJTY01SG0x2tbfN06ocsElrnVeAyv5Pl+fkBPKw86+FryG4dEn8w
9TtTh2WW1DSijK767NfRWXj/Hof6vqolQ4ipas4WWizjcG6Y56fYB7vDCPeyj6Za4/z3JAMUFd30
gLDFkOGKDoWLSE57pEUTVQ/DZDbGylNJyQxxrQfbIConnidBv6s6KEppdfkrO4qWuqUbR1j5v3nU
IlEHwJFJZDlnKrW/z2c/xt56pU2RvsJrdk9Tkb9met5dyDl557pLG/Vt21m3NWwWAxKT4S/KLjD2
gPmsfk9E/j61JDSEA1ToVIn0KJzcYCM9Dg/PycNH4/Col5T73eixznoGMS2j+qNrE5KUA3AjnTj+
BfJ0DOiYE+5n0qkwLfaOfuyKMjtklv8hNUYHzxcNcS4gDmrDRhJ7oTw5/fS+8UXVU78YbhNueiV/
rBQlX/RV/eVH9PIQhwOrjiUHBYOm7GQZQh7h95YcDM5L0nB5BtnIuKCGmR4y4k9Gz0IAR91Tz8iu
59MmHXJKjLD5CIp6nQEGLTUgpSXmW7zeIfdwligCmu0g/AjcYu9ruIyyIXzve8ljlzCWU8/+hitc
17+28FKiFh4kRLDbJJD2iaZCLsPA647DVFMyK+Pe9MNf8qjqfelCjYqIsmySqtoXwjtVZtyuqfYm
nimzZ7uJ/B8OaLq5Ll01wugOrYF1rUbfW/SZAhtIkuLU+RVDRHPIsNZNvOzCPnpC1uuKdBDEzCR6
lcQDresofomN1sQK7jtbuv+nH4LIiF0WI/l7IwHU7XuXdf4LI7CA8a73TYCH/14TUs3SnhjpPeOo
Ac0rGGCX/rUmZ/oavUdDEW/g/MJVZOvRix7b+r7TBwI8mDkTkYYwv7Ckg2I8sqdo5DHwqAzBQD6g
MZgly0Kvghsi/S7ICh7cuLm/KDm5h0ruVUU3yLgyeZv6vr7hPNmxAxkYv1ThxqisARPZpin85lqE
3T8hI07FjDWbAAiYnGQdH5lalmtZJPJHN49DXapDoWx+jtAevzSHALqEKhZ6oHuYSaEOghtg4YhR
HDyfbeH4vf+mIo5+5u9PjIZ3eFo5qrj8iHQA9zNMXXtIeiHO0fwhSUjMUq59g+pJd45k0JnOnW9R
TsFywmddikz8yd+qjFoMzmJWbXEYOLW8SDNUR9yAHLJWjOpv7cs8ka+qsMkKil7qmeQmj3NYprVW
74xSPUD3nVPqQtVWQVIzrHG+HJmGrwwNk33XSQsuBsnov7cgLAaeXnPKVjMkV62ZyC6AwEVKQajp
u3jb8T5uy7DWlxEHzzlrvKMGzLkv6o/AqHZhpdkvHpo2RZK/zOc/i41r57tmfC4ndzwQcPJdpWVz
TMvAOZaacc76iRF6m1kHVqSbKx2A8JAPwaXYWGLgO5//OxJ5EmlkWwpOsazqUj6ywb8g03DVJK5M
34X1pnfkk/33U7TZUO2eL0XdvKWaD1zi5L9tjXSu+TprrHSj5WH/Ju4i1tqd70cNixWEv9PIkdqE
qXYTnEDolT0+2cKjF6IqbAg8qbx77kfuIgOJPCeV8xlGBEMGc6JKrFJvn8r+2uXRzoR9/USAHxAU
sQaSQWCtzawH95hIdVGxWZ59Y9tMkg24vix3ZaO/pYwGN3DT05r1fynggpZgeVDhQh+q4mIPOCs8
TBGfrfyctOmln9Pw3FyRM/cskoPcu2eESyG5XnEy8LIAnbcEH61YoaCtOhwgO7L4dfQ63dpY/q+p
dex7rkFOyoopKnbqjN+W/UuB1gNM1SCcPF/gqrP0s5OQMpGyADbntQoDx3pgmLtzRqoLtbvcK8Lv
l3IKWkINQ8xTwhwOmU3jpRNQumtHg6RbN/4mCFncA3vleLS0WiDbF9snkp3kU1KpESF3fWePtF7T
P8+tTTorK75qrYAgGkGKsZwwEdH96JhbffsILZLiGYktXQa6c/nDCxIyRSkK+MHQiF79BjFWa3EK
VBlQpNd7Idd1qa/I+DGXjfKdI4zr6hkcacperZ4GMdknybKuNGdD9gLUBYn4S10RMkPE40dHPtvU
jBnoA1CJirQZQBysD1UBfJTxRAq4VW+SqCY5ZT7TJLMizbHzT+egOgVePNTTysBo95CFf+sTvTun
bn0mhGJYViFwm3et5DR8SMYIF+HEzJbnT80mg7a1mO2kIhw/tCJG+ZbaykbyeQUOvGZhcpWtcC4W
OaMcUb5ANsgpamzglcxR8c6ZBNkefUw2FhrhthCasTWCqNnpJqUpOc/ZKuu04ZIYJWcz4ZEFxhk4
g6D5MSttV4+Fep8G09p55HQYys8OugbH1jthfRqMWStU+S43Uu9bn938WUjM/CFVPra54YBVz8F7
0vhra0gaHhPcSZmTVYecJCvGANb7s9rxSju6Me6hme5xvT5/DH3Ah/efFy7sPp9/EpQ4W7KLw3UJ
dABiXpt1Jy75a2Ek/TYlzeU7vfWxOPpROTwCTz2MJjeOYQ99NQ5Wuq2ZH5hTbH3ovbJQ3tsBzqyn
RyQ+ca1NVnj2Wvv7CdhHTrzxbaI1yECi4fRwSXa/684XPxRgPIii6xQA1NVznAjdBKNniZG885qf
/54RNV5iTVk6AbN9E5wgwLMlu7dIQe3SCnmW/IjKZGr2LNXWpUI3p3Jq19JX3I6udrDb5reqLR7t
dXR0KGDhi1yFjT/Nf5cBGrgBQVmTW/OiAvvGXPGVq6u8jMJluVeJlWckc4BplfnR+tmXn4ryDVfi
B8tg/6UtdnqgQLFIO1hcHiP5LTbCX3VaJRxINs/WZ8PbwZodyj7rd9Ho/JRTh0uo8WICp5wR++/c
WuYUcpiim2jDCyHuWVbsCPn4Amqj0TP6XVnSD+bhlRUCa0xY5WsdhteJoLL/+fMTmYyLZ+TTc3Mn
sqi31XW2ECi2+m1qL3kMmZbfBM/lHW0ZAoDq3N3k1phIRbPOtIQgOJQL6B2oh7KcpjPgqb3w9UB9
zGmxDD/dgyIL51qO/GdODLs3Gxk1331kVlxDFSbt3dDmIXtINgBktrjrrvew22GXEkvypfMEmdiZ
HFlB/eqP1kc94sp2GprcOapqtBqxfV7EfoI4RCzMCwrw+7N85Bg0lyUxtTu8e0Cmucp2JLOOyzAv
ohMIxbYLs1Vnxc1L3iAoqbKEi6LyGwaopK5Oh40dFlu7r7ZVUH2zuGIf2PjXcz1OdmE+7eb0RBhs
8kjL6szusmkm9+hKqLx67zekK2xxTaFHiajtCzsga2tttT1R6yTVOFkULLhALh7H1CllJzJ838/k
WAqnfnXVu/iB9rmESbnYCq94ZmafXbP28cAunQBcJcJ7EbjVNrDsdW7kGOyNF+wQN3aOVvPJCT7e
x78sYF3Pjz4M6afL1mH+UZKQp2rmbEbUbhBikwPxXafR0mOwjoyN3xq3tlt+hl39p2jaEdK0+hAZ
w+Ug0/vdmMV7vaZLacdjPoZoveKFLgvMj1qux8TAYcMyLTb7hCIqGLslqwIJA9WKHRUGw1AAhHqX
jR1aH5FSa3dskOzYaWF4Y3tiyUW5nJV/sq9fMC+YNxZIfSGmrDNmvhcVxR6BZpx5CYvZgAGic1uG
HEWuyRjFvAidGXxVu58O1OTCmee1eCF4xwRDCX8i59l7AOxDUHQ4PVkl5qylYOupSn8bgwy2td3U
7EUhetOpdhkgo6aqPw0i5EZvrAP5PbiM1IqFAizPUe6r9Ase9T77obKjU1k3NbhEmFXxr2wGA/uG
AirIGUBWzOY2njwbemWcvarmOoJUlankzOgudVJ8VWRRLpMp9gAGtb9Z8Tei8QDmcr8FqVYrVVB+
DrgczbrpTjnnGIkNL2R8EwOiskWgkejLQChbGpp45I7/maCeLceWJ1VgZZeETXZ9Gmkr0wo/fBc8
BqM3SWStexvC5CIEuDJKnbsDXr/lBM2SHpHLJbz8kmB2Ht/wdQzj4p1FuX1KiteQC6pOsrewGvai
qtXWVZTmcdve+9DS2VzjNtQ+N0tKCfdCZgGuoscY+XsPTwALZDpux7J5jQwi7piQgej/Jsy9Xxks
38SaUWwK04eX8u2/7IQnJMxlat38KwAU0bT4ocbIPdslMECS5X+azPxVh1DgMk28fePUv8vBYe23
fc+IDKgVVYxasHOExEAQduwf6a/WhU3xuvilVS0N2kDGdmM7r0MdeX+s9sJ8gCEB/+gyPqTzrgQT
fDwjTplgIoeJRjizdF4HzUbNNun993wDbIY3J20YnaS7sKkvpef+UeRGJZbGnAabhVUzOemXTZl+
lZ0fHPP4VFT1sPQ0y4fREgsG7jqjOT0UJhMyy8cLztTPmkdkvLcEfdhR9e5JnykKvZinsCqnkkwU
0L6tX8YG0LDGmI8tQkSzvGUJkzN2emwmcpPXxrRjwfe0gfAJ+ZawuViw473Sx6XekrUB8/gZjDgr
eXyvBaKrbtIpZuWXldL7TfUhckvmYezJW+lj9pLP8QqUU8TPVlV0hfDrzD5bTYrXt2dXC2B+Qgf+
lRAqeEoN+BmVWxcvcmc7OTPpQqvaTVlX307pdRuupD/1SM5AhQs3KPd5EPYPQoro0OYQBVEtPFl8
k9GPOcfI/0xkSO64i3Zu2n6HmhcsGFv9GC2PKhmLE+rptiJeD+wJUgBLz34ksIhUEXxFIS6QQIbW
xjbjZl1PTXWbUtBE2PlDz9281PymPoY148Veo5ziZ4n3o9t/yJY3qMK9VlaZs3PGCzTkDoL7y7D1
gUd4hTnTW4nRuzdz61G74toMBR0SiQGXqZ5+d2Qpk3PRruNW1bQfsJ3dhaQV+65REpITyElOWCgm
AlYCsMGKJ4dlNG9xpe6TSzRGA5quQUqvpsojaw+A0ewUz0KEaGYdVb9yY+etNbRy5aogPuHhDo8Q
CzefjE8OkWQ9mdQnPnPYNQc8i09Fvc/jNTWPb2PckSSmrqo63o1BZq1QoJn5GhLzT8oujEb+1WiW
9SA7dqwl3lsBLm2udHfwadwjOILwX1eLD2ZMrNxh7rMGoaaQIV+zqhAzjGy2Zya7jK12Ndq/Y0sK
JMU6Xe2XyzYEUnIBQeKyIiKNG3yQmy6vDmbVMy4Zsk9uks/WzsEIWdvH6MoiAkVo2DVYereaJ/xy
BPk3MwdElsvxhJsGCrnEnAC0c/MtmPeMiEe4D1YX9QXknnGtTLEnyWTvdYF7bGyqyEjzt32fXR1v
tta0e2JSFkPdvCQWXhFHQidV/kT7htGvaYMrQu4jS5J2jQsLY145fQpyiFVI1KZG959Z9w4cn+xv
v111vn8s29xhbHQhw9JlPBntBf0mt93oseqo9LZhbUJUkCkzjd5yMNVAXt64Gj2i1oN6xJwOv1Zq
YMyCaTPLW2Xgi0vQeLhDyAwv/Y7xgnTfoLfsW54dTSnWejgxfJxvahsnRMmM+OQj/YigfcnT6cdI
Ev2smUn9EPnZTopdFWvndARrtb0cewWp38fWI++xQLOtk39Vxyns5iM6X17fLZ4AOAU1ZrrE7W3C
RMs3Jue2wfBkZZrEzOqMwZYMOk8ytciKgylDzDbqRR1SsIgEAtQygc6jybv4vbvAYEz2EeBsiOcl
xYVHlkfSnaA/rpoTMtycld7nb9XibDzN3JV5niSlbR3oyM9BkpEOYepHl1yoJZukcJQMKSKmi/pz
kEYO1pu7G7NsPa5LXTu7bNJmHGqN343jwALo7L4lkyDc4xW1VwnA4eP5K+LI/+dXqWy9nV35351j
Jg+BRLUg1ailSojTRy4q1k8FerE0yIajTPeKO/lf9WrgVH0jttNbMAmqvww9+YWxNPxdh9tWgcY4
5vSFSZ51UnWbwjJyhyWqI/AgUe3Dk47LQViL34b5RdDR8Nc3gF1pFeO3kphs5r2udWSq4p1arn7e
dH3bT758xBGPs7QIqgPi5HSIUrvGvV8tbbdzfmsmBaSFBPqoBfc2rdfzw9TWr05rrJl2TUeChbV3
rx7pbevqnglbu1SZveM8/Ge0XvUIaAOPUy+dVQSm/FMTKu1l2r5/JqD4uhbsK0d95i0hW31ptIeo
ABCJmqR9kLDGfqXK9A99q4XnTqMTxKzZXNFz109ZwCOfcO+8m+CUAJth9t5Floet2W4vMbPBpU+k
6tLuGdj1YTl++wnxXYF5e/aONLPcosrrXhW2/pUYDLU1g1K9eqDeC23gHCJp5qXQcmdtauW8wS0B
7s/9Wwt3uaPllCtTueYbgf/lf59Supu1YFliH1jnuNQCwvE72Cnwxn5VVp698gTL0fQ4I0NT69qQ
Jd2qWzGZIt2E6aQKCvUyGfM+UTO5jgnheFZAwkFCqo7pHsNGAtIFuo/eo/nn56+eH2JUZxDJRi2f
n+q6G+4Tk8hPp23u9jA7zWCmWf5lN/f/+z3IEMIW6G+3ZOg7GCJJdlF6OVyGQgeyFppN/YRt9P++
IOevBgaahaPLYPP/feH5Z9P+xZXGcH5+Ug9Mn8itANFIotP/fUBk1o6EBP7v79ZVDhaXwL5naRtc
8jEKLiFJ3GcTUjg0h+lsS0TG0Qp3nccqDCJpyguz7aMkPW9tMBc917AIzIiTYccmt3jv6HpETpSh
llEnol/aGO41t225mfGeshzHxineECwBhv2F8e5f7CSf9pQnhMP2/iP4RI3giDES5x15v91LaMXV
89OqT+CNOHQ2HaTbLBVNcy7bVKXE85SMJGvPdw8OyzOhB8mjqkpz15S9eUqaoGR21RiYKB2dEqP9
Nc5JFyxKeW/4vr8ynUVeaFGMXq/Pq1uMP7ap1VvzGS7C1IX4wUb2K8K72quKUmvTVZZj76auOmbz
KgPTgbl3mUYfG9PB/l65M4neWulFb0ii5Bt3ws4/PKcG/JPW8nkjsKuDIEj+ynDOMB9ydtmy0xZ/
bxTg7eRs46mcLwc7MU7O2PuM6YPgxVdQDTziimXro4CroWjueZCzZAVmwalHNj4+b/A6RggvDC/6
hWXTVq78djcpKy2ubGv67Bxr3Ed+nGwyL83XzAKqfSz3Q8dw7PnS/q8Ux7ATvhn9C6+I9S67k48m
shYS+QGDWv4aGsMmcnXrVnaUqmNZE4QrC/vSThZHR+jR/tY4bDTdcle6C6PyDFUpWrLxhkpSISee
2LZCdfckBVQ1E+xs9SQhh5wqC3baGC+f3/Xzgz2ruEOCNc/xw5MDMk+HZB6e0UshDo0Fo5Pk0Cq6
1mBCOk5hOXh4NbvOD/GoKEbhzw+zlauO3fReN63YGm3crZoGulBMTsCQ13IfjcHqkjAtqVGHfvNU
MvTc5q+e1zFB7Y0nok03nnhz1R4uVzyKXnZn9HRy/YZWfE058H6e5+pS0nid/pO6yrHGE16Pe4Ju
ceoYJJUqPAPN/2PvTJbjRrIu/SptvW6UuWPG4t/EPHMSJYobmCgpMc8znr4/R2Rl5WCmst73JpKk
UiKJANz93nvOd9Ro2Rjnk9uWGHPctNsIJ7dePMS4OJfZoEga3jGStF/siPZdEIBtABRaXQofauVY
C3kaKwbHUF2AeRkMPwbDfUfUPhlF+MJ00luXbBbbJVJkiDjqcPWXOUDX8CjnDwBBaW3DQH51BP/d
EL/KsslB942I6JeaALmLofNmdW3UPsvc/Db4cj4Xvv6elz3iVytSvCr5OOAMtZjF5jtr9OW+mecH
umsx53AXFimI4BjMFRRO61tKog9uDV5c5OgabsrTMHo/RWxPcpPkyaFL9coAEKLtXJspKjcDv4nT
yjXRL3JNY0+CMXdSTE1OtnLdAnufzKdtBoLkBXVb+Jhm864mLhq9LTZJ32zEbYKStrLUDNQmInKF
cmADgGR6F1GynUtcgkjpznaUuScDkRbQHU5mkuCTja5aYlZdHqZZ5XgJej5o6jjugKQcD+WMw3Jo
keVscSb3+Dnt2uBwaxjQ73QTFcgFPGv14iddz5ygfO/B/BwNPTUOsIo3c+GjBaLvwwgFF0Wnp+hg
yKJgVkhslnR/QkT5PJWk4pqu8cRDcgL6BX4q9n46JTgKm9P0zYjs/cyl3Bu5BzRUzAX2KDIsqopB
q+3Ak/U3hRgfogq5JazSEDNrUU2PFc4MogbaZ681MfPxziLCuuaV+2HPH0HjMi63gjXk1qNRN9jI
CvvZ8ysEnhm0/2RnD5y2G0Gi1Zi1nzi5NDuvRl3OPkaPEVoj2tduT5Y74QzBNcJDlXjOj2ayCsRe
tbVPMg7xXe7FYDEQzWPILjWx9cBnHhmbvZRtW+4rqQXU8DX3W+eAk+zgUXDoncv2RQ4CwmmCwShD
hqsbv0mn+GYb2jcTr+cuB2bhjC3acz2rHsWk5bth8L4aPWUMDO/D0BB36BIGV+pVfGhaxuK5Mh90
nfvq99JdaVIHS57kG1bctqS+HAFmsBPwP46z+ZYSFwQ2wP4WC+ebRTsXr4B7KmdEKdAPr5rkQrTR
fHbiRg1HBGkOghn6jOsnYYDhxjRuap9KNizCH+mgz7twwD0StyE+7pkTZDs/5EazkzO/CDYpwTkC
HWoKtKNr8cCYhn52sxJnLpY9csOQHoQV2cl02MIsgHCW9znWGnPtgBolR9pivo26vUYM2tmIqlJb
7H2Gkvu4hr0X9wc/CakZc/fcliYC9mI2V2KC3awZAFhyTMgIwTLbghlqP0q3nTZhpwwUxYQaHl4x
aMBqD0v+e+NG76iUOAAY1CNsYb2XvGJIvrqEya2REzr5HivElAVA1MjD7BvjGwOqtxh8axebr5rP
nh5LQiNKDET6yK/X9ChvmO01XCz5JTRr2C/UN8nshq+muxu6n6MBpcuNdLgBEAo3dN9ohhSrSLQj
8G+lTxXihRzEuNOmTRuU/qossGTllXivPBWhUr7aXQSIB38tqz7b3kjXNfIIPW5h5VGZTr9x1v+S
T6O7Gjqhb0UbPIBabOyt3nQm9JnnqbuFZQe10Q92SBHRAVj5++zoGBEr78YSysxTIX5lRMxpBfpu
mrBOcDvx5tC7l1BdKb2PrYcACBYQmsD+e5zVKuzZeRXYcTDIRzNLmOtefO9rJfR30fvHhicSJXWR
7RJxDVqEQ/SgzR0ShoO0/U95YO8tJ8s2GoPjbYIU3BW+dRjKEhCtzj9naDuaWN8B5X0za/ZCu73N
pvs9E7g6cJfiVqS+d05+SigW+gcCFiZ/6+MkLSqahpZqDRDruZoCpImiwX4z5xecDUgPasHgyK5P
lp7nV1l5+b5IdGfVGTH+tbD3D8WXUU4/FzbT/w/ylM4vgzxvBbL+4K9Bnupv3IM8Dfkv5jLQvD2J
EgpMOJFW9yBP818Oh1JwVp6hM1EWkkCnfwd5yn9J/oLwXKHrTMFV+mdzD/K0nH8RpuY6julIZHSu
7v6/5HhK/vf/9adAPNuzhM03EmCu1E/yj5g2p2O79Lkf2Qb7d3tOwafqe90Ef1A2Pd0cKijUFvED
+TOYc5BoOk6Q7Vx1qghxtR1He34QSr1nT7A24AGD5FRF4vLpnNLYy8spO5UKKdhUSbJLppGGqGk9
GpU5Pno2YgJ9piXh2/gMQ9ulL1u86UljnmYwAV0UER8u4cmZdTs/uk1ABzKvOtCS/G1XRN46z9L4
MxIzDg7w8hO/UeZ08EIJcAK6VaW5j7L6k+0KD8VRIxCTq8NklkFqE2rKhq7qFEfkugWRMe5QAqEH
6py17pUQHtSok+g+BosJW7k0fWMVxnP2vda6vd+X3ZfU+FbOdXZ1axlf2OpRcMUfy4kvj2W31REO
rC3wxKAV5uexDijcM+XytsSLmWkXV8670p8JfFIvWhcQf6Aif6admdvd64BsqJUqCybNi3Zng+S4
Mi93rgg3zDOuoaWgMUNW39bNbzRDMfWERJzkcU93UxXrDgBaV+bMaL3xgcKsvnk+6F1RzMwNNCJE
ncLfVOp9jjt9vczr/bIOX4Iqv7qA1tYlyZvXXBbU7OiNuDUPcxkP27rRsMTEHjuFTjYiYE2xQymu
X3A66McucMNjobXBf8tBk2TY/u2Gdbhfhc1MzNAdQ4i/RsSJWXhjP4UWbG0Q110FixcbfnOmh1V8
AbxJhJ2+WnSy9zc6tFOx8/UZcB8r7cZMTHleXuYm1MHH6vq2FtN08Kb6c1c7gNWzKL6Ydm6+jhiB
259jlMdwp5ocjgNiEhxYUXgFwGuvObowA5lJbcPwpqG7VQiGtkyoRyUCxv2if+6/l2kjL70GDNgJ
6yfA33RU9KHacnU4qdW0vZdPi7Qdj4EKswsCIouKrPaP9FE4+EZB7J2WG8QX08yTQryQk83apcTW
SpHl1gdVaHRrKi2O1qSYFgXJbRKOEkQhTDKdM7h0DXhKYUiEblls3YTZy6rmyI/Elvceyo1+sLqa
2bleAEHQOfju8BuPj1MTbrrWFBd68uKizbTayz4V+1EatyRBVTjWGiSspHT2RVSHnwubXMkenzfC
04SbK9kgij71hXGRMG1wUpLjujanxtsEk81cIbZuODqgnyAQ8mgzfmLE9RAksApLFct0L/1KfLpn
iTz7k4/QscriZ543aikVDuHL6tbVaDwN/E79NFpMEcXLr7mDuu79/baTLOO6Y0HP0T1hGn/Lo80L
N9egyyBdSszvy7Jouygt7DnMd2QUsq9LJmA22MDHWCYPi6B5kjX4oaWZUeDTvS9mhlO5B77LpVXX
c1nfOJaa+8wzlC9IGK+z95Cj/Pq0rKMWdlDGhEBsnMp6ovptn4nFQfTmTEB/DcM2ICch+MIwRWKD
Z+GOpxtleF21p/N4zlNmF5HZlHedmt1G5iYb3fCCMZeEPrAaVwcReZtpXOocexjcEvTZoeCN1+Zn
sHAYEifvCcKC8YqUkvgEXWnQGWbYvOl44dCzY9pIQnCP6XVyAPVUmtle5sCXz/5s32LLQAropt9D
bXiZRwzO9x+9QKuwHiZzm94T4byx/DpiwUS++xsCUA91Dwyo+9uvBcS2BeBzT9NghSc4LbuygZSg
JCKNTXqG4wXllt3p8++rZwpduC56n24ULzB2SAKxSp0etS5A5scPUkbiKejyRz1LjC91WjLsxRlw
nJkDHpdHaErT/mzE83M0RuOzUROLp5Say0uVDYf7o6n+reWf0CKlJbHr6pDU+a13yx+2a3n4AGbn
dm9DxOMo98Kc4UP35AqLfMJ0b8tPyJzTLYY60F2WRq9P1W8jDTNIpA62cMl2rBbyLqRWJTvi1CYI
knIrHZldeMG50odxN9V9StSiHj5oU1+cZfR5gbnSZzG298ZzyIgfqgJI77u238U2JHGOLKsZDAxG
qx2N37auiqttVhFUoWlQU5wh2gRYZMLEt38QSPEhoGlVbd+9hTpaKQsP72MZezS58DnvE29iWeFU
/SnDa0itrxGS4+tkBBuhTrgy8N7EnW81zM5VMZgAjVUkrAnDnqio6rNVOiDwiD8k4VUFrw1P9+do
MBu85UN9CYY4VPJ4AMRAR5D9D84egQG6oWVTX3bDAErJvqMWMPDTDj8QPrnkzVrZqnZ644uB+mQ/
T9siZUuMyrIDO2uzf2qaPRxMWeFFyOfhYMR5Dk0gareLcEoKyoIicZj7O2j2EbGGQE5qdHbUTksL
0Jjk5445522hbVt8lsiy42dVaPpctvnaGWZ5Xl6E6aL/qqdi/+tVylSL0H8ydznMSeG4hnBtVMwe
aaF/iwg1dbzutQI22KpZ3xlFsXMmgcxP3UCo9H7/dLmojs6ymSaHIuhwTIAP2aVj9Y24FxAAy9dG
rg50MmXaCOcEB29G6kxHTV56JUniPTqYM5x6TMBaWlLa8SnWmHidtpUGlvMDOlN0lX7PrsTMDZ3g
O165M1QX42GqwtNihXL79LUH/XsxcNFs6mZA8V4TzIX/CAmJ5mT6bsIgimQ1TPfCqYubP3dy++vL
xqH7n9cNUxHruuFw3DZt9effvz1HedD8z/+W/4f5+5hbHmnUccTIxdAM5xpVdERoYzCasS0ivuEW
ugPnANvSv9poQg6ZatzbqqUeRT0yeN3nqe8UyMFAgFdj4GNkj69xaOA5a2NrHXt6zKKPUBXonv/T
wTnZQWTIxYs0Md86tilfSOJw9uXEVjgLItT0wnvMzAy9dK4/DuG4gfmCJ6Z23mk8jsciasuHKcQi
kjPl3/Q+yautouObrWOdAgNr3vLOyyA8Y3LwH5c3Xn1m0sR+JGZ3xDX5aCE6ONM7f457zyBbiRdZ
Oj9Qlhc7EjIHbNKT+Lo8W+gBHjlvuNex6O39EnAwskZull9/uSLLS+iSUhFxFnW7KiKPLZnfO5vp
DIMxaVdM2NQVlupFK+zgNCDbHozqreLY/2SXab0HRWUdPBjlL3PyjuvtkYstnpeXzEInQegEfoCi
YothHxBdHT2k3vTkeh56ebdjJ54o/ZWG0NqTbOKzt5kfDN3jXR+3AkUejUIzE9MpyS2OFFbxAhWj
fDFMWje1lwbn5WuySaMTiz5sQPWnXZCFqyhPY7QX8eccgfdtBsVun0QZo4tbqNdRJVGLStDJAZqc
xRol8OpsKoO/TOiL7NQMn1MitlM9qauHZQG05/LEzXVbihq8a90DpJybQIv8yclJovby5jgAVsKn
XmmPC3/7fqygcTs/VE4W4fFFLtT1BibjuXgYSr1e42F7qtXtAEK9f8g9j5BLMui25VS0wKE1OCuh
ET56Ufj7C3E/pwrWMWMPRJRWnKA1HLOG6TKVhmEo9Q1HyJCG6sZSM8Dl5qIV9K3WtOsAG+aZgopJ
fFtcaqVVbhgH7wKvtzj0kZKsjYQmV6iHdgz2M9wGn5f6q3XIEy4GNvC2INXG5tKf+z8+Wr7WOsAy
wkh+uf9hY5zGGu2j0H20uDquxwmKHhQlHLp4783n1Pq+eBWJ/0tPmGC/p6HnH2aPGUfGU1vaH8zv
ccbWERpQG8TuZmjiHqNone1mgBYbyzMyQLweHEbZIdLLZLEJhggamJ8UOGvs8AXJJZ2+1VB9Lube
uS5vHa3FlzgOISWr3VKsBSY5JY364ZStc2QW8zHAxr+ymrk7q8869Mac9O9ndy8NvynD6CpWQPIu
r4Mtyq+fHZO/tU5J14H+/9SkAjBbaTwRHfYYd9H05vhVv4OpPm9qwCi3Ok+GGz2zk2cPJopkiy+p
r2ObsnbkfMTn1h6sQzuDOZho6w1Woz+245gdHdK/NiXI4dXiuxqqckKdwmClwId/vJ+rmjKcOHow
ZJ36Ltj1kmEkiW7Wp9JDru1zhuza2tssuoQQo8jGcfqn3vc4njo9FHHfU5RYlJWJhNkvlAFr+Sh3
Q/1EzytaN1XIwRIyYr8Wbjw1q3nWsDLVqMhnQYAcK6IzYcBPg1c3QLtSfDdUQRd43e8vjM8RPLe/
K2iXn5VyTurToNaA+skPSYUXDlIsO3kYzTL7oT4oKHkP4RKPHNdtSD3sd9uxYCYztl17FlbxRDHl
P+XmGO1lrrgIhQs4ycu1J6gcDaXgpo6EfvGjYT67aQUsUuuLDY8Qndcsmlg1ax01q42I1RGXADEq
6j0zPrix9awpt+UMT4JsF7r9pshmHMGDfVQ/Gn5prL5NTUDNHy+hRRVka2W9W77WJzDA4Q4Yo9Ec
bJs0P0q46S0NyAFCIhI/1LKyX3R7PPaVU94mFRHY2d14zb8OhlAMtSg5QR+tTqi85B5ftv9ouR9x
9JVzN7aeau4+3z9CxhlNSfbJtAj3nCpCP726ZVqcYwRcTs3LS8d8v9QLpEdNflzqVtsALno/MZep
RiGsKktMLQZlEyRsi5iW+9AsJA1tNhQxo4cH184ulBqPqUZqO5gabQR16KrMm4kZz5wjPHZ6qj8k
LLhU04p0bJdP8dCbz5LbC4YIj45GwVODlFZDL7tEX7h8RCuVQK+l8hhQN20yR8tvWUQJyvqEvIdI
FOwL062A372B0L52ij55KWLN2TmWE25Mxl41hMZRspLW8K1KtGjW5DmvldEFl46j4zoY7H7bdKW3
K+q6PCIZxm4WWcw1R6LBlrsf48gLQlszuQotME4tpJd2rs2nkSCnlRvUEYTguj+RwPlpca7pwBHP
9+u4DITjcJJ7hoEonTtXPoJyTEnqcMPDJMqnwJxrcqasq+MHn0x1+y4vGffsFDT9BaG//9T3dM6Q
v/a72hu2YYzT995wsjq4w5MeO1ddbdRDRS9nxlO9duzxwYFjHa49os13mZS3vCs+zGpAfGcLWAW4
KGBEJakN5n7pJtSOY6MvVHGumSm8U6u6epIp9Y4x/LAq78VMYEETC/aspO4ZBqb+irLqt/Abh3Lt
QPIPKchdIH02X7MFKipfBpJJT3aL9d8SGAuNoDpFbpSjlcuLazHVFgBHrz44edhvshJSdZPBJ5Tg
C7wgA0s/fPxH4eMI4xPGfvNYEriFloyGnQk2ZUUrwbp0yXvkRcHXqEWzbMUZJQPdggMmvPwJlfyb
JtuWTMbQPmczoutiiMR/yXmQOh3fvx3tJSMe4VjCMU1p26qP+6cjqhYWbJN9F6JMrKfTYtTHdFYc
Q1t/7LryZ4VNjnK9xPRiIL8Kq36my5rV50aK5KjCgs4i4HBJQsM1MogoCK0Gt8lYRO5tVi+AsSLn
/qGZzWJ7P7HAgvs8hpG/1y2WlUpVUGE+HvSy+CrwrN3aMageiYGpGGvq03umP80T+J4E286hijm/
6INh7o0M5U0X69resJDh3s88HSrFmPguvCe6tsrnsdotXjpsJMYR8hPpKXbxvagNYmggKD6MSb5H
yUUYnqoQfa1MD9GIBs/C+fYUWd1vCVgkRteVa5PK6Jv7AU18jeD8kfJ2fBqGs9sQ2Ry36fPiriBH
ObslRXFy3AorOffvLWa0uFpug37q/B3yEHPjIdN8vd8aU3gNcWKtTNMA0K0athGMTFQ99vne22qC
HrSWMu8a7m3oMfjEFrqh5dFdXlwYvFtfxM84iPTdkDrdKRZ1eiA+uYUQXytDM4lf3cRvXwQIOESH
BTZoDrm6uiFnbmvQ5SHzbMIZY4tUqNQrdji14SpDOiWAZ4w8rMPEvH/W8jZ49pPXmkVIa84+cPuH
pSsAzLVY/ZcS6q+pHKry1JljMEmwpGM77tK1/dPtaWqpk1aNpfIIo9OoQYJH6wpzLyIQQfWLGrbK
M4XABwyw8TzRBr9aTfiWJ6Z30ym8nLh6WK7o8jJg6TfhDF/cUtESxg73gBzCh+UlLJ2QCpL+JA1/
wnrnKgNUFWYE75WEeS4fopFQyEmODrC1OObYBkxPfNf9FnLxaSlGSzJsN6GD293jjdrWBenzGi7v
dVefaYQBCFfN9oXj0cEquIR6xfYymzevjiLO7pPDcujW519fSPMf8xgJm8Om8+J5lusIx/7rc44c
oLIUagEjsP+s9fTUKuElV099RDj1TxjydPbUl5Y/tLzaoO2OOeo/7YXlo8arOD9YPrsQMT+b3PfZ
gFoUnijNFuf78mKRL84QJV13KPZPdp5pV6OGlNbgwyylVVw1MNyNT2oMociElVq5R800aBYCYZbi
qZXa584PcBUgaN0aJkBXNxRPKcNaxpmx95QoySjdj+yZRJgZEk7bPw84xjZyRt3962tnGP+4eLqp
S9uRhkkPxAHW89eL16CVhZ0euoooubfVIo4uHqgZ+eGbQBmENRN3p0mCRD+5tL/NHlsiKiBWS4JN
8gyHhgLDwFtpn4oEGXjivM0dMpuiM3My7Ip5x+Fi4q6Am0Ep1LMcPJZRftPtGKqaFzN5UJoVHr+f
VRUnx6TqOBZ0/dd7f2p5BwQD2w3+RrGih825G6kKnueJYVttPQP2Br26NLOMeNR3lmqb6f7MSiv9
PXYgd6ObVbb3Ld881c6hr53ywPNMOvVYfm8b+99iKZvWuFm1nKAJku8PiUUwWJodmGDVR9n2DNTQ
/FCgBuVD3prZk/nEo3pf84dsKN5KOMR42CmNzCVeTgZQCvTA4KYMbOBpVfZdUAxojPCd2oVlURiv
ZaxMu6YRbrIUHp6GTvcpiTL9kI86jIDAvoyeexG5C86mzK9xHUcvDkE32xSN7xRiE+QEtQ2HGBXO
H81xYtyfnCrCpjox6yi086w6xSW6CNQnzMLVYHEpscnXpnsqJ+uamX1AaCFaw1BH2aHxsAQNBP6g
LcNr4AlGWpncFhVux8LmkILzK99J2ZAVnLXDNaUpPynr1aFw+/w0OoQCVTM6EIFU63F5MQLYXxjU
bv/5UqjHYBN7Izm0bWjc/zc3JufBrGLyYSjFNmnT/1yso25FvDEMAqT7op9vWCXw14XhzizL6a0D
C1gXBixIa25QSHod/8S00aI5epHRBGAP4MHRdLZLRya0pvkYygS1v8JsEGnGZnhdztdLn0Bnzvz7
6YlKOdloIlA4DXRnqixzWReVBs/YjilTJGTwKBoaSFKU6ea2qhPv5MfMGTTiSnRgJDswEMXGNQY6
Xjgi1vWQ0MCOnMexJPqowgB2AOJaHfwi+ulk43gFYYyKiGgKmbcGSHb6zxB1+l3jZByzR+e3PLDc
mzE23ATqhA60sDn0ZnwBUxidZ/M9VAQfso+yx6mdvhF76W6IL+z2S3d/eTGmOjkwg3yU1vAkBhrH
HdQo4kZbZ59HKe2ebNRIO8iaYs/jFHxo8fhKjRF9cFJGLiWmr64zXLUcfAWB6vZq+W7L911edMEv
i7V8fz8XD4QgHOlPHKHJmLcyKrPbnNjmDRI/6e/9gMotDZuNCKp+FfRacHL0wIRbAP8iea1au7na
vYgnzphzfjY4ErUMTd4cvftp8bfXOnlfx270T4WWApizIH6tkw6JXdlUJ5TBpZKzB8dQU0cTm6DD
SE9f1W/U+07/4nvBN4Ec+KOOe/AsJXjRJvkYoDnsiJpMLpqHZaIHRbxfoA1i1nEZpYpLPshdYY7x
FQHlTNZJqG94aENIMAX969ZI7dOixjQyF2nAMqJWCn/y3SldifrESAB8pDfN8AvNSne1mFynMvtE
Fi2ixtFCkI+zcysFp9emrZGgRAUWjrrvjplHl/EgB9BLOVIZkL6l2IRA66BAgoLGSeSvTSMAVS3w
tQPu+4h4YJg4ljsR6NU2hjv/qc7c4WLM/i4vc9KRvX7civk5yycggH8UMctHTu8dY7hIJ8bMbxJN
wtbEB3iJdRsLZD299DkWTC2rmwPD//y/7O+GpTbwv/TodUu3DJtes9RtXVeqjz8f5PFoF8VI52T7
+2DQCd77ZVhBY5yMa73aVUZJLrE5SAfHsyfOoh8ulRUEqy4h9MkctO7U2SBFdaBlAmAmxSY4gMBO
DwtbaBxRaQzz2J1mrduNquG0vCyDQUAx9T5FZA6XjqFMMGXf2yw62aVrf4mHKN4WQ7ynTQn2QeHB
uLTG0307CuAMfrHm2dgR8x0dODQXXyEkZcIPvmKRT/gxVWubEwH3KVq85ZAvCALrEYhfkip5JezE
Z1pDCT5OlX9mqyu2pKcfDRESOxCcjQHpNvKJU9fn1hlbZXPJ4rA4Y/zHAO1QXRrCrLaAze01shXn
trzMBjX4gLkMRSKwQPBBsbEfW3c75x3DTfFtuW8bkoGvqRO8ap3/oKVZcy6GLvxEHtCjr83v9/di
RsLzCot1i7XukLYa2SSW/9NwjVeZxuLmlg6LA6kQKw38zattmNEeRnK8QoSMs90bJ96Grv1+3zCZ
/JChqrAYU1zChBkN2gpu9j66iLDcyvN20m/JfJ2Q7JuZFBuLG5fJANPUMf5EAuNwswbzh2FN2mGu
K33naUxyRjzdq64ZtQ/8VZss0sDMTljdaOd8MyiTnswE9a/tEExjlLY8dPBpw7UscFtr2FqwhGu7
kVyXYTDs34elMtWnFxqR19gJAvJqOnnUlK6syTuQVYj/toEFEZsZycMycAXGlT+yhGwrV5JLp+s5
MAeqdexlncofNvEfRw8SA8PW1M10zxDnMaIXwVmy8bflMEyne+Ol8ohaB+oiLxQvP/R4hPYUFMU2
4AZbFVk73/gh39JKpmfbGlI0/nwDP+qB2mRugQVuTCBpIL2pFMi7bMZPqRkQjVOG35KEyLzIbYyz
G8Wfq4xcScVuWq7u8hlvwhtAHPPszUjxSDROjh0r6JrGHG6UGL6SFkfkEJmeaoJF7w7mRSN0tc/2
oPl4i8ZwV1md9hktkrmeguozMOx5i5UO+zRV4zn3A86LnbgsrY4o58vMht099bZ/rISFu62zxFeW
jzdkm85TQiXTWHp7kd3QXLGq1fSei9kilXIZCjPu+XGfm3fd/DXP+v7DQcKLMP2jwdG1bc2KxpAd
j9t7m6Ws7ekCjQSDgKw5A5X0npZPXbOI1/0U5fs6yk4LESEZwy+OpMdnOOSLTkq5efcyuKNDVg9D
N5G4BuQSDKz3Y1pCZAxpiSETLVTtQXXWun9/tHzNwWa97iXsmY2R0f63I8JedNtvdhUTkOf7n1i5
kx2WEwEUVf1wbxqZrUTbkfSkOxX6RparMFLYvT9Ksaadcf4skgo8tOfE7UhQ4Syq1/5TGwGx8S33
pBV43Jezb17WySVzwgRLMR/VFW01LRHuuhHk1Ord3OwNWHNfUHLCqDHg+068rvNl73Xy5Hq/EK1l
PZegX7cOGz/0X0H+i01ZabwHfuqfu7A+GVbp+OepAzo7q2c4iTR3Q99Y7JfoUjQh3mYcQrF3da19
1BefHpUWkFF6QQc/G+8nGhOTPqMXN//ucktaWZ9tl2bUIu/icJnv75vvPAEBbQcDM2uXP9NZGa9V
hvHa182Tp7sSeDt5SFSp66xSOu1BiqM+Qfy8y5OsiRuyihDTETCFOket9QYAyOVsbZNytQlM9KVL
I78YxrflKPnras1UQq2/bYSGybiapcKirWWqjtefWgbJOHVF1E85Bz+7UBkr1ZMVgPL2FNgm8boj
VC25xXrOcEuBJyOQNhM4/jN29+ZiXocy+DL0Fg/A7L8RZFPtOGC0R/WZK4mACoMeEYOACYVeIeVs
B3xg5bIuoOcs0HIpt2/ZEdYSj112wvjcroQ/viz2qXlKn42QDVkzuzeybdrToGTZpKj5l8ALanpG
xdOvr4f1jxaKTsFvWtT8Lmc89J9/vR7oFRo9r+CAcbSje91h4F3256CU286Jqq+AB8XWFEI7mXZK
5z1O8Pq2tGXdMRx20qnSByba6QMKo/SBFZDdKBt8BH58unxNlkG3XfrvlTabm2VjdEsKmyqvz5nx
W8JiTKhBmFxDKwTxDtEM/2/UbwNZgXJWlbLfAqe9i3LIolSMJT3d9J4X72p4dbv7Q5w1WbkeDBrf
WUMZEWkBVsfBsrZg3g9dLYHtTkTuLcm7VUnK7lLJ/PpyLrfPX28vW+qoogViLc5Zf7+9MHonbuy7
YB6XQXvthv2xTbiyXed5tCnsDyR0JNR0kzySGWRQyxCi5JEtl9KVPIY5XX1hmQPCwAgCiDH9tEpE
dE7koqK08H/QU916SRyOK+aaHbpu+2WYOIukdtx+smFKJ46z8vitU2foz04EYlNpAGUamJRRoN9W
fuvTV8Jfe6nwMaI+iaxT2RF6R93o7hXRF2XWWOoP2ZQBG4uHS6qTLPjrCyWtf7SWccIKU9AwkabF
jfe31rINGM/WTLHMKmaJwZdvm3XfgtSNtlKzzYflRTip9UAg75sc6DtE4msI7ZiRduLYB+FHAEaL
5ogNnEfWzdqn2AMArItxbeRh/jV2zQlhvBMeG9vZYoTqwB+3L7QIow+ApBBZcdDeR6iE9eyivES9
k7f5c24O8Df7+bBoKWtkPWdbK57oNhE3azjNE3EzLuIkj2QPMeOKjGV407X5abAb1FOVi2hX7WBw
pxh5TeK5gD2JTr8+mX08PZp6aW36jFHp8tKElnnSQv3dx9F3zJpyJAZA4FZABYPFB0a9Iq15syFX
sBbyTa153wdRDzd9gJhQlyQ+BfaP+wodkbaVGn33XFPcgBXtdgE1tgIXIcxr4nWXHkfiey6NFUhc
Ndrc3BCoJpi9kAUuRwcQYqqxSYzWlNfHqY24CdQQf6CFh88O6a4aoC4vCbGZ929bOK1zgTQD0m25
N6MGSEObEC0p7G6H6y95dRHIuj5Fgq9F3lXP9exsizw5u14cbD2YmRT4FsO3RXdcp2RzLpcwwJEK
dde+yIjsPgGlczVqOoqTzKheql4kB7u2q0MZuiqjNwfU7Q7EHumatfchLWLeYL+HWYoG1GPf3kRN
ESFo2YeRUf5phwcxsk5Kqd/4XS3CevDnLBNk7FPIYuNn1pp0VaMdO3k0dPda0EoiQmmHste8hQgO
3BpBo8uRgU4RG/HyKTa9H79+bBZN0N/WF8Oy0M+jwzd5dv7WqJ0quAETwWBM6TuUhE7XXmwn/zoi
598t+uK0ZtkjOhzHkBpRh04p1rhlgg3GaFXglbZ9aaaBppgS9c4OZ28ZdNotrw0Uk44RP5BR2EGJ
aOEUAMpnLS3XtsfopphycRiVyRDsb0gPKmQ3K8NVmUVHI4N0WXMWxSoKtTaaX72ktq/LTL+pqfTv
JtnRUlkHNB6M/0vYmS1HrbRN94oUodJU0mnPk7ttbDBwomDUPM+6+m+pmv/de5s/4KTDBgJwt6Sq
yidzZVuNB80HaMlfrC7vXiuGjUaobRtIq3kkrvug9veDpI3GnrozeN8aa0D2wY/g7A5eis6BbRWL
Nc3xmqB5eNTcVwpreo5TRuwiNVXTuahTZ63ix5XWE+zSynBhXTy2BnCPP382Qv/NJI587klpLiY4
3fvtkdYSiKUYUcfmR2aBBBujGjU1ShYEtd5E8xa3rs5UecKm5YHQ2qDdUjmFvFbdlfQgw+hBdt6/
OD57+dBpgC/UEX6iJIKf73TYRMM52FM5E7PnoHFSdpwXIuslzTL9rPIOGuRgUl69s+ITicC0B84m
lT6+6SistmpO5NImfjb0ucT30rwmbnHCEA1oHXE5ndpn8D3UkfYQEhn8rsOqsx7VLr4bvO4yg6KE
QLZSy0pDdJu4Aq4MyqkbOpqdFAYhnSOEr7mcEEswQjF55zPv8TAz6fbDFDSFrOZjyU+9VtvMhpCC
mtfo8sIvxLdSuCnP0upJOnbzTr3UI+Oy1H+tHNh1HA/t59oKi5PWXNyMFEU3h857Vobh3JDAIouc
UU9goBJKz6euVh+1i9ZKjZtF90i0CRMqim+U+86p3mk+B5gOKslLZLeY0PFTfnHShKhvS9F0e9Dl
bL1ERQ0sK47HdwMH4Y36KneN3Z+vIdd+uz018eOwMnpYrXF962+2p5LnRp1p6MT343wT0UKmMga+
eConK/4QEdc9Ys+Jt2Gk1U8UJ7I/9RBiYVgN+9Gsxd3iPWd6wf+Sqaj6NSdBF1DvvZ3y2CK8R9vc
wjO2S5z2ZV0l5yIGiGnotYttkhoITgQarR9ZdwAvhFFiyLIL0d1lgis21oJ2G9qsuZFU3OdYDi6c
9llKuuk8uMm/X7R54JzclfKosf873kO/fUiBIB6x++rB9fvNybIfNc7hW7u8aDgc0S6TG11MW33x
kVKmQC5wydC4cCj2tBcPz0REVtAazvz4EWVxLcO3uN66UaQtqRL/SVIjRuf0CKJFNt0Ddu2z0ofw
ngI5mzNxqGsCeJjkcLmY9WMzTzuapJdeupmdZ0GbnJbO7RMAUXfftk3yl1jJ7/Z+c4lA6eStbJPt
95LS+vdhxAscf24tBzfHRDtSGq0Sq7S7LSmQ535K63OX+gk582XcLDrvhvX/Z6b5JpADu3/JPVR0
n2AdDJeAovcqvuYzwpXed5GkRq5sH1pYBlxStMxHpGjM8guIEu1jKKYHYZCOVqZhWOnWtuiMz3++
ko3fFEdTWETQmCouZ0lDRcD+ddCSmFbCpJL2PVBBPbFNPghVcCI1Q1wJB9mPOXpHtsj6CY7hw4i9
DNTE3m5K3Ji0NV1sd3w02bkiRb1jB4mi1ZgHstzDLXbkeGrJLCsWJXsFckFYiKiFBEb05x/DfWtu
xgDrcU8yVfFs7M3um+CPZbAlF6UR7gxaK/aNpxc0y1ghDdnVPDFApmuJ6ppzNGUp6npm9w+891Uf
0u3lUEgg4vSk5m+c+h2ceab3Ak9vPYCXfAcG1XuJffnRKXX/Qf1eHk5XP5moHxNHL5rbzw2nUeiV
RXYeZZfAQTWStXLgdVI7BPj8t8Vcs3EWwJCHkZGq30tSXAspOdaaZu03rr69uxOKynKeGSoDsO7D
U2Il3fEuiYSOH16TiZoMoq1ULS+GtUkHbAQz8cnN9e58v/HuqoTVL7jdmQmjFcbGg5RAPjyhZWu7
tM++iPpjHkMgBb2DX8s5UcrzXQyWdzbd4hIsYxU7upr+YxsAsDMK+Pn2rO9sTGmfiIfZixDPvOt9
9qwMN2Qu+sfJxsoaI1ooH4EQYb4vrQKDqh78/POnLd+ehllKQM/pUi6hG9d6+/hNbDAVBf3Zu3uk
QKaJfkMhhBs3ssFq+oA8/v9e/NbYGIX/pRSDf7EpN3gRSM11vQEIlYlYfrSwKq0E+de9zNupJCj/
fuypZtc1nBGDhRtYfTx9jGSqGR7MJzefmOq6MThNmv6ccpqu0Bei01TXHEFC7yGZxXigru6q7hO1
3lei2eDnFkcjhMy4Lg3qT/yM2zuIEnk0oC+FALYtxvu3PukHrO3NvKeGhcGtUc87bXTwaUedcarT
jbd8E3eut2a7bdFTVj8EaeJdlG1s8EtiYH7qbORAYq3N5OUu0heusHa6LmqWc+ObMY05LlY3ojXD
t4giNVly/fPnJP4/tyVbLdZInp7SdTlz//fJ6Zp9y5TFKXf3izImB7AL9W9mqRd7ryLfIzrnyUvh
KKjUVDAiZUvBJgT7V8NKCiXoCKxU35Wm6NaiJo+nnk5uRZAzmStUtIitlwpKVS5ej/u/U2kD2S/Z
uVy2FIx4mo/nC8OBGpirsMnEdJoaHiopvPKqN8b0ULYazD6CIB0ohohrqRqjaqdybf+cutRXpd8c
Gik9XnB2pjNHJ7TskeXZZcNYprQOk0Rx7re37hb1NTe+uJNPV8dAY8Akm/4l6eYAIzPCYl+D2MxS
QcfsYqWLOKKBH4+sM8UpHIPe3fXMQGOJyV3ZPTKyBdRgIz/RakrF11IaM0o+Sz0lX9rBMF3d53I4
nIqD2rRTi10xHXpgfzs+dDN9X4vrBtj7+Hi3F9szRzXlziT3XltRvU7ASzFM1N09EX0m5xwE2b0N
1Jg6Bc4lJVyrNyOysweBGTSrO2jZGlc8+/7XSmR7RyT+A+cv34qZMlT0HBb4s/yh0fZjPnFIHgYe
I2Ujfty3F86nEGH6wR0yrpHBMn7JqHWc1DjDFgG1rak8WX6Gehm9Q0u9/3hoT+ORUebPdKorsrI/
UXNIn0yGfsBBFDwwPTfXCpcdTk3DTncWB5uc/zrIzfsuTNPA783CpiM7AG4TelxYG3VRqRflN1D7
s0GWPVhIF+1akic4lVgSdfDCbWczP23qa0EUQM1AhAf0tqLc45Bl8QZgqLwqv3EpUh2eQ+TuomN1
wF7KezDbWJ9xBH+ZlqafIRqzdR0vVYXKvV5pX8JqxHu+WBswuY4gjxBAvAyS1VgSAQzQf7dTlMA+
i4oLOo6xF3Rd0Cm6+fP9rDY6/z7WSmkI3XVJppsQAw3zzbHWzWpia4QYtuA6QC1VHWbDagyfe+s9
cV650arcOTUIa6Ruu/L9kBbhGh+pfM31/OZNSCRlJc7x8gJSA6wdQ1hjphQlis33JnvONVRFdclS
tyTPbGEx2kln8tbBZcQuf9bdheDch4i32DVhbizadN5iEw3omPu1UHaB0eC3wfStlQSZ6DJEORl1
kXIa93Dpp5NxUHsqerlvZo72XpYejaXu5FBzPONOiv1qV7Q6uFEv5kZTv+NnTFICj32FFc0f2h4z
rZuTJgKkY2IQ0ZofigmtInPqK7NoMSSn0mEW1n398ychfpsULx+FaXIDoo27ltCXJfJf+zaYxW6h
G7SrJINrrLyiD69+b4dXd3mRZnDLc8c4ql8PzTi6ghLDpxyQV8D2Sg1KkRbHaRbJ2QQNe1CZdFw8
PwFWhIcgGIdNqFO7px629eSxZDgJq3ueJgFPvEDfTol48kewFsAN3c/q9AiH/D4bIfqAQT4TpMYK
ph9IX/ZOz4affatnZ5cn+dUM0Mu9JN2Aypz3YV+7H4yQAre8fO0EnfeBPYA6S7Szkv1mMjGuPcmr
E9rbBt16k2ime2Rnp+3vgVOWZTCIH/u6C8gV+z5W6rI4WWyTQvjVXtv14pA7zmZeimb67709TBeP
TDx9V/1VrSN3QStrP+Vz6QF3Ws7+pe38UL9ZDtQLKQuKeolH2DvqhN7RPnTpbR0gqNMu4leCk3AJ
yOdJhgkTRJfFoP8MTiCEz0VCtHKgKbqRX2wnH5N5bgln5zczuDSON9AQFgFMDqgLHGO8rWj95hQI
a4Y6TF+cmxqsKmYSs8vFCELdIQGz0oH1nXDsyDgaPzT9tCWS7t3Cidq1CgfYoYipMxLFsGsa4KxK
rRGxX+/uT13P7Q9eKeJ9WE3+c95jcG7AKPb1kD66Dvkrnjrlp5Sn00W5LzUvgN84TExzlxmoFmji
4317QSk6g8txGreZG1S3ScrhFFc0VylHpQGn5O4gayb5DstQerS00XpywgS0S9Ro3yhkW9c1hWkc
sgr+O8I+h0k97Jj7fL/np3RCT3+J9xkqm/2fZxpdMZbkgWboruTx9eaZ1lGsSxCd3qnQB2i6KBaZ
SSGMX8zhMQ/NjxjcnaOfQloDx4eJJ6Jmo9R+xeV8jqLCdrOjXYLFZPwI68/kRmOg4HwxfvrUXy+0
qZ9zIR5qOtI/z1yiq7lPznYBYIk0r/0cCOBttChazCIz/xpnJoXhGBr26lutgbRTOINObTL+KKsN
htP9WmWwMx4ggjNqLAuAUEltw/GyspiofZpuVGSiY6k63qMrTeiO+5kI7q7oOmOVNTj8/CAQ7+yy
7Vj8cv0sTKp2zDDethW8o16ZY93EIWtmbkIAFGSPjh28x0cBHFm2OgTrhslaueRJrGH4KtKkfdS9
mgHdTDpwiSrpo430a+svzpz1L+g78VogkTNscboX6hPDDf2KEHogJW3B2q0cEm3oGLQ4LSqXRkXh
NqnYtqq7rU+I7f2z9dBzKiQW0oeWgLNRqgQeoOBkLb9WUhu6ykorP2QjKTUDQuyj5LYrM6u4U/BR
EMIHNeYik1ru2lBOLES4vu43RtstHHkkjTqteYcNHTfmiLZC6e4zwTdIzTA9PYZfuK5p+UZdK7Yz
Sx07eQ0DaG08YgvYxtQYbYCKOg9+RJlZWL7kHPE7OQ5cTaBg0n767Jcx2PDcoAlvMeH2AeeorgbF
i03f5m0cyGwuJ8WoZOx//+whh7eraEjdXT968l65o3tYwu//d9uJy0vnd4+UBExXMDOEcmJqeHJo
b5FYUERl8Wvv0SSmeyAfcKNIEFJ7TCt5N8fI6iahWvXuUJxK06UL4YJ5HemGtGC1V4ABKy4Y5flt
fhxmZ8Av2ML6nrv4e8zDk1MlnPZ+RejLT7YsEnRnyMA6xD1VRPdNbUrB8gVpIv4RWOVXg9rQlfMQ
gFwTqywojYsy1o+MvH2X2jmVTzeERXk6Pdn3uDr6d39Mh+ioSX8fBd2DEqFY0rWHrmac1NhnZWVM
o8m6lGXyELc91gvus5Ud1Ue71ffWFHLXxmb/iNel3QORLc48Sn+9IK+FIOVBajH9I6HCVdysuwUt
UDWxhcLTHICbs0FuzPBJJylzllN0zIiZn23IYZvKGd/dH3u09t7mwkpPySLyZmFhXf68J/gtqAyf
R7g2MWUOW44038pUgtNe4YuYw5I9yKNKQ95tV4DRilVT1mJ7j0hSTruJLR82inqsTdrFExM+jdmC
mqmF2pk9lp6RllW/AqZZPwfJUWc/+KxbYbDBYbLrLI+3BNiMIs4kWsefGam14ulC9DVsYdDdN2uu
XsVHFL5DM7qgZM1hSK5FSQMq3tFyr3exDUw7rFYDo9rXoTbrS+jYHXxbxqFjWK9EJgLCgVb3lSYF
sszkbUZzZh+QV8PfIvJvZV2GASYa35JSQFoWb99B2xB5ggFzXs91p29QA+RJvdj/+0p9a+HpykHs
Zv7OHy3aXf1hCSaNj1igaa/GaL6DQwOORE9f7hOVwqXbu3FI5MQaRYmk548zW+JGlMNZuTfUSz0D
y0XQud/EoZ/r7/osTdeqIOz+i4Vhlgfw/N5ubCxJJ+VCuM+o1falu2qE9T4PTtliZgp1432YgmGZ
YYzTAJr97Szw23u17P9NZlueJKBnKwfHvzag0msrm2XKpYT3yOSwP3mC5osw1dZV38t1pQP0xdfc
wDXCijBmEI3HSDvc9wocyzd+HwWPpjP+UMPW3rDLk+U2tO7oMVqa3z1nIs8vup0Xt3aYjtDftHWv
W/Y+KCnuypL2NiC8HsPFum/05fbXqbdDdq7p5Lzcn1HlBFB9mZqqF6NNPLgiUvDpxZ/UfAKUUXER
lvXaExtfm7iAOJKPXNfLS1MX7n7Kx+/wmuptaLRn0VUtRv68jbc+2TzQl/l8TedxvkYwAFXgbI6q
d7W7NA+pgyJTSoqTlpveDoiROB0cnb/c+W+jDZ6JQi11m+OG4+i/XbexW42d40LEukfOGy9Y/zPR
Ul+pl3zij8RaR6NQO1xU5kFt8NWL6S+l1H5Tbyfk7MvgJMXG0zi2LU1U84jhwdZof6GObadGe2yO
zV88KnNu36lzeTUUm4zrksYwTH4+IkYLpXiVe5F/CDnnKYd20jvJrwqlkiIj4SZPAqnlEwuwS/uI
x5IyU6xZoKk8dY7RwlEgJLl8NzkUv//5rTPfGo1464RYmFGGy5HWe3sZB705L8M5C+itUWxCu0P/
dsidOUG2T5ENH6lBAj0fVXsHTQSs1//TbT1r2NE82D4p5yHriv41Ie0CrRq3pF6lObUsRfPgZ4Z1
TZoMGmh2itLYvDhTz3XWew6NGbtoWd0p5ruQY+JEM9LP++cf8DfnED8gur7HQcLFocrT7b8HxaTS
bOIgDeNl7GN39Qybjs5ifqRrprzh58p3DXU1t8Eu8fXE9fsh1n3U0YxO0GLwQFTR82OOFGi5SgvK
DVsn8I7QRMfZiY7e+qm0aadMloYMD7rNduHTHXSgKR8jqR+wqc/bGLbHvkltSE8ysgg08yJKEGOQ
ewj8mFgEM2i2asc1jynYT2E9Y/3EXuYT2eOJd5dw7s+PsBVMKx3GnoFu4hO19G2eDs8iCfljOnlP
tZH78zv52/rqkRwSUuehxcEHxuqbk4Lbi9FL84qW7qH9RsjSf7asxjv6NlaeCSTIc9Ca7XNGkfig
OxRF93SQ5JFPdQN/28mafHdvubhR66JpnhSq1gnBS4+GpBI8y97V1JHsHLtwqHyaXTY9VU3/CPgm
i4TBPTmYpjqSJ/CIUtjNq2icvdrmu1WYHTxwDutkHEmEa7l7wjFMsRURZQDzFhzjOHCOC1FpOaiA
fGJ6M1YF0mgOV8xWCp3HBDCLfYyMrfk9wX/4+Oc3cHl//n3SWt4/juM6SVXdYM//ZkZjVGwtMkdS
SyvMbDP7JGinHNZPlU32OvO+/flf+w1eqP45BvychdkUGeYbyxy4GSMvqIda3zE79LJ8iwgdkJe3
7J1vWvNtmG45aN0X6UVPxDSCjR/X6R5GmbZjXlT57BKXFldKC6luK7IfLq0fB+V0k1B456GZ7t8Z
lLrbLiSQiRrFx3lJ9APQon2qkt1fbme5KOb/fRO5WMjXQAEymYCoKPC/lt2ZaeLcZKa/zgBDnlTm
QWPDwTiR9AP0B30DhIaaz2U65KYbkHzeY9r3QN3YTG0Q0OESj02/5yiCwLF8W4hqOGSpwyBjKUHV
nHHazxbUNfUtgcZ2VZWVxroAOBDwFJkOymEFNiTjZ9RVzVlLcSBJpqHrasA4hMvDu58cjLkEnGiS
iLm7fYu9CsANmnmuxxpRo3Le21jekMsH+USXCJ3zAT0E/9gJkuDLfRn32NLYRYq7pWVMox5DQxW9
CoZzB3BCYtYTfa+gQlrxLUxmfV/bWrVTMKW7ccPNhQMRG2dUs9CIuuWFZEJ1Vt+qr6bmL1e8EMtF
9ubjErzFOoYTw5N3Ge9fHxfWIk9PuthnhzYN53mwanATEvtDm66zuPzQa7BAWss8SXzlsFwWQlY8
0JLA6bu4qpQiO0haPypPWwEEeKodjjGb2HuQyrloR59NlX53AVBdOI+tnM5/VwIbPNwhW5zQ9z5T
5ov6NPPUokcoCBPUhL45jAB28HRGOlhywVx7dnAaGlOorfTUps71f8ifAYwlKRKDCCSjVDXPMvG3
rbMU2zotvS/OKLObuWw6m2F8iWQCBtSsSa7pw7CvTEoS1PlczRh06G9bfLrZjqFkzJVDGTCak35J
eALtPertT5Hlv9xJBlrSv0BBpKDMCJLD0EoOw32ar+9m0nwYET6W/+bY4iXq+sncR8u31ggw4H7p
1E77PV/4eXONiKEWmHT5NhHmDbCDcwxTp1kCCvT54nlqRNByMMQMrSxupPw2Tq5rxsru3elUJshi
AYXASnRWF2pv2sVG6RNCdsTtAKkAhBBkP0VK/Lq3H8I5/6CiiJ1fmDs1ibifQclfmMceUIHnW4Qu
G3b8S8/l10imr908tSc1iY3N1z8/GuVve3cLEBhGb57BkrXsLQosKBrX62d34PMjig/Ja983c/8e
qLf2zg70NWGdZGMa4EwUhCeu5+HYS2LlhHHQpLMX3Hv+k0apspzFetAECNhWeA9+bW16kbSnrG7b
k/pKvVg15Pm+W8pO8oZKbuZsD+qldLxfX0UO2y9YUOIliPdxGh7jVJYXuy2sY9B7nMFHeOEi67oj
5HTrwOJKdNCL3MNUufq6YWt3h1u2evigtVkApLJOdq2BsB9Y4Qd7yfsqF5OWrBbaatCT5WCzwlWT
U/6ZNUD75Ozv6Yn5kpScZPduXVf7+3ajH+nkHumApDIiGtfcwPpOtxGI0oaa08kotHUHtBwJetJu
RTc9kYTzTpGflH/Z6f8WYvY467Gw4QRHtXHQ4/67m+sya4QAZrFtoo+Mw5HHGhr+1COr25WldKlQ
iYNzwYOCmpXEX3m539/MccLOOSUabMG6hUU1Th8JUGVbzStcKkT41uAsGbJ93Nrt4J9NaTyEVrRT
T2sFP0EDYzSm44hetuxBERYvc5xGO9tML3PuuWsIbT1y7bQz6Pd+DOnP3ZZOQ/dxoHMlEYX+yxvh
Lj/ofx6stiDMrVsGvGPDMK1lnfzXgzXJHau1RNmu71ISnnceqJWWXPww7u8sKnoJp1Votz23blg9
Ws3kr/Jg2LZzmlPbTKjZCcggz3vMkp51F/RtS9IAWgvIk25KctkP4nVUueTpZrN7sJGZVjPgnxD/
5gfU3mwdJFbwAQhkto4NrKVh3iQ7NROzcns76rieh4gycFfC5yp1b2/AYmvTMtrbPRCcntrYA8Qt
Jp6dH+1oftgGE5yXpDX0m5M99eyfKXXrDj5qxXXIiAlrBlgr/x0Gs/KBuuCvTeBxmY6GvQtx6LaD
l71MZW6vc5qtlTcWVWNal06PGLXwLtnRXOYU7JxbVA+91tUX39e+5jB3CKRjFlUuYm3IuvMAWn40
MfYmcc6odQGg1ESa4Oc6xa3RNlL4n6MqcK+MR9y/yAu/oQ6ARqDDMGvUOdMS1n/z+YatP2H7jhA8
izhfY+sDSDQ7mHfUYdXTGntP6vFbaMfdepqt6oTFDvCAkeb7vA+3cV1Q55O64oS7vTthvKolnTVo
Z+/ZqVFi7HuQXtJBez/ibToniSs/8bFsitiIQHBRuwrNYad6kmTYt9uR6M+xwQ2Do3mRwkuBbzNx
5DFBYqYmb6StZIlAwFQHK4RMh8bMBKVL6++jSYeXQU1rXPkvODjai7FUr6lvORAafxGx3LfmGN45
F8uF6eKPhPn4NtvglJnXhjzT167eRs9l5tdrownzG7Kudo6l+Ep+SduBDaCQt3N32lzMZ4vO6sPY
y4+12ZZImLI4Y0xjHYNBf6ia3LtKjNWAwZpHD28fK+F0VqNxO2hJALs3Bxz/raxM6Hyp5mOqDSF9
YKE6tKOWPSRGQofSEMHorJLHpYSb/RA15y1i11D42ufCDL/RHxAcGNCSGnOXTLhMfwYo9qdUApU2
RXRNxsF4MVKfQg6XOGtblE+OnzyjIndbls/wqHqCDBi/edHTmjHknxlUtTeZldins2zgxokc7gw4
vOe+LJy1y52Htpibq2VmcC507+vEKRZ2bKJt2dJRKlD5wbUci5BcPF8ZZOO2HH/pTKOT7mpU/uNk
9fVp7r1+g7K9DZbzvJlVz39ese3fFB5bABbm/EQmCr/pW8KP2XgSHG/B+2bMcnUnSE5WGm3iwdri
StA3hlNZr9Pc2hyvrG5bhU1/trXWfk6KCRiviB4HM7SfudGpXeBEQDqY7nEKqKNdvYQVw55sW2tO
pJ2WKCNAy0+uO4039ZtNcOpCLf4QW3Ow1sIZOUfD35CEJikWLSk4U6zTUP+YZj+Uktm1UASLptO3
ghrFlec5ix0vguSQd5BprXDau7FWnofC7FYx5Vobah7lR5vqazay/FFT3nAhR2xSroWJLgfDz/yc
99We5ET3o5DzS0kD4F9und9P+AgftuMgoBmssBwd/7uoaBNHeRMXyi8dDexu9SCpHcUY1LC6fbGX
FiX1EuFchSqOTYDAF233njzNUR2dQhwDqzTVxhsxMwJ0wja3pmAGTb0cOkXDuw37EUnStphvtFl6
1dyGTsAJO6I/0q9OGVSLsvwQmt5xMeHgBHf0914NvyxG4WejVrDKuxqYS1jzMKXmD5Kl6eoX0xU/
dvg1h5LHw39CT5vnjdnYHsm1AB9yEIqLHbw20AoeOzeOn/58iRqLkPTfFZm8OsK5DioVR4KzbDr/
tSLriN+T1uFfTioOECqhXTd1jp8cPbzwXFjwQyB30ygpW2oSeAQZ9S2V3om9PTFsyhxsx6IHlj3m
NH665nmkWPEUTTp7jyzJnroG2lrPhsZb3tqsMI2/+dV+O63x36fqgIksmUNUgzdhJy+LCXNGsMmV
18aWw4AdTC+ufSmh7qe5/6EdbAoxGSDdZn0ctpWO8BKMzXSpqUtmbYj8Vd265po7uTq4Gk3yXVOJ
B+Hl/dY1D395y3/bx/P/dSWwe7hoRMre/n/rGMrWPOIZynLGZVGLn4Vd+DAa2lV9Mw6Zc6unFr5c
jnzRVvSYNi7+z4gaHHZ/pOQzc194fsKzM/RP6sXVzZTeQWIjy/TTjjJy7f3kbLUod3bpFMWgmnzx
F13D+G3V4kfxGMGzycRrbb299TzfLCXwmGadJuaTZDe0qpaxstkbX+wkuLlRefL9nmAzreIc3fTh
fSAYxcVBnH1DOQWWlX2dwWpsug6PS5x44hi3aKzKu6M5Amav/zdj+KKf/qYfM21z8ETZBuf73/Nx
RjY5Q4KYsL6f3XtcxgCTA5ZHaqZF09GxaszRa+jEh4zOCpaMEPvccrjvU+89rXOuzSqdJRUWGTci
vVmRuw0HRzsoyT720nF9j+VyCv4k3OCglIGs9b6WtDw/WRZnnWZuypexY7bpF0lybOz4hz767SEh
RLsbuuJbjjB8oyH0m1kQgaNagGszjJ/sur/OkR5+lZlFd22XnMBGvEgGNhthBdFzu2lwxFMA3odP
RtFp6zE0yle89wHpGMa+dr0UHYDyYRnXsnCdNYE8F3Z6bpZmSKtCUyL9iCuu/5IwvngPbXd47KX+
0sngSfRF+b60KmMVh3l7Sn2JmYna4iHK7JvSr2yXGSUb2nwLiea9yr2AcErWbg1SH6CKAt1BrbRu
aB1w6Rm5OEVSXlj03XdWGrwmU1Y+g8t7DKqO/GlEG4/6W4qB9CLy6jrlYLplz5O/ZLbQzlXJpsiH
crvuCp+SpYCaTM0inOFJLirHryl+ou36lBsGJhivowWbwrJ506Gb6SOUCSuj2TNpU/t5lFpIJALo
cr7whGg/LB/dOhDbUqORyU0Y65m9NDa04NkvpJzsVRR5xWffcZ9nw2l+msUNwI+YavlV8JOtU3KW
y8isOhBnaRB2Ocd6iogyGe4jI3O8r2n+qPLRuUWwFAMEpA8D+2tRhjQrLbjjQ5WQzoxbsa20zKRM
Req3EYfZStA8Ukn4fWWUjRd7ZuY+Wt+qmQt/6ST+oohUiKz9pUB1P8xtBweBCteCEYFTyqsgrk+g
UW9OYnloqG95k8+ploKVWKwc6peG1t/IVotOnqyq5zxqXhT+WZIj3pRNDoy/kdU6FnJaWeMkDkhl
PAcWh2sdu8MqTN0f3jKkVnNp9cI5+ws82PNgIGepgoQk5QYqJISbXCQPMmr5qeViAi4aoKPLf8Up
LfQnxk3krTDc/POSaOELI+xm47swje9pxJSx0cWjSf0Xtbv2AWMrA0Eeu8g71jBtrZS+Kc+CBZtj
wtmW7UDP7eSd42QoXyPNMba0tri3cLZuWghtIk5k9uKKdDX5/eDvgiay79s3jfLfKJfmzSqI2anJ
m93W/d6yyhg2la19xW3NPlwFbGKj/jDjAX9Sbl7PHVFH/dy/JOkcrbmHQHcXzk11M4yZ+ei1/hlH
OsaMygufQ40EqtkVNJ0n0bOPAvkqxgGUpoOFbInvOHod3FSuluACq60spoOoYo34aFjtImFnj1be
xAcWBSKsAwzFZqKIl9E2nN7ZetbAJn1wqu6mGnGqjN69ZJpN7CPt+EjQ3rnaElWvnSswmXHQr/yu
LD5kegkaNKk+xVUXbopKawBagxkO8fP9arVIk4neWkicl3iciU8zV2Va8l1LYvPZB+CGByMk2T8d
Z9fuvtmm9p3zjvxIAwP1VqwxZzBJGUpprO3TkVgftUbJu6SsgvPktS/qiPyPESJlmgIQvIMm2XfM
KT/B9a9Xd8kBvRoLBCKoUlbbmWYO9VWCvcmWnCn6qJ520uCyyPp49Hd2UhGCCob+ahR2uMJRs6WH
ffpcm7EAPIcXvAsqnMrtoH3w+c2hkd4pnz2iiKISuGFM/VL51fMdxRKjeR3J356npadoSgl/Rb3T
YsnSonPrZp+KOOlOVZeYq8Fsu/cYC76ZtcdUIqIJ7Y7qAN4OjvgBbWy4THRTenSsYJrFjhRQNZ8H
+fCiWVyTVGxoNMTpw8aqk+A7cIHq0GbuTDY/hXO+qAldHIh1Y9mAt+cm3KnxFpcAZZk6PCY1JEy4
daxBlFuzzj4PluavdcxCD+iz3W1sEWdKmZ3k3MgXvYx+jpMLZHPsyq0CseZOPOx6BJs1gVHzFc8F
vWYMSS4+G7KE6Tj2h3jXBtr7e8018r/+rYeZcE7yiodradNiNRoukbTgGiPyHrSBGgSST/U2qmmq
cWPzh5Uk8EhyHlxBoUOCWzpmGJMFB0UjYNpZsnRr7x3XRflELHlIzTQ+aRSZGKYdP2WEKUrs/ec7
W48Q8DectDjtl79n4CM6Q5EhYeC1wZWe8Wjj+e7RaQznuzv2r2NscOewOZ9xYT5FhBc40TG+6xib
nbR0CE7BkL3euQggg7HXIEAq426K1ZU2asMKcMcl2bcZPV/3PfJ0lvcslpyzqRWXDLhR3szDA4eq
9lob3rse9U798xGSrlYZGDFbilOhuS/t4oz9E3MKoJxYa/WIGULxM8esSqQI2w4jAj52zNRiDczt
g6931kvs/bS1GTbrIoVoEY7rliHZ2i2n8IJwWiCNAYpZHq05Eo1v3YYBFjb9IruKkGzomsk6LV5y
p3XPLkWM2Vxe9MIYd8MYfWNawljOmK8C4tnBB0whCdUdhUGzcVzL/2PrPJYbV7Ys+kWIgDdTei9H
mdIEIZWBN4lM2K/vBdzbXS9e9ARFgCBLdInMc/Zee2sjyd7U/izKbuie0OegUA1bTP5pMxT4k9b8
6HOxIrvVRk+p42YgLZEazvR70vmLJxvmjUOVRumkIDYZ0FmJLFMnsibPYqKhhvIiAkqC0vDI+i7m
WWjPam60wMeZ6GuojxpUVIQRbwaAVJuoqwguwvGZOFfozvu67VPKG7TVYhmDyeujaC8Mt18bUXVO
sQ6oBNW1Y2vH0PXWlh2+TZ3oV5Clg5X2q8mQB9LoiHdD0q2gcHzlRfVQ9sVvrYXs0nxFbvRYJij/
2+EQkEyg1fYDjDOhiS8XcKde979rr2S+nD0aXnQOvD0O1mNLllsQ9ufWje+2PzrbflLfU0aZq5iY
aJkqvxfltA5LI8daWnerUsDJJACykGAOGN9OecA94tmFCxS4e9DrFy1iERrio9KdeKBtsypbsmCq
weNy0N8Gg4wbryGWosnt1eD+CmnerxVpj1tzZpn700y/q4iC7ySUi3zcjR6LqhIIjC2dE9WsaOMN
NNV926IQZQMaKEr9JS7WRWtHWxNE0B522K9Bmkegj7guJ6d7JhD6yWAxX7vxhU7cD60UcMmjfepm
VPTwG8V8aaZMEZqp2seY/DZt0N+GriIBuroQJ3AMumCTK4JBcY+DN2wvSTbeLZUdI5J+3cz7MVoC
CQSvPwxpv47z0pGJG6Wk4DcRNmvGKnoSLdem1CLZqyl5KpV/kv09f5oaqnEytcnIHVbhZMJ/Wjcx
ajkh7EPXl+8DL3PUgouni18TUQoBZl8iJ5E91F38JoxK7Gw7O0zwodbWKCPkpB4fCzEGet72a+XV
hGmMT65vvqeWuok08u9OXHw1CPo3owLEFVAOWaEyx2vSPdHb26JXoDpkHqSqjnpFCubsT3exqzfW
RMCoy1rCpytQ59gnCju71I+WXb94IXD0lsvJFAd3u+qa1ZFC3wha55aii7oWipWnlecN2B6g/GAu
98q0Y5QJ9WwsML58IsSU3YtNbIbtiopGtAYszHDbB3+61gUr3vLt642nrjR/kVP3nrenwHk2cRNj
lGUaXROnQEsQZwLCbcC0GrYHuE5yzm6pr31XmKuOziSwQbJGTL3OtkZCirCM1CXWtHFfafpnt7j8
AgQKILsYzSBO1je6mPyU6jdiEJ/aMv1pGo657gxZE8V+zjRiRRgUUMzE1bASzFmGtnutZZSvHdP9
TlOdKAf9jIJTAFe1TqBk+gJQ4UQ/Pm15Q4u6AKxZP3h2y+c/IqzDRfoIbPY5CswfZJ9lqyl1rqFB
hOmoETwo8bWG7U3mAPvxcic7PfPWpUsnog+Hc+iZYEyCQd8FcTJujX6iqdv1r6Q06WBEkt9JrCGy
dldGHR4xfBwVHXwwSGQwzy/STUcg9w6JJ1HmIhQwMCfD+6nHSz+QJd84gqxVmV5idDvzd6GhtefF
ZNVvS4z/dQOVzxTZtyfS964udiTTApoDOrHNq/Qxy8f40Lr13crIB6+HF4OXux3bmeuVaHNasTmH
k/OCY8IbHe3QiPSPEwcf4PdQQ1LPxhiwCTBvbnIbiJULObXCUwyQ7Y/Cy7aO4MbhAxHBPkjrF/6d
9tlUxbPk+j4REEI49l5HsryeYmClUJMuhZMLyGc7QddnkzNjYRaB3yUspuNkqnUI8onovurkVwZo
HitEI+8Hwy7KX3R61rHZxCfFubqTjwzono+RiThyFG1ULqHRWKO4OY6/ra0OzL+FKEXE9Ws1Vduq
KHuMaOCrAuenaWfm1kkICsQ0pp2Mn6IBbKkcLyV62fHWLcv4lRWC57IF5Sarce6aHjAdZwF1qMJ8
U2on3SV/DzMUPBjgAVXYEyteJtZ1spJ3d8Tyywy0PHRu0u5bYQwbRKrxqblnTn6HI16+utp4T2NG
FgDryXpgQmQRbLznwo+7Pfspg3685mP/O3D5kSpCQ9aJwYkdvSmb0ilfldLd9o67GbENnYCpIxlX
3bSm8NqCoYH3wlJlnabQIPyYxYLnYhvhXSd82Uyw2hoJNtcy5JpjibUZZEQTqxoHHS+moEWwAQ+B
TDzAMQqjd6ulgL9t8QexYUGWRo6yrkW7w0c1tz+8VRV29mnkU1npaXVAgOqB9jfWAYSIedU+p2Ir
rF9djg6rraF2h/YBww34YACARC/qewwq+RkY2iYwMnkoXDjJISAyX2b1FQnzVZv071inEptX1ZpS
0R+yd39OgbYe7fbeC/3iaAUhc8PVUfHrmHu0wIfnQpp3qvcMfna8h0IILs8snuGG5Oi2cSz2tnVk
dTau0z43v0wk2b6Zaq+9yyAMe/pk+mF5kib5G65LZ2Uqnc9kVMU2pki/M7PoSQ529I63n1oInaDA
RdHvVuKz4I/ZhY71TYd42/DnY9ix61WBDMg1R8pp8YXe13esiDbLhpc2RLDa1UO9KceOH9zwwbKx
uogy5p3HIo/Z7caswtuMBWkhaNJWhW1oa6wM7cbKalbC5Uc/lf5z13XpqTHslJIIedY2r+ZmzpsM
DO1m0vlVMDoG16D241MnYrxG7E1UHbs06Y9tnHoHna9txPIbsCWzEbc0zEPYd+C2eU8DjwGI9c4W
e0x51JIkP5NZNhYgWn1PXsvQJeqOoZ5sLn2DCZfostr47hIyP1sv3xs9CXCqRfbZxu6ncvJvFfTn
QK9xI8beDl2dKaqfU0qMPLXnbGUHc3KVNiPxMJ4NmX4Yo/7QF2WyAc50sIOSlBWHtZBROMkOKbS8
NrG8OzPBGWBEQiK3Zu6seXea6i0JTus4rJ1Xln7G1VYx6zIrdV9bNQq8rnhNlnsbR0ZXJ8Kf7Lqm
85qRpcpqz7JOke+SEe43zpdrhqco7MSbhl75gN8i2UdkcX40jbamOux8UQxmWINefgkmPX4amPes
mvmO0on+lHkxPtsZIKrELrPtcnxqH6kHDhAOAMK46NGoyw6/fUItzn2oKWpkrr12coScOVrds0Vk
KhfEMBg2qVv5GxtR8YBm6RXeqnx0hXwDt9m9q6Quj1mAky+e6u7d9hsiILi6HKv53kKKl6bXvEd8
SPZdStSB8+GJiJeL6XHNWh5EIAvR13BoNiMmDVJ++vipm4rmluraBi5H/ATgLX5ajk/pl2ZOlED/
7wh0xQdftdklMMOMyoBvMAzUBZlO6CBWsRVNT8vGVfkfvDAD/Hv57yHTFA/eFE+Xf06YjycIZv0p
925/D2lINhNVnTUoQ8yC2x8k5Vhr4mOrgznl6ujqXsOfP5KqST4Bq3sDgatefpsu5mJouMm18/3y
YUxnwjyD13fpRZfcLto3XQGvzjtlQ3QJpzeDPtpygja02VoV9da0Mu1aCF1HNkAXret0+Rh32rTW
zMj7rAJnT0hiux+rQmcVAAW+7SfnOsFfekc0AKC6eIdWgDFS2jQ7glx/9+TQ7inyBPBX9QEarUG7
2AnJB5hUvWMVo1g/oqpwysKHXJ+peyBd6zHS830b6lDRSknCqTWe4yDQPxkNLep9jXuib2bczQC5
yXwczgSDQTrk57I3inugtAeeWrJIp31chLJYD3Uy/ZjS5i6rKKEIHexSGmVknU8jP/Io+4rGzl7Z
ta/otFfZVpkNcFe/70jk6/AyMsvvZ+SRpVG3SRkjKWMU6grKR9tpHrFqvpNHu7RNe9xbWNLgQzbH
jILrxS5rvtfFJH7J1F1NpqX9MZV3E7o5XpSOgDXsqbSoPGyo3cD3yw0VvDiN224MgbW1tm1j7wUk
SCaNRllSb2vU3n5/7CvHu+TxMOwqw0+eHG0wV63bmA9DHLS3yGrFCk1K+THkqHuqbnT2laqrj9YQ
L44pP5u2PdRea9wn3dBWuRizky3n91SVJBQ2XrFb7k0Kf2djXaA8gW83Drp243dx8MIlflhHNFfe
HB3z1kRq1EGOU7AOIa3s3ZaqeSvq3UiT/p3VnfDUdyOFNw+h1jlhLvmIGxUz4XwHPFmihQ3nlfWa
symj6dFEybTvjM5/7bLmkfuN70zru5UmkuapoUh9oqAzbMvGUZ+lgVhwPoNimLfOUIdce821CR2a
pl32FkaqeBpHV5Kpg4XKptAFrZ2lH5ksmRlFTxUC7EcNBfu1mACzSEN7lJkKaURWb/bgWg9qN6ZF
E7OmTOvDZDd3sy+C8dY6Ub6rAWJj8vK1feEwVEWEXoKm1Zgq+AavhN1Qj4n06ue8S40W2L7Mpo/l
jhLO0zhaBBISDnvR5o2tHO28bBRfOrkqfX+eWxbdRhtVfEA+/9rPpKvSK//daDPzCmdpgNXAyLKT
hbl8OWUhYv09bznWquJMvEfx1qDmJtlpIt4j/JJgJ1DnYkQ2R5tqd4IorqzoDQW6OMKQM38pq3zu
Sl18+1P1S/Od5jYSrLLJwnHT2LXGTIIyB9/a7tLvWfBBG55vJ5XbcR2bb9ZpHtGtj0YiLEswt8tB
y7KoKyM37VIP8VKvu/BBa1Chy80GhcAltj8dAQQ+bpFWVZ549PJePPpqpj6ZzR8xH5oCB29nnVnP
o2/G5+WM5VzyA7I94It4DYtWq7eVYlkK8vXWpcpf8UUyNxUux11r2Oap5op6GypZbmqjiT/RbR9M
Jiu/rcp9p2rav1FWofeBHuSS65BM7c5ExkTw3IcWTA/LqQAkb2Wdq4+p5XvuJk5zRVnrbSxrYDXp
UC0sQJ58lDx1xgXp50C+KcarICCsDlhepsi7lkMa3euILtlyColPl9xLrHfCq/0tfUGa2kWnP4x1
I9fzE3l2FL5hCDnr0rNfOyRkxwyS9U6lXvlVX3zHUl+5Eye7kJyVo+yp5nZxeSUSSn0NZWmtrckn
XlmDjeVI6ncpOQ60TXhXCDEc156thm0GmW07yoo3eN60FIIzZLAPoFis50R4wyH6CvWkIwGYL00p
tepObbq6K4uUtMB5WXYGCReFFNlPvzbEcUQzDqkrTQAPVahBlpvLBhVDcobysHIGl95MZOTXZaP8
8N9byy7uib1dBtkpr10EUvgAuK5Z9DFSRBer3i67VxYRwbqKBDqlMivXBBpZzDE0WNxMoX/ws6lW
0ehbD9q81gFO+kRXYVhRtiONluLJSTcqlrC9yh89sWWhyg9E0U5FDpnLYySl8bhs+jR0WOAOKcrq
zCQoJE/iSymom3UEbthO8DUVjn5aNnROqfjMG8sZAMYsB5XnDzvyYV7+nrLcWs5bHgFd5H9PXvb/
6+5ld9m01BG3tUlUWiem6pHls7hGKtlVMqwew35IA9axEHNEBGGwmA8u94gAcZ/htJdlbzm+PB6e
wrhyzSTGNsjTpQSdProtRas8aV6XQ38fkKcgcIUim2Y5plnDS1GjbOIqyBuuN49TReG5iK2tTnDD
EXINGOioey0Siv/d0P1qM0982K2NKKjedVYQvNaKKI+amQ/u8fEWCd3awBsfyQC2fjWdBHfojxij
s5kT7wi0lvZ3PzU5I3tonvMsD1+GXlq7qp/zrmfPTW53XNIlPEOWMoFKmhchTPHC6qOlXDbQ8ph3
kyl8DsCh7OpmBteEZffiIoiKQ5qg8LeMTWbDjmha7UKE8K8+Ms9mWKU/A5qgq9LBpU5UaHWQ0HlB
ISbNAcdM+lxPhKL1rJ9f4T79SDA3eEMTftikdexVGLb7pJqKH0NSAmfJ8i+FvXhLmkeEzFNn3VaY
8WtY9TedrvSXZ4IJIEOCxR7RPo9aOQn+zOkLz5jxkknzWTUj81VFwrbKPo1UuJ9JaFQkU0JPryvM
G9qodXdniIudbiHsWALVJuGEpwac0czq0TdNzsWz02Gk6Pn0Czd8fV72Mp1MXIeyuzsbNJdD6KGn
nazEg+ioGFAtq5760S2fSEA1dn7fWOt4RjCVQXHUE8rQiQWAVlXx3Aycb1Jng/drC5BLgf+rHcvo
Z+vVHw097nvOmukwGp63hxSUv8Itel1O8Oe4hKSvqpeR38kRDlS0H2vNePOL4DoMZvQzbVy5omzk
P0UmaSldM5a7KK6Y/1hUkOb/xM0EX29n50vKBU3uuI+jNOFXWsgftD6snmDO52uZp9mrJ8BNwxY4
L5vYtGA3qPxHOQwEqg3zYqahxgfLJddAyyPI23pixoGZBD7IZHzlupa9BLkEfoxJ0ShHohzNO37K
fv59lvz8x/ZoxfOwn3FZkoPQXse459uQRsmvFrXdaE4IJH2kBbFh7ou6K177CnpUQIksI0CNehTr
Riv4SfoclykJIVPa7hkmTciUoYD0PakfsRtPDJOxvksCS/7IDO00YRS5K7/Or5U78d2dj7MifQlQ
IwB5qR+KMvp3MyCBXCX5GOzALBAPqbQWAr8aH5YNal6c4sDzt1xjjxIx+nMKiuVZVI+SeQAc0vyz
E07w1HsWUWmF9yczVfC0bGiQ9zvc4Onm7zESH0/wTO84SukAVS5tfndojyEx7yTDssAzUSp4Went
Ajr9mjkUj7EK+EbV2p3CxL7RbRImLFusWZWOB6dpPxqpx7c4J+wWLjTzAKvIrp1i1d/FP7lkSMqp
o7wtt4z5VtIDQnH8wdhEg/YceWq4BSodbiEti9uym3RtQ7mies9B5a3wqPUPDj2BB1mQVO2SebIZ
uy7n82B3OTY02h8jcPFzUtJySnwkC8zSG6RzRVF6ko4InwqrcY90Vu01X0OiqDS/vVaEl8KkaoIZ
f1ofo4lc4REACpAVrvma16cXvW3pYZHtQKk6JvurZp2qmanFTG9Kn+qycja9rX4GWVTcmnH4nadp
8kpxjDVQqdCyTuLbIHhpDSiublrjVofOCzNtn2evppBav2NjJooImI4JadpAjyjXemjbm3xoMcfk
2gGOaXlt6/4/N42YPjsA88IwcMhptvDIR/DNlRwjTD655aCoXm6OU+hfSCeuW507CEB6IV/JOfPH
n2Wh8Wl1zvCsZz2pfLr/B+1xWYBCx/Xads20L2O7ooxHrLCiwKdERVOIIhBprmw0qyZnqGWiYNNs
3yx3LMcUC1He5fnu5UQV6ZAklv3QyvFzU3p4QoQzHOqoNK8m0Z30Ia2B7/1gXpdjLhC7f2/Nx/pc
BitZ2NYWxJDN+DIf/HtOxVpObwz99PcJ/nmW+TSCMIaTUdCM+fvQ5d5lk40k1AcdVOP/euzfJ6Bx
26/CIWnJ0uGv+v/OM/tg3YQgF/551HyaDhMBcbxCRFlW4z+vBU1WvwKkPawdIYOdLYV9VchC98xu
HpxI608F7ZKpuGm9dfZCxFYRS9+DYYXuthzansg3Wx0bk2I+bSwEgZObnYZIkuEnKwDIOWaIaY4Y
qBhrQs2D3Zo1byyqvLiivjkpUlrFE0bF7zbQ3js7QcqQ5k5H8S0Nd03bdTePcFEb+/dpCo3QAAKB
xdB0imTPj2FkEe2M2yL83cG5fNCJk3taNjbkJiVacXGFQ3Mn3oxm1D3TgCsvsRm8Nb7ePgee6q9W
oIDT9T+dIf3UwBAdasc1HrOGOEkbcJpRWO7Za+1+P2BQBIh0YaxLPtq29k9mYacbf8zE1g6mZHZ1
bch0Q0oxOCcpq2bLaGetDVPmDzMSv6lBU1Wq8/j/uqemEWJNkoTJLLx1b0XZ3kOC6dvWsN/yqeNz
apTx7qWvKflmiCkRJ2Gaqq1sOrKwxyMyEq5oUCK19XGjpqjaod5aewPyKUzccuXh0jdt4rkKxPCF
NXbPmMpJYM2pk2Smr909XCH7vLXlJhB1hFSysk/oalzWytxbNxUQWlF+JPNekxGPkgfRdrmvTXzk
eVB7qCMMVQ7XZPptWhb0vmXXXLYZI+9p2fzHPqROBvv5ng5b6OnvruulHgnQ8z2hPRQbi5CFdYdJ
4ZkMm/i5tnlBVSIfSVyIn/MpHy4sb/+5bzkL3+rkk1Ueonf7ZxOFJmE/bQxY9/+OLbewaPWXsun/
43jQAg7zlo0WKtq3ZkML4n+fKRmigpmZA8PCpFMY1pF4ijqUJ0lfGmQy6dW5fLfIptou37xOiOSp
70nQKIYHNErhVyzfJ8vumIdQPp8sz9k4A81tsnOqLTUQWpjQtjHB1s8JVdHjOKS/LY+AAwKQn0Ji
L57SIYLY4ua7kEnWKpLj+ERrb6Ru2cZ7UILZqujHvfTrEq4zv0lI2WSeWJ3/WIyJf61rkgHbpjiL
qnyYAItdvKQBaJEOSGktPHVeVal8sxzUR/3fu908xdarxbGDqSWEO8xD/m6Wp3Gr95T0hbuOkp+M
KnLwuOLtR7NN9n4dTz8QHLAe9ahluCDNmyj20XlwPE1p+mohzGnLTlAgQg6+pDYarch4LYgF3EN2
4RqGlUGZebaKBN1fsx+7lV7nwL46GhNBKaaTR5NvXbWPrVma29Ggkl1Fxvg+UIzDgtVbNKHKEWjH
njA17830EDOPWANJxuUs2PzuHgoBLLJ5N4Hbh/e36898it9GZspdEGryTRsoPiogSqocrvJ7sPTh
A7hMdHZ6ENqFZ7gfyrWAaaA9ucAftl9ncAlkPXWgYlLvEecGhzBIh1WF6Duml+XLQ195KEyybgZZ
YUctlUEDYt4UItqCW4rOYaP9e8jvDQKuykvgFLW+6icIv2LqXxSqj2MLBg3pVxCU9P6tFIMFa2sE
Gpzzd5OLrNlmM6SwdoRx8kKdKIRg2eoQ+Bjf58PLgnPZOAZTzCzECh1YUQNbrSdTO2vN98iEM5Yk
GBJsM23e6XAth4lvZc5AjlYyh8ckrubuiNlATzXvItHMHpYEGYduKW0I+fhfx8vChqn4n6dnKE4o
lzanMs2nM7rc6bzcCsZYsQLK0TqNxTkk6eSf431qDWfwt3WifVOOxKJsRb+J9v2GHY/apsje3I4A
i7j2rW2apiEXjvRg+m36LvP+I5UQS/16UlfGQUXQJ2/8ckt3q4G68kBJYQE+DQpHXhTRmLO0kzIT
SEMtcXKAifCn9gz8NvMjanyAp0Ti04mNAo7FVYxumU8ujfX8bBQ6lr7l5pS6N+DlBcPFYWTqQWmz
Ah6MyxwXByN5V3dn3WUQY6g/Sm3mG7pu/mA2PT8iVjsk13+FidFu80Dehx4DH5YLuvuUxU+FW+yY
0BnHJI6GS6fXw2W5tWyGefefY1VPenZIlA9sDopClUqDC2v7fzdWroJLDkWRVmq+E5245AXMktmH
4oYeDk4BLw3N/LESw5903luOlwWRAAYOrzDl0joSTlYE1lX3pmDbthhOK1GFB2a+pBMWdAb0rOlP
RIiBrB5WlllOj2Xd/lnYfoPNm2w1U0CK/XgXY+GfYY/8YCpoA75krf+FKSY7po750SdDfnEcBc3R
HPk6Bd2xQF0vdE0/Nnmyzyokx5TQT5Xh+qfaDt9Je4Fn4lvGNpE+veferfDYtDTgAwV5Fn+KgZR9
Nac/lzbNyqYp0XkkUHA1QruOsfcrNaKXuNGHY6FR6UvN8eCZqypN5CaNjWTttOZ336UvfeoTpZDg
f5ba0ZLw0Oxav/C9ODSVeSt8rm3FDYLSLOnhq9jpDZIcIrJ3k4uNxyAcdbKmB2Foc7TOcNOKFApc
GJjr0TUNJHvfFfNAPHRPqsy7M9jpKoUN3ePSJRk93pgZE4TSP45ZIzdDde9rsr4mV2LqdqLfWVOp
Y5rGckWwulypCHYpPLpVS+zEKvXLr6ARmxEV/sjvKY28YhXH7l2PBm/bRv2+Ba2xyU1yYYs+OMY9
V22N8M91xIR4zKg99zRR/MF/y51KrvWieAQlT05WIt21laTJRjI7gr5KPimJNJcpBV8X+CmXxDA4
E5FCic+AoESN4kFUZKUHSXmVqeWszOqNvNR+Z0JcLUqKr2mRlBu3hjSZ1bTeGyDkiRutCf97rtAp
b9jwGh3rNAwdLucxcrewC5y3Mnv19bkGjor7ClKufRqilrhse5tZ5FT4mPvBX3z4UpXvNV1HZmpF
RmufXcBFzwpt/DX+hcvcPKJNIkvTPmJseBkwlUPu3SYiaN9Tif2Gtue6KBBFFp4+0C/Wr05QRsca
q7BFFrk7UTAYSpOpchOpQxR77iqVTF2hfrcpzfRgkgDRdN+ksYDCNac0M5akYAUeDsmihdENS2Cd
9zbRZCVSV2xBz3nSXvSU6n/XFBslWNb7Wv/UKvlqRZVYi2wgVSSjF0DHCy0rrYgzGLX1SDJqkcj8
JGL7lxdlLSovICwgFjTWdGoPBdDM2t+UwI8DoOlo0K9lFf7RadKsKtr/e+UOW2lQ1SGPY02Ed7ZN
iGpBzpcZa8TSeJ4RvhPaJHAG9NQselTfdYUMX7fHuxqs5kz5amVj9XGZzGLir8tNClqfSXD/1sSB
BkwhPYBS0W6pReXNWc2JgsLDYyVxgLU+F+REk6hQOy1FXhw9NX6g7SzkgwQvcUVqrQ53qKId5vty
i6yheubvSIKXagzcdS26cdMlrIc8H01YKg9mNDUPo0tuCAnFA22Go9EF8DPs+IUyGb1fe1fFSGEA
NZxHjS4k6TT5KrXVZ8v8zhrSmzu5zlkLGKkQ7V3K0gEy3aNLqVEEhg4keI3SWSi1cMNE8M7y9xY6
I1S8vm0vrS7GU5gEa1mVrMBheV2wrhCBkwZHoFBfgzYjJ4Y5IQuRY5qw0icqmnTusC13ue51e8c2
vkuaK9eg5wVNJKbuMhgZd2a2iY6MK9hJGj2rWEjtDK/hNjEYPyS0AcN8FbRUU5WWV0952pQPdAHX
GGi3JY2Ih7zCm2M0k3aFULkqaxVQQmmdja+Y4TXKnIiPT79oF6qrIwa5s7WZqhGPr8qlqmMV6bQZ
Xiy+FrNgc7wkRTVdhjQGgPp3f7nVTZm2ySi7/nNHr6FfVlYqiMFSxqZJdDKsJ3k0rGQvm2aCx4H7
WkljZSC8vYUMFRefwFqXUtdJa10sUoG9NyjhHAvEAuhuV8WQQaLUaIeakXEf0SnXrZ+sGOMhmNgU
H2DoFbl3DDOd9jzX+u3IxWhlBOLbK2isEs20q5JgbtC4iJUwLkhv53d9cLKB2y+OgrLxfwqJd9BN
/HgV1hkIsXjY5HWoMQaEIUb2ERFGP9fHMkHXqoEkG5KD2pRpCdq9aR4DM7c24QzR0MBZkzyeP1aI
nJBTSHmbjOmhSRpnFQHUI4RSsy+mTzqcFlHmbeKjTBgDdTdIfjC8762pwcZj8FO3xEen8/ugT4Uw
vaVTho57b8fqAPSxvuYdTltSLzFqIcuSBb9kIRr5EHpG8xCm8jpy1iGbtR1FngAdhodSM+5P1MGR
pktipPBmGTIPGCIjBl+UkblNkDtwL1h3zodEO4i2pq1AgyHzaekg/FOrGaau2zaCNYLQlbg4mAou
ph7+xDSFTsKKWKvF9j128mFPKwkFKFdT+nougwljSIZ8W2MeNCECUsVJG4wbJn5z36FHL7Typ4GN
egfbDdByhA6UOjlCXzh8mFRPVfBZ02rcUaHgLctNdLYsl06tVv8Kw8JjTRIoultBcJuc8ndr9NeR
wv4T1XpEnIibVi0RjZsiHPJPpZxnX4zpwWl9PhqrsZ4Z1Jp1GRr5ISZN5cli3RYF7mPi1E923EA+
D00NOgAyHgAx1Nt1gv1GSVr4vOc2vXhQQ+IhGeFX0EQkVHWaRBcee6iXBPZrz4OzrSKWQ3m8F+b4
0Fa5dV02TdNZV62p63VrBMUW69C/d7i02ugJzCeOdr0LPWa5y8l/H7vcsgSF1NQieOv/e2gMAwLh
ellhsnQssDZIxv950uW5vM68CRcg6/Lg//gv+fWbp8R3N1JEv5Oy7LdMGLYRYbVfQCWylYlA40MF
EG8ldP/Z2OmvB7O3nzE4JlsjtotHszPVrp106isRIEHwmrMsS74iiR/Our4iAAg/z+i994nnM94V
1HRGfRWW9PrwSdzQAzH5MOLmIeZnoGw9Pgm7wBqd58WPooSw7aBBPJsipYAFvlLmO8OJp5dRz6nO
qN45iVo/i1wPHupeN+80aXWEso12WnZrNwg2OCDj/bIrXI00uwZXG9qB4aDPgs8I8+jFbYrf9Of7
O1V489kp9lX8PGZ+foegkd9rN/vjS627LIekpastTtd85znRkyAWonBlQYmv+wOj+diS2LjORZSv
avWLmB5aavXsK0hKEq9Vr2+0Vj1K0Xsn/MNrC6bJkwYAIidDaAusMV+5QhaP6ZWMmHLjB8mwN7XM
f4ojUDCi1OYQXyxSMYBbcCnfUY8NIUvrbl91TM66Zt9HtPuF+dkbTcU6nZ9Nr+xbXqtd7hFco4N/
WUVFvYcVC7bn6Ev3y8cuuHK96M0LmVMSGY2cMaQ9jVZS1MWen57zAzPyOm78g2XG7UMeqf51BhK1
Hk1M9P3xPvemw9RmhG1WvbkR/0PUeSw3jmxB9IsQAVcwWxL0RiTlurVBtNQaeBS8+/p3AM2L2XBE
aVqGpnBN5skC80DVU/r7FL3vpaveTGVOpNCRoctLbmYPNkVPWVvthqmkb+72cVt6MQ4lmUzHRgvf
rdr/0DQqIE0qBynBg9b9FfwDyTBomMekXlV4Q4Byb3H13uIKuq9Q74T0vJauvFXBY2J4WhOTtZ5S
ghvtCFCmrJ+cIL3r+rHl7Qzw/B8wfQeevs+WAjmrjGolXc6S2qIzrPc5E6C0NzA33LDtbtVCOaYV
JKnpoeUTxJfiYPsenmEg+gPus5HleOKjlAq7O8oR6gFG9Q1P4qSflQeKVxR7eE+SbLJWdZ+ejZHW
QL1EGRQl6RT7WLf+lABsCeZ7ln0BDtrGdOF0FtmT+RauyBVA3K1kIumm00fQwIv5yvqCbkH8FsbD
GvK9FemI3KXFW06jsdLW5oCOyG5IOLGqVda5X+p0Qa5+KFP9FanxexsBMMDcspUZ4rk2/R0I86Z1
w5H19pvJgTk3J4h8zlE07+3KLfmemxJbraPUN9ijVg2D2330zSpo83Oh2HfLdm+2rhyYpcwJeswn
BQxr99AVo2SOPLCFs5onfB7OUNxzsuLcfniOTEYU6og3z6eUL7GzK7eeo99Ud8yl8UbaE86F9NhH
xWtPzeVX/uYENO2b+J0jb/IjvLYN8XpPasyWKiQEFucTi+oo+yUpnBFXPXdpScnV0ek7GpeaXj04
CaOAWhEfpclqwSRbEa0YqPmSywvryln6HDIus0v1zc5ZGTfzMHB+vJgC1auUt9VKquZfDM/AEv7k
WY7uJUf0ZnH6sFjeKDkNwtCgyKfM7RvCMNKo/jOq7iHToo2gAgRB5JGGQujzYKHWorKJORMTqz4W
WG0z+vYgBdDlUg67+q0n3VEAaSDSCMpxgvsk8I/ORz9YB5YAijU9Jjf7rM3hDcjaARXcOiHbZhjN
C4bFTcEKPGhZfYlpfjI9V7Q75LvbaLTYTJjsfSoPGNo+G3Ew9yq5PMNdtZmu9yEjEwMbd/vCRYTE
bZ8smA82tNO6VulaI12DODLtnS7+xAK4SUyIXjVftQuBYIXBK5YnjvPJk6G1qdr0ibc5nE4OrpR1
WgSHM48vqRrB3hzRghC53TpPVeD+6gZy5iLa11ze9q26EkZ1GIzu3JbmQdOUvdTjs+1c6J4Oom/k
2k7QAo3Nn9zKjJOm/y2UD4FScF9onI1Vp3m6rkA++Wp07bN0EnonvJVTukUh+hCiJkRyxHTZdSfX
Sn+zrUBkaQQI98PLYKkv1NlbEJQ7AOMxHTKK/0gZfk8t3i4drRFD418Ij+D2dfkncvRDYfGmLSu0
lza7cQNBNBn0s9AQE+jKFm+2jlIjCHNeBdNL68hPlGEaHhWyAHjqm9+jGI8VljDpypP4wka0DYr+
qnFhwvmVpSFOCt6Xg9KgPDrLfGCloHhmIwk3SfpfYzmhCZU7A0YQPpqbKECA0+khOYl3EOQALaIf
yKZjEGyzfrpavhlhJUt4IsJj3oizWuJGsAMuEmAPIkCE3fAiXP4bsK3sna9wCt+NIL5OLpPX4Z+c
SgnM/rqp3pFVtKc8CL51398mQ0J6gBYQKzVcBXxyyCP5YKGN4PXWMNroSkBRSGlM2ldH0TDyZ5vp
WnSowi1UEsiDzzkIxB6gFK7ABgt14Jy0rv9Dy4LQRGvghvnSa8L4Zkrl2BtkkDtyP19t1MT/pSmN
52RYY2z1bTRxHNlM7qyULAeuLTtowtdAT7DBKdWvriadwX5BrnVXB83dlsZT0olPo+GV1wFLgFG9
KsIE30f1W6b+PbYoIRBxbIwabLqL6H/S0TGZWf0BCOZaoIjD159udDzSClc7oLkrBgeHnBTvyfhj
+uKv1VfYKWv7IRm4aAPKO9hQv/R0GOHEQVPMGwZXprgNZv8bMQDTQkZnoV4/RlP7JfIzTbCzwtId
4D7J9sbEq6ljKBKx7LZlcjUtcUMYsZF5f0K4hn29AaHCpFeXDAZhvXzGO9gKu4rKlrqq+FCc5Ncd
8BdxtIpG24X80O5U06tNLlyOk/5J8HcyK7tiT32r8vyfyY9uDrEWK5oMKgHDejUrbM55q63K2qxW
NjyHPLpGKlvDjj6xku6mGgZtD5/HG93Y3onU2dGm+J7b6FedrMbBFwmzxuQ7D+tX1Qbtb4RMaiio
cNJc1ciIcFJMO8tS/6hFAF9Y36A2XEfYZQTFeMC2wk9WlqJ7AfVn81tAyBIoFI2eQUqCNBrCwtiV
G01Lt13frTEkGATnAAXcKqO6qYdwV0f1to1ZtmKMSuxgE0fJFumwmW4Tvm3MN5pAJxtV6IV1umn1
ZJtU8SERvpeZjMTHdR2i5tdYhhM1XLN2T4TNxgPQcp2hAm+QsuQ7ptXJBIbH5AJbFx7qv03Yax4W
3p1h1tsybfatbWzqLuOZIjJQ36F13WrS34X2Z07vFKGBtpBFD7I/6Ll6boxpG0av/OxzAuSdhc9W
VUbwsMGdk/E4wrgcQbUGvbXzNWMHhYUTU9/W/bgdHMS2kb0tYrklMnpTEF+sczmrHc+Q4yaRw4HE
pH2Kc7djjJHF2r3lp2uGuQ3RB+Bk89LZvV4p+1og36lfcma5I5cPH206Q+FDkHSs+RnuNGQWcgWX
hr3pExreIdqzS9io0kQwGm2C4tqxBfH7+NCo0PQn7eDPgwa8AwHuDdq8bUq+HnID9BYqGnCeQNaN
Ad+BmF+NMOXc6reRHh0KgDq9VSAR63aa3XhmPG6VyFrnsETCnOQpXuAjg6iKqYFdPhGZvBtKIt9s
dYO9aTuivRD0ymBzvbq2GQqD9S+szVANe/AZ20pHUCGdndRNopidDRDNQkxzluPGJCQ6ZsRix9co
qzcToBSpW6iM7b3SgnGOdf6LMZmklxyJFONpDM3TxlRpwFLiwoKIWj3adHWP3kN9diCyzl+XtuI9
lAgcZ77GmnNIFQzP6egVSnpJfPtAAwckGcy1mF6C1put3JpxUhtjP5twZ9VU582/jx3Ge5aKexO5
X9iau6SQBxOoSdIgzJ/EPiCXnQb92NkpQYQRyKd1buj7hkgZ2Uk6hvoUmNk56cyTLKJ9gHOFxLYv
SW+l8eIN1XHXCrGz0sGjZpxTrUfSwmpnkyiqFwXhtWZWC93hoMTq3iHDplQOWWd7qvhKktFLinIr
FHFMSHQcIufA+9fr1X2tVMc5UzDh0XEGyjpnlRh/h1nTkrbbnKpT9paXYNQFSPxey/qMuzkoPwZy
mHKeN0PVNtmkbJCg45hSiJ4UPKdutZsNG8zIJwEhEoSngqsW8cNyg4tyr8iURVeHbnZOYo7BDB4K
ui5yk8Ngx47rg72HCW+iUDeQYuyLZUpCCtihXhokeQ5SJ5BYPmLi2L5UYnz0dfebpREOm5mduISq
LTeVJrYLhKNRpvCc4hSps6T41ff7qmXKn6L2XzKFGjY1p0mg82iL1CZ2i6ywEEcV/oCc0apWKvS6
I3ByLGqryK+0Y2UQhTDkJz37g24PU5kkM6kb/eQo0ukTc+H4wbBeeXJCV3qaCgSBfHb8JswADlmo
0Og0/acEihEHA2h59xraNL3xfDPq/FV4TbC+uqTgkcJWct676lkFMHA2u+C97AvjVTDWRqjseJoe
xGROtv/GPiyZQctdEynjXCh+NbVCCMQM/E218UWYU8XaKlXzrdVcWIUS/Lk8CnlR8RQMpCZRMP7N
WHCcg8FKeA25EbonjjUMDdnZjEL1SE6Xy+WiZSKThTuKzWELpnL0FiwNAQ7hngNqY5TmcMtzcjpA
OlCAyyhfc/qQMqdBL1iCfmw4JYz2rRHNGqihdUTGyPzHLthtBvzr2k69H6pPHaoJWlU/2dGCPxUK
/Q1uhHaHGdHkqGCJ7zOy//leqU6QT+aWa1p8jAfN4FM7cIPjGB12xzKeozoFZANeloxLhSjF/9/k
fTtiKU6H5D3taeJlky3m7OQ5yGDIjO2+CeBpm0aXzhe7mmU1sC9P8VtnnSohxcocYNQ30Jtzlav+
zy80dpTiYXP0tfE7zApxjTFedg7WpnlmEx4aE+DyHM++xDguHy03TdlgwbHqAR4EQLdV3xGRrqbV
QXer9unngRkq51vYr05L7u1oKjGVDDfmna6+u+hpsIdG4p+Wm2Es/VNuR3+GiLylRpvpR9H8Vf2q
Msy7CgvxyXLTmBwT7F6Oy71yFjAVuXU18Zzul+CchRxToOuEuR38aVK9NLz7D/kiHLXfpWtLrtdR
eNEmVWEZlpj0Tvykavmh//1KP/edVk3ghA7BdvnK8jsR9HIH6xYxz2DNc+tGqo6gqB3or814xVD7
3Tl2tR97Y96UqqjlQQCikHRVZWMhR7wu+LCyTB/VEHaH5Z4VmF9hWfY4+poBw6BRetXMxOpM87Xi
wdlH0eieO6v8m+ljvlvuLTdCIwbcWz7EUl56qqzWrTNiDYgL4x0yJjH0g75zRNDdTf3eV4N+dQWr
VmBE3RmVPg2FXpQ4LQOyyBjjL5/ndz+oPlbBgbG1NsbjU9hVSFDRty+P7/JI89qki9URIuJuwMZr
6dV29Mnuxu9uoiCab3ozYEfRxAKlFzIYXMN+44WlbpATjGthuSl7rAo66lIviwlu1TSDM8AvmYVn
UxN7FoAXmFeVoJypo4dMgpckD1+UJtwSJaTvO2bhO+S3+C+LmekzHz5VgvjK7pjDqarCG1UZSL3i
e6PQ6Q6+27H4cYc9I4botco4g020Tz8xQYmYKqw7jIdaHpwbW9F4a0L+IjKCPz7y0dI78Wc0P9OT
FpFBzRl7xbC9K6SWPfIJ0UDRBQruBnKXDZ/MQ6clmmye5epDbF7Y3hgXUx3+zg585mb9S9hgRLUo
1fdtD0eg0m0Gy8Xyqny1Ul/fsiBihA/PbqyNflcord+QyMuBgY/KOcrwzQ9NB+F7/ID0eWy1aTxG
8E+52OYZ+vnYPfpd8hTRsBORgOHXmG/6MqDNjkt9WgkSJz3Sb7GczpWNq+awCiSu72HihxhJiE09
irSfnNY+M9n2IyaqjfCkz2AbJ18jywmHnea2NG92sUZSZ59+CFmWnhIDXLX0HFXOXE3t/Ze6tRpM
vOOAmDiC/TZHWLVjZ+2bKHt3ESirMw/P0FnDdmacvhmhc2XCVFlTdMEmXV5yXuSXGtvVKWmQptRS
lRdmLoZnMlBdZW5xLkNweYSCqbtZR3cu2m0SNTqjFSSndshb1TSqhhmRPoQb/AYu9oo04ylH/ne0
SsWZe/zyq/ZaA/2DvTCAnATBv1OZ/5Qj+BRSbOOnuAlAT1WT/ZS2A396xsO2U3MzPxV14b62zoz8
J8fcpkUKDLL6dNtQ9w0CSK93gUW5AiBy1aUGWlPL2ama1qzzAa9q3BBlg3fjxsMVM3tDGawktwjC
4RTUT65Z3wNVtEckW3CWExO93Hw35xJ90RmR2VRAanEb+8E+zL8xSOtwrELEaPAP9NJkLmnEz1xu
UNvVjSLZOdX2zvGkLu1DmyBpWyKQjTkMOaM2QxHt4HVPm+CYQOXpQV2coFl6Bu3RPNniVZI6fxxb
fo+1W++W56NNU7nv4GUx2ozDA4jFdh/XPAU68pbaR5m8PIuhVrGEmYdTY/yp9Q11/PztghgYolGE
3YVXY7OqTFkcdRW3B4KH9PzzZBFikx8hApPj5ffboU+OQeL4B7Ek1hIU321GoBAra5h311OJ3BmT
72n5qHYb1oIsHHW961dqrSjqqkqy8igb47ikVC03xbymC7Lo3WznV7YbwQ7vmmeJxAznfs4AtHSs
e5T5xkpkbbPPEX757GVg/OXjwVbZIi7lipm6uDFZaaQUg+uF6al1mslKddzZqR2jLZPhs1ZaCYZJ
IJWFbX3HuBSxtIHTEmwQ5xqht3znaPYBmLDx4Rfa+zhU8ZNakLbujOT1BYYrmOGOZJoH3X4BXjnS
1j5U5qBXEopKomHtcAtT+jxUZXJsWx11lU0yKZZeFIyODvsn9KNHY1JXsqNAv427bkr2hD8ifs1u
y80SrTxLFubXqKtHX6mmoSUwunaH9XO8lil5l8sh/HOgqkRKrLUUvchyng7A+hS9R1bXV+PP67kX
brYDcI3nW+/JlpjrFOCE30qDY0qpVePizjcIEPOz3SndrSc8dbccDT8ctsJCWIbaxLiNWcSfI+GG
lLo0b8vnsmzUDwlg+MIpbwv2ACBvB8toPgaVQnQXzdqrdZVctUqQ3xVhWSLyzXq4pg2kIBL5sYoH
6+H7iAM4425kpjBocsp0r6WZfg2wTuGndY33YGxDttu/St4czx0gicxNqm2aIvUX7Hs2bQycI2HK
6k3I+HbamPweTNkeluCuhL30nmSQ0f1EExY8q3kf3a1YIj8k2w7SWLBqM+DQq0AJ9QugQOs09mhM
ZkqD3TOiRDxAGkCsuJflcy6QwcsQp8ZehuJlKd9CYL804xTWgAr2MccImZLjdXnaqihFi24xFqSt
l9UxS2r/ahmGfcWuN7NSQ0f/lTmqsV9KmABEj+rHpK4yonpSKSu3Zlwhzja7PtwIKOVYwFlQdDmj
8n8/WTHh0ckGSQCALCeXmD9TKYJLEMaOu2Yo9YMMEcKXQqRZrASRrqSSTKCl8p5Tbwbf0U629bIc
QctNG1nueihZgEUjGWNriAmHxtLtY6Vo4VNSVwzjbAYpdlYhHcGz+VKJLxw9zaabZnXGHNQL0U+9
dEmyFhE1NsTYZGVMQL3FbIw6LD9m+QoQ7Aw547HVsWWtSuh4XGhL/6hFrN6GglBgV1GfVbDkJz2K
zZvdaN9hxAph35tz3iUtxg0NMQ794bLw2ShtwDE6fr0Tjf4gC8/fmSOC+iXiGE5Te6DVsByvz2KV
/aE0D8yF7kvxEQmsVJ3opk1YimOAL+4jkQpQdLvP7xkDj+00EqOpTr6gtjPYSszHV9P31TZAG4Tn
r2yRLcHnmUaEPI4bwNtP0tLLKIAYPZXpWzvgHC4Lad90gdZMH9yc62RrATuBx+L4HkzaEGaL+IzG
UF4bVgsHbKJPCIGj63I8mEX4tTx5YcXotwnNYEsh6pIW+6tKJItPi2K4SZsTW/k3YDZ0EEF5E7pi
3nSSjSZAKjPLdGQkL9Ildnz+hXM91U4lwBAQgczhrD5nytW9LZQ9O9ZOo96neLii6pSr/osxP9rA
fdfkTl2tKNBu1lR8BnSbZ0t1060RotzlxQExZ76uLTeyIfWyqePoJyQ3iYw7YU3tzlwax7Lb6lK7
2TFO2p/nZ6gQSGdWdSe2RN0KLYT1Osc6hBFAPL1BO5rbZnDpuIpQladvssUx1JfTRD5191ZZfvwC
Tpn/XSXZpMdGkJP8h5tEuQfhVzj/qqS6Z8cwLk44INSrOaWKp4Waf0FlCRaSzAjCN8TzYEucVVpw
kV0ds+4QzluQ9HcULNMjjIWXBUSrcGi0Un1emmByyR2mPJm6FgUaRdRG44elaimDuSg/AY9fE52Q
eLbZp2+BSSq4fKO61X4bGKgwqbApU6q9ayWCWb5TnQerelUNV14nwIt7HGHvRpm9G5HrtTMxUkGA
uYrjCfp1wE69RgNwXi60Tqlx9TTqezSfbcsBhxuDVAOmCWsCQ7VLkLv6fugHht6KnnoZpTBIz2xL
+ua+1ngX2EkTemjIj1zyRI9RpPuY0CHsdY1kHPCuKP18ifGIe3lbhUcD620Kg+DqxA2jMmHfBrex
ucT5WPilr35moYn7o8/OddOYz81Llw6EoGZlfrOLeJ00kGr056ENJOi/Ul460jN//mGd2XBd52Mx
s0KADjpPRRlO6tUvbQSETodGD/KDF+jKb0XtoJYEv0JV4wnX8OVk4HgIaoz8g1X42iF0rJy/NvTh
enGj5Wzl8jENCtACNqp9P3nOciEeqGesRy0zsE4D2Ih8vn6haD36DhH0MHa+ZBlFr46bOLciNveI
oqPXWOvnqo4SjYsgu71QvIHnnJfl4vdyL3cKAxqoUxN5wBeFRgpWWTBrc80c9wuio6DEwfTfSati
hMeoTIzJVDqeW02fLWiv1PhOw/YhW1RHQ/Flzvxr6g4YOixTzt0EvYbWFWsYZu59MQI2Zk7HHJ+q
ORyxkS2BwhPrIBeKekk8K9LCNvZYFrfbQITKw+XdutQ7TVB9uKNrPGrAGBuXHdtmuZvqeQ33lC0f
QCd3F7nZOyl+tzIrxwvvC/EyTO5nPCbVpU2KcDNCnt5ZlcOTh5PiNKIW3psNGSh+FxhH0Y0vSEoy
ttZ0RnhfZ4xQxAI8SM91NNQbK8ixy0yd3FXdazWkxRl8wQmeTLVL5nHQKL44Erj2pDieskBJr9Ec
+DQo3bUii0YQwbDn6s3STzB8F1H44sciuyep8Uv0hY+S1w4OqmKP707I3slh6+zrY7UW8zjSNxv9
zIwM3KrS7c3Y0FeTP6KGEyP/iOw8nSQVbY9OP9z1fZeSoV1/8ws7dwyU2a4ME7mJBJLX5QAPbF39
ZENrw6W2oEMzFUYKrILuTvWsPHA4M2Qcs+Q8YRPaGXGDWrku5pwEXW515m/7TFck8+m6Ri2CahYg
cHTkMCwBRWTRkVJoYGTwFIs4ozvDltqi2LGqyHhHb4wbdS4UOycCoV+jA2bt8i2Lbp/WTXebkgyg
ccs+hbbKXldKWh70PmazkxrXNgxPxkSNvbwuNAss8ZJgDeR2U02CzFPG2Qidw0cQfsdWrO+k6uc7
nQcP/x54GgjV0TrTxT+1HOWpmPJqP/mkL+n5+GY2RnrPwcRsNeg84HfM0xAQ55EzADYDncuDD06y
9TPULYZ5Nwo7QQ8F3S4yzD8UFtWZ6LX6vHykWDHRvJWqr+2Ql02cYmx0Z1s5olv80OoT/3bS6PpC
H/RtWEzT1WzOpvIOZW/jTIV+WQphy+6w4DGh1eemzZjbUWdIYkjAzINUO59ea53y7OfoMAUPagB9
jt1J8O4wRSCUSWeXlqnfy8DSqst9i7+XeXLJvrEhXaanwml6hC6+xVNSC2XXD3Ahqn6KvSICBDTE
CjGtqVE7Ryw8beqW70BbjSN8rpvRADdfwN/9DAnPNL1C1T44hHzg8nSQEF17QOqbTs38dS5q0DSy
7TdaE7brnr6m3vY6eV9LV2FIW26nVsQoKfv4pLR5TLvNZpHJKEphjt0hIe2Y98h3O7pfCwneqIGM
ZSqF5GSTxe6/SceEi6/a8a7ChhaB+t6orkYa9ziEJ4Qm/96QdBKxVQk+85z8VR3a2y3Hr4IXoUtg
R1IfRBkz7JyFkSdKVLZLbUwTw7yhAIUPi36f9LgYXa2GiRZ3XOGa9BGFFuhgEPvL9XbIqr9I9TtC
wjQ00rXp79oAwruoWrTVFeyCmPjideZT0Hm9IkMOVums9dyonlLQICwyrmniuGcEqFzn9CKO640j
US4Q4FFTwXBgV7Xs9kE7nBtFnFkhUHYb3SMo7ZcK0Th8POfcLQGRtMcCOae1N8uvxLSBZLoSTyin
poYcnqS/IaOXVS0Bh6DTB5Ae97Af2NNV3Z3a732ZGVj4bvdm3z07iIF6nt2bUTj9I9GV3UT2xxtF
/JzA1dOzui0I0vkGoyx5q5qF5dYxdmYaay+C6dTRnMu3Kpd7y3Tlppwwb2h69EzsT3koG1yo2JSa
n/cArx7OdtWw1st3NBKTKJtR//4ZF+iD/JVGHXX0kA+AfSdSqjg2wdVa/VtehreCxe5RlwksSMq8
jR+rbDKKCG/hJE+pnf7p7BlwWWbzJrP1D5GogWbp1SNumugWVJif5ha0SBn6NUwYVkpfwaZ1sAOX
isIW1aIR95UgOjJv0O5ao/K5orq4FjZmWHPrpdDrpNMcLCj/1VCJZ7y9KDYjYzW0+RzsVn+6OfkB
FfaLulP7dQy4ggVq0V9qw2E8ZJtiD62TdQOptuxG/A8glp8hlY+msSJxA/lOs/mdcqldjdNkHMdo
MK5BbNzMJqqPiRY7m9KkM4Dxhjh3Lnensj0zKjZeS1+xrnF6R3HcrrImVW7pxLymUhDiagVWnrwg
uUhvB+VqJYHnWOK1WfIbSex91jI98UK7i34lNk02wEDn6DQ4fUcQoKFdyPXPMCnM0IILh2GVXimE
/kgXYnMaBwfXZZ8ddu3s4sCVMfXaF8vV7EVTFHlpA+HsgjLvD8TEb5pkSuHPhPkNKA5SkQjXdKPh
mja5rvqo9hxNfuh5Fj1+fiZCvI0qXTio8H1PIayJJ+rv5HVGJeoyvyyVspak4CIHQhm71IsGxAuK
ipVz6W5kXjUbxVAdtjfMMu1IQY1HW+Ytd+vWfEra5K+VAep0bMW6NFPd3JFS/uMeSk/pGkmFnTZv
+kL+hlCEvcF8BywNCmH+ABQ0gRPTuUkM5aJJw52QR7AWakIL8hwdY/Bpz2uF5e0QZGUKf2EezBky
x2aRuPZrnqkf2GGtv+hfoEQJ58Uea7FFNjlef7rJmHl2BQYbpqTdr36SPVswuO9TTuDkBLLikaXD
oQ2ozoTf/1penVqYsGXKnWG3nNlJU1eUtmPxcxfuKHPKAjy2HPiDCgw7PDovRuxvzBaTeuL073zP
+BgzL9n6nJfHMIr/kE3RrAm70Lbh3JsT3eo+Ufg3K+EKuYO3OdVX04zoqUlHcPPwUtGTPpVGxATN
Gv7GhS5OSEPD58QteuJ0YNgqyiNqw+oLdthD6frqa+SDPo6qdR0BOMmLAMpHgM9csZqta01MLYZp
ZYjGeGVxi17OUvmc0gyAm3pPa+nLkGQt4wrR0PlN+O7XTj9pJ81kPrF8xENIakuUf5acAkxAUIT8
tzPuk7zAggUBSC3F4I0iw/JfkYsRBgvaL7yNQpGsWkDKVwlKrDzBITuP4JbpWzygylnV5jRge8k6
zOTEpRDrae0VMK+nsVFzMPeC4fPI5Fwq5jPxt9mmwo6KyFUpGXj1jyXXtBAlaZSIyvfxWGCxJNPO
XyW2cTL9IduP2AUgqbObtWjfl7dmUVT5rFVx8dGJ7gwzCh4Zl+D+XEAG1yzrVBs61jVVI2n3/6+u
ZVEy1RRxhROBipQ+h5OZ8jKHNb7GBxZ5UVG0zSqKh+/e4uRZumdqRWdFb1Xu2kTLtyoWHy90nwFq
GV/RC4Il8dfBLBWRYiD02No5iTCfLfgeJ71o4EbPHTEUYrlFRe7iccPMjV0DqeqygwPHdNDi4hvr
Z/WiqtqaXZJzX+5xuZmANgDHW+5ONWM9AFbqBhFcB3yb4Q8wovqOdUTshcVY+ie+G/KqBRGmNQBS
WYSF/P/atnzEjh07wHIgDirkr3kytXROVJTNue2Ln08tn08QUa2btiOPwVLs0383VlKgkK/Ld8rq
kD+Ye8sXW/WPmH4vhYuaB+DRXSXGKWT6x6VDxR8dnSqUoEurChIPjyx1uqdDYT7nPhlqSZfkz4Xs
GMbzQjAPhP1162Xl9d9NlNReGgL+Fyr1GhTeVavq0a+iBHlQq5jSicw0n4ZaF/gXoi+8ftqeWhtU
lGHs/Mbp/K2CwZDOZH6ugTaHsD1CfRNa6lMCzvFd7Z36AEDRQ649opt2oF01Q3WLw6F56qLbf59Z
Pj31WKXkwIWRyX7nGRF7tEqj5WAjgqjZEObe6lt1axauuXfRZnmJaEBE2AgCDHw8HpwfKI8yhijX
9lr2pN3Zpdb8LpTb1fxRZZfZk/Wc5KZ9yZEE9kA1vBzjMYoXlMcMycxLqAC3iS1r+pAW9XEgav9o
KKRzLZeGRSFB3kzCJSHNSuY3dlPuNTrvvRvZ1R2HdL4dsiD2eKkhYomDZjelDnORNqBuCH2wSvPL
upKh6VmhZWyZEorn2uQ1U5rBp/u6vFVMoki0LYd4gE69C69Knsm7I4q1FBDRlytm47DhlTZ4OWJG
8GX28UXp3eauKbJ8S2eAB3OwoWYSYApDPBeCaR6QHiBflipYxMuhYH3YOWc9yRxgjGTy/Hc3KqDH
EhegrWEvEaqzvMUbsmoOyzS/5K8+wpC6gjKrznU8FGdE/lMf7wj75LciHobhSc+THoapxjy1rZ+W
xs12h+6PLVVK+ca9DkaLM3w+bNr58Gkt1LBdXbA+8y2Qq6WFV1VImxWmiB94uCCIEp263LNKH5xn
cFqOqnr5FvNNyggQLxucyeULZM0CQWD7+D0YHE/MFhqvkXnMtwVm6+WYIjm1OyIFHB/Du8ixjznN
m6O3c6Y9tq1KGg+YwAyC4gk9eOUnm6EGEmtN7TkRDH1Sm+3cxNSK0oKFpdbR5td1G18lu0vcnXiD
YQNRdgGaCJ90P6PlC2so2Og+/xuDp9H0Wza/S5NHcMk8VcfiA5XScEpj0Vz81mcMlyAlYzhAtlal
zqHxzVsQMkoKums8yOxF1VWEEBGkcro9uP9Ce4oiNX6UKEXcbLy38ZjuCX9i/R3pqNpouy7SruOj
Fljlxg1q/cnUu/ewj3G8ZF1xabPk2bKNCQ3gI54XOcwRy6f8CXG0y5/MDACF9+lHMzWXSRLu9Xki
81VHzCUaMp9IkuWxFUb5x8bxXoW6xXSWPPMhRh5v6DVO80K+zuNEaQfDC+vBbj3W2icKEfQiy0E1
IBEaEK2TnMJ7N7yU7TP1FazGyTzEnf9NnGH002H6hOkAsUOVH3BxWRRfAXnKM2HHvExNB/gtYZ2g
jA4mMvRPuYV8wWniaGdOZcCvYj7/W3CxN8vqGdEx/29cbpttXrE9B8E5XH4O/Fyzk/sQT8VBJzJx
5acyPZj/4+q8ltxGsi36RYiAT+CV3pZXuReEpJLgvcfX35VJzdSNeWGQbHV3qUgkjtl7bckwUDPr
CpM18YFpvFbvmfKvPC+sPUfD8XZqgq/lGMoibaaGrg0G+hyxTefq+6Tpb2F0qvGk1s+xTVUEp+qI
40b0/k9GyFACHAvEDgHavTbzX1mpQcjvGXYF6ERVQPGyELJc53G3tWXXtLSReVbPsqxf2FYRl1mz
XbkMjC1iqzt0xKaTJuDExmFAGl1k1X0g9zNqxsKf9NjCJ4RSQQMN2JWb6V1eVs/qe2cCZl+F4div
Mhn9RWN54EoY6bB4FUQ90R4VEFQlAgkDr9yn8fKqi6a8060Wd09ZVYjJ0wwcWcpCw2BtkYCBXQVK
zyKwY6pnlYVfOLD8PckhLu7Syj54hU7VODh3ZS2WJzQJ28qcr5CN4zWclOqtwd+/C+wcsXyQA04Q
xUwgH3IN9RC7hgHdbrE23+9FOJGFPW/UliI96oIjVl/gyRuBnpzhGOebdtGYcARNQhAbuY3qH6iX
fsCQhJpIKfh8yMWcA3g4BueEoxP2kHzwWCXdnqmXrpV/gFDw99/vB5GbrpNFy/Zzh4kdxzL56S7A
h47bkA1Q6gz3mS6AdIIrGajVenbSTwIouzt1ZclXDoF5Z2GRpC5lULNUYrmVz4mvAbDVpiiFC48A
DDtUeIAG+dLNThFtggjB8oI7JR7Q5bssyi6saQgOlkFLLREzawMUIV4YeQYO5viDS6o6hCxRkV7y
f9yP2Ox3SnhIWqoJ2VgY9bYu7OZxMk5tENtr9Z8KUrbPYZsiQBThvZiIGOHzjOesf8UUUJ29wjuo
7kN4z3YyVMTvkbfbBdbZEVn44HZ9dEHybK+qyh6gCQUJ/jUCyyoL4UHb9DBq0vRrSEAoA7hxYMDC
eJZrkDjEogK8Yzz2jNXPlYH/NYJtvpqdejxAyyyYQPJQlL5xGhin5970pI4RQDRPCZrnGF7n1asD
Nn+hlUJuiMtwJ3S9IKDUi4kQMlGzVnQvHVO17iVO/Zg8WorWcAajkPjGegrq6kPz8cFUfC9mFKnX
yhr2YVR5YJyvodn4LyoXyk71v33gNxQwBUEVzYBY2y66Q+La6d4xY++pE6OdXhebUnaaqupq2loF
5sIQn1MVvkF9vldfYq3z75EMpatpvAZROr97RWEekwUT6BgK/YOf6hX9zlcTezjc/RCBIt+N74cs
cUf8FzbRahGD5D6e3+c4+6M+SrcumatmdnvQ48C91xw9g/lXeyfQ386awcF8ZgeDG3EDgqJ8LMpG
cogMvJRjTxQadQ2RHfUvYrOLn8P4wnTQ+IVJnuY5dVNmRMly5+QREFrasTuyVYKDurZ0C+uA15KE
pV46snKHLPY4ByYQGRJRVrYxRvdTTgLnaiBF5pxxy661RuwjWOIrCFncMbPqSz5pQUw8cJrEK9Gn
9aElJ3dNtpCMDyZ6r4zjY6uH2h/vt2cn6F1G7Y98z0F5s3JtJ35Gy3xIuUc82oA0ZWasjDUgpSFo
uADVR9lbxDQktv2XCq8A1/InBBO0Kh6CiNn4OosnShLQBpvSjX5PInc+gqLgHgciAHLGsL/Fh7VO
fl+7Bu7ljt+0V/Xsj7x0F9cpPBgLR5URPS7LyDcTnDGGKG28moGUIIUjLEE2NSd0fDFQj4mBTR6h
pNdK55SMoj9Vfo17CbCMb/JD1k5CUG1dvwZmh0gBLym7kPTact3dO1UQsBa3/nAu9Ie4FFi85Bow
Mw2BJTzicrKTI52Ud4eZTt84Wlo8DbgYe6k3UDdXNdeoIBhtDfBDfPxac1zs8VEj86e/dTMQneos
0T8D09LuW82614zU35pew06Oziwr5+Fnlc+FyTykK36OuSMzf3SnfOJ8MG9VuAAacTFchwy54Cus
ktcQZ8opspgRUoJ1j8gQC3nxLz/JSCpWuc3qLY6DvxEm5udgkjsKl1uykvHQVyiB9IIP7qprExa8
luyzGbUfI2/rrfT8eTu6sOpUwjH1Mh4Q7j62U65JlnBfAqbeD7d2yR6S+cFjzxwigZrtFXxSd7+E
rGa9yLK2ZIJxCJUBgqMSxmJHXjtCVFZImmH6hM2vE5/WquYMW43eML8NXVjtIa3ije8mc61uQySq
Juzy//OgblICGZketVetZkSr9dG4MzTYYSvTC/3z7QiHMRTfhMHwhPHNzWD00zq8zlNMVlxIsowa
VwAQQzRuYSWRwwu1NUMM+umnlbO/qYzdvDz6GhBgIwLLwgYw3btxHKFZsL+Gue9OOQmnKx8wXsU6
hrwRO3Z2JG3TxoPzfIA7hNWURdnd7esMwiDeLynKpiLxnNdmRGsn9Gg+qKYn59RflT027YIUjZI0
2lccGOk6ikk8TjVycpDgkhBELpYhK466A+bmovaWmbd0pFCcNkWdGOvEa/sjbYO78j0dYnbhY+kM
H29tAj8S+XpM/B/Qt4QP0U91siZNWp0YqCBARGHyMC5RsMkgaRHbs4gT8jUOPg2lgDvgR2uUoqvO
gTsv5LqudJ+RvXCd9gkfqXcfkLhhoZkaZEwoa9CFdNuKHYEHYASGUmL9IAXhIaLbhR8hSDbJR4mf
EqDjkHgxcVIfB0Zne18SUnKTgg/1sNX0sts1S6s/JfKvy147b9AnswdNxcWsN7WH8xR7xtnp6vRC
lPQRYGtwcAzrd7dENZa8CW83E4Dhokf0aE9elD5UsdEQNhFhiiUpx6pK75LMfXYN4k6nB0+rz5jE
jMwryCKNxk/115RG/nsSdHZpV8/r22fLOsSuFmTW0cAoWM53u5ne26tIqwhi793v7Pw90YuDsMmL
qoNe39x+Qzf1t+1n4Mc8DaOi3SPz05hFTUqXYxbNWi2TTLlRUs/+56Xf8ZMTWPoJIBLUj+ck2CpM
q9iqHV4WkZ8kbKZV3wppTYbkkjV5DIexvk60jeT5mTXwDk/ja8BnqsWRc2+6xDrLgt9NiSMb/Bmr
SxFU2xzoxsYxcF8L+VAl/Vtb19jDLcKt8SsUJ5Y0a8aI+ATwcdxKtP+5IU8VoIpt3+nNThhZvx+K
2DnefiO3u8TUUkvI3yO1wmPvNNkZL/pV06b0JZzjJ2DX89s4Vr9ztsF+NDyXciVRj4F05xI2Y2PB
U/IgsOriIVjwL0OqIS1YSoZCOwgxkmYfSuDx7f5gi53ua+LYiqRvbtXiIh1ao+UiHLIelKRYR34C
vwcTzuhn/bpaHBut8ZNqgBO/PggHdgbsifsUzP293Tn+uigFXQOsUzNIkgv5e8Qix1VJHA3AhtbG
oqLKPsMisRbgPcAo5Y3RTAzJldf8MtO6BIPas5mz/XZTLulCMdYLvl6ah7KiOY5Llu8HBweX8MAQ
ZyYyY7mAMl0Epq5F9ZqUlobrDYgOaGLCwUr7CUpydzf3zAZaareCiLgkzTEK6ymQXemjuY3qq9Db
OvpA/UZo32V2WjIjqp9aFeRPga07l1GyyUf2uf9mZ3HDEqivFhAodUwELmfXWmm07TwQe84l6zhN
fGyLKJxnbB3+Js+scbfWvIkM58nJfydkYzegS7uy1e8sHOUg5UImZlpTdxs1l4RdsA24K7GsRvS9
UoPJYbl6qAPSK1NGVFO1j05/zGjfpfKTRdyaSfm2GLj/GnX1VNaWea3d7INYm+qDPRqKHhf1X9ui
H00zilfhdU+0v/qnv1zRukvZFuBbdR91k7594pBLs/F3GeDbDYu+esunlqvaKPxDWhjB+XZyIVh8
j9PlwdUovRh3gJUytXPXw5QGfoAybcr3E4Wme7JGskPoU5WNZxgw40yzma+HlBN811ps2O1SN4lM
xTPA4vav0Pqr73TzI4mjhPrN0Y9onI0T+vb0WmjS92E0oDbliL0eXJv+Yvqwiwn/uV8yhsvRLa8W
iObo0xyQ2W7abkcsUWtXXtSaO837hekKpmlepm1+AYyMCx08zWXCML+22VWyWGYb6YLafNADCAJE
dvPflJ1HL++p76JZiEUVHoybmqDMfol/s6MEIPLft0A1nUf4mqjcmpx8kGBkflUTmUru1vHWf0SQ
hJKBLXAmoCyrnUKyoEFg01bYjNarwUcQxwK4hUBSgNnD+FdpjXdpo/ivzwH/sgRkqjXgiEvU7i9l
mp0oGcKTuvqTUVJDBiIFjEa8tGiLT7cLBFEPSnvaLjCAp6XMxIsaiMCkIJgtfh4jzkqDZBci7Vqm
544OA3+Kx/3S2fGDJvTg/ra1nuzEOSiLxELNB8TQtgni0dlLFnq4c7UmuY0HPDkj+J9BAW3I421e
GVnCOyJDuLeXMXhUD/x5sa8JgQIzPGJPU3u1ge/9Sln6uHbiVQ745uTnf9UiuR24PTfYw+uB78tY
dCcg8GyXprHZ1vL4TGPjOdLL9OAlSQF3tJ3Bk85HVW7YeBLg7KLEDBJicgqfc6Cgzc6oosDLjc3t
lqxG+uqBb1pNfjRFoSo3HFLOuCjZtN0m25M2Pgwh1C4syc4ojQg6KnUc+tNW2e7WA60f65f+F+HQ
rzqJz4udDpdsylvyR8c9ZMXVTfrjFtyJBzz6c0UIJhSDV7Z0eJ3k2hCvmgWQrGSzIzc+4SK6Vavj
+cIF9l5E7nAda2S3WknqsN1qlCCAtQEOTPOEbDyOtrr8zNRDm1JrMkuHjCO/74FmxQ/AaSMmYWyt
AESxdgqsZJXJztMYtOqiBUeOKHHCCCpO6pl68I3p30vD12CSy3+q3qtKAn1F1fqbookyLO8wrE+3
WZUYQPvaekFKlrywkJFh7i7wNBPP6Z6SKjovlY3fY2TfmXQIdqxZGPvW8BLI2SisbjsgJ8+Q1gsD
yk6i/8Z7eGsStCyr74qsu6izLRMbxHAkp5gkoxYd5d8QQB+MU3TLt6ddQlPRwZrZDJF2cHpAQt8P
0Glo0HWsKVY+1NxeBP5EOpHJ8j7h8XMchEb8icCkP7ZdRrRv4BgbuDpTuS/E0TFffHOYf3E6JmHC
nYCJHC2XQUqcr6e7UnTJVZBMsqF4nX9Z48Ztp58ht9aDUlR8r7UWgTQk9pH7Bx3gZt3nukarNby1
RGos6NaeWsrO5ybKCZhN/MOt/nTJGcI0P4RXpYm1yva5DLmnp9KTlwNguDUYBB3hOpAiWj8U2rbu
4W6MZv/YmCP+OJ2Oxi9RxAYMC1fLYCX7Cpi9WskONp9In5LatZQJo1lm1tvFNMNzbGPeUs8m+XJm
nHqIfOug3sf7HxDXyc2fjHLL2KOUGhmCQH+pSrO9qBK+zJlhu0W7udW2SbnUhOpgjOffEHjw/P9Y
guV428iPWj5sKy9PkXIyT1PjtcJm4ZAs2Pv4dKjdobOCIUHjnJTu5+3qyHzspOQkqItLXWaJbZHh
nMWsSviVHyjSGW4zyVkX6WhdqJCveew2bEknJnHk+DlXN3k3kHBg3kY7HMKD9QBEf/dgJijILHCG
Yzw3fzA3zDtlssXqANhBFg+DVSZrtX+vYse/j8nzYJltpmu9cp4hzMc4atGaqtiSDtrOhZz5O2Zc
fQjwBuw24lTtoNM2b9MBeZBJDjimPXoQpkXkyIFrUjM718t+YbeqjjZ7kD3xTtH61kK1guBCK5hW
UzbO75zJb77HRjPTFrLgMlJs9CF3N4uI+FsbUh11uw+gn35Wpaa67eANpeimIHEtknfVhlHtG4PZ
GQjXaEbW6rDQ3cZoHqvYfMVInh7bpTaP44RhLQzb4l6NZBCK1VTv89UCJ/dp2aistMKLnge2iLuk
cQYQCFLbkU8YXUU7vOQ+YHjfpgsc2vohdIiq5LNpr4EXkZCT1jCUUlFuUQS1a0cbSiLMAXMSCItA
D8sJVL3em+b3hHxO+cmsOJ5ZFfYewZltRLinMRzbbJg/QzP67Sd+frGK9DY2/p4MO93AUM0NaqJY
8WzRcC+wv18Qhh3qaYiuMKyQ/bPBXTdTUb0B8QRcietnPwlIvTiiUHXpNj4Q+Exeu5Cmnibc70vv
GGp19ZDaE3zsAk++33QLah/8Vv/aXwYBO003hv3ioIGj+mAz6DWrIk+6lyI3N0ZiVCd8HvlDmdGe
32q4OV/4EFltFpZf793ZrjZBm/4sCbyFA6jlD7Zr8anFHYWip5Ev3FKNC9ACTw48CQoSRhXqQrKT
st5MVkFMGgaIly5vCUhnMQPGgxFGWI9ftQUOQs0CK919rxO6IBQCS7FDN7jWoBdcWgMZb2j2w85x
UXqol2Vn2IihklUXU9qrpeySleJR5tGrPhydD2ZJ07hT9/klhePM0hTdAp27QVBEJnWyXZRPG05d
iGNIRwiPGHZd3UNyqB0SqdswudhSz5fbbX8wFlZ6GyPcKFHdWDs9foHSurTzhDBAztljsyIKqPjU
fK081PLUgTEorkoIHMnjSOthIOLv/Kne9y/whhoYt+gGXSwD0vVPL5CtC885WTnKJPULJUmsxaPc
HGzkOP8q7Dl8NkPQ2FGGn7OOZu06xx1CpI600KsQk4DL1NI5wNvfViSrXdT+XK3T63Lu1oJeA8ym
h1DNAzqNlHE4mpWNAdHJHDBdBkgu+aOr9aA6SVPRvumFeHGjuL3oeR+x3CgxmvtTtytdd3oqZ70i
VyysPibH+vfs9t5kR7vINB1Au8t8LiiqROLjMEMwwkbpk4s+3AC9FOdxQjwT6uH7rbCbyqKV2W/T
JuJWcSELYdjGEfuHVq4lPDJa9gmH3XqC/Mm0zVuYqfi5tVYTC28IF4qaKESFF7yRE5X9GNDkCzv3
3nGtAGBxwCCPTWtdHVL/Vkadh89SDg1NrvoJzye6Z02iv4b4htFCmkgcp/rFSxM86hVQGAaM585n
TQcoexWUhHv50hY1RE1w4vPbawzprxpDCMAYHYiWCtHifx+q2Pv3MkSfs0PyYG505sqEqBGJNAgY
eOqGYvTBtGVgWKx97GfbOoWUhd98EQcRopVUhhkPECeHgAC327hP+GWbXH9We4skxHSPemTTG5Bh
ZWbitS17oW+Yccswchujl9VHz4sZ+qubKb410VBOM8O1xAJQm3vPCH9Hpq4xBVXuY2scG9FfoZZP
IrH2WkbqWlYMchUAw29f4xFaz1JoNta+f+N2lE3zjOGesLWqpsmWzAF6j/QpnxAbIXHwlxEsJ6Mt
9dBK8/BsutgFpBuXeW2NG7cLt7fREDXsCaw5hfCUODhWLGS26qXntPPh1YpRaiq5OpK0VW2D6rj1
EiIam71H28qnNJbnui8+/dq9qlvwMPi/EI87x462CGtnuuP3iq5wikbUBsQcqcJI1UPqmci5r4+T
N6ystlt15ofHZP/TZ5S1nbXeOfZ6Tp5LDFqQxJVmx0XDrMcHwrbgc0SwC/FkHt/UDVd9kUUk8i0Z
MvEqJUSSnaZp/6w8mtJkeRwt80y3kb9U8yIujsh/u00XXdmJR9vac2BGWt0AADpbszoKCYkcOJRK
ibIJCKNtUEg5LJLldV5U7S9N8xhZyVeNV6OIz5J+14PyxM4f0LhI9zhn2basnKNSPrAviV8thlXr
UIPb3XroKukgzgsJMbfJUMYr7LYmLL/DDRbCBNAlu4M0H68hiUWOXVPX8+66/o+aEaqH0gmvCYlr
aAqr/FjqcXVOhqUBkTH8VEWj71rtuRqd3wEX4fpWgnL+sqTGmbImkNm9Y/y/JRlR+kjDEmwFF5h6
9v1gYhcnGQlrk1bM1kMHPWxNJqC3i6UwuDVY2OPAnRh2/aesdJbO/GEtdMHT3zEo5kcNbswh9nRS
l9riTR8G2KH0xxfLAQCz5EZ57mLxY2wG85TlRLcHJt0N0t8PTEd0mbrxFUVMxOOWNYVFENlREB3/
hKPqqEk6J/ZtUjjqmBEcEIZVmC58IHLbEuqMYJVrxxUg1tgW6E/DXJYPnm+v1aucSdMlMMzqoM4d
t2AMbtcAlfAl3/EL3y91ZR7VEGqymn+0APWyP92+GwYaN2UXrQlY2HQzE6hp5lLeDn6fbULPwTga
RzUZzFr1QbiDvfG5Mx6HnEji0Me8c7vPoIZ//e71ifgp61Vs118DUrN9Y2FIy83wTy2dreohSib9
pBaQWO2RJkHQTBrtx5QN0a43gcF2zrQdjdZ71BEFMxWpsn/C5VLXVprv+h+VHTPqiavgYxT60Shb
cHhtfGmgxf/op5+37Z2OCKFc3O5vC3xc9xlba1WlXYnkQa5szO59G7+qQg7SeHQQZDKt6tH1ceyn
h8ZGsFozuoJhAcstz9dqcsfpyYBKhmrTo/sjZ3OvkyRY5CEohYS7WN5nW31EQylX947sMhRJZZng
Bi422IMuRWsY2imSBHW11d7WNvyPOB0rOL2jsZ2mZtqPaM+uYZD7V6Km2VSCexK1WWO4acJzhhCE
phw9Smjm41G5NTg0yTixGDxYlCD+mL83Y2X9EHV11ELTfYuFuISB5XxhZ74UbU8ukyk2Q5g0myl/
gzq9sfGRXXX5M0UCxIqTeiyd5MtUH6TmaaOWkn7XIeXDXnnxtKWDO5HNR+bvTu2WPxqLDV879g8m
iWT4xlzvNpTpUlRHscFUDdkqFJ3/7KfVdFwtqZgJb6NIPxLLVYESN8AIaH61v/UQrsk3LSZd/VCb
poX6TdqyaXlWyuRKvIVJ8gq/2TxCGP9vMcHYAv9cWjwMtt9sI4eszdtXviyXPcpROD5SkhY7VnHn
NuylZ5+YRTn+5R7MX7fEtDQ29xAEQekQB3eX6VV3EFJRnJ9DS8BXlsJiN9W4g8YYZQKpDnHIlie1
ZGainY2euQVGSsnZmOhvh5r9zWJBYI18IHckLNUD7TB0gwlAsW027sVoupPB+Omg5Mrf6uW01pnL
eHbMTdJKQn7Xgbe5/Wq0cURkLRIy5aOxP/tVZ+xuZZA7g0lhK5UdSkcGJE1zgYvO77RnSpl2/f92
uSRnk8bHkAVdcXg2J8O+Vw+1M6P4NmC2q5cD3q7cdavLrEgkVHnkaSTiLVgq7M4d4tFDYT9Uumnv
vwcS6lmFRW5lzGjK1KRX7Qx0OqB64v+n5JgTvc32VvFprp6sv/9clsK6CER+VN+VKOVHbw0iYBow
Om2A7Nu20vSl1txNF1Njttzkod0xHNeZxL2pZ2k3NHgKCTAapSF81g2UjsKyHtSDNYBqzYogcN5j
Iws3WuZmbA+rN9TAoG5sI4kuQ9xFlzG1/2YgsYxNn+nNWcfXsPaptx7JsLRe1NrDq9HncJScay8r
d6VTmOekkxENzOMYlZhvThR1P9I0pmWZYvMlbaeXXmoQGUMN2zQcaWMIoY/WngaMr2zD+uzVke+t
89SDQO4hvDWq8En6we9Y/+UvSfFUtKDXCzMY3kcLpegMeev2TL3HpHZYjfK92zM93YwG+GLYrgnp
sZfbFhVRK1GbTMhoopOANsQcCL6Pg2szOPaK3DIyzLWwv7ST99JC+jl2ZmRAGv+P01Y9cwhqpaxE
LWiSvhRG/fDcEo764MT17ZVrFfWaTmmekblwr0P8kYInVZPDpsU2PptIcFQLVHdcN6xQgo36ntpz
Sdkp/8ylNKZCy5Cpa3d+UoPD7FAIIRz/o3eieG1RVdMj9TPb0PmPUdRwt6SFvA9gcnQLlX09YHyE
55EwClqqTZUub4uPnh2BXPWkR8gjooSYUsG0g60rSmm2wuGumVC3CStkfyaPCNFan536enDXBxe3
QCpexV3Y4kSgamtIIbBaFoJKApiECJbUfby17OJUgO6HzLuU+QHjHVZabsE2gJyjZeeuuGFRsHzB
RrHM9250Knbnks4NiZI/OFPOcCQdTG+yTrdfS9izKaACnnd5DZvQ6Gpzt4R27a0Sx3bumuo3fqCY
TUwbP1TyWesTLOHmKyc0zJ1a4cxAYlZSB3exjMDadAmCi791MyB/dGriU2Vji96RMBollTIWWNeJ
GPZZTn5sG4Pk/6bKNdok8FvgNCRvk61HeBxkznAzJ+m5QLbK4Ljnp2qXX+xdmSg10fSeEo0QTcnx
dgLcyAwmDnKKWqhnBjbvXdwDwGTL94Nb2Lwpq067GybD2afC23KblLwtlLLqIU/wi7Rw3I92896W
dHy2HHZ5oUt+sGoRqXPoTKKKEO5y/pQcvoZIwnU2e/nG/O+mIUqjcr2kkdhXtYkxtnZsyN31xOam
/xFZxoeWiOnBHd0vzrAV/3h6pi1kORcRCtMS3RJq4fSsh4t9IpziqWJucR7E8KiWsbXMk1LP0nrP
bgBnFHbzwdMR+UXaWe2q49mJ1glpRbdpBjmshzIZHXgowJjGoqXgGBd46mkNNYydsVRnmVbfXdUr
n2xBtNFSxYTp01qPflHABhOUr7LjKzqP8Ipw3rGXfRhnUX3EduiSnURwkmNzTirNc2gMMJGImUvz
lPQStWzxhO9fTMu7AIMpP13dJpsnBD1d2ya4deabx1DCMV29eTNdbNQ3ymKifarJXctMH6yVtlaF
tjk7yUPZM28Y+7uij9qvymzvdBZs74aHQNdL1mpTWelpdajZ6nGfZR48Jca0CaRaPxGxvTIK61pb
IaMZ204qQLRme2/l3mHyHFq+MPm6KU/AcMEcSNrTTW7v17970jfvpuYYa1p0+WatgcUZL1xC/t5f
pmfq3JZoPkLVS6dkudQa+OzMMKQ4hVQzG4K8cd76fj81L3Ps1zuGRdPWMYm41RibbzwklF9Vp6dH
NrzjwUiytzJc3KeYpKGt2WdIv6gfAi43StvWDLwPZq5wd4fY+8DHi/yroTydk+c2HZe90QHXNVlu
A5nxjuWC4sBI9DPLfFDz/dQ9qUlwAgeM/dM6Zr9zXTxQArGg+NVcPoQqozYUhoTHi+m1iCDfSCRK
b1QD+1w4oBgcQtxn3fI88CE/RIa7JbRheY4C3qqkCChcMJ8DBmq43TbxJeQ8P/zPs3EiRWCsJGms
i3TWjXiqeszo5yQirDhzGbS1+iAuskRva7f/y7Z3zyiRFDishjt7EngqQfm96SbSmxoPxO/R93ZW
EmufokhmiDh8m/2ZeXJf0lTNPWAW13Dt04iVaYXSqb7vHd1Z12NJ+rpaKy+6jRFRKnU6gwlQFKTO
QY0Mokm8VKj31oPZ9MfFccerACQ3dt4vq2Cux3Vnh36wSWFmn6MGDm2l4cCrAxT2ev5K0sJ7O4o7
b5h+q/6hL8m3zotZygkpehFZSAZ3w3KVy+8um+GR//fY6l2+XKRV1GvPIBmjS4LquW2Gdp1o6Nc1
5Opq8Yc/Ij+O4peDrZbIEtM+hTVTYGEWDvBP1wI3A4pCLS9z7vIsXM4YyJ88Cq6bJAVKloNmuxv2
WgRzqvIrfROOY/1hU7OwlPihe1lzVkcmGqWEWDVv2EY/fYGOWw3xUxAq2ypCDIvPiF2JrV0Jgw/S
9cxwYDckXb2xEPA/GbbVoVsvjR/F3CMVR3oMP64KTdLDk8m+txuG1sXgpKt0zDAdMH/GoMEQq8me
+Uo4R7zB7cO8IWHGB94AzjrD7c++1N8DC79xG8MQrgJX6nszpxYm7RhrErdVZHbD62gt1oPXW9A0
yhT7Dv/OreolZY6UQv5q6mXv1cMJydlZs+MAI7z7oY5PNbawZEpSXe8XIN8Y8KBgBTV9gmWb1a4j
cnBl2+4xnSuCKAyfGaAc/6mC1hF0hz3DJLUvyw3ja/JLZ9cH3p1SEMfl/I7RQzxGMd5cCVcY5o7+
I5pv+3l3ahHZ5N2PPg3lfDs2br/7oTH+FaHxAN84zKe38qK+F4DU7ytPFBuBLfvF1JqnKBz+pIkj
IZLUYhRDHZiH/Dej4H76XPIRJPDffAx2ndsLzvLyrolICGLCs/LbFBxDb9SQ4OWh2vvu82iWj46q
wyAsEKMUyVMf9ktcBHdsZ2M8BRZGmVik+8zWDt7zIlINMPvUfk31iKWlM9jZlqmVgozSfjhD/xJn
ZnD0uh4YmJPAzFZ1hp3SU9NroHunrkEVbFzVg9G3AVPgjPDQNFy+Kv57VzsT4zHqw6+5nx0S7Gi/
rXDOf4M+d5qcuIOYDYqBIwMYaYgA2cuLQ2OZfxAz9Xff76uXmHt/FFoKTERKp9SDnS6vc2lrt7cC
t7PWVUc+VTgWGYnWRbazw44p+ag58R4YAKp/Jp6RKIG4U3CoFVv0k9j7Ux57zLJU5UdV71zs1GFQ
CpkxLN8tEsD2ct42uk4HytyWXDmejeAgjhSfmK0xnxGIgUam6QZcrTFkiqL/ZeYpX5vSCA/mPL/f
+l510y5tq9yE4fxWmqL+RcajKnqMyiY+YplhoMumvo2Aa7gtQC+yQ8wdX7/uZtL/bt6SRAS7ti2u
9TJVZ7cQZwzqx6EHAmloDIngBbBFGzSiF0eOeSx3zDiaOis3fhU9oe5vrrocvNtotoyUwcnghRbH
jEk+QOF+den0wb0Du4wPW1dddLoTL1eDXBcozGjgZFFDVPs5RZPHRy+17z7gptT/27J+k1ud7smH
fIIiPTpYXqLJkJnkRavjBz1qJmxtLdIBXZsvA6mdK1VxDAPaW1BxTKh6ql78YfmRdVu5Ztpt7ArT
0Deuz/gJXE6y1mfN2Sciny9IsTYu3IQ7FCSvdJqIZUMZlEnzi3AKW8cBUlu91l3K4r51Pux6HOUx
T6SE0BmfKwejPprdXaljYu8M0sM52J4RiLMWq3KmlBKr4GF9XtHev6MWxYg/3M9kPxFHBkYWHJ63
JUBnei4H/7ZYw6hwTAjoPOI9jzdQ7VypaCmhi6CUXWwNw/XMRsTxw7uB0eHRqhvuraMwDvjKw8NN
7svQ6tDP5OqpW1S80AUaQFkPGSxdmKlp9tQXy6PVmxj9Mkx9SWHem0zHz6yK8aU4JIqlhvurjc0Y
Bx13LrWIGwPdPHd2dh4be3tTNI0VE5whdqa7wmjcTeCijq2I51AFXtx469qdutcgy05mVIm9P1bz
RhXo9J/r0cKCzvfryzOma1FYyxdj3/JXG1p/OxZvZ7XFQNJhnarJLVca0WCrNh5/+71k3JjVY824
/qoEhwHYZuQU3fSQGCS5qwXAVAAmMhBMbmwLtmrUlYeAL58yv3gYP06wCaB3WO4InjuxdqF8Vuhc
w0oynqGxXfe+8A+Tk8WPhcskSzZNKLtfFCupYX1ROEV2Bi/nrPQ0tgl2crJj3NjVIasEsT8NUaq3
AQ1lxro0bAJwSj3fqXvunKDYxsNjQwgIdQ6kxN3oLd5TL0Y4EObAMgmvfuDeE+HP1oeT8mOhckRn
FkORtz2xh2Mc/RoSfUH1Prb7ORg4/IXZ/+FMuBdViVgsKoptrkHi/D4EkJ4ie1mWYFNi5tl6JGMc
YgtSPJaE+XNm9mY7eI7+j7AzW44c2bLrr1y7z4IJ8yBT6wExjySDZLKYL7CcCvM84+u13JGtVHfL
rh4qLBCZlWREAI7j5+y9NtoMfZdytt4Kr6l8a6DlzXmanNTB6PwAcdtRx17ETElgcEfE5TXFM7V5
xK4CwJCUz5V22F5WIeyMZr7vCB+jeWQ+WrYg7BC7r8vMmrBRA6TnDYT/A2crexolovGBcueaiQDA
iNy4q11nTDAmsrrEkRHAqrId0u0xEz2XRht9n7vB9bGSdWevXG6rMz3MvwK6wE9LptFvaXaT6k95
Qxbh5MxnPSUEzpCCKWWc6lclMXTUeE3/vKJ1Ze9CQ1Te4GU+GEPe09TXslfs3C9loZG91OivvdlR
DAnrxAhkORE8G/YrKlduyXuRh+JBPuvBVO1iBY1dVGjpi1IYrs87SH7m3Xe9raMLNw8EFQLHPmdB
enWavsG+IRRdxON8sdAL72JDDdeP1yjCzfrp1l4w3cPgXg+MJ5KyGgGHI1TRhgm1Ypm8F5EKLgPi
jRYOaErEOEISJ9EcUnyGZBEJw34TMX6Oq8lZtZDMgsvzUHR/ye9S02oRBo3w0Xe4/o8hd2c8D+yp
Fnexx22C4JvTDSc098XN+pqJHrFBivJkA9GQgPjsRJs12A9VFb2NmZH7c5D8IiMvfht6le6zinB/
V4fR13X7R4RvsOPfOpplquE/YkY8hCOOHrm7Uuwr1hYQmyOxPM7Alb5J1PpQdaTttZYeXGjDFG9A
V4lWD7AgFnFyjXoyzHSsuwxT6vlCDMMTeqqFKRQ47N+u6p6I1qXyjDPtCjzGJu19t0t/64hTLT20
YrYZ4lTbWsR/bWS7bO2ZQecCAMIYWcdD2Cth7ndN0hE0yIOS5MEVEd/RFloz+dKSLD+BImhIs9In
eTtj2po8y6MMkuw6dkPlM65zzSoMGTyLCAxp9KhLpqFFNpdcBlgHrZ5uatIG6kOOk1Q7/GVESnxs
gtK+Z3moY/jijeb28Oo5iM314YubGt5damNZErynbBg/qgq3LSZfz1/1bHSPrGurXIOgWlZB9e+W
vLf0lxK1BD3KJfvRVdqB0Vd2U6agvw6D9ZhIV/llQskJuuGNKxyZRD18Qi4qDssIoStKi4PSTNwU
+HZ9fdTTl7myZ7K07KO8vcqHMU5Q1FS4PtPy29xpjS/LCARHqC6lnjrhLJOiVDXDDk/erjtumg7t
nZQ78B0yP6X086NYgyImmpzyQX6JmkYPsFK1mrw4/NRDrAGckRyFrEcTJ4G68kGfPOzoSfk5minM
VSGtcRBR3CMMUA6i2a2i5lidkhjuvxLH+6mgOyQNu1DqyDmRW3FHTeotPbo4nc/rpI0WMXExyKxL
iECrECTqMrzDgObZVQn0tsCSyweHeCso5rQDh6r7OxSknyRKFBLa5nnvCdJPuXQ/ImNrlVaLswPx
vgXQeOdwLwS55kY7t6YjlHfgPGAm8os2nnONLbLnuqpgKx+m8felXd7rQ5i22beyb38whKi+LUF1
771fUlsydnF2MfNYgAY97Zo4IfsZxcNEvAp8qrnYGnhULqGSWzflXUoU5IOUtBB4irjVIfquBK+7
TebQfaFZj9WYnG8sYdzbUUW/ElW5cKeYudxL71JOWUzKtXolW8X8Umfhj9EOn4zY7a4qbexTvEw/
pdxc7tci4tJ8HS3DSYpGWqO0MdX0w7aBVS/1SwgWgkMCVMmPnTD5HhI0i6RXQGzgjNUZ0gir36Y2
SZaGslzHJDWew0FdMOLkP1AqWpcyzG/S1bHkD9lAThnrqcEHi+t8aDtTvWoOd8XKyIu1j6kFJNWk
Fj1x2R/w0MwgHxAu1akARcXa20L62cpq30gr9VAeaOfPr7rugEOLnUefD8e+8sKHVmvBeeyjHBpS
Ge8Mb244uYgAyUd2ceE8fkPsD2ZGqb9NaXhJxhq0gpjYl7OlEQdJhS+LpoJurY+KvkM8RVzUqivT
K/ch5zKmifEGQhDDWavyNdTe17BfMrzgQpHT4qwoUtO8VnRKDm5S41SRg5RQ7S56N9DjBZNBRlQW
H4uxtje0jDTiyibrPC3kkWF2ADaQs2zVM8J7FHQiCGhOXhaGbDi9W+fUiqCN2sPc7sunoQiayQeT
Tk5OPJGv5sl3biz0eogtagJShVgalC+m2bN1H+ktysPY5RN2iFK0RS1OxYB2/CrfIEKnn1kwJ7sB
tddqvTMFXW7tiJJdPWxHi5grR52fgsAU7yhKAsKQgY7J2iLTgFPPNdo+KGRurl1DpQUBqUfGHg1v
upP1aEdUagC6yPdorx/l6VhONFvWn7I4jbZzycsVHepESYMXbUECbdv2j5wMiZdIWVph3fC2JO15
u6FNFz53A71fXT3NWYlVxlyOMeKvY+upJVg/Aq9CHcWZN+AilA8uutj12Z/XHPGn6Ygpo4Iktf3z
B+CrjuQ0XrppLvEK2I9RagfijDpAHMr1GCimQRCtzeKIdf4OtK908ZOz1Deu8W0wCuWhwY3yC01l
2Gjlz5ClQIDm1CqKbVGrTviPS5H5UyQqQoy4fl/E/hWxkirwowj1xaHGZqFxk4Zubj3TUSZ0B3ro
JuxJU9CX6gfl+LgP8zb9glIuBYqYAh0odYXBFkjxeT8e7bmpf6ZC46Kho/HRb+4hxVl/FTr8RNnU
cfq82S8ZIpVqNlHUUlkco65b3jPctD+GrqOVEnhYWzE6JZHWPpYhZqgMGv2so4zfRDpjdY8MBAxZ
NopIiqtbPZ1lpxA4tX4tc/uLbGcGbfuzDBxHpFExPauG4Ll0uZUNDTsLc2qcUz7nhBjRv4vcEMjD
Yk3PkCHrcxunma8YUOhpxbykOR8v+JuT1uk+Q7Xh01JBZgdzM6CcBXAnVxAKRuMaoBV66eEp+k3f
uWykGYPKpakrGVVlafT4M+OpRm45o5JO+9BOp5sVofgZ9HQVNIkElScVCqnZTT2yZW86LL3zXrtK
f1htf3jcbwMC3qfRrC5Z1QSv8gG8zgPpcXSXRwosAXCTgJA6L1Fea3Arv1WddpL0vtY5zkuF9V3J
vOozx2Pz+1oswYa2xHXV3KbCEe0jp45CXpK47zQMIBMXFJcGMG+b4e37OtUgGztCrfPe2f8n3ELT
IcRcxWNgFb4m4L3edIKAW1Odf69KOSmvf/QM8hmdgLr0rpZFzIqaQK4P+7h5bTUYe82MKKep9fo1
8bAiV57yprqm+8hhSQo9XF2T4Whiolnbwgg+2/1AdbolgEwQZTvtsMTJcWl172uogEVku134ld6M
AD+Fo7OJ42Xf1GgSiCvEXq3WDkZuVTvmRdGzYwoKBtpFdPB6b7q7NChRf8fUWcIrthQiaoscrMwc
u8WPuRZ9o2mzQxEhuM2pjREICbsRrbsRrUU0+6ChqyekLNSUwI0l8HhymAL3LY4vlKZlsZl/mFUz
P7JgehBc87oK2XrSgKt6fABwICJtZERNIvPDptH1onT0rtbefGp2pEwHVndRw+KLrrh0Viyn2OQj
ejcnD81dxH7xBTZyCIlMIYTV7XIytPh518hpvllzUxzkkeqpdHDyjA6sPB4ITtz20DI39Ojmq/xj
E1u5JWTx89VZHOsQM9tM8vxYxeZxWE5ERIKX1jzd3S9Bk25l2dy3yjYqrD1ob7ha+hxuI/Cyp9Qj
6mk2npyBsQc73qy+9Hje5O5YTrv/PMjXRugIoLmbh3y9FJOCtlqUs96y78p6Riy1O6S71mQS4Ee9
ja3fg3a6HufJ+GNq07+DgrS2tSLit3yznV4/R6XdnIu6jq4ke7Cf6SsTh7gRb1uj/8Jyp79advq1
wX/m59jmrlKQbxgo65N/Jw5aEV0sewFgKyyxuuX+LPWFhG6GGNsoMCDsUiS+rcXpUHGWLoF9UO0c
4Deu7LMRGO09wxyyBUoUEc+k9mQshtZ2QdZ6ifuM4N2ULNS18REqDRt2PbV9buU/em/4nOss3VlG
4AGs7e4hUV6vzhK7h1ElY4AQ4HOoafYHQR6nxMyN2wiO5Y+RRVXgSk/5YxRZHgsjPf6r7owc8aHI
miJIsLK6GKYsYfT0FFCkuoYcQ+qKQsLoptjYmFlFSJfrfHDLVFam4B99DuJjbhP9kiNjEFeN05O2
YobwXW2n/gkNjvLHVBZ9I4FF69/pQBpiJqt2Yw0Sm4GC8WE4ET6L0Nl3rmE8ZfUV6oMPwz2hOCZZ
rfMHo+qv61MVJqWvnUKXHdeqANDtPOB7FZNeFTe4nLcGg+KcaceAiKWB6BiKt/dcOjkyJMWDpnds
09heD22RmQLLFsc3Vt2dkyefWYc28mBA4jlKaCSCVnrqMsfFqo1XV5mV6wSt4QH/4XsjjQ8i1Rw7
w8mZhs0qQiUnYSHeFxEeYwbUTwS6VftEZT/EaJUqpZuijTSZ6UaIZ0g+TSpl2xPudZ8H0OPgzYGY
SnFx8HVtWDUNUSIwf56CaQCgY4blA2lbeadneJJHi3gpCTnbwqC8lNbwK+Ie3Jm0/MTOrnKqzK+1
SefXsZlWVmSh5ENkQdnCr0GoiXwIXKzjxFhZuz+v0ZNOSafAGzK4VrntEYgdW3oEu3UfVodMFUcL
qWatgZ4q06/S0TfWmb1pHfDdBUKhW5EvOBqQFL8XiD8SO3qetKf1LopO5JDq6XRfpp6pe51n9zQB
OM/HdNbmzt0Xy5KfLdR+J4PEZ+mjRRZBPiOAeWgnYm2eEyU+EJDNpNT03CfPQIAZeSEnpvCzFhn8
Ec8KzLO5WCzTaksTQOhdo1BZtlZKABxnxk8zIItEnkVIfy5Z39q7MpjIoRWeYa0UGdx21uN2TpH9
Frp31jU2aGbjtWS2pupO4FFpjWnoksSzcjGvSV5pu6yCmkFvWn9G/AuWEFijPzOb/YyL/Dl3poO8
rsp41lEiC3WdGrBTQObB7RIuTKKMb4adqy9xSO+JU3nR0q8EUjrbaLbB0Bs/paAaEde+rzHhVUZo
wEcThIXJHJ8TB8uJBHJ7HkbdRLlmLc7n9Rrly+h9WekHxFBf7Jks7HrKSc6mFztYcfw9mTpUoOme
XIqnEAjIYZXnNxmmsmK8T27j3Rjkl3dAtXfAn+WzQsN79+eZMnYI6E0IVqusxdOZ03p9TQh4ZaiH
ySZbVIq6ah0d77pAZZnIoLcj6+r2DpxLz7DPM7umZwtdGhMZ65F4ZfdMS7h7DgCFnDLWOt+h2JOK
Dgd41xG9jbMrym5aiz0ammCEFy8m5kUloteyfoKP444z9sFzb5RvSlJbbOjz+Viqy1+ADep9jVCL
BN0i3LkBS4qiAaGQ+L2gzRHGeZBTqrzYhxmOeDL77t6SfIRjrLxgbM4PUaXOd0ODNoyF4LuD7dVH
4MzJilMDvyTL2YCFeY6e1Tr9yY0KoYI1W28g18cNzd8MhrZivY2+8c0ui3c5lLdUtzuwVgaHrm5Z
KeGLH3OmSPu1w4MMndlN5h3hbU6fWmy+tnZVpeSqok+pYxqD6N/TYiFPSZuUHZTD6QK0Gq7P0j7l
4VeaMc1BThQ8/RW/GHQ0nX2HbO86JMZ05sBUrRmMW0O9Qo4rl+dFRw5Q/97ahE74d+Hm+VOJ0c8e
NQIOMXjhmTbHeDWJuFyiXhPu896zbh1ohJfKhDYJA/jLupzEIQknwkYhT+qxRjTA0Ko+1i4BhShW
Df73aLwQW5JvUpFhMLK9Ikt5flSGwqxETCA1JuPnjs+QMBl24wwhsoNntyl+GK+7xGONvGFwaKUv
MJo4AZLDCO0RHSixypEItGdjFSnkQffNcxgrn65Q3BQMxvbOElbHNMnZWY/LcJFbsPp7BYZs44mV
mHXHelVSZCtaY3rkntRkOS8680q7bzZ6hmGmLZces2+G59jtxvbGqLmFUlTQOjBO8kC+zG5Q29cD
kD9H9D3kyF7TFOS32ITlS7FRv0wLBqeJ9IhTF0CJsK1LUcCetCuUs6NQAP550AGV+Yze8oNpCjkP
1IqTbNnlYMH2bT0am5BQCR9pGPllQRU8UZb116jL94zFNbJJdWtrBSSGqqIBlor8iQ6cKsJVUALD
QsgpiVj7VW1saoigZverasfjcb1bk9uDOTd4siIV0iH75K386cTkoDWQV5VsESkWqjeJMSh0gn3q
btZggZZvZV+PIZ8vic3SF/rbGNEk4UazF5NyPwTi6hExyh4Dh9ZgqPa/Y2lMMBA4YHTM7NZbUbLM
ypOL1pYgCyNsJDZp3rBKZy/m5D7oVihvorakJPUrwbAhTrSin8p7V4apepLP6gXhkTkeulRrVm+P
NPh0kDtga9d/rdhXivKEor+a/9JTNGW0PPYgBrXnEMKFz/85/4gwYq59er6Ueopeq6VX9iRh+ljD
F8Xg+mWm8xqGA+X0dMX8ML10oRZgrV4450sRmk0ckvzIPJfMOwnjYCZNpiNcFDifQ3iYhBfUwdNy
YlWgXJqD3Be8ibNK8T5krXJfq42J9uKEz2LoCPqUYjz5oMGn38PDwg3Tqva5VzRQALMdfdZNhRig
9n6LzPM2ap7yTJ23oOWcHa3iE5phGH098APgABlbF4XAE/GS48U98wYxjFMmY3gucy4OFLjxCeQQ
9BHa7FVEcjJ9rJvsvEcW8IP19IoVexag4mK7TKpNCisUA1pVYBY8Wts3Up1FgBdFfnO27eHvtRem
Kaa3z67QalQf5Cmc16BPfllFo/td55p3XJDm3QgqYtsmYhGlydExs++p1iXoPseArf/4XYMM/CiI
SAl9rDgzEln6x0VNFoMWLzBuSgT3Wo8fSbrYDGX4bQhmhAb/yvB+86eCgdsLEKiN7N4SjEo1hrT2
IJlws217tOeKkl4sKzb44Bih2VAc5KyceguopbxiFOqm9V9IRdzTUDO0cfEos3fR3WdNAb8o1TuS
fwvj8T0S3XuVHJSVnZI3SAMnl5C1ZpjfasMRhMTUJRVO7hOERndeDFRRcqo/07a/Jwvl2wgBuCzd
Jzk/sRskp7GdIIQQM5XYGR4Fm6+L1rn6ofZM3efleJtQrqf7hIzfTe5pb0ZtBbfO6PM3whUBj3vj
Y4CXhtuEGb6UcS1ss0gNWp7bpKO4bPPpGKhzcg9T8yGXQ93FVUGXBNyNqHF6RSWzlLzdbcAG/UZq
YM8190Lt5+yjytYuGQ6dC10CzCry08OjdNRFjJLHpoEFQoOCWukXV6krH8lgI6LtmPSX47epJRCe
y+VZtohbwMC4MgHQ1MounawSq0FTn2NtoK4mnoGApAFUoNsajynMRqRfw82JcPoGpo6peswxsKwq
U6+cnogKUELNedYDhBM9oe7nOCmhhQ/ZXXXg9zS6sTCDnsqtovytIPwiBs76vq4YHZQk8a2n+66v
wiv7zeMcmuFptBiEyRQNUsWHVcGVCpUKn7C5xi8Hyo+e2f570zg3ZM/9S+gu6nvtfQnoI53W75+o
7+CwtnWHMTvKdVcD1HkhGjnaNo5jb+XaKwO+h2q8yEaQjW/VH8bPUs+ivRfb7XlRQzgk4Po2Ck3/
B+QjUCh54WzloTeRzs7IvOazTABYi+9SbhvhksyHnKLolm0q/LOf6IXjU4UGZ2cFRv6qLgsYHU8n
wMNyt3LQgBH4hIIau3FVwG2CDL+xhTO7WczpJBln2qIC8kmbt36yoWpMDPFit/lYas24zVRBSEHv
FjqQAyTlyZeH8kExge8liCH0bJ5PDrirQ1S78x4MLwiNes79stKSnzbbwXDuxk+V9COmGE/FTIz0
JArVQTw4djKd9Wr4iEUBuxRRcB3wb1j/xzAl/VOmEzOrRNQYV0X2wvDim2z3aUsnwO3elSahfSzU
0TnGjAn3RUnudzPjLImd5eEYFfcZsCTSYWRXzlOsscddPLbBsreumhPRnfK+16X0OO0Z7mdXc5eA
8uGHn/RZPdu3IzUW+Suw/lBWfuQTuLIacvZejxHkEwoamrZ5L+ln7Fs61kLJXG3iRrmW9Md/9n35
OkUekLEqhv5vEnGT63CoYjwHcVBU9y4KaWkZrn31dD14QMB8kByV/9CW8iPerrN8QmNwZJafHtL5
F5R7xl2P7dmvRO7bolrDBkzO1ySc662c0rsK9vnOCB9dy4mXacs3TIXVdopcglqnTN+ut2Rdi4Od
nEymAwkVfYyuS8wpvdmYnqDH+g1JPJtaOOrIB89PnTwMpw8joks8i/UpA4CMBbZXDqGZjJjHmpO0
/qb4fP0695a7slQ7MpA/8xKXKGlBXxeUz3EXP9R+eAJYoyPzo/CwGduKEKrwlrdMG0ncbvcyWGEw
UlLJwxzYlAe8n1mJdon6pDo6ZnkZ7FA/mTU+WEH9qjMgT6Sy6GdrXnzbNo2/06R5kRpZOCFwLQvH
OxWODcor09UnjNnkzGEjTVlrjzLqpWgAnndRoe6RF2u+QSCqr0ntAMnt1aF0QjIRq5rb/bzsmnaw
92NsbGWdXJs0qEGWW6iX6JSBw333oG34tpLXTHd6KpMQCRbAKrhioTWTlZfS+rd43aKLaTda8zK2
kHRaK4GgAz57S9ZVdzKo1JM0RRuS0wwuLVrtnpK/eIZCapfhMvpVI1IaHbLudKGtnoaB2HdxOAdB
SgAYxQ6th6Y5NUlZbq3YRiDvvjVxRhdRQ5MnkluV3kU3UQURAxMn+m4T6FEFwID7jo65dAtbRAlt
Srz/wglqmEH5IAcU7XwI4FIjhO0jo5g+qgH9I4Rg4YcdUUkKRmfYwh0tZjKzJhtMKdzY5JiaFn4e
iJHKZih7jfsUe+Yq7k7i7C+TlKnPbGj3TGkIqwsxxifh6O0hKXf7Wal+jpp5DwaSj+BpYAUKIF/6
mkM2TOFgSsiHidKrh9LWvDZt527XWeMKXMRhlSHnnoozCJt5bzrVQxnNmN9oSeg9R90mncn7sPmF
tybGkN1QTwtXIaoRj1DZ7Xq7cbSieneb4FpYzIvsbIFKIYCtmM0j31xS5TPKy32ymM4bcKHpFEyI
4HqTc0BzdWJ2E9GGTF6b3jFO+LcOrdD3umYAyrI0om2tsj+ggUM+FKKeW4R39xyG+V8SNzQV/I3G
KchCFbKQerboBkwsZCxDV7WBIDJQdKw05Mzp0n3hedMzijTke+N7YJli1tbXT1hO8q8p+As5oo3M
ZN5LkqHKQAyYGbJ826toxesx7hKt6jeezb8vuDhY3fyFLBSvgE4m59Nt3QznPDPFBmZqzuVQJfui
XujtlzkSXnTSNnIvGNRldmWX9U0Sl9CNmr4dN9SihTESJzl+j5L8sCyJe2sAxVyGklNoVsf+YdYw
j6ABBsc2Jq9yyMLAl1eZFYXGprPiyldL+wNfoP2TUu6kKMs3JvWoLQgoPzW14e4KAZBW0nRrNcut
slTCgtxJP0WIlDe1k/8azEF/R3yCXaVhIjqExMjZTUbxKATqecESjyH/66pkHHo2UmRHPLXddFuH
nmhE+10weds2D6JzEc/9BjHFXq6eeaZ/d5boXo6t9QZTrTh0AJu38jDpR7C24If8zmX+4iUun4fA
ksiRJ/7NELi5yWbOipODPjFALJvQBAYTdRcaiqQDkej6Ehr5pRgVpCTiKK66kjdMSiXoOkNXRbyg
wLi4wXi3Swfhl2e9zkaovkhbWqqw242TJf+hIP0eAHqQ/H6TkbTgdpcbs3Ns5Vwabta37/JZO5nL
c7SwdpnO3PtK0Smb2P6RGEt4sO25IiVLzOzngoR3WcgyU5fRVR0InyPwNsLfUNvv9LQlTdnUaaS0
zrgL0845elqyvCKQfRjRON1HPcOjkptnh+H4rVJdjcJIzPImHPfHNaaZ+UZc+pytKN5IzdvqE0T5
gFPlENHHGZOIMClx4iKfrGixEQCrWBgRxJylaAmGC4c+vaAlwOmtW1dH9Z5CjC3PYbLUTNgMmN0W
dBF5liZkXezYy7/X5AmcswyNMDnE7c1RjTeuScYm3fidhD/tUUVo/ZHL2sQlgwGA7xjzHUyNqr6D
OOh3UrsAvyTcG10xbuOycm8B9TMEpCG5OORrJS2DcHlfqJTgbC1AX8MRE7VD4NimyIxnAx76X71z
UaMR7gQwlXMQ199zQUkcUVtaw5m53ACF7+46I/tcQ9c5uxdl69Cm3a+SxaZpuTEOySltIWOLJ6Fa
MjaZx2fqOJMK2iRBsXfu6QRvu6u9e4mrcKtEE8V2xYjvgtOOAQMbAr+V1CLFrWlZLtO2zMjskS4k
6GMd4Bv3CpBUxB7jVZIawbphxiD7f4qW52fTViPfUdTlXWszQiGVm9o/ufZQnmu6HPdyRnoPJGOT
6MX4Lp+hOEMiMwEkSjUtvo7N9LLqZJREza9FHmGwUd3kSVGKQ9gZA+trkT6JOY+6CJLP7Nj1PsME
tBmUHFVltW2sYvzhlhHBH4FgobcTF5w7vSQL5qXACO0Nbbr0ENdz8AocYLeOKgMU58NwS2ut/2Qp
VQ6McTLYv+6dVRZV91hUR8gbjC3D8CRL2FalURRwrz/Es3cB+6szMWRMZRQ0BikcFcraBofASNi7
9KFOwE2pX/SVGQYV+3XQO6F/1p71lAJe5MGpEDPRqXhDx7YdwF/Vk2TaO/ErjcN0Z5aYqvqueiXG
2/hboffFfwURahkDZiU1nxVSxn3dNavPKnKynQu7+CSb/Nx8IJlYEHCcjlLUtOoXm4jhbS4nMywB
E1ve8Dmwwy+ToINBSW42DXjYEazMqbXJIFJqXfMrJFQSYTaLCDHDtFu0A/q2nZtgWw0F8vbeeawV
SwlYTiEnJEWKfHPdzz7hnxyaOYZTSVdy6QEzcEON/Thnd+XgHHydqSMp6ZZvdIYsPEUkeoim6zXw
nNhvlXw+18LyL2qCs9rO36zKxj1HuoVsDYyd0z5lLRueoTWhzotK2E3K4g6jeAsRjF60FesXxVkq
BJmosRMSGLkWl9fONpungpHYliDcZVcPdNDK6tOy0C7lumZu467Lnq32DaMmWI+6nXGDMZTw9OZd
Yex2aEjCSd0BCfhQXJ1ZDc4RKWi+broNZwaQcWnYKNysXQ+T5ZGQafK8oiuK0Nv1QYKwqNV2vYDf
i2UhGkqK2Nn9jGe3RVSrjVtlyEP03s2FzoRyy4q+e5QOSjp7CK/4T9TDsMw/aamoGZYBMRVaTROi
4Eu7Ij9PqRE8jU1zdo0Ns6Y89RF4tn2nf6vj+ksvCFj1MF5aS3Ne66BCrWwfx7liGC/G9JmWHQIc
hZvWGOpr6jbVhYmpuyfeQN110HiQJ0ztNejHbjMIO6oGFxpc11abi+RDs7UvHuOnH/3kIeEAH1hk
1jUWXZxQPLgziY1KoW/LCA1t5bbmUxPxU5c0/AqVyD6sqx1m++5Qj5ALaENkgsKYPCgA8r5Vjzn6
BDzlNHedPDbeTYIefBTj10HQ95yKRqM88xzjY3GKl8DNasjnoo+B2ZKOel5BMBAOsbBRrXPsKPdU
e6eN4TxL0MSoYlFpc+qhSWnaA91E5HRyTK7mUK+HYkNGS3pIhSYl+eXgFN9PA5bg9UfYMZFa01LQ
QhWJwkNh9sc0aP6SgLGBhjA01mLaVaNRI9IcgJLZFdI3wair40iFq2Qc0Qc2Lwps2p1StTMaIKC7
K6+qzJCp19kFa31/DBuAJJ7ZfCBHR1KH8R7kZk+noR65aZlmemwt70vY57+k7UzTDZIZ3NKiAeXR
4g8RkUb6ow6IVnYUFOpMqnqgoujgXIs0jaBKi1umuR+6Yn+X6somd/c16r8aMdypZhJCq9nynuQ6
gVq226JQy5msFLSP0YywlhZvhkkSdVIznBabxwVxxspVzOywot8GL6pTcF+gH5FW2HEUkXM5gqKm
677B6iP5j7T7FXeE6oSRAxbW3JiYQootqHjQlGhjcy1+CUzHz25hqznfHIU7aJ82yADxtPs6jlTD
z0IWLlWHB1tHxvxX02kfC79doWBE0/a4aJbb2op2LDd8cIrkvxnnzMtdgckxv6vITdnMCEOq3jqb
kIjDm97UTHKN/qrG2qHG6dMhTdRjxlytt4moFqf5L82aDP+f//jv/+t//pj+R/irhN43h2Xxj6IH
5BcXXftv/zSsf/6jWl8+/fy3fyLTdl3d8hzLdHDuaKZm8Oc/vj3iIuRva/8tU+pZi6i8tx6Lpujp
4rDE3qGb81Hey9Vs+UnWrnkiMeZsFQE5brGyHHo08YiupsF3zKC4x1byfd1ZxC0eZpe4i21dkgc/
Au2g1vU8EinkG56gDI45xhbCuI2t1ErmDq65wf3ihaj7ZpLXUQD/O66D5ax5DoDyzNv/zxtX/x9v
3LE97jq6pXmupv/HNw7cyzCcgc1fYje/5Fu1Ev01L93lWmfYexoLw4FTBePFat5Mh/5Tmu1tgwDH
0ub7HlJ1uQzitaZq8r0eTdlLHpJdkIzhHm8ZCWlxdIRK2T95WmyfHcZtFFCp82WIpxczYEtfhQed
ZncEByBsDv/67Znuf3l7HgFwiJAJ/FId9T+/vXgh2qMe846ahmCSMMqmlzoM3+VIxrWgpC/7KImW
Q1Vp6Ydq4r4h1+bFLrJHI2enen4xB4bGRBvg/dbjS27U2abWm88/lEBvIP3QM5qtDL7JYvONtj1L
CsJ96YOlgR2fDUoRQ23S3/BZ4pNhgIiMHYJEp1utpK/SOgX6YCi75KPrw53TVcuH1wS3OiPco2rg
6gaitqxEoOBYEQ+lmGjo/vUnZjv/9RODeW3yUekG8V2u9h9PCCo3iyVhGTAgC7RAVPXAvdBA+HNj
Dg/5oEya4jeITI/yELbA8lzoX8blJOm/6FHiV0E54c7QEWQ/EVbcEknbqtFdPoxeY+I2U/OtaSj1
tZyYyLu545HsY9qAbMWD5Q0+nOcCTFMTvKwdewShy+rX4w6Vb5q07vda23m7VjdHoERR5qcxvquy
TmKfMVTzNVXrG3ClS1Ga7R0VefWhlXdHXfIv9vJMFsv43Bfi/Qmi4lKPFGxaX16KinDASSyvOv3T
rdKQEi6dJG0Ywd1dGqAMQmeCKWAfsW++zmnb4llJJ9jI7VHrytO//lLkh/4flye+CgN+muF6uPht
cZr/X8tTCG8RXYUgFCwW0e+pMxyDQdOPHbGxbT+/TWPkwaFmt5d/YTvGJIPN4Mvi6Ee3stXnKIXv
nEEf4+OOvpjqEp5MxWV24JXtQW3scddjI910DvNmz3HIZI3G8VGTkxMHg/ssj6iq8tOgQs43oi+M
wwz8saV5k89ok6mb6X8zdma9kSPpFf0rjX7nmAzugMeASeaeqVRqL70QKpXEnQzuy6/3YbltoG0Y
8EtjaqRSKTNJRsR37z036wmpxE59Hjk9dxRkMdQQ299YilbDxJ3FsxNMIyYcy0tR1YLfs/4haYqT
S6Qzk3H1ULKSVXIS9y04M9NJxs2o6+KiQ906RFoVDA1RKs5kNUL6ePg9K5060hpy0E6/XS727Fj+
4nYf7iLaB7t7H1A7g4mukLsIiAKTypJKlwkTCjSD5eBkIE4w8V57qb78/nGmnnfezCoUuW51wE9a
36v0a778/kT/5W8rTvt7Bfqs5EzkOu7+xx//bfdV3X0UX+2/rn/rv7/r73/n34LHf3/647tq/rg8
bp/+53f+7S/y4//654OP7uNvf9iAFqUboP/Cc/rV9nn3X0vj+p3/3y/+8fX7pzzN8uuff37iJe/W
nxYlVfnnX19al1LN5tr876V3/fl/fXF9qf/88+5LfuT/6/u/Ptrun386zj8019WFaVqayQZK5yeN
X7+/ov5DNS1hG4ZmqCxUf/5B51YXs46r/zB0fb0pLJ2zl3DcP/+ARbd+SVj/0E3LVh1TWJam6cL5
879e9V8bgv/8PP6PDYJu/H2LQFWLahq6pqmmrbIQsIH7+z3YGnU4sWltyNITnZp02qVxzPpkNTj5
O4Eck+6sLBz3Uo0RpoULJtQezGZgVrKMyMgtXjhWotsEarfFmb4TcAU8wJcMqq3+HKUWuewFycgZ
QCZE07eBAHBU9UNOOH47JWuzlY6vFi6+aoDoSctxnwzgK2PwsJ6+OJ99bCqBliGXGjNuUfpC9pLx
fFMPb0tbG5shtj+bWVCoY2nXHps1UGq05XGkMl7r1OfOXJ+bpbnWfT3EWUqBUtJf0zT+iifttTAw
v5ZjhyBNK+8vylK6nWmVF1ps/SVv9ROzSQKYY1ttR2DC+O5CB2tIwuxApDRu1Qr8yqZ8J5N9TlY7
DC3cLxqdY1Wbv1Vp/aop0zfJ6wLKBlMeBQBRPEWBcNv+YkDMxSELtIXOTRde+sblax4MubWqBwAz
VCsSOJG6MxrsB24a/gjrec/nyD4+h+dCtTERBze6pRqImgbEkRpTj9z1ZX3qtOSnLRnXL0kWqBBB
fYbSF0OfG3SB/p6VWtsaMOqSZsA9hJCBrHSl6PTCE6T6T0hpa4HHnUDVNzOtHCmdMyx37Yvbmn7U
UEsPQaoKOCYEVjd7KgXWnJftblOsFhPan/hne+uhXazpaPUwFyc3G/YFIasgxoQ9Z/Ju1C5yaSMf
C+VbmoT+MDkARDrz3RDmQ2JZkjLQ3kRRS0gqxQ2c1KlnxDZE21YwGmzsxY9UwGHFkj+xN/W1wVA3
wI4RVYE6ZDqqvguTMmqXLeFBFgtpbPAmsuOcmtZ3FuXd5EBNE+tAxUpSYiJMng1gfv6MATRYTfiI
SMqRdANJbfIYY36XAym6NM1wk6DdFhf5aZr0FTFTb/K2b651P93sOVcPypxUGxChOkYxh4r5zH4b
YLd7epfcWyyzuZo2cMH0c8K4JWjbyfVKrG7emhjidBPU4RrHjr6rhEIbyeyP6JWubsP84LqWQoa4
yHxXCmKZ3VVJxq/YmVpMLO6ZajZSJkbzZDctI393OtekgMcS5+kUAvmgfDPImJoNhmkdnaU9M6RF
7Vroy64R0jlkoWq4Xcklli97rXyL4uRTJGF352rGjn6WchfGzr3Vz2qQmdPPxIKiUoyMhHTroyzg
sskhQ9hSHSWoC2PaTsDHPH69szOMW3RHwrAy38oh/sbXcoQkMgQM5Kj8o1fSM6yESlwwON5a0UDP
NsDcIr5Wdj0HiMCJ10O857jYuVvRSWwDGWqLVu06KtW3roIi2dXJsbaZvE3EdvY2U4mk5fiXhJmn
doaC0YM2CWeUk9cuNp5mw6hxamDtTtTxJERBcxtDKQ6lXPfjveLY8iDzMGVMYn+55dCijiNG025D
d3tMiLnB66S3s9gWeYuuys0ts1Bh8pJcpU0VX04pJ9MCyyMhQTmG9TMth9nDVubQwS1flG4/9dy0
Zg8OY+nBbvEIu8BRUb/AFZ6aseNoKJND2h2SCNJFSLThUGs4JQfuj5TPMGP5D6ZOZ4IPL0rNRLFl
VsfLa2LPjbX4MivA6HoRbseqeLOSON7WU/pI/MKlawQKCSfq09ySIwXpE+pKdtZS5Z5x/xt3z0uG
Df02TuNGm4enIbRODvL4y1zYz2UONqZM9wmw5SB3SG32007E9WpgQH3ICie6qlPzYtGINodTf8Ea
fRK8/Wd7M0oGqC6j4A2lm26WgfWeTIPIBjCJ1dlmRE7kKetMUOHVH5S0uYo4psabLm+vrF7o4uHW
i6H7wc7q4av06rOhpe9cfTZK712DSHZrGR9VLQdMQjXRU6jCvq3Rsik/bf1ySKMNkUmWDZ6UgWvL
F4npwW7NbKOZA0G7mXE+DywzHvOdTmbZi9dlRzFGUJ9x6nppll7xqkrfHD/6mZF5lPV3NgkIFOxi
azrhJWHTezFiQSjYLNbmudgH4LCgyWC0pT6YQbWyk7p4msf0OS+YQHaOGRAA77gYe78r0McAxiae
Jp3Ej+fkRF+0iZ9H73cWoGf8DYYeFIVyCBeG95RfU9zWYNxLO2NfdqaG9pe/AG1iJA4rWQ79vRZ1
DLRrT3d192DYjm/pqvT4zW6tWe5ShkP0eDxManEdiZU/TWwr67hH4KT6yNlZWZTBsEUVx7vgMhkN
WqtOg6jEl7f+r62IiseqHOA75m4ayCoN7OUeZ9V7unTHxM3ewxjjtFMoe/Rj6OGdDWNqVR4Pw8yo
insp25I1r32aaDMevsYO75G4NDPPAz1Z2j3DT585nR1UraESYhBX+pMonMRGsJvFovqRw2wfH9zE
M87L9LusDX3umPmg4DGgvp4KiXUBGonCdFCRNpg5O6JAlhmAGDtoFXdQx+jDE5pAPhxIwAKXumtL
RuX4SmK87PRDjRbm97jd2aGQfg9yjEs5NzZMkHoPVk0QFj0TrqZSd6Yrn0m9d9dSLUdPdUP7IlpM
tPA6GY7Xz4CB6k2s1hSszFntWXJ12fY16EL3ITVn61hXphoMYfSOxnBNwvYriodwnzeon51qmnsV
piiBXwggseOxzJoUicTYPVwQVmmhZPucRJWZ5vaOhASeEnNeHRb0KnfKL9kic7ctw/eseQFBFp9x
0+t5/FCauBly0mFUI6o0hsZJ4fjxaA/ntOHC1FTsIdHDUCVyO+X14jUIWh6umE/NEDBLlsU5I/WA
ys8TXAFZP/IBUejT1V9zUro72tTrAeZlJ5PNhCnXwx/NQS9ibDdyypzKySCVyUaHpJSnzamNqgeC
HfPXRmoLFmZUXK1mdWteeg075pRON8qgedSKgVFrSEnANFEXT8ArwG0SxKhsNA0oe1En4U7gbN7k
KvRKw3CiDXS/TV3/CCNhbwuKGD14YJ8kdUmku85J5oKcUKaxF074R9OU52v+U4g03czdwYhBzM4k
zvGM+wMRcc/V2AoNjTMiUiS7sFzUvbK6QnjKkj6It2XXvfAg20sMiliyELMXqYHB7VgM5gQoby1b
HAv0mqXKsz3bq2dT4+LAgYf32U+pTT7gRx2pel3XWEHRfQ/TFIBcRuGoSylfNVqHsnQAh5vkVCzR
VX6mqRuDcyOz0muCc+NDQ2Sv46PL3ILPiAKHFM/WiSfR4AOZKAJizU02Hjk3nMahGbdgA75gs/L5
WGzKGfJzyWWZtYka7RpnkIMGzZEHJ50x6R+Q4Jotzc6MHBPrq0O84345KcRSdk3RU8woxQ2Jo7hQ
M8F1brXhzxLvJ2q+HYNkbTSfFOJTRH+0tuhRoDkjbRP1pgTavM8LhziTru179Kmdabs/6YLPDgi4
U6CJ1CJFC9K8NMSLOnbkuNCYNqZNy7BoI5AM629YxsV5bmR8jWtYJK0LlrDS1DPDZ54bZQIZu2Jb
aSc+lX64jaPc9ikuyUApOty2MwKwUlXMCzK8mNTO3TnMhDYDT6EdSsMtFasbIQFKXGbznpUp10xG
8Gu3z6K76Tla8jMrahiUNteTMIhFJLTOqYK5PYiHTy1mVSja76GS7+grqcVyV+i5cdC64kdOkf0s
3J6dadhtwmjeCxw1j/U4FKy2SUnywi2uKq/wMR3pRsp/kAhQjrw8tIKU8Ke2/AhBmBFy0T6SFRGI
BP4egb0+ZXF6zOL9rOrjPl8ic1u4YbRLVa+P8/ikCrX0RNJsiXGia0ziazTgVOLI8PW+HXjUOp9p
omVeZ/TyMkwCJjURaNv4YPtk0uzZjUFjhfktGUrQwMnsrfUtzdQ1mB+ug2JiRyrnU6L0od8PkeJZ
fFy7AsMMuEdeXKlP31S73Ijv5RuzUN6TbNovEePMJf+uFtgOy5iYgTuzVYvlrWvy+4l0+0QPNvoT
mwS52D5hLeqXBvvelPrPaGyeHK2+2KE7HQhmz35u2U9CH5brKNOHIY/fnEXPX41CebETxX2qd8DR
pS/hFXAq5blK6u9YqmxNXQebWIKU7S5mvR2swAIctnexQCwFCUdtbvcjPuHAzk3Fm6iP9VunSPcw
cIVDof0Ih3tXocVQrA3EGFRKc5ej48cqMv88NV8uTCUffeQI79dv6SHZAVCqNkCgGGLWgVG2HVeZ
ewhrUztooXHq1VI9DjbXrl5QgXdfuSyViS2sSz5mUWBg5DmN8XFw2/YAjOwF0F3lOXb1LSV+cGrM
OFea9OaFZhJEdKmgapOycPrkwCzDPXTWkQkmgLmWTbPjkCBjrEHssmNLnrjqoTXmreJQC884hBqk
ls1VOJCOwF9wP03lTlf7yu/n3NqnOa2JbZtBJrd/GZES3gSnZlhuc3kUolI34eDytZFdcD/ZVHO0
BQ158y6vKTRAwMWUki6vDsPlTOFMx7EZAg7XkgA3+1oB48Sg6Vjs6aGIttPqS+/A5jmtiQgkxDcc
aH2r9NEx09mZwT1kraKN0svcDGRT2GHnxU2WlKnwcPUhDrmA8vMlZOOUOMo+nsBVGrjmyU8s9Ajj
rlNDhdicLN8zW88wioB2nwFbex34/O3sPOMRPkA/4mFSOdFda43svWPV2MxrofxLHS/1Lx6yOSOE
93xaw1/jLwVXf5C1LA2WKMuL1pDiCwkMs5tMThBkF6+AFkVlI7tU1jty8Yt6p846WXk8fbTiSDIp
FuhQszmZqWqiBkNjRFy8YdPsKLrmm1Tokei3Gy3DrRfRB+gKq9itq3w5Svvs4LM46wudHqJCOZ8p
4IiW0rww0YaeT+SctfODdCPHkvSdhJKyDUdQfQTZDVW+L5ZVcrI0DhnJzhcX2wdshTQKafvIEd3h
mAWamr/WMnkedJof1UX5sZzgFJ+t5Wi01fOQSse3i+ZHaLKttsaPwqy7M2TSjj0n8aW8ZXbEZp2t
JqbysH0H4I0V2+LhBCms25pZ/MymBnrBKIO2oriFZRFO2HFAYfVa5CP0U0odmX2bm5Jqg0AbluPU
QiY3ImltckoTNDQDUNavTTIOBzgx93E4bhwNP1oBk5OHdEKtGMhwWVFJYhEzEuiWi00M1XEuSdsk
B4cOOU8xsvIwjSGnGh7p1IFlfpqmd9VC4H3OqCovnDy9i6kpxg+Rkl0vyBXQPatiTbjoMvrCU/qC
0OpgdZV6kJHItKkjIoc5ZMj05KOcaLUEJoq+K8LxPTHw/M6MSiQnuUPY514RJtfJAZ5duwD3eN6E
6+6iaOt9pOVvDoZi35m0HAQB22IBDS0Io2wkYCDfucsJyibLq26aQxCLiWS3Feq+kpE6MSb29SKT
5zQk4pXpZO4bRzkY7kLkpx9AMBbLc2k4vR8tfWANrXXrerzT7CAo8qycxpsyM/eAMTHGczBV1A5h
4flzbpHewNPe3Lw8t0boeGWooX9Hu3LMfhZxLs5lON27potSYu3GJhSbpAZxVO5NbZiPeq99LbjL
ANAPFdtLqnxcwjVhBV4UYxMApcVGGcEkmI1p0HFo7FYRpu3Txk8xbYZAz/eEO3N/TAfnOaf/aQyV
ZT/NTr1R8pRPOR2PpVGaB6z1a8swjmxofzYdhifD6o+jRZOsGzoc8rPuIqyNKBt1Zw8t0LLiatKW
dGqAwKCqIk23ujsc0YRXtXamqAi+CzSrBEdstndLqouHoXinGhwA8pLc6DmlutNQrP3XPIzDDq3W
N8Ch+ewol32Iw9Y3lOlosksJSExSBUsi1LDz0ocilt/VcbaZWvINFvjDZOy5tSH5B+xvIpivBN3w
+Zg1DWJA0uWIS6i7SnPi3i8+S6UT9307HTKLweAYGzy2iluZ4e6NR+ujcDA0ktYrvQlJ3xtsjrBF
otEOWdyEKeZdxczOYkbH6YbCA9Jy7BzMqaabuwLTbbAPTPIMLLTJAC6OIKTmceGn9s5RpuTSkbGw
hPYwykXfmFP/QsOfgdxmP6bkHzczM3jsM9LE5RCNft08Z3TWBRmLqZVrOEBYNmSr1/vpZ6cj7tbq
0oNZ7OVNpT7YCOMfyqjbe02jnNXSxuNs0ZXBSDS5uhwLMUrfD32417IiOkCVdI8wOPPi6qTtxs7S
+NFM2M+AGpGkhg9Drr4a7ZTuUuMKTl4wCjxUwqp2RkRgLWXpgQwNFLmlp15ivRltaOSLDVuoUUhc
qSkuJ3sC9qIrXivpltaHJkQqHUviIYN55ElyH0mbErGoAKPSCItDgCpPA043EePF6ZnT465SNmlk
YypaEs5qqkPjSmzvFKm5gY7Te8OULiD7zFCr1h7zTE5XPlbiv3nMjTQVl2ZkE7fMjv1QLJxP+/hL
X8CWmbr1ps+GuafD5x6VmBXvUcaJ8+k6yGjpIA6tk7NHHW/L4BR4cpqOts+FvsUxeg/rtsMmATZp
WHI/CWFTxf3EwTVMKWgTNM41XWnt7FR/yOwWDPEynTMaCpF4cYKaKqlVcgcN+410pJY3b+tvPeuf
wr5hD9WRylnSglE2j8SiIagh3W1XhYMnZ/pvdHhSgzzitZ8PEuJBMe4cKXXPDg1srtjwpUVNWGJO
q3bucQUytl47zbUkHyGqGHuKJmFwcXl5Rbe8hdh8RYK5haNh6dsDQ7qiJ1Ibiw9Mx8u+6BE2mCdC
K2qno4wtSNkuXDKFuLjKuIgowb1bpC7XQcq8HUCGZ2hRAoF6pO1PkbSTUX7nV3qEYTheqoPTOyRh
wYlmUVedh1yhN5LyxUI3073dGFqQ1gV2YAL39F0m20RXxmunasOpSsS1n/snqVvNroSqitKxFsG0
e2sYA2EkB2zIZzsuc0/vJ7HDU3Wi8gAqQVj87CK2Hku0qjWhWaMJuLuoXKbtoLN6VYS1T25DJ3fT
6pxy8+dJjFQtQYfBpH5vlj35275/E0VyZlVRgBBxGjIm94sMAw1J6N3n2v1uSlfix7S4Iwk9nmEn
HJbS0s6//2M6FTWMpfZcTBTcVRRSbc1wBGpe1XLTGvDiKTIgKkjtoQ5lf4rNQ1TMF7Ou2ObZmesB
0HU3cUeMukjupa2+pzpzleYtdhfcbSREGTCXm0bCWawUZOhwErin1O1CHP2YmAO56rwnPw7ihbrO
KGiY4lzTIkd17SoiUuJkZ0heeUh6q23sswRurKnlcSnn0Vd1ByobPrSZYgRTYlWe3MY99Gz9sMp2
dzpAiiFhlpxY+vvgxJhoXBxgVanPQP2LFEZ5RBuVqjqBWrf10VUXUpkqhDzoj1BZusBIbDzJhM/d
9EhmeABCXamPjR0S/J9X2mt9x2OKZh+wTHbcf4pBfWjJTl97VDLyIz/5XL+cbGoPupkYXN+UEugp
qPbQdtgNfvwe3cYxUw5H1vXe1jRu19KRXpd2y1qUWW41a/w2W/1F1w11L5lqYQyHIJ1OoJCinylg
FMuMwq+eAShyYDPrtEMDH5euQZqfkSkWufYhpenW4yJsto4gCMevC/gAS2pBcCTIeoeqbxwwwDUT
awPk/yFsGWEWto72psBijJsycAulPkInH6uImCsde+yVtlMRP6o5UFv2I3saPHZwrIejEqaPqsIJ
CfA07chl6Z5ISTHyCNutMvSfeEHnjaJJthC5WVxi1pR5EdUOfpjtlyHZFyJW0SYfkJeGSN4luyae
7+PeXnkC4R4XueZQMEi2Di/wwe4ITKujSPezdLKtpmwSVblyifeEsExrmyUdbKdZ3wtZD7sCvtNm
mSd9uyzqI4092DSTA7h/zuURtrbcSgJZM/pZVAP5ZTE/Gg9pluEwaZJUr14sFoE7YcNuD+OYTZgW
ugFpsm1pat8VA7HJyqEe16qyr3VQzqFOwUSKAyzEeuoSBgDmplyzZXjA4+ipkzi7BgVT1EKhns3M
6zA3byTm9Afaot97o1kdF0VQpcvClIQ+yEXaFCONBjKMth8abL9T5rxCuWQi2DnuWcv6n0bNbMsx
E6bt5qjuI5PSRKcVv3KWM49UtZ9zhOZwHfX+2C7IGnECYJcCvckF2WyP6ylsKTe1BDDXFTvHpJKY
IRgnTrd5GGCDbMLehtY6r2bsfmGXQUTn2lntS2E2G6UfH22u8kAaEVOZ5jF2uw5eNpmjweeF6Gyg
KRk3a0GGhjhwhl2jZ+jhTWoP3D0nnTuJh5S3D+5VvU00vITMj0/FXOMBxu3HdTNp3y1cie6WNByQ
WvGAFyTadLG9l+AylhSojklWy1/MkdHH0n4L8mReZyeHUGsbT49J6KnsoUiT3+HoUxHTAMMtYXWu
3NLycMY/ZOVeHV1fESUhM+AjwsLAVsekO4dvQ1F+jXn5pGJ73A45Zt60fqpWVdwy69JfFPNS5M+N
1Gk/a+zveowphJ2WPfG5haqJLXnSQ6s6F8da02v9D4UDjsf49bUBujVHeZAWB5XqZy8T+Q985rnv
FsO7Ntonaq75Q71QoNweGrlqYJU2gB5b56i9D7Tgk4JxDoGFFZ5KbIDMh1xvNs59DiDPSlgrROC2
BJYwgpyZnZLAc+7Yel/sBKEcR/+xwLTYZhFwAUfbtnS2R7n2WQ8MCKYwFN4QdWcqw3zHLV703n3s
4nlgwJC8NmXHTcoPXFtBZ9c5tgbiohixQmFLPg0kaHAFe9FQw0NJkVqQRbdpP+z0Mn8Py+KXwtXq
RR1tUKFgLqszt1/Lk6hbyD3purVnK+1PbZgo+jZriPB6lm/yiFYfq1v2ZsZwghEmAwqr2asxsPss
fwVRt4+k/lXpxhAYTXay2acCGBJ0U0QjhOvulf4RrBGx8sDZGY/DDJcnGTq/aCL2QEujbKlomLW7
tuLmFYZOt83K689hYVZZeo+58wGS5DmazAddAJCr7PjKvPOJwc/WcNOeYDSeQodG6vDWrPCdJRIv
uWPfDbr+xIfDfqSaf+lcthvVjs7x2F1ppTsobrFNke42y3fnzDHdJPWOfX6A8+u1N+h9VY36NnYN
O0TNt0JVYTUQpT8KrvByMZ/08ZeaLryBOKeNl66LXhUaPngvccEb0YIbogT4IpeLlUHLbVU2T1nI
+Z1hTZSnlzLkSknYLOxsyll9tRE5Urf1Q431PUSGGOTwIrzUzNm6zxD5K/lcteWHHONL2uhYEoUz
7PUQSZWCAv2jcPPPXg+rmxPellgUZ3Vu//pPYXb4BQTxImMyDmFW/3RG44cWFsZW5iBER9HmPN5x
RLTZcTDZfap9phwqCdY17CPjyEoHEEywGUcEO9OvYp07bJtkyFVfzzN1G7VkBFT4tMdx5mA/FwVO
JzIhTZm9JiBRaFh+cMY03Lgdznnb4fAi3WlYQRTQVSulh/tAQHFJ3TfmrNjnC3nU0pVJ2gJ5UzXu
8bl7RWVvMZvMO8YcgsG9soIpFUrHck6UsoNjSeGh4aSHbqwR0nUSyUmZ8+FniFFxXQe1DSSv68dT
aP+QQ3MS9WAEsTnYp74k9ouendoUwE9Ou19W7yG/FKspjIrKNoPGHNxt1nH877LwCwfvW+9y/1Sc
g9DXuAMjFjac7ZHtKw3ALeThU6kuD2AtRaDY7y3N2UCMc+tcK0qyzQDM+bFsXkI+Rnqhljs1nK5p
wnSj0gnZURa06ebsaiTlmqEVWw0YwZZ4RtLHXm8DBx8S63tOKJCPx6+86cDCcxgYnVdDljfdGcrA
0rJfou+/rMY9seXmbrcwKDWvTM/OidSQpcVnT5uDzkPYC/GfyxyXEBV0EDhrTrd9kyGkq3c6IA7G
aQ2IhvxuzuYrvSBtkF5iqkfaSIUuEqpHMZFIYVr+K+ZxDpAjpmE0RFisEMF6QD8eNVUOq1h3zzOL
gp1uV9TNk+zUmzWgMwtdUBwkrRNtZq9V1b059jPly36HddRP5bemXYhMY3Wv2LAU/F+Fc4u0pdmQ
09tq0y5y+ofOJjEtvVPHI93rC+MCvrFbazs3bW4rbCY4QtTbkt3TwALVWdrBINdBCqCxeiipEHV8
6KY7mF9vBvQHTnVv5A0PZtOcaKz8IsD6a41XGS5qmVhJLxqXKcvLtEwaq4H6FBvly3o1laMzcBkl
wMkU1v/ZeJoSySHeuWhz3CDlKzyja0rixyK6jnb/DBhDIrUsWxX5D67BkeM3Lgfel3Kd/wA4yKJd
R2eJZ7T0FYRJhueE8koOhYRIbPoyTSBJBRD+EEuZhW7XiCjfSVcNzKz80Zt7s4p1v0IN9SvwiLOJ
BAwDKWhtjKVlhaQVw4NlWHZpQ/pYCt6fNMmekI0/OtjZGHeGe5SCAFDl1i06yN+DZ5Gt0Egde2k8
gSrPvqxJ7uy+Bm43oGS0D72dn7B50+ERMW7Ffoc7pkfYqT6zcD6RwI59CCnSDxf1ZwOwSFFcsBtX
jbImv3fz/RidQVeeVVN54H1/MBdIJk51LSUUEUNsnJaeDAxKZi4vNGulSIHOsdd8elnDbdZoFYYo
gFbukKCrrXonDKig7DWJqGGcaNCB0Zmw65wrAlccpEEQFLvRklucJfC1cUEojCj9qbGeCstxfU5L
HhXrCyguQvmw4BwvVFv76kwZ2IicvY3NQqlyBrJz8VKXyRLoOOK3i4YtusYqFEm23dlUB4tRdD7E
Xv3QwWQdxnVbQOPxvFJsmyl9VjMGtfWq5MajSwrRKL/63vgxJziteoBnG3cpn3UJl8RgPn1M4mUL
72fV4hbIYt1jxPfs8xQPwxOk0BSyOUoetcAxu20EN/7BMyh4jl1pf4FbcMvY7ysxu8aYmrMNzuM7
RSHasq4/9YxSZox0m2WpM9zq1p0gLg/3tV4/QA/q3hK7RlcstHnfjFnoT1KrA7QIGlT1V9xx8xUa
3T1NzcpB9i3nRE3WB0ydeybA3Tmz1Y+osXgINwsWdVtLA7NOlzuXkAbt9kq1XXriqpqYP6DktQ9W
mf2S7No20fqInMvsE7X50dGwnMtJu1NWcGith6tHJz8U47dSUIBRGJzMitDKPHumWWbmAygGBC1T
qUmSe07IHVXaAiMfp0kdn5BX5xj9pbZ1IliqIknVE6hHPqBJuZViXAIHkOOxIf+FS6x6MMa5XSvu
Xwgh24xPgREa5Z1Z1k3gsjsfSPY8SkqJSM/0381YPxY25xKHF3vK45a3OCwwy+f5vsWH5WtlQ9w4
pmighXdQMBOTmXqoDUgAiwqBKiZotsdFN+f4uXQ3Lj1N8JDg6B8dpW39qLtRe5s7tdmqwIKdRmH2
WyzK2XaLz2iisFWDnCDRsSSX403MD1YxqVSk5+G1rYj/LMzQTykkEGrceEIZuqaf1awGEgmlVJ2T
CzWexEk5xY6TCjgMtNtQ48ZgoHMjqIZHo8m1zSAldqgaYUGPE4xbPIcBAJc+hXi2F9pac23gEhP2
lcdUvS9JkjE5LMRmQviozoZdK0GZ4S2Kqyc2JtElGSbkB1aUbRkbrLkDWAaqYCcF71ZElpvOhtIi
ioQ/KjrglgYzlJPddQMbBhcoosQI2KciaZlbqReXeh5erWah6QWI41xngaY5IH/YCyrZylEXIP+z
hoIm9EOfd/wxt/UfWAY4vysWnoW5Q2ygbcF1v0MteiliqYIm562Ip+ZNkFn3olm9kAGkTQMKKh/6
K6zI1SRETm8gLEixXEBgiYhL4FYlj080050O58CEvlpZ3wg6h6wDoJzzXE9r443qKfOQCGPfNxpG
uuyn2iyhp+r4TMmaYtoqWfGi5kTnt/QtSF2cbxb3RNlHf7T71i+o1fSILpdbfcDpFDYQjLHLGTU8
TzG9JglMkrFaf99UuDtt9WlMosNdxxN4a5vDJ/XESLsty0ZnRr6hFvDMLI4YhTFAF4kkO91sn7mJ
vU+rzCUdXk1+JwWJefdrcvVuZ8WsN71TzVsMgC5EHzOcq40dL7jhwqy443XAfJ5zDrA4N3AodgvW
WHlLzJECGBdo6WQO27mxbooG82WIwmYHx7JBAhvvhOhu3PQpBKH4ifasrVlTARIVCEH5nUS4o/Na
4yVRq1Pia2B/AxKCEcF/kHdmW5EjWZd+lX4B1ZLMTNOtz7g74AxOADdaJBCa51lP35/I6voDIptY
ddmrK1d5ApGx8MFkOnbO3t++K1rm0yAQXtvq1WEimvQ24//urANj9DK10ysaAp3mv5NuwFyZoxcg
wCViFrHCB2cvqI2GQ24t4ndoztYWStDKiDjQC4LsXT++LuPJXUggruTZSEFIl/QJU2e3Js7H2Xdi
HfgkGzoRAwcNYwheD7oo0cQIlqoMHRNuGlRJT4Pl5fuooyidys7fEVhPrPhKUU60y66oz1XosWlb
Ym20kTqJqIXEHQGH0QLLuSOOlitkDv3FHk41q9XduSTR+0iGBhZEjQtOi7K7rmpDApRem7TCVtUh
xqkGiEK+SQMvdajotfHCraJN1DvFMRb1W2J0cJfh6DENd1fMSNaGHQSrfMIhywJay4EY3Ak92Lqy
6g1snEWCRx6/dLMua5jiVWwx8Mk5VRT4nZnFtuservSSWWG0GcaW3Oga4UJD8wFKOI3GwL7pUGAS
iz6i3lKYZiD9hnaOg77u8Wj5W0en+KUWWKjIHQ922z9RqO8afrVNs3FLKzOfF6K2dB1opgNG48sa
3Q/3ZYdQUqCtVN8VsNpeNNe0beisK9Nd1CZjCnPcx+OE6okR9zgq66JH2b+oMzrgfXzRtvtRNo+M
O+xVlY4UYQEBJS6UrBFBU9wJxNqxay5C0Bbs/eV9mlrhvhmtYlnrNVddnO90OzzTB9zo6CIZOBen
nDNjEogr0CL9uqm4ZjQDUQPJWmwM6DpSmkKbHMWnjg9jgUdMkXJBd6m2mmPpYekOo2SFjbHTcBzI
Oq/J1yt3Rh9E2K3Xtkv3g6zUctvIZO+ZY3RhxvXWqu2CHIA3ugHeUsbliDsHjLUetXvDgxCRjN6V
hlSQKf2ycS9lSrahoPmMeOqkgvYEl1HsSMhY2cImBZmc7HWTKxNIILfsNDGytdklx0iF2qWExLvg
XMm4Ouj2CcoSDAhpfyXz2zFN3AWkxeASPAmu85ECeSTX4Eca9sY6Zzy0xi3NFy4gDrv42VV8dGFm
nqeojJawkgjb85vboFOLaABfXQQUkHnnIU66i+I5sNyzaa/WaGfnESvYHoQFHsPb8Vwgt64jTqhQ
t2x9qHdaapxk1BzdumEs4uWLCcGS5uo3sChvokG/C2d9bOOaj8a0bEM6gXncPusFuxH4IlwHJA4V
vX1uB2MzKY3GrIOdQ/aPtESigyE8EhJSeVeVHg29skFzWDTlLXwWz+XW4JqSsVcFtLdEdt8g8mVk
NM+0AwL5XMRSxmpKvKeoyI+1bGZbSIs7uHp00VQglDVOtRt0q2JALKAj3cZASk2USGrSUYMSD2YA
kXCDMXiQ2bmjX4+wI7oWbnJKPLjxaXVo8H6vx2K46qBeL7sKjalmc6wzKZEnpvZLrxA25RTOGHB9
LV50zUJQnjKFXtIhusXeeE764cw9qN7Se+3yON7HHM9yRYHXXQ41kq0oRUOHHLvbdcNzA7hrGU7N
hdU2qCLM9s3LBQLSoLohFH5NHPeV0YIAEzmOCFq5T1H4PBQcfSJyCDnGmleJ3R5F5cGgmhNNYgvq
nY7RjB4lhyu28Z5eDSDV0LqApL3MqjNTv13XCa4nxo1a/pcRy3WFiG2tABovX1pn52RZs+9T7h69
Z6NeaFIqtrJd44wj97tL6Ig5cN1qYk2rKjimElSyOUfVmK2gzwXm1xVdejGRYkukQrKHEcshz+7p
KlroXssMrXIblCa1C/1ev+CcX8XZQU8LAmkZ2vBr6XsHSX9NGcy12mQ4B23EGqm11ZrO3s2WI2TT
dPJ6TsShmCSY7PpKEyY35vENzDvmm3LYMQec0bHo/UBCvkvjoay7Zh20bXTldndoWgpkyzk7qxTM
Z4vhYAbrQCUoiDQagCFFF2ha84esvWdbI0VTLwhqyqRcwT/cmC56dhvMjdbrEw3/6l6fzaAObpZM
zYPP0lfsYNXeTTx5xL9Ih6jxu/u6tW9HswkuU9c8OcgKMpe8uhZ1DfjiU6kzUM/6LF3hzQJRMtqc
2eRD1dXeZhLpmjSAGF5yxmcjB4e4p+S6A75Jye49D5zp0cWPVKA8oymQZEJohzIaQb8S5tBGjbZB
uhdu81wzUBmENu3s6HqeZu1qh3cp14NuHev9vpI1MvT0wEhjGyuqhcKDD+mEIMD4S6G6aOnFrJzI
f7I1DXdqX53zyis3QB0ZMoElJ5mVyaKQK0VA3iLt8idhEN07hQjxBSM0ODfkBvZcnrwB+LlvqdZ/
5AaHwJATmKFj9g+6iI8KudPoGRz9/WGnFM3gYRaCxvbVnLWwJgv1CS0SJ4OYtmbmX+aFjk6eQ2DQ
9rRZQuslSPC/2GFZLt0GFb5PO4575hhis8obaCY5oeiYTVBqghwL44tiYO5boaE51+3wsypBoMLs
X5kYaKzCdHYlegI6FQX0ZeWUm6gc2OzLJtklika2xIGfGs4VzXF5KvCuFY20F0WVtRtRIEktbCRg
MXMU1WQ6TZiIQC8aT6Gjv8C1JcPFf5VI3QiaRqRQGYG7pJJ5R7vys/ajHHq+jDdlJ/yt6lWxy+hT
kH3MllZFHE7YcIOMcb3Lbru1Y0NbRmhOBjsN74syG/e5yWfhl3cOdpet1TV77b6w0nwdRlm00jQN
vYazlqXP0uvDpzZJr+y5V8W/UTqRShtn2mHEBt6W3ISLobY4mE7XyCqBVKNRv22RyONx8a/IYvZ3
FK895+xk2tIae3Jc+vEMOnUqP2NvVw2nEIpfpIEwxftMX/eMa/Tk3kgMtcboVK8BVyO2s9DEpdIL
VtYwf1xM71eOLFwCvIhgyBrCRUYG4GNnNSdHDw+TRqEeEmvMMRENZOJDiG1SzlhF3+9r4Da+4ZLT
QZpOaj2WRQFNUQdYEdQBXvPwIgTnADt1kmSNHAusAEc0bytiN4wLkTH8JS+GhTnFE+Aroo38aaRz
Pwa3gaiOJTCrTJnNvinrZW/olPyTXi1rd1pbXgTV2jeMHTka91pvD8s0yuQC+eUTMbSYd3wAwYaM
nIMpm3uPXtJOdvEl26hFYyAwd85EcgsOPcius06v8wg2ruJ92mDBYZAEcrQKCTx1s11Uh8zV479C
M1w7yZylbYQ4KOwfrZUsbHwlWMz8JyZj5ImkJgFbcbpFJ0s7HyjXDJYdJnckFLhouOsmKBkjP7wk
BtBD1MSpSSkQppr3jru7+BsL8W9/8Cf/63+Mx/9/2JOdb+3JFwT21f/r9FK9vL5DPfpkVJ7/5t9G
ZcMQ/7IlkATLJWdFGDqu47+NyoZh4GE2OCHZDjWkVOo/VmXD/hcuZAQ+/IFjWmr2F//bqmyY/7L5
n44dUXelbf43RmV7Bnb8DyrAdixOP+imLVjzjsNT+wL0qMq+N+CT1vtmOkkCUob+TRE1hpppAKJW
uucOgySgPq4Y/FmRkf1UBv3Uwcguqrh6yxk3LfyhuM8M72Gwzj5JhUGZbZMkO3OUX+WE/gX07Zd6
gWUsZLJSluB3rZqpnmcMkEitiyjtuGWnMloyGkAb4xcnW2oHBy0VtVnGJt0ERxwol0THlPGLb3Ok
dbMth8erzqy3RV++0qt/HAvi5lsc/IQesBumyXQ5OOOpdwjeZbB/774VmXpXfb4DhrVK4+aCcdZV
CmxkOXrJghmRhRbQvVFZ9VcAsq5PuhmutQDbgwMN7yTTwl+87P++aj5hZFgSX998xxSI/MGCOULM
H/+vnAb4YaahSqSJpqOWnjddDbg6w0HtLSe7YtiTYS0jrkR7I5MnIhgCkSSukWWYeCkkCTYeEuNQ
qtp6dgFge0du4ztBWGifqIV1tF2mcfZtitPRf6j8kUm+9m4HKbZgA7HBYPvXfvtW6SV3G8vEx2XA
0BD9WdpUCvz9djVxsKTOTf8ADZGz9/3LonNYwa5uW8J0na+vO4Z5hPDa68CUddfcHBzP/gnCuljD
+QwWE519+CrQJFSUYC2jYuW9eSaK0GU6KDjwmiX2s8vQfFDqAsbcTq/nMwr51wwCFiWVx4pa4UfZ
wwcDaaYx6WXlcMthRBwwX0pMAldAZ4nN95+n+OL5d2zdNl3Wv9JxX3C5f7mY4ijDqDbo5d4xpqs4
Dk6d0PclKrDOce9z/EaLwN8Wwr3vkeaXHSGviVp5cbNxZ6aGsA4q9t+QlkAtf5a+iSCmc3bgOzYc
O/eaG2w8lJJzTuYfnvfXz4PnbUE+cICO2dAPPrA4v/BC7ILI21bzq31ZvQYTMr2ONoHof3QkhBgc
jote79Ee+KQlXJgdMnQP/qY1PISpe8UhBRQqnG9a0iOwFEos1W4637+X4scfnudn2Iw9v7+WIdlL
Dekow/rKNcFJJBTsVOCpnngYbLjd6Y3j4GPxWk5IWlY+cNh+LBx67BCMYuIJ3VdHDXcd6QPcQetV
48qlNNtHALeXZuHj2uyei3S6yp1yh7lNTeXe0Ou3LlAvXuuQUFz89f1LYKv/tPJ5Bci3pEBYzobL
0v18xZPt5ADHQyln5cGJtF3UTto97M27Y0sknBk6h1T8iWr02+X28UvBXggJihsmzLwN/fLxhlVS
uJPtFfuaXqzUko1elLexnr2FXCChpXqgYUiD3Qa59OCBrEOWT6ZChmzuB2eet0mAKK472hks17kL
jLT3Kqh2AMk3Uac/JHH/l0i6C4bG96nm3FTmXy4Nv8yKb/U0WYvG+sOFJv/xbZTwmV02Nwv91udX
lOQcatkcyj3YiVUbEXcm9+CJFjKSO69Mnmu9ua9VcmVk/a1CpxD44ZOZUPYi0ChZ0v5N7Lpbxyr3
5O0uPOpnjR5q2ZMXT7cWUuPUW+YyA0uzzGuCKsuz7+sJwvUQIUqijkWA7KFmDRkk1XAwW8wwxQ6A
6NqVuYUU/93GU/v90jH+YXexDdPQdYnHQhcQSj59jDYkHdHLrNxXJgGhfJ5XmpKI75Kr+tWmsPN4
ugs3nDD6pPkxbbRjRkhG4IMxnVr3nRCHu++f0T8uLAoHHE70RySKzc/PyI+cJG1iRcRMpX4mFM9y
DE8iTTn9Ove++unQxRYXMWqSIhIrQvoWgfxBS3ZhT9ZqG/REzBjmwnVoqqfeShW82/4d7Vv6XRc6
zNZhsu+jatqTDbmry+En8ut4YdLz+/51qHm5/Ho/mi8QadoUZzpUGKl/eWed3Krs2HHRfjIqh+b0
g9aMuwzcs8qjgq5wMiySKH3L3DHczt6aIPEaDsMhb3dNx2ZG1CPLSLe1SK6L3H5vjFwsXHfKt0w0
t4NkAQqLCVbTHgplHf1uvHJBcfl2/RyjtVr6YzGzON9amNmkFZAspTfIA7wQL7WgYVBUp9IqEe2J
JlvXU0M3LNCvhshahFqMEw9P3C7KwkPmnNQ47b9/dwz9H7Zd22LzZVLuwK6QX642Fjl+lI68WjWl
x7rCvaRJndkLmtBYEcPLaiRoOcB6icQ7I0eD7qN317Tupmxm9NIY/SX9/KfjDWjAIu2qmyhiHINx
9OB4+EFJ4G4xna2HzO7wNKrbYuhgBI/TtVb1P4gDea06EOUyhyeBVnk7DsY16lF9azTdQ68ytVV1
D2dYb5ZVgvp9ik5aiOJSlgHj8IyZso/ua/Lda53JaGX0tCZr8MvjVG1R0D6QABmu7JxRtYr6VRSZ
YtmB78RKtzOa+DlBRLL1OcWNUVAfVEur1nTQV5kvHy8YsGWwihVawqzsn8y6q9dMKe5LMa71gkoj
tJnQMyPDNEdzmOqYmaAn45UWwck1zBDtvJ8TgOp7Ou0IB9B7/5iOKYEUunVEWHYGmFoTCtttihkM
AO16jslKNrLnssFdswrjjNFhQzvZxi+URfeTsoIrZsiXJpqfrVDpeUTasC6D4KmeOndpJd6+tfRx
CbDWY4I5Rcbh+zUj/mGDRjfAecLmgMrF9aUSagm0VYTddETtCiD+5yrCYqfH13Z5CeKA3t24VtUb
J6K14BS+JEYjocdSd08Z8J9l4D9ZWEGc/lF2OO9a29owFt2PjnGhK+t68kf2bOzDeXMZpjdaaNBe
+NOmYP5eFDm6dG1Yj5R0NsTHz5ubNNIwgMALybVXp6x1F3DUK3SWKckZKXOCOme+FtEtK3ASMZOu
N+B5cupMJuCGN54DaZ7gLjj0xBSADHsTReQoaYjwFnZGY05pbXzqftL2xBLR0d2lwTqPSAjGGLGK
Bka002avdVCq23wiwztoEGiAX3xENkerqB/ezF5nekc/r0rwqrjhuPcEz4zwDpJRLHM7BPUei+hd
ODmXUVQciqo/us64GsdhJYR5+v5DV/OH+nkbpcSgH+u6tuKTd7/sE5jr9aYCEreP+T3+9AyKNdkH
we0gyie0uMyC8UeuMMhdmhNIc9WgWy1b65L22ksTD+8IhPZD7GoL4TUlVKXH0KDlx3VNsG7I+ctD
my8e0hj8X4Dpj+McOnVObsRA7VyH+q3J3x2n3YKD7lGolSjt2vy6msD9GxkXW+b6z+CdL3UQz0lo
bc3u0seU/4d34R/WjbCZKyjO9bgGvhapE9pmT4Av2YP9vA+NaVgWLhjpatz4URUtwTwOMaMnVHQZ
DcVnosuvIxESAdCO14bVXPi9wEHNKITxNOZuZzU5yM+d7LWq6HpXjftXirF+w+2dKJxt4agXpNjP
hGrcNoV1yxtfhC+tS1MzfcQiezGN90XBcJET6Js1le/1fG/yECa0Zf6nCmW+JL4sACm4P+i0PAwL
StXnS4Yclmk2QiT7SRGBlqPjJ2IeNI+OIDcYEeD7g4LCG3p3OhoIclMPUcLZ3xyardGDNTedBKMC
t4TeRQjeS7wxMYaE7z+g3+oours8OVuXCtQbQpcvF/boIAyv5NDvbT+7dP1yO7TcbfVJHWzjNdc7
3Plk7QKMdnL5FjsmKh35CAn3sgOus0gd9LffPyPr65LhGTmGSwOOYwFN9q832K7262FSBtOe1ryS
ZrpqJ3kVQitfEjZS0AZeousIV7IKt7GB0lcnQW8RF+5NYjUA27z2SNEC/sUKbvtavnY9bph3mPRP
Upn6khySZYwMsQrM/TDfbxghNWs5XUaT1V0o6b+XgEsQnjO/yVzzupo1f9CspyeiYw69bG4JHnGT
MgXGDc9cL+V6/n+nk9yU+iRW+qV7nQzqcgystYWGLxPyClfbD3hDEHC2BIbXy6kLpoWei2AWqz2j
NQwWKRCcUco907jHvmmfPt7U/6on+SOMw+L9LXz5SkL8RFD8f42ZKHTWz/+dmbgJkxCm2kv9azvy
4+/8ux0J6pDTPtW6wWnZMOaW4P9pR1r/cqnvdEuZ7GCcUP/TjhT6vxyJ5s2lIcWRy5xL5H+3IxVM
RfqQrmUrSTMR5uJ/05AUX2txlzVp8Q+0a8COtuQ5/HpYTQB6m31ZDkcvIYDNvy1yjU65Xzqb0POa
N1iQa1Uw9hkiEW3cqs7UQnP8V/r3YveBrs9tD9I/vLGrstVByVe1uJgGIgh7Z29rk/6UNl26cVWT
rF2jOnSAk4ixTfSNKqS7+eWdP/299X3q8M0dvF93RFfyDiuGLVCi7fn4/fnVAIPXPSZK/VGY8y0/
HLyzX9Nt7PpYvIXoO9REFJujfB83TmkcIxApFHYFJXbl7kKZmtsoqpu7FqVgNfYAVEOy1RilsS/M
0Rwf0V2+I26SkfoJtIX1mOnPuSGKH0Ol2wcCvyi1G4+RCUg1E7fGdUNYx4nJcH/k7MHJTfx94X1C
lf76mo2vtd/Ha7aVTdEkHd3+Sr70I5UBrgceQCc3YofXdp7de5wH2YPStH4Cx6GtfAbklyKfimMD
P88uhLUtBUOS0HVexq58g4CdXAa6g85eDIeJV30pmaf/4eQnvh5tqFZYYharmsVNNsOXe4E5jXGf
APg/atYtBl5xdjFoTW4HQ43knmUPeJnCqrWWjf4qNSM64fJw701Fd5JlGh79NoYXF0DR0uxkAn6J
Hgu4JELA+duPB2Z2LmE7rNOs1UJMcrncjpPBaCYK5Dbzf/5hyX1tE8wvCbQpx1mGCrbx9TCLfaWO
gxoxvUJ8+kNnDS0nPKErw9aSXW5lxKUXEcj0AqhZ2OnbxAnMy48HA67/3199fCvEDx8xXa+QJJB7
mIHChENjZavkI6jcqt2CwEikFP6QaGu7y6s7GMDxyeq99ehj8+4zDSlv0Vc1lsU8uAk0mkSZzIFf
2YC+ln/qkIjf76MgXWcquzQZqUjrSz9dh8HZ1rlXEaPzhrAI5FsSl0+CZkOScrxjupyd4GIVOyhe
lx4am+ugMGGbWtzW7CHN1rmC6uSbKFP9AFZPPmrQlOxm3GlB4c7CiomUFZTif/jIvhbOrkJXN+/I
SjmSM/aX582OMlkCa/SRjPiCc4aor6PJ9FZ1NJPgcIRx5KGY4t5PfF9vqqukgUrKAr0ZOPP2EFUr
jnx3jmoZIwjb2FqyDe6iiMDvzDS9hVbb/r0os/w4NgWSFDMnMD1NRqQIDfHvcNUnqtUQS55mnwGK
hysvoNleCgvVdR3Vzh+2RTVv4p+2RSXnmRbTLbYHGHBfNvmUNzGYHC07eqZFfGQlWGJR8FKMAwp7
fbiSvlasNSwfHDKxY4l4x1QdaWsPM8utx/Q9yXVgaiijSRylXDHardSi4F7iKOMIMSGWM1A6Nbej
xDz7EUqEenZ2kPjF5ZQWZ9sO6nPhVONWb6JhR1xhsko1kc85udnSGgMMHvHBTxvjaPpkgPpd3p+m
FCdCR1X5g92ZsYxmIW2S1h+qwd/3z7nLojP8Y1HMW9OXe0YLjQPznBEc3EZdmFE7PFgl5qY6oE8m
529TR4suyEejTozJ02YW164B4M2hHQaSTivBYolkx27oUIpCJJed7Yh+8fGlxxTk+9VL+/rrp+no
hsVpx6Z9RtHw9ZaNfb7J9SibDv2golWIrXFNGKd3E9kUrU1sj2cTbcDCTJrxCcjoi2+F+kELu3ol
dCe6JUKnAychx21R5fHtx89oIu59kWgYKDO5j1HsbBwqdDyZkkZKLnO0DMIzcJtmw4U7oUmovOEv
M3PiH9zGoaig18WM25BOMu9LCboezuFRffHxLeVMffBnqE+UVMFGaPAJTC81br0kpg1uRTd9aOu3
hsH8wzRoog4lQWF+Kw2GGk6NM4l0t8EpjXuqbgsXXeMVl25NDH3ctIAhBS6C1rA6btJRjg7ArI1l
MSeLGHYIATA0n9y2yA9OPxIQN3+lhbrYwqm+FLLrt16PwM4dDeMiasPxsZaU1Jlhncs2aomZBbtg
N7P7EHjSFjZBeRn3vo29ZdLXdatXUFwLw1v7dqPId3f04zg/2Jqdw1AAvyshDR0nf+PqqNFHIsZu
c9tut8rF3s6+XV21dBpWujeiinQL7Pd1Zi5NZONbHIzD7ceDRqxr78ibj2+6lmYb6X3ZbgzkwGUS
jiekCqRxjfH9GOreBXK2fF37Tnf8fu2J33ZOx2CArmzTno+dzNg/11ctMKcWG7ZxiAbIbbKytZve
C17jqR+fCxkPS7pTCjyDi5MWSwPdZO/YE1r+PJqIEj27tfeGn0VHt0/kurA0+xCFB5gXGZqZAkrh
/JOPh5Hy7A/bvvlb8cEsBkodYwwuINP+ehDl7W9B4XfpIbIahwKVdDkYpOCazcGsT/VEbGorcTex
Qi70OdCJNbEhJihY58iGyXyGNzyH2rvI6I9WYOYwP27ouVSgV9V4GG1ivCVK1jV3/mmtQpRTfWY8
AQZ5JFzNvhGTMBihJy8heAfRO1a0RAcql0aJ0gwukGRCjmC8jxq5Zql2x9L0rQPtrGQzRh6huB2/
it5C/R4NS2CAwSbEMXgY8qhZ2qJJjiD/xwdbpzFTjN7joEOScLCSrFt8xY9Ti8u8KFrnOlY5QpxS
3hm50v4w2zR/q0YdtPSGw+6uMzpRzpcVkgDsHT0/tPd22q7yFmIBWovi4CZJct8p+9oN0ukZE06z
auywPHAwiT9+LkKaa20HJkvCn9A7aRzEIMqVQYOLpHVKt1ovaVWipr7Reh5SnZz7wFzLQBfnYQb7
esbkEJ6VZJsgy+11Y6L+CkSO/MHux3ujS/VDqrX4sedvSd3SLhJ/0i5E6VTH2nmTkd4+RKKvtloS
jhunBwtTNM19TA/0Jhzy6jRI+dZxuM8G9xoSYnZi6+MBuZmyEvJl5h8FhpmeorYli5G6ESgiP/t4
mD0S31+NHxv9p9s6QwKT+xblDKc3ys/PV6MwBzs3VQ62zyL4juqheDDr2f09TeZlBRr6gSn0dVS6
7amv8vQ27lrABbU0Vh/pYh8PeW4kayDQFWlUrXfgXh6uS6bq60Dr3H1a1kDSPV0OFxod9l0VRvKM
jxDvJvTPY9Wibp0tsUkA8SevUv/GdN1wwwWA5GP+1mV0/f2rno8IX140AAtrLuCEsMzfm16BNGIQ
IXsn7iow7GShKAGxoGgcvKWF0V+VKiv2XuyqP9x550Lg62+WJA04H+0joc8ngV/munE8upasCmtf
jJm9VVySt2PXbLKSit2a7IvvXyev6R9+n62TduRIWydg5EvVZiId8WoLNBN59BZw2EztjTamxP/4
EgqQYjDPQ+yTWR7UhFtFcZkiOzGIQFdGfBe32rOnIgx1GqPB1iClI0nG+EgileS6me+stKOOhTS9
dYCV7d6uIeaEeW2+Y/rTKz94N3ykQ2mRqzuaqdMmKcv8wmCsjtro0UkFiWhu7MCQjPq1map0axJz
AiZUh4WrQ69snKA6JC44qyozq+cM0TVQRP/VmpjHMVNyEU4G7VH2ElsqBkRKiouP/yCvEGUWeCp2
jdPfqQbecFtX3BcRMv+VmXMa7Jg8u0GEHceQT6MOMHyo2wfX9l6KvIaLYrc/mgrRgqq7DbtpAwHR
tM6ITDtgK9NMR46sg21XMM4mnyzacHjIMGJ8ZFjpuRftEfxUnJvjEd08KM+wMWHSS4aoUgGmKGUY
3JUhrpow5vxizicAz0uya9BizY0lUlohKdRyRJbuTam748kODWJOq/EGAbG4R5U93kd7lZCitZwM
/5RoY3T98UddDEM/VETF/2FF/X73pk1A+U8PVjC4+G1KZCnsN9x89kiPIF6k7s0I5v1qqLIDOSJP
Xu7JTWgazSksqqfYaoNV4jnyqq7Sp++fye9dJw4iri75h66YpBvw+VLyBCYyrCMu/vx0ZXueDbLI
jB4r03sKEw0YcGY4qG9SItc4NSXS9fA6K4VU3PEASDG1K3wQmP40vLSmpV8j0cJ0zFMGSi/2sd7u
DI3kd5MVRT8CIoEbPoVxpW/KCILB9y/mY8LweV9wZkmfidNZpwXwofn7ZV8oZNDQRmnrA3jdDPgd
le7O7B3AYvNDbPo/Gvw3O4ZK5TpFQXqlQlVdfPzMmMhNJ9gHyAvDnHPKngJm5yKvzpNMcZz60fAg
J+9C9p5zM+bu8EDEO8PWc0XcYsNN7qNilfB+F7U1TdeNh2tL+Noh0vPoSjPaV6ss1JU1YCTElgHx
xdOAiQgsD3EwIktWjbuKwkR/oWaF/zhf0JXzFOay3/RBhpO0d+pbPxohgxuZxvU/BHdUvGYdytuP
b8IBMz3T2Gr98e3HA5NVe4KlX+umfwngWa29UuXrj2vk48HAG6T11lII34EjGQR/mqH/1pRxUIRZ
BlUeN4o5ZObz+oo0Dz4afJdD1qmUs6OZFmAuF27c1Cda+/9+YMjYR8DbNA31QA2oV3baKZ4fsHoE
69o4f79SjHlZf1kpDqM6B4usRV/3awXaAYCgksurQxV2cLlaPK5NGaU37dTEi5AYrlMSSSLDa68h
BTpi3FZoWfeH2xgN4t+fBc1jZFF0ORiDfCnROFAGVW10JZziuYOBcfG9SSdM6jBcYIjiU9iMXnYP
9MG7LjD5PIQSqG/hJfdMjwhwHYjkCjHAff/mfAx4P705TBOl4XAhCT469TUMTlOYR33d7Q+xKP21
AQdBDXl5zloVkOtHzLrpivjZqZ8bP5YvgaGHa8xLtIn6UL91q+S9Bhf7IizEITgJPuJJSymKbVJC
rJFmI88f3zphybdz0dg1/TKqHNQybek+qrz3eV1wtXy3xZkUhuuPn0d1O+4Y4A1rMTnOo9v07w2w
sFOjN+JGF8a5MFvn0QjskvRip6DsLHIsg10b7EUqs6OVlPkxLm1/RYDVROOFn1UJI2pNak/lUJl3
FcyUigSiGy3X1B1oVB+8/aS2SIHMuyCJh71P+teMcDLb1jg7RQ1IM0iix94pUW3WUn8efPHkk9Lz
6nbVZRGk8U8nBA7vBXNkkDiIgJjyJBhMKPrBG+lF2p2idbOz7VJs/cFOzlVTP/Dn6et3/wHHGrH6
/lMX9m8HBnpKzCBsusE6h8qPJuMvu6eC2m03QRQRdt05l6or6c/3wXPABXkr7cbaGUn9JkVlHf/n
wTPMbKcc3DHxUGkn1TbF+stXcWr++jN8rS3kYpXvothO7zN/51VudRmWDSd52evExkINIjljvB5E
jvZnUvoZYHW0F3n/n5/V9019kUWa/owAwuR44/ZHsEXxVTmR2GqGGpWNw4DQGl8BLTJa6Ij40fXp
tQbSAQRiRK4Z2U5wbmK5GtAV/DS1EXDRmD9VtWMviwq/VuK3zUY0RXTMyBT/+8EQvQ0IISIwOx7s
vfrPn378d5A1MIkgVYNjGtSrPnedi6bMsschcNed4U33ypLJtSdQxKZXemrsQ2aEt4bU6tsJSU80
Gvgs8Pc7hr/2NLq6K9rGNVIId9zWziyKZZzx972mDyqscpPTgFICYZnpUkBu1h14ATnBrpMhNrZO
ysYQwaQDJ0+sCqnW15bPZF0Izb4ndwoHR2x1L6onlo+rwCdVYc/hHLcYjpBNS5Yi02jnfxN2XsuN
G+sWfiJUIYdb5kyRiqMblKSZQc6pG09/PmC8Pdv2qe0bFLsB2RqKBLr/f61vwfow4gZGS60d0iEP
TvNhnkd2SSodFDNbU9TNoGbBXdX7DiO6Wn9ryuxRNiEqQW1Ev62G34I2/cLDJq+j0ZSTBqLak3OH
Ff7XcDoTQSWrg+pqVcoBg6tzMMzWWNFHwbxcmOISOu0fB6FF8lK75bNuEUXdyz7TF/Ml2IjSk5aO
q/nabPqp3z8KsQBkI91bRPeat1EVGsm2zv5XOJjQE/nqk5bCd9XF/GtgXqVD9mCEmjzDZBI7G9Q5
jQE7f6s9yrKqm1ufPQGIxGfQ4E+LOxtk7j4CuGOivjYTukoOgXwo6B8umkrhnkC8xr3jHR20lBwZ
jHCLUHF9YNKhxfLaNneRDe3eVFrrcb42NY5gNcp9TKb5pvUNHTV06egHbAJU8S5ztHdbUaFzrAvU
IP05cGP9qel/nQksinWcKaf94n/OzJvHv/wMDW8fTHmTbOCyqEdDyD8OSI7yLaa0x3nq98kp8hWx
8XSdGuRb9NwaUPM+OhFn5dxGdia7xMaka4YeKp4pbAodaf99tKyFC1XsA81yuXQcH8dnoqn3VK/1
E9v+p96mOA74CHMYm7FlObqkgHsFTiuHd74ci+xTbYE3VWDEEqyaW3CWBCWARXuJI3mcLwAblCy7
2guvNE6xbJrWXouLgqpraWEGIPDLBjXmTpXtRvfkArRi+OmJ9oUvTfbkSecJr2M5Z6ihZ4o/JHTJ
ta7RA+EWEz9l1Xif55uWsCzP08W/1Mf+ISLzPDrRhM2iJWEt61l/K4TX7WB30GxhkNTGW1w6n73i
298R123Tti/esQcihyPqQA/rZejX+iGmYXjpAxp3YHnTD7dUkcvVxnc/6SgaQ/d8GgBZb2Dt8QS1
kasz9FZN3soV/Dv/ajkD5hKNcMia+MDjPDcfmhAe/L88aP6x9iKoa3rAaFOLeFoU/nVJKNn4dKqU
1RGbgnRWVkYCRvg4JGP3w7HRGVtpqD6SneVuEtxdWxrcGNiCUMOOxiGpDfWUTC1j2+6wrYKlCWUa
wgz7lkzx2MRXf/3vX3juO/xtPURph/UQOwpUsn/fI5VIoKUiibgtDfrTclDIiAvLVxVT40RLl9/T
0SQmxbz5RY/v3O2ebIIOhV8X25Lq1n0+QIs5DQ4ZJP/7l7P/n6e2B7WU8gTvqcH+52/vpu236uAX
+dGsHH+ZgoR7mA9lqLDuBxK/7rT6j7khHLV9iu5wMV8yn4Cu3z/Qappn7NC2134tzaUMHeeSFBQ1
fGU4aVTSL8Z0yNsR+4av1XjoQeD78QA+cbp2viQ1Kg06BHJMW9rDGT3auAhNNXyURhE+ZlG3csFX
PaSGGzzm+RjQ+g7xTVlYU5MmtMJT33XRMZDFNQhscsu9eB+bNjc64Oc7yyIbWMmsbuu0vX9J0Hfv
9VT7pqBWvBjJlqjtjiBS7jC/9j50FE6Bbd7nrTPccPMS2Aias7pzrnbc3Vp8Se/Yz4niEVr2PG21
0DX+Wx3W+McOCPMbAHtqjFPfT//7DogFp1a4CaQnDV9L7lS3nhYum7G8f0QPDLYuV8mr9ZQn1SeF
IHPH9hZm5ACMYflUZ099QY3TBwR+GahbamE/pfyELY5YUW263g021dS+96ehSPRgY3AXXynCIeNI
reNr7GnHOUB5Pgi4aZRxSruNF3NgvSGT9uRX47/UFax/fsm1qRzqaZOWxfzHvs/RzbihbEZEBGsW
CxwsvF37USFqZx/0ZJ2pTm49znN6vhYQNh7p+yImSGV2LWHTRbplfgLQhGMR9dAoxm4893L0qeNy
ws4+yyIkOcSBYCybqupWQxrECzADwRbAFdAz3i0TGzR3SdOR2lHELnVsTcn3UaesLXs8j+01kUbw
rYZmugBGl55jvQ+fi4DQuESzDpUGFj7J4hZvceCcC5E6RztEv4umpn+Fmf8gIrX/HnjDowdP6uV/
f6+9v/VIPCRHk0FRZz1umdSVp4/Vf63Ge10IIs9C65iI0FzZllwV1H3flSKzQbk0GWXINH+FVOQN
KySZ0TvbbGJSvE7ZEqYSvRcZNGl1+FaNpdx5Sk6cuFoDtDZjQsFShQxWOkjsiXiVpHD8dDNsiftj
Tq17wqHnM1klu1M8qAQZxLFxdB3/CVpfS1hF5zwH/TcTuNCrbcr40qPchiKrE6NCke7YZKqy6tNp
NRO27ittmVte0qSx3Ma7t6kNF41pPxLGXiOfhqSNND760EfZ6tnjplZtcVC9yL+E/LloCabBB2IL
3np7ePZT7TMNeuOoFya/k9ZD7Ps9xs03FT+Nb83QdRc2+iBQsDhfYiOLFomretvfJ1yQ3VCo8pze
cXkH6pb+TGrA+W0RRtA9TYoudf1T5LC4AEUbuQAQxSMmDtI3luX63ey69jQWvvVrPmU+/XO+g4aA
LL//dX1v+ca/7Nim0N+/FhDYsMEyRDZpTv00j575Xz8k3AfCtERTfbSz1xHS4dU3M+1qh9Ur8lFl
3/uOev0932nvSVQIlpPhpksa8xz5hnFOw8j8dbAiXCaC0NxtXmVgnOYz84VtJFdWMzFbDN/ZR2Zg
rwJf9ssR9hDeU/dc0oH8JEwOgG3nNjcIVOLQqjSFMqLUvtUkq0WazRWpjcjSFPi8QzFxgowWUU1D
KJ8lrSfZG0TOtKwJhsZVTmCOftDvY/kq0Weo2VM1DVRchCodIxDi+98/OsLf2LLTclZ9o1gseBXj
UEHQXszDqsygPcXFw/y/wS+FKQLgxkOEPz4vBPhwxXg3ZWG+JDyK1mqqvGIcowumgfVRtcQ9xDXo
cdcDPjyr1ViXqSeyrLWTTsW/Q/20N+AJQ2uBZkkFaUj/eMGMS9QYiVxBtx9SAiyklb4mjm9wF6ce
aOpE/BGvQtZJMzjZLtVhQS7m80lsFfvhP1c709Xc0vyNH1Y9kLym3Fb9lHrcAjJPEp4trEeINWbT
iO4NZldhC/LCR/2eBHxUw7AZVxBJKhD/DOcTVfRl10N1m2dGs1K2ksbUch623C/vvdd/EOXgLYTQ
UMUgGEOoTfjOr8Po0SGtfTKD/jJPdfiVZbfc/55nH+9vUrAkbgr6NI5KTM5hwDcuiL77JM18+CV1
fXNAPoumAyuRFgsi/H5EXY5ZME7MuxoUl7nC2uIe3WYJXimZDvKtc+R/XZVF8CP7Ibwbo97TVA2g
VJWVOPgxukmWx/plLPWNMtSsgOT4no+m+RO4wr2X3nOCUG3f2c1wMoGCLlLVztdkkQ4ntIXwz40g
Sk8N0GCjJ8c6pGP91XTN2XN05WVsAaCPmjrsgWJU9/kKmxSkoHDgp4C6GCP6vE4zKYuUDiR7o8bJ
Uijls9TAPVkUoDcFu7vdCDuBHBnnZwALLwR3Nr/4c2Z+MV/D+utHPO5KGkPNWhy6vmsf2kwRZH0g
Oc7x+K1A9WOMKXHd7IEcHR1P996jwbG5sSNOqJF0r1Ur2itjVG7badsYEfW4qJUIptCfw8K1qmNa
wbkjI7JbyxzKqco+7liZGJ08h7TNtiHUOIO/9xgoBotEoz/nWtoeWReQjwewjqYvEQ2aY4k9W3FY
Okb0TgfGekqMTLuHNcG2Wmg/+UXS7hD4jEtFBm+ZpWJ9z7v2XpJGdVHtlghYq3+IFe+s2rgKGJT3
NEzKu0mc0Ipyf0bvk+F8ounFOXSd7qyJIL+qWr8xeFOeOqujDVQZ4XEe+oKIjbInFET0xNCoJBzE
WIAz88I989ClSCMjJzriwMkOzWRKImnAPrUpOr66r4ZNk6NqbPJT77bjR60Se9XykYQYWW0J+Dv8
+u9VGULJgGf50jaa6E4rJdsi0dMPRASUZ98tmvVILsdznDtQfe3G/IH/XHZx85M/1HcijLKL0H24
hrBARxk1LN/YFIHh8NckhNVvaqVli77wvEuv1+IJzvxmnjcKv9t7BV+kRktIEa7kVmZo4HIqlHLV
KaO+JAiWRkRYs0h3ldqCetccEYWEh1kFOU/Nr/LytYF38hgNCM/0pDfe0HAB8WAh/aGo6R2UevbD
woxUuz42dr86d1CwdjQf6VvJKD4CwGEvO70yRf3HoYWwLgzAhy2GBDVy8zMd8+aGU1c8mMiIiOvC
HRg+ZIPuPODnch/00X9nAdAfEp8w1FYa5irWiYsKEV9+AX8v0fB/sVnrgCf0/h7PLiUJJYDsjLgw
AigdZC9Z06/zwDS/se1xwE22w9b2SpPyL9Fvql+/xqA3D67DxtrzUu0a+/gCqiz8xG+4jQeEJ3pO
RLdtFs65pVJwrpp0jy0kOw9+XixxqXZvVd/+sIbY+bL7auuo5ELw99m1huZMSY/KCTtg9NmbBkpa
xbPh39JNzbowu9uYJddEO0UXOdrtjpUNu4O028818qTQDvVAMvtcT3cT+WvUa1I5RXAHT3at1TcS
Xnk4NJm5nodRXP8oWyym0JjtW1H3Twlm0Dep22JyZdUkSxT2m9MkZ1rf2aMLyfM65rRYPcxaFOrE
96J+JUeMTMTe5lGgWy8sfmhUaehVpJEVB6VSIf26iGpwfKGrtVrrGMdthMuhCOutVAznGgBjjRGk
PsoCwmoTBdGShjgB1NNcm1QgZELnRwQdDgiYqX0jFU+e5msJR+l3SotTdB7OPxAmxUrGgf5gmz1Q
gTrxN5lNTF9LPU7Gkt6RdL6IcPveuT5aSG/67qie8miUU9AJxrVr7qvJ1hMVnk6d9ybCaOvmdXge
zUJs/ZRqcSu6vQpwkDQSsybdoG9ucWDculbeoc/AyEgta6dIM7nQrq62ZQ4NKLea+oZcrUM46oTo
Txki0q9vPpFS3PW+V+XG1iL82OPXmHbGuxMWNTQn4P1e3HA/GJV8qRvW2dTV9kfrVCe8VPm3pKir
VQHUdRnZrZzKPdPym4NDFt1Cd5N6H6ZR98A+8VFq2bgl/y/hDfUS1F9Z+usVLDZzRWJft27UzLhA
rXKWQ6UNn1b7hr5jRisgGG0OkAtdFyVgYO36qNuTWguZq00+dcs/JHGTE1dc7EBrcCMBDHkr9KR9
d0vbWQxsV54aSqjrcvwigwyVkNdX97ZC2Oi8osCp7vNEH1hsQoAOLvJpbj6h+MR4WOhit/Mw6fP6
rg/mgr00/0xvM7iB+2a7J0O0+pug9bJ3lKRcQ4mHlK9FyBUTRL+43TDUIVwk1bB6MHmeEoCiqMhs
OoEKI8IYgEm7QsF+I1vEe/JH/owVb3wGpGZhq6N9qnvrlImsuSXTQXGTYa/1r10Uaaf5QFkTABzB
B6l1S3ke3SbP11oQbb/+PQdtOIaa2RAKkZjHLM2yE0soHe4cUBk3Hb8Kw+l+oGIFTFZ37GRA2I2G
IH2tI9++Vdnm/NZH+oC4SYfmu+nFQXak+MuaUXW37ehjy48SF8UPpGjq9RGL89SvDt2Ap9cP1Wgv
gti/tAaA/YEQW8Sz5vfGLfufxluWFubPILM+qAeVrz63zBXRtBXJ15q1c9MJJNt4EFljtX8UQeJt
oWdZy7lkMU5z5hRoFUSP80CdIY129Yb/L16PSY7UfDqQ8q1ehbKZZ8rRUS8dSXL6QKR7jlzy4Kbe
ePIs8rm1JEofkSsp3DOs+AMp17FUDAKxpauCIZDB9ypMf5Y+/1tDavZuVGjLJ9jFoXvqYjsPi6qz
1oUnm41vaPVz1Qp3IxQi9XoC0p9JR6H90aJ1m8+6Qne3xtBzA1BAOsfkM+xrsOVnNoSgvNIseMxy
VKM8fDNynNNX5AvdMU9Le1WwoOR2XlQ8yd2BJX3G0s/TlJdYVmcjkNlXazbssGlA3ju4cIOGjV3P
I+9kEK+LqqU3XUL3OCBtU1Z8r0FjNknPvRdVF985lm9jrZ0JA3n2MIacXXpDUJkH60XVE39XhTqx
YDJTMb9HRDUFxMSYYSKufRUVV280CGY1Dfn++0RGpNfVxv+DGZwTqSDd/G8/8fuE23cDrkzjj58A
8Qo6sUpj7kBdcE1Eq63ZHgxTjnlwFb0ZmAs7hx0Q68NelElwtUgB2Uizp5GKUeGkhwNMicjnuSEJ
gOltW8WBymrH9K2dNun9fHIkTvOr+RAPb/S5cNWxXnEh0FsLv1DzZT3K6krmy0+b3sCDkxTOStWJ
Ys70AOLDdJDa+J9Xic02IBlHgLuG9UL/gIbSq+XxoHBMDH1+p1+TGs+wp/GdKfFBuJMjgm64f/Ft
qofIn87atCYFXEgCkE3b250WrENshRvAxA5YSYaokGk7jTXx5dPFYJ2m/Piq3jrEAW07m9gWlvCV
dbBhXG8VZ8pAG0aAgJabdBuaT/i+7dy4zoeCKmsSChLVADL/msqCzjtnvssKSUtnhNsGC3G+yBvT
WusTea3XvYEtZ1hznCcKczT35qgcqArbD5oDIbuXsv4O3t+yfR2EnxseU4B+NJvkT6WKnk0trd68
aWNTmdK+FiQX7Dw4g8ArIg3EVHfKwaqeGnI1fh0cddyq4xAc0j/nXUTZqwqP897/JrXC/xFJQh4g
tmt7QN78wafdshEL6KIjIrZ5B116Mjtao6Zse2I9zwjcglLNiC1uiYH966sY68hZqCPxmI7eH0KU
MseoTf44ZLHhHZPIQHeWpi26VNg4K6XQtGWskq0Rq0290qjsvI6t+eV7hBKH+ZoqfzB1JduXOB7b
t0p13KU2xOqDW+X6FixKe6j8q1/K4SxGP7wovkoTHyjWUhROqS5MtiCX+UxkKqTVBMUjlB1nn6FU
+aV3kBrVdw/twKxfrv4czmedcCBbmp7g9vdwvvj3z85n54Xf334WXovPkt4BLkC1JPHK8ckoZLsL
dGJn56Hq0KYoyvxzHpHt2Ty27hPhYJCX2Ytd7dE2D65PrGFX9c23QSWK26pU9Zq2bnVjUfs+z8ed
Hq99kfV8sT2gf5QOKZRmmRHtKtIWCJSQ56Spw2uLwhG4RFOuaZ2wVyPfvnAlmYNpRRiB5BlJSyf2
eLCI/sFOQWDwOxGkGntkkfbpcMk6o7iMilMvCzt2P/ywPElpd7fayA4Jnd+TKywyocI6fS+6coE7
4dyMeMv8QVPOldX1JzMFNaGNhAumVg2DMQKvcpwP4zRJz3uXp63AD1KKlW8VORtlQceAvLxj1TU9
VlzDXVRW8iU0onGKIMi2ZON4CMdbwjobqSvgblPjliWBdhNrYSb9qwl34Ag1Hl7lNOy60V4nrBxZ
gbnt0k2y8GQnxoOi6+EjyAP3LGnlLUorH745blfh3imMkx/2/cYkuHxlV151JjZlb7eWv9ewgwpy
luDuW6XTLBXuNrcUDOzCST1/TxcG/oiarkAe2yeF5GzqxKTFFiToPLMV+ZmWPwiW49bkDNF+bgv7
mk5ORloZy7Z1XjTpNks1slBd9zaybUByS2pHr7GD96QETHcMYu9Jws97SELXnSAE+Q54N0v/Nv4O
cZakyhiJSycywjCr4Z7kuri3USTvUWfD5tAmtqpl5bTLPYVih7dTYvCXvt+8KCar2f/vlRJb7a+z
Sm9SoU6Ll/k3iGv52Tl6fkCJSytLaISRJl1O3F5VXDLC6C6hXQ0rrYqTlZsLh9STmHp35aXqIjFl
eMlZWGyVgE1NNA1Ngk9j1ydXKHCuyLOLQwgh7DIfSqdyL4D8dVRGBXJ+i65xw8BvQaSP9oBBMuyb
cxenzbm0S3VHdq8tWpOan88KfFrPqGlen1pHxeMiDJcmjZPeDVoS6VAkZyv3PZpiqq3gecnxKuq3
btDX5LMJMi1MieyotKbdJNzpqKkA60IAzSkKYjoQrMHs4SgMIMl+peInmIYe/xycFDmF/Xlcjjrh
x26IYGess4NdVHD8Gi16qoVl34Xy4rOFbZapdCFthz51FqwfCr3Y0yyPpzzK0q/Q2FdMCvp5jixc
c++xK281fDjFNzbg3qemdD/Kyh4eWewqOy0GN1XmqfMiwftbg+l+sjcWaHSNisVyKQ5WpmISiNUL
jgljDRrHS+nbTQeV58yvV1mtttxo5KND+/IY1uo5GFCzFDKN1/Orsaz/eDXPFYHzbbDCejObksqa
SlWNRXSf5M34pEHaSKpDVDvfKsKWEYp1/cP8StZg1Ml0P/2eT2IAAeiX2G3wCFLjIdgPTT3um8Ik
J2FsCgqn+0C8llXpb70y0p5G3W63ZVeOq3nYidw4Kq5bLeaiddtJ3FTWuGFdRupKZHS7uHO083zI
lNSFON3Zi2FI9V9z4JI1ahlG84dPacoWng1MsWiCVZHhi2iS26BAy84l2pjpoRoXAQlx8Z/N8cxv
RjIWuaZLI6hgvm7eEKGf7DbTLnYRDI8BAdoLZcjLJyML6JIZQY3p0HUfvaw5YNtw36TRjFs5aR71
4FgSh3SCKnKmou49wDKHv55P5SJrfOj8eJc7PoCSpLR3BMbWF9vPq3WeBMnRRV23stS+RmTt1DcL
9KJS3PzpdU4FYGXVio9tjqyqHnoM1qna2TilUp8k+p6NUnj+zW+UG7FxlIjD6GVENYKyzJe7xMqh
QwPFFq5tnim2U+MbPwLvVuMleocV7bIzRFCjE6Bwd4kvQwB9cirFvP06aHq7n7TVi99zfco+qjaK
dKV7lfXruthTlKXBMmUzz0WGM25ZqeH7gVBPiBZNu0OlFq27zifpv2c6EQl7frdJdElAE36VO3u3
dK/VZrqlHTtCpOyeA18fvpQofVeMzHlKUQpvI7fWkNbpGAhHP10KneDcoXOMLQyY4JnvJymBPpG9
ZpEGz36Z5fumDZ88niXnxBHD1e3QOfIQviB3tpdkNihHp0FJw6r4hNxP+Yb4Xa5jAp33gevUe2X6
u/dqBySmafLdrKuve+0A9llfVqnermkbvaTSjJDm+Oa1L0bzGjfSXeU2X1NK3GiaRqyx9HfYg3Kj
WVfooa+lqNt7kBrqtjEVUj/RkNKVXfZCpWhmSS4t2/prSJruWDtxcDXcCUI19I/8aX12wKb6a0jL
0T7Flf6WVjkxbBTr3oIoee01ilqBwL9sF0qjguhMANjlWrXxByab2oWIKtAL2iInKz7vpt1haTwb
vd2vcsJj2XEHa5DRwy3vkLVGQy1ug9HvfUPUpxpT91ORmq9O2ceXeeR3kbIoRIzzLNTa1zRpF1RM
aAzmCemRqOh+mKX26Ko530XalRvYgdvaZKeu2ki/6zbdFqC1Xp0ISkmjxCTjTMOxaIotyihn3ad6
yt6bgjeQmAbRISxrIevXKH1SgyT6bGj7rapSG49tDu5Rk0OzcEot/Bz7+AOsytTes4dFZcLUyWHz
kUMU2W9JxlOXFUaoqh7ZGqPAA2fKpyIybo1vLhsQzPf5dmW6VNHbrhen2ifXI7dKdADuFry38VEO
NrFLodcdh9gcH9Ke7LZW6+VnULlnhyLCS94U4xbZVLYjTaJkPeQKsp1tYsGwGFqk9qzDpErAytGb
jI3wofbYohb8QyOyXXtirIadNFXoEC7y97I4a3ZG1IVV/pxH84Ec8+L8eziKhS+rYBebfU0vx0Uu
mpDndk2jvF4S5NtsYt12rvPcfPB1sTYDI6KtzzxGwTK+I3Wvbw6lJJgA6kucWHQZM0JA52Fk0qh0
lIOpWHROxqEsqC93BDMPlNH40sC4Ej1lNTckHxkfwZPba9aLlQgbBXHh7cuysF4Sj4S+KmnP5qD5
+861m2NRapjbc5+IPEwH7Vb2UtzSikI5+srH+UAGiElpIUHR4dFUgFASrhDUXKUstCcl1jRiyDdo
kKLHCu8TidS66iwC7qhrvTZN1kGWuh9CahzjkGoPo6vqSzUOiF4wxFmgQdQGmPsN8lEktDxNp0Mu
6W3qsbZiXete6KhaKwcrwKqNzDxZ+0gG3ViYN5jl4eNIlJOtZtWup+AHWF/GdHwMa9OraXvPOtHe
WYWvvSbsKPgk/EOG9OB4eUjYYoP2lU7HCu5QsZ+HpaOwZhrVnQTVvzSjnmIS0gYqbaxDUwLEiAGz
tP8akpGh7/U6N57ni+ez81BOi1biE3FbhishIvvogWslxCw8AKmzjhmgu2XbF2/BJEGCq8hTsRkf
omlU5KW7sZOW1LkRkyJ3enepKMEfZwEOuRs2WNVqvri3kmQH7CdedrpsHiCENg+W6qO2YyO3hqaG
TcjlrnJSFReeNGdj2Anw5fBAsveh1J2YOSUmLygX4ST4NR2EYCU6l8M89AyfQLhMLOUkBJZJ0dz1
0Su3vhogLIvtW93U0QXFSHjlsfpmhkX6ooS+cipIOaF7rKUvnTlGx7ILwuV8tgHsum/qAEVYGlFp
aeJoVRWDOFODag6lm+2q3B3O88G1Bov/SNKd8UktopH3e5G7JLzMr0DdctJjbjor24FU3rZMnoch
+QpSboxhnyE1yar4oa00fxvGbnYYSjM9B5E06fP79iPUCzqqiYy3gzJ0BE0pXrhS+B2P3GOdo1/p
3Np5yG2HvjQ2uKfFu9GTk5LmH7S84w2au3QP3os4VCdO9mpSu3uZx+ReT58KfRoO03D+VHjcYVmj
6DfiD4dzbQ4/urKU28IuxXmeckwxbqSUA0rtwLkMweCsjaiHPjdoFevsabKZDjn0QQ8ElJHp9qXG
/pSwnt+NmhHdlYhG19z3o47TsMhNrQelD8VJ0PlZCUrpz07TsQmwPzpVsaDN0JwJsDDf1ML86AZw
rbXmrJzA67diZL0m56VVpzUokaPxKaex/tBSaXCJMThUVMv4rEXRe4/2a5EYkffghbVFLheAs/lE
AC4Ie1byHTsJHzQIGdR4k6VRV+HOQB1xq/NoSgfMqRULrbpELe9mAc711dW7ZzFVbVxinArVEp8h
QstlYGTJHXBJhwkXXE5syA9rCNzjYFoNf6wW49BIq24+dKmK2b6kcdiKbAPwqtzL2FXg8bnld8TM
Y9tX70ZGpOTQVsfQK0pq2izNj3RibPbBtbJFb4AKNCvDm5NlPfcjcrsKX6TvVuToC62rzEtRRcaD
dAE8tElAOHhbSOIpSaIGiLSOc2J5dIrC54wOo0eFFlIgBcNN57ZEZU9nGwJc7hSpYRaaunEYJ+Z5
F8bkItQfUWpha2j7Pw5wbZCGe4LapetFV9dxdr9NVTgV1KXrtNqSTqKyUGKVj0qh9Jvfr3KbYhh+
N2NlaJq8ZEUtL44dyItW9T/KtCtA4eXjqSl9HjLCmvqdSpseabTvzAT3bNtLAyBzYD72bVvsCCXU
powc87Fzgv6u1G+lQXIVuKRv7aiWR5129IkEynSDgv67kyXiIaRJPbAd/CbKAdRNQtalJhrnWx8Q
FhYlzUuSoXGLc69dGdP80NgfCYbQvVcG3avhpw3G6qG5BvNBrcQTFrrJnBBn2rm2C/+AhzFfVdNa
I9MS+I6e4l51Mi8foOL/CLCSrL15Zeq6GXdhVvpXNtWoquksEHPlGYdSqCDaK+JHnISdlJ2a0aVs
o/jS0tm6zEMfVMpqImOuaDWUy16rCfiw2mDdC9Pa6Ohtn2xdmeJkpkTgRqI7Tasv0yxJ7fZGsvwE
gVSJnFK47PHJizTzubbieFv3It/TfyrvdWCQDuxpw9cQ5Puw0mr8R+x9RIA7M9c9UOZOmCx7sE1f
NitOMw+SD/4SGo3g6l9s5Nbf/GCTnMtQLTyhto0rDejsX+VcQ51EkU/i6BHBfLdOcyEuXdHFCOur
0T2pEJsTEiGB4LjDfx1qssU2Lt53LTXpKZP+RJAhxv6VNqkpsigmodrKvCO1teJKNROr21BlX+R+
EUXQIHzyAuApukrmhjTqRVY6pMS6mnjBaMYSKEzbB2Gq46po/OFsGeMUGY2sXkBcfR2G/GQQtfJF
sQW+XtdJ2lhtfqDOHfFh1MXbYGXb+YrEal3UYX79EDV81qcKz5qqbvieplhgVSP4SpSBqtikAKWY
n/2bE/FvJu7pzbVsHjSOiYf7nyruKLOKxqsagSiFf2UriEj73d1VonHcgBECHiKHwy+PmuDGnqU0
qydZd2eH7sGtO2XRm73+rCMH+N+CT36Ff4j5DJW/PBQxB1Aj9NW//vXtjM9XNHY9JjEDLJfhH+dD
6Pzn1e85odMXK35Ursz3M9wpmko1pqi8/ejSqJ9oCPP8fAgysqk8HvpbB6FaJSPts3UOGVryDwjs
4boOfXHEINw86MWkASIL7ZOHN8Kuwn/xOwQrroGfwytBX4Sp/haT87YK4yyh+w5ZYDT9qWWeapts
gg/kM22g0K11q4hi1StjTTS2YWwCnRiHxintS6QKc4fomgwxKK1nLBT12qvC/om8dip2rld+1pa3
7c2hDhY8dFZa6xDMU6MdrZvHWlHd753s6MOB5XhCWMhWljisPf25D1WKZlmYTfEEmiZ58C1lF4xp
+TSmVvE0hD3grsC6zlN1xH8UAJ2zm0+iM/K3kQEDaj6bi05cEog488mkt7x9/H+UndeS20jXbJ8I
EfDmlp5skk2yvW4QrZEE76rgn/5fgObMjFpfqOPcYAiQmqYBClV7Z66EbE0X3E/psxFCla1ARWb3
84HQLP5+1OcejlG/ZTKmArBGxMHUo4GkTrLfFl5YBiccqFjHmvIYkiQ6JOrfh+YnQ8t/V0fLOM2C
v5HWDtS/8G2uDCYdrVXNis/znqdUsLAcBsOfu55xTvqJppKqwTYLR3EYdJjHUe+QGhmqe2Yn8QWW
UnwRVaod1FY+/nvIDLP4EqoIs0kQKrZV2gUb1CbDOmnAV4KcN99sx/tajFOsb2EdW9U0ftDLXcbw
Rzi5yJkLBrAmKrwVMBzjd2aiQH+q6Cs6cNRasWe8Di2LljArtCc/tp2lrjXWDWfsg17F8TKmCHpw
A3TC4J34ZbnmvvpG/QxUYN1Vro5dxwrP/rTxijY8Fz0W7jTt71SpFiePBCilcfGhx038mBJt/GA0
K7jx8eNc+ewsuHUtBIW7n8ccV248ahtuOlDu6CfJT9H2ZxDT6FHTxHm1ouKsOF3/3SAbBte1/pYo
brTSux6OoNWz2GbdQlqlXd26vC/o98pFwpzj1Q77ctV3UtnPu06aTJncLYrUvr4PfBaH83EovNoG
+4+7sRwtffVTBXEZA7Obq68dmMCFUSfKI/KtYhV13Xj1a+5JNuoeVJCuBiEkrD4xknygeTA8GqrD
vcc0VYNx6KMXWZYszNEGdQhGzOLBpsa+0S0YtEh5IYi0fXmLO3KW2fvstjf7if/jr5n+NOhNJMzg
v7BKfPTX9K1lZ7EXDygNfe8sNfN7nLnGlPk1MFP4QUJsv++bShysyOvgPhMsT0LKlWput//zIKx9
/BY0FS4RWCUV3A1I2o8EgYhSf+spDc6CtGuXRHmT6DjYkhl9yEp62rRlJpfEurYrO/ZVJCPJmzuR
trRRFQ9tYH+r78QCAVpydKYNEL1P3iMotA83Ct6krc2QZXw/5Od8sPy0XgaiChYh83yzg3Vte5QN
RgMlCE0sj2naWtEjcUXBP6wychHAYJsq80dDefIrz16YinvRjFZ7RNu7Sws3/6H53mEEy/DFFizH
Xb9zL5WfE/mATpjAYWT2hpOrBzP5Ycw70ybsDW/VGjI4KX4Crl/vn/t+bC9+El7zLBiv5L7cik4f
tkHSF9Txu2hhldSN+6wroDhXyRbCpfECWvddGvtYohHOPDNjrqUy45g2PvLTbdhq3HRF5nkYQ/Vq
6zekweph1l6cqaFY6BH6KKV5Nw20Co3Ee6ujib5HSEM6nmf0mzyDxYLGxFuN2UjJqWidU6fCvRtI
49wMuHd2ilTu/VRVriY3gSu6q4tXe9GrFY/dbkySgjHCTfc95L6V9GNa7oHV3mepVC5lGX6HmKS9
hYI6oy/84QBeLX2JmnSZM76/5QRPbpus+ZbWdQ7ArRWkETaJcnars+JZFVmChFROSxJ1AZ0kOVXF
yOKqUbQbKNBuh6gzPc1PqFVHTkmkuTHp78TogppbwxulqZX+8ygI+7+PTY8cWYtLjnJ1le977ubf
G73tqYfbxUMm8niLDLU81EC6znDKaFLIGM0EQoGVIkplH0wWZrP1xKtoAHRRZ86OupInr4Re2a14
jV2QFYqa4/sQQl+3JIVT467/wivcfLeJ9ibVQH4NgCEtldAJr24+voQFoD57ahUZfRa9KDkTD2oo
X/PBojpG6+liFugi+rwJ73wnbB/qcVyy3hdg3CC/2S7+5gqsxq5Vw3SpW8K7r9zKW45O2a1RRxZX
S22MB79rNgir2he8VdFeQwByr+W+uFdZgPRN6l8Cs/MvmRYdkVD4uxkPQgbX36CQWJ/Iub5ZLKZl
R/swC5/MpvNpV5fadpZFuXWPHlgXu0g6S6jsEg4Zm7EzxX82/x7LSxuhU6EUiwRECBCO5EpPrA+W
GoWEMrD1+5+7Ho2yUOnDk1zriBj3sxKN5G7KloOdgTK0v0M2lSursOS9nFZVxvQo15yr6U1roqB9
74zefh+q5RBn1dferkgDt3wVAoennn2I3y3p2BQOSTJrWr96E9DI2kBjjgFACOcAHhzbyE+JJ4oQ
gbtKW0z3tMdSIGBEA0D3u6Rn7ZAnvFc0DaWNoXxpBQoSSSnhzDoCtXkdBZtWyuZZZs6T8Or4FOaB
szTNRn0g7tRw7IbWQGcvWjgPDwn21q3XIt7K+2TYEkYuNpSnDgrrzF3sE0bTZG37KDqZLVB3RYum
q+OtRFzON+m5924BgQ1EF436or4zZPekjYm76Spdwhr8mjhxeG+IergME6EPQZ3aGeUlcwhgcEu+
KHy0TOfyaNvJPjhqmhbfs26P79OBwUvUxTUau3Bl9VGzi3qkVv+A0WY62r+7VVnrhJh62qHO/e7c
wvU661OIdMHcwu1ZyM3Hi7z64Qtrk2WjtsLm0e7i0lKfGwcaY+3gDbelf86bsV+R1N4sAdyN5Gx4
wckooAVlAxEdg6Q7VbHAu0AIJJeKf79gjd8tJ0+/TH39QcyuwP+310rdeGqLSbnSt6cBR1y1tiry
7JyJj1Sasb1zW7XYYNmJi4XOJXaXl0pwV3ftDaqFYcRvbiXF47zxxSmHHv1guUr1OCB0sQU0qmWr
c6/rVWBlXhP6h/kRE32PqWarrkdQIEFjqgho/eRgRJlcxJC9DpTo4zVUkfhUZapJlUu271Q5jm2s
m09AGsO9dIG+hhFtO1kr3gJZmYV6lbXmGjKn3A0Bhd0gdJX7rumc3aCr444bWHUhkVVfxm2Koq+s
gq1VQlHOU9Pb9jIqH8DBDafUSW7zXtPbV74EmH++NjzY/rjlTmm8RPwaG1mNzz5FK9IpNO1NwnuE
4N57hzpx7FU2qtadkg8wQKtu6djyccI9HxVO8DVBMSGNtzA7JUpIx6pPmZPbxs8ex9zeCNuRetyE
d647BuyFpzfEQ1gDhU41uWXZ0HxVC+OrV+ryixKRbu0gtsMRPk5QUSzvrBirpRFrBjGE2JJHWAsP
SBj1VYIL1svVbhO03XD2GzajkWC1IK5jIXXu31zUJpDpQVB0PaiaA0vIKXJxsvT8IR2rcRePzkK4
wUm3auPJCtQrhMTmp7XWrKr4RGrqY2JaxVUFd/wUErSbPBACLN/T2lLWmdb3+xryRF2j7yOSAN2R
/R19o3cqgU+AzcRvcp8q8iwQvB380n/unDY+zLLp3nbMDbhk+pGTgNowCSCv3GtUlsGurvDbZ2PT
31TvLR0972Yz49k5wkm3Rtz4z0xT7/jiok3oS2uTM2dbWbR7NywF9RvqKf1mttcsKLWrOx2xzBSd
W01KUaWGuyo2n9CWbYVekswy+U/wrom7MIu+KY0JI5V58PwWa9nUB31wb1hOtwq9ujeR9QL3Tprs
9IyaFJ2nGx0EOkKobCa0QnxszSQ+lFaXH8xYWQ81qlGuPmVSmi8ipzZOWsYPICOCI/HlKSpiS1Kb
g91MjvLH/iXQ8vxgYzq8TM5D4GB4hmWJfiMkvDzssBhPm/lROraELoOEpk1EPTy1+u7WcnPat3GI
8YGEpZVBRXGpangshIrBtBoou7BDNVVZeTXrKzvItWWUk2JGs4ElrMtyf+kM66IU2g0AHj7wBp19
JndmJZrvnopgHnowibgoiTbwz4i8R923aVNJAwwRMsRZJ1u1A6V65q/OQ8okbZVivLsqVYA6sCAk
OerTcltivzu2JJksHaZai64YW7y+XXsaE8teR06Jmdwgl4HcW/XNac0H386e6tTtX3v9yogiT63F
UMliXtsoGDw3lOutZ5RTHo1OZ60xpf9qT1EbTRnzf4YhvNYbJXuX5b0ru+BLTfMPHaj2A+V1ffMj
StcZQbrv3HwYiaLiZEa6s6oHXsXPCF4kZXg1mKcqpUAH3aHgzEV7dUHcyTAsblSWJxOI/5ftJP55
3sgKExrql3oTDmW2zXFxElJhUmELu2w9Vn7w7PtxsFBl1NxLOfF5zT48KtMmkcXfG40oeBGX5TUR
9riwkUjfw9sfzhZaigUiHe/L5A9csBrTrzHIn2ObEoUnY7Rl6COMbYsZ6gGtsVyMek1mztSRNELh
7KV3GvTYOdml4azD0XbhTLKr4+c4aWHUbWGXWoxS6hOdhxJvemM95qFAnGJR+U1iYey78sr40ZzL
VkiWbvpUkOecKZBIfVEQCsGbcKqzUY/FlYDD72Auky9eRWUg66GNumUNXUDtXs96IIbXiPHiTo+F
SsYcS47eqvrlWGowZEyY3u3kpq/q7utYMMObNJ03DRzTYqxq91t8o9WcfAdLjO7KyuybA8AeFaCk
WDq2/Yp2r/6oJf2Iq42sb1vEBi5TV7sUitjNT84bG6V1wBL65k4vUFLvUvUVvo444UZPSRAj+Feh
TAii6c477ZVq3MJFIuybsha3tonN2/jK65CDQ/lk4frRLj6tCSlvsoRmGa1R5vy1eGiZVmzQ4fH2
zHXibdi7J5BcEF9iBhFqZd1WImTc0ShFkMmUtrOia6PDIfB6XawUMiS2CpptfNYk20+PuqGNb39+
jx9T88j71ahr645j66ZuuXMazH8t7U3gJCXJ9Pt6UKp96rBQRXQrHowsB/6maytM8YiEoTouxYTj
alza4EYCZkaOLhIqzzm5gk+mZLl7GiUsl5wy164PEIS2kOHvgKYs0zJMTxSBb4GZvltMC55NQ6CH
k2190qL6Jc+Ev2dgJyUzt8ljyDP1+ufPOZdK/lvP4HPyA3gWv4hDxfkjeddRStMrjcrZc2oiWCCR
wPO5b0SOH2CnSPeOHg0vVdZ4hx4TwLIYK3XlBZ6fH0NaIstSUxXWJc7JMfokXnrCKfacwLRJsnzZ
YiU9KPhsJlniSwuP4BRURvYoJM2m2DOVzbyLqiylG4fAbN61ZB3c0gDTqen1y7iMxMa1fDISDQUR
jmlBx/SUKexm2vz7TFllwdGJ4ufQQVcCz8Te/fmr+q30M31VVAipZpD37GofQZgRvQoSmhV37/Vi
oUSJedak+oZREscYbcH3Xl3oBT65kz1MuSEtK+WARLdP3sUHWAUnpmV6iCo44SlBGR/xvRlyBD0t
CmuPT/vCDDGA0tRvCBS4a+Fx7AIayQuzbC950r5nOEY+MfL/fu06NpRmXSOFFoCw9QH3ExKOYlpW
i8t8GPU7VJrBzuq19s4PpX/qfQXBo9m//39/Ztj30CUMy+CT0xv5dcDALy+NMFHsQ+BV3c4N0pzp
k761FLhTY0EAeySCFTUtbTkL+JiI6Z987TNk8dfrhGRbwqiIDmbS/lvQXNfbWmaJnqTgQCx8Ny0f
XG8cVqwF9A1vuXgoewIhrLrZEXpq7xGbAEVMDW3n0u7Ycf+JLgOEuGWbjMpbi2vIKwLluxqMB6YP
8qGwhoAAlTJDwAj/eQiLM9Nc2vnwxpcGDb6tVjBp9rJw2IeloT5zV0VCGyAOGxGOUktmKiZGS+57
fVCfMwMY2hin8ak8Kwxbm3npWXdwCFQ1CZchBbFr0rhM40r1p1qcrp1BGY7Gy59/vN+qlBrXCgB3
w5rS5ggw+/W3C4EXEGcwNgeBQXuDrCA+tarq7myNVbgn4VZgI257O/lkZPv9cuU61SlLWxSLuVg/
smykoqK+FEl9GINgG81Soy54rA0ZL2RN7KWfeyqa2gWqW8chJpDpifnSZmLz58+vTSfnL2cORTkY
SqaukXvC25laaf+5kzgpxnndqLwDqX9ykVuJt7fMlt6HZ3svnpUHC/Ra6macfu7O8J+5D7S7wWL9
GzFVu6cUmiKvNJmT5VZ//vObm8esD2/OsujkEYeNtPQ3epfS90XQpEAjROStjUp54YadnfMhiZ6Q
UiJahM9/N+8mfRmuBPqGob4Hu9Y8mnW17SaugWoGZ7OzO27SSkTspVHeZ6rWw4Ngjeqj0buaFPCW
VHPVr65LXrZEH+fW7sNccbI61dzEio1wYqLnZ1RtDkMUPv35g37MIPA0qN8a0CkcorQNvI9YbKc0
Fc+MqMunAYxC39er6+AIY0G1X/srdvuVEQ/5F3G01Nig/pxl4b1Mx8lQmp+7qgL60TYrtQA+n9VZ
e9cnabp0g54au+oMDz3J20mePnR0+j5JT/gIXp3fOZEzdBscXA+m82HELc1WIlMSxSEtu79MIcM3
dSqoggd6iZn9LAKHBfKIbidFgPhUZKq71grNO84tOg+UvvR195OL+mOayPymuK64ruHkqjz49aT2
QqYUMrbLg9YhgjNL5mVQvtcuRvZtLisibVz6RXTs/WtpBcYdGpkb/rrxJWXNvsQ3X38yqeTL+O06
IynNnn7gSZRA3vGvbymqwtgPc9MHf4DsKJNyM6pqvUU0PrwKpB6tExW3wVK7iz6wOpoO5yZlvPlV
hWkOr0hyLt3YFLfUCiI0zIyrepKiJhnWZd0kTylxn09WD4RTs9MbY2zyFJrBQ6eEypkzGAg65fRd
IBV5mje9YX9tm9jYdonBKR9HQmVaPj1NiY4AiUItVm451j9f/e+/o51an6AMcpeDKAyUbK26coFA
sep/WleKyHK2jDgNwClMLLOdBRUFSCrqK3zi6jCr2dPJGcx1cR7x/BznW6NTUIXtBIhLXv4N0fal
7430pWxHf90AuOnivqT6MhSLGcxERHCzJJbJPnakSD/EqXqb+U3w76DqoG9bZmYY3+EQyRZjWoOL
xWpyKQJbXAosBrtgLmJ7jbgQyOSdS0dVo1OWJcm2s6elnj+mxxwTxEPWBZNd2fJW1GS9B89tnTNK
mdP85LwRuEyQ70XneU+RmVzHJUssDazaohKTAdBQi+cg4CZrm824r+2mfCb/mSAWJm53OCPL50yL
vwuvh7LuDX+h9LNPek1KD1yV9xLPymq0iV9q8qa7JqG/rlVrW+rdMydvgK7JDE7zBt20twsVo1+V
naWe500QtdSrE/3ZpqO8nw+lADJPWnybmbRMvuELobpbqxggQMSw8agSJq4/nuc9E+nuwXWRe0Dr
7/Ftm8mtbevXLpXOI9+JuyXdJdvlZZzdOXpqSwLb7JNV55PYTClJ7C0XwwSO66aN7NT02AuRH5Wm
7I5AOb0lDaXwnf7fvQfS5JGJXHlQ3DZbk8MSvhshnKE4BeLQCQfnPd+D50bxUrHb6DU2B29FwdLf
hQ67AQIfhqvhFo4MoxSLYYEa8TLj21hQDuufdGBGZdbnR61oMqhFKMowNNlbIGFcUpPKzNNTfVOE
Q7PS8jZdBtXUhNZd5TEqEV6IKEV4Pu2OtQtIssmUJXKQTThFJpeQ9wmfvWeAyX8UsN9lZ5avNkKa
Jd94d+1lZW3GHuNoZgqLL0wkR9rU+h2UP6ozhn/UVQKNelga92jX102bv2HgIdWWlsyhr8jwpY9w
ZNLCNUNt5dBI64sxGLe58K3keXRMSpgAVZNpz62jdLvK6Q1QfQPubmZU88aOcqI23cE49fhyN8Y2
wjukLDQBv8UX8hRmlnNRHAN1mF8hUoM0PmtdZDrgn3Mr6xx1un8UtZ9jVzTEFrcGPKeJxaSpaUHe
GeKnmb80H5s3lQTGO+DUWwujenRcP3wm9PgSQBB4L9uqX1RKYT8ZqpKtvCqKySVNu00T8Gd4y3If
F8AKGq/xjjrsXFv4JBOx0mhPTmMdlDZKbo2lxzdyHliFae1Swmba4o5SnqPGoLwGIeJYl+mPLovl
Siuy5Kyju2VmwMZP2mBtD2hvZNizTpoPzq/hvBNblrnZwvHMcgNUWd2xFHQWuZp3j2Fib8BQN8ap
cTBRlnJc20btpKsgiyvCJ9lQWqOQPqaHgUt1AFAEVy6xD9IqU+p4fuKvJ1cUScueTRWf7j0Ekv7v
TTjtzsdI+QN3NbjJqstp1tql8gV+Khq2tGkBlY3juSIYcDE/oY71DyzzzhVIP0boMfWWpdWL5yil
Ae8qKBuVNA82cekDQ560TnqrGNtG73RuEAS7NKjRtvFgjIt+CLAfFj6FEMc5wqdOhgXD+lTpxJqZ
+Rq6xNAcqKxS+aod82tiaPp92vTuQjhRf4tD9E44w5tDXyRATlLvk7vqx8gFFrsG8grS36gRqPz3
w+zdILpIr4Vd3blWjosCeYSFZQZccxKUw0sQefupEPp1mLRYao7dvR7iHG1ojeIlrMcvJd7LgZje
3aDF7saloLLzCzyWcxVq3jVSHFYySsmcDtt+x0RyM9+bMrT9C340//LnmeD/WBeYOpYDYoY0w7RR
2v06T6AJjMFHB2qEvMbdzE1Qp3DBcCnhSraceWjHS0Cd+jbtyk0kIS0jiBFHo8Bn8Of3MqtFfp1+
s6JkXaDSt7YhzX6ohDUZ2KExc/WDxTTvjukBNUISaU5hWqRPQ+CvU1Cvr0mD0R3OGk3yFpc8yjkK
upkeQ4NHbvrFzG+Fn9NWCVj6J209ECnBxqiCCo8vkABREU5YTxvXoe9RzjTRO90q/TvHHYeFgoRx
h86yJOI9Ufcz8EqrLK41cNe47PcjrTHUqorxIggw2SjQGbe5Z0QHcL1a9Nk59z++FXi7rBfhxBJ8
8Dt0l9ovio8muNP0JsOFbIs1FEnA4LrmvuLW95psfOXschmtiRvxUWy9Or3p0CbS6lPsVuFTEjd4
rThOra3cxSnAjZHmzWspJyYzPYwm8ssNyGVYj0OhnjrmTH5bhvGyKPXwkPUmrWcZmddA4SXQ06Lt
ICNt+fM18FS0VeXrxrqOyxixYI5do43Te6DF6T1UuwMfQd7Nh+YNuFVI6jV1ozbhFphyCpIQXDan
0SOEqEOhd01HrJe4B4snxxaAHerMeSMb6dX2K/+bM+ZroO3wxg31IgNgOK45ToXsfVgk4dGbmBDz
Bk2IfUq1kEYbFyaJBQTUIg4gdtqHJOFPG7hgmHHN7Ivdj1W2wpHQH4pmRPTXZO6ePpS1dwO6OXRX
79SpR6OE+d+P5mP/7s7PMqv/7+uGIUs2BKIRp/BPE7tINH9nJx0NiKmn7XfmcCEc1Vk0AMc2AUbx
buEBzjnNGwVg/aEp4NglGNBW87FuUK8hQ/HRlHl3qEK1RpdSlA/zxsli4EV0oea9aexdmbnlHcJG
s4/mlAEwb1CyJ4uhHMy3nAC5KfXFQ6exyntItrpr3NuDUu8tWKlH2xmTY1h5fz+i6dNuw8XCsMcE
2QsFc0Sx9BT/2Y2FcpbAAfazBTbL9I5hO9YgaAyIrhiZ1z4BLksyKv1riEzoIB3wsYEc/eu8iQxd
WbeR1q9qI//7WAcgcdFlstrN/2x+wkqC45j5zclHa77yiRVdj1oM/CfaF13NiTE1IBvDSfZKN+rZ
o+nnyRJGpfqWmNVbJgLzqqepycRaDItiklGMMfHlApDK0etl92iaa/z87lYz8of5s/ybTFiWQIsW
pVZ7iJwiqA7RzUCrQi2FZEK3+PnA+u3IH17zz1OJVreLmGtgW8UNPWVWcfGdE4QICzMcWnOLMAnz
reUX35Su7beq3ahXR9jqlZjdnEUP0PQ8cYZoiU3i0miNPHrTs25iTJ/TYa4Mxl1us46Y+zHRME/2
k0sNH1eItiJsEkTrrXVi9IiPmp5trKTyzxAkvE+WzcYsd/t1wLfRLOosmBG4/F4NYxGTC3KlODmd
IW4uaEHpsnoFASUt9ZMI+o1UqBLVlta90asGIZzTIobgluJy9VazhUEpmRzEprQ388t8J4dVw5iH
6rBixtp1y6ysd1qIoYq1knFUa2WaIBTIVkD/X6xYzVcadY4X1hM/rMaYtEEy4B9JyMEmJp1WrYtN
rJpiS7Jly0kZ91sUCOF9kU86+EAfb25EsIjWx+MzXRsIyAwKi1oTBMNwNyvWWqSD00lUKOQ6qXd1
bK6jMOHWmhfGQVB8PMyP/t18ODbvGkVFHp9hymUAeHMf1gyaitnaL4Me7GdEax4CqRiMSFw805N3
igUuJXQT90vXpqD7le9KmZkHA6sAGhk2St4Zi9KoxXYm18zHZqJNHLK8UsL6OB8ycyTIwIYpCMBs
AFX+jV5bupv3UEoX575p6UJYsfvfJ8zoCQ2Pe8zgDCxbRLOoy9FmyCrrDpolAho9o7XupaE8qD0m
VVaDw9c0LzayVSPINda4BA6e3guCc4iQDQqynyoSWecbiA6qdlkUolh30qw2lV36q1EPq2NoIh00
FV+8O2O9L8hafy5I7kXFJsRJrZvmUHVDuiIQZngtE5+oVEPrEe2YwUuWf50PK7HRHOK2TldRCL0j
YhW+MUKbIRYv4j6K1PhWSewGFujENWCT4dZg6t9WHer1QC2gZkiHm1qN8vngem22igdSMMJJWjJv
stL7+xHVLQ8DjbaUYj+E5biuURg+OqGFFqfCHznvFi2CrloW337uAbi54txY+5Zbt0sDUkDfDfna
zFvE6hW01oVbJMOdpRfAruaHbr3nrq0c0mkW9PPI9Iqfj5J3WnD+SdQIMF0ilTEehu2ZIqu56pvA
eJZt8M0Yy+6HJeCxZtr3JK338xDEz11TFvlHtTDmtbmZBcgyrIKFXenOlW4/69iICCzo8s4VdYJ9
RWOlrAPZ49BPSyRw02Y2/HgZKCJpQJT+91g0OYFsp0QPwI1sL43WJLpH2dlDoUzL8JUWiC8zkn5G
1Teu3i1Ut44OCf8zfJ76KoB+utJMNzwZajmsENrZmwhvMxNLJaKQ3KnnQDqoKEm2PGejDZHFC5Zm
T074z7ICbtDnSO30g5ZL5/XcTJMubHIqdXQtXdFN8F7xw+Aucu2lxaC71srRR2DkjtZyfohR0z8Q
i/I9pFG4cO0wvjLV/jY0lvpGXghNbM+11oLyy6LXU3p1rj98UQOiTUhTfe29yNjNx+cetM5xMkgh
oyeldiRXo9iQduXsS+IibgZm8wWzBOurp9qP3EHiJz2Okl0CGpYmGNGdrhmtEOa1N3famDhkN4mT
42OLwcCUzYBBTVfeSqgSnB+8gvKDeVKEd5z39DbQNxTvkmUUttadaK0vTVMqKVAgHR8pbewN+a9B
toykvSQaIr5osdbeAmvw9mZHRtS8K2hOKWGUbztQU49NWdA6SuS7OeIg0gMjOLdd/UnH7Pd2lYbs
yOF+S9MMe8PHjplRlGZG1klw5yEG1BLdw0IzNOu2DtUvqBAWulNoX7WMGNvMVIdTqVlvBUaEUEBn
slK7Ws04p7En4tF0vg+61O9LxSLaGU3Ls2Vgn5yPUaBam559gZGgr8IpmiQJ3xOLuK1UaMHGIbFr
X6Cj2eRChTWDFmQhRqfbzzMVqyiCYzNgEvUoGp36yqfOYIfepkKu9WBnmrFQTFv/qzcrchRN/zuI
fujLgwafrYnWYyzE3Z/XY/PX8uvtGSuTzv907vkzB/11bTiOJmluZUMWMstParO9vxwoNx3G3Cg3
AsfQXWHAl3cFPTxYKg5IvQcEKjk9jdxa+W6AmitEjJUgiozLFASOv3JT4J2Uw72fgPVSyufYK8ul
59b5qm4sZpmFPn7Spv2t64YcUaNfwGfxDMIbPyxyexD1dlkIa99UCjrwpgWnENsrLMzl4ofPUgmQ
gv3J7Mb5WIDnbzom3QCdmoFD2+/XLy+q07gVRWPtvbyU20Rke660TZhpq7RK5TYUY/aJveB/fUoE
JBqeVsdijv6hNcLoF8c2xd29lE8hSzsAyRpJu1Xto6VM1EfbkfuBfIA/nyW//9X5D9ouH9GZkm9+
/ZxeIVxrtILsEKpNgCLCiZaVbbR3CEl/5JJ7k1vZzdbX4/STJvTvf5ixlpIFX/MU3Wt/+MOVa0mV
jKTg0CY5BjYRO+sB2/EyaADKOQlnrDe2Pg54P/nkL3/MIKTfQ81kim2hXqLSP/vwTdtdIorBJXIR
HfgKyH/EX6ZlULuJfWyHNNs3me8wE++qZ9tLyFsn1fXP3/rvpSjeAmFDGv0mDU/JxwjfEo0U5NAw
OWh2o63iHhDUvxtydQPguDWKWTJZw60sQWDPG3CcuCqcJ9V2uxuZQpSYXGK0cpRvm45sQBYI4Asg
EYhzGeBzsJG+HEIKnyt12ECPJdOY0Q/hm6Xu/vyJfq9E4aukY4VlEKWRwVD964lUCZgECVOnA0R5
xuCg7tcyEO1eN0Hs9wXh0Elqvgsz1Jk4U0if6TbzBuiq/OQnnpUbv4x9KCyoQRmo5LmYaJb++m5c
PazJIeuTw2CBL2raIX9RYDwnoRK+m5FQVg2gwkOh6AIosVcvg95EbI74AKhQXF6D6VGkuPFJhRBL
+JeeQOLx4pXrsAAt3PQOfejwHes1xe/Oe9VoTjHhrIAXDxVBPhWxrfOmFQHFUzmoy7y0oo20e+aa
ZA2cR6cCIBAN3WaWRlTeD7UMwwtgSKx+HYgndbyqSgcDm8ItGXrqtZ42tgQNiFFvGwzYpEC3uo+V
2Th4IDIcY6VvLPR+0HBk9BIHIoalY5IlziZN0vGzVu50gX74im1qWjpCIjqU9kczVN4wBSpKgwBf
AUo1KJueCyUqX6CLLJJgXHhBX2yDqBDT4h6NEeuwxWxqL4X/SUP8f13RGLMMGstcVggAPgwmIWKQ
iulqfFD7uLka8XiTU/5H4Ngkh0A4uInBypeQz5M9/CbMiHlZf2Zz/ugi1tD0cO7j4MPHZ3sfL+l8
oCpfmIE4MOilpzRvyc0q8Un4w3ApA49OAHCVQMLB6Tv3oNK0g4JtmvdNFlTLHpHSJ9eA9/sPxO/z
f5Sd2XKjyNq1r4gIEpLpVPMs2ZanOiFctbuZ55mr/x5w/7t3VXW04z8hANlVlgRk5vuu9SyufeJL
kHLJX1V/UgjwUJGOSsCHklcmtUVYkzRZH3g1ixbYd40I/jo3v0B1yT4YxI/OP0uiYoGkYPqNWC2J
yYjEtkhiOnwYQzZ2NMKQmab/GE7FAU3yi1/E42MwBuvaSscjAolkrbCiO+kN3GSM9feiafqTJnwa
G4O19Tvk03hDnYOB6uUhF4H+0PviI3NNgCrTkV8rH5LFJrIj5PrMgdV3m2xe/AUe5RAnR/AOTSyI
ElaOse6uevs+z/Ty1mjvfXifCaBtRkuu8RuScpwgW2Cvdx7hRgs4LBBHkdKg7VCQV9vdKPCssLEq
OnIRzg9s+6+1ZvoUSl+HoIbfVtOvPyf+tkGgOuv7LIiTW610wK7nXjTuDNNoL1aqt7u68n8wpZWk
sdS8T9VT4EK4dg7Q2hwe3EgnNEl4+UddggmIkIvcDNcT51aThGGXafHFbFD8pijgJmXyjGgEc8Y0
5v/8RNQcZJxOKNOD2OheV34AUzwlnUuJqfEdjGROevUjMI5JWaH/mGXn3heYhX8YI0xdWppNORTJ
LPONn/+Gnih73Rii+CB720Bz2blbdar5AYInfYJIKKbXYjv2ocQqoIqjyYSZQqlzNIaK2tgXI9bU
j/j5AcZjy7Idm4/D5B75xc1pYjUuYSLxAJMVTI+McJzWmyhaFGoTh8fFrsdQ8VBMSXK+WOZ8TwAo
3U2TEwUGDuSLb0j+PuXk6UHVQKrc7HhAjJ8/na6F/ReFcXIICTK4OWVnscxFl+4H0Xh3NeJeJ70M
9ztiwbEoNzyI9qavZ/uZmkbLHXsVmPtPpNoQRvYyHzyxm1+lzRVskAjVEHOyMwL/+B1q6dGva/nU
NTXSXjWXiyGOk/eO6elSb/3uCAUO2b6qZ+siRdE3RJF/nPcCfBJrvdSjdajYPqiMZOm3UzNyYny6
dRssNWq827bpQ+pqY/tYCfBC5dh2x8Eusi++yOmq+eV7lOAbkI9aQldRRP38udnoRMayNNKDrbdT
lRCN96jQZXaxcCA35Er79wvndzk1MpNJ8c3skeh2ViQ//4eaa5Ns6xf5YYxYFrnt8ywvURGrbsve
9D5jwKyQYTDKwnWPLWeZhZWxi0b7G62QUcNuFMgjydNH2WJRD/zxiV80sA4SBppBZLuGrbubp6Ja
c+uQX26q3uyfg8B4hdPpovGCVqU1/Qu91IrUNGxJ//4ef7sWDYEJ21YRjjuCFLRf3mJikSoWiVbu
3dr3UCGXPdUHLKChladbWanjORrGr+I3fzeB879aknKt4B7g1pzWDP+jLjQipQl4IMh9bef6sdVd
9VKqNJLwsZzmo7oicQIUsTx4EZPdbByCxeeelq876oq4q7yoPPHHpdDte/Bi0xA1NulXSrbfoCFi
+lttnhqsEYnbm/t+//u32qYW+WKQ+1xPzXtTdKAps87HWu1+m21femWuLdewgKlSc/E90OTlJEt1
4h60bSiGtdUANg6KNDqUaI/zpRlBUqtaJbyMqfhro/Cc0QI7P2Q1yZv//iX/duPwFngHghGBy5jZ
088ftzWqf33c842jZ+hXo9wXV6k0w4klSvXFRfX7jcMd42CTsNHOIhL69aoysJECvEy0vdKHb9Xc
wxXxUQ76vpGZh67On8R1bCLCMIoFGjHc7hUbUalXRHLGIVDt/tbVFVZmp1kleWsd4aXnxwIdhm7q
T7kZYm9RyB3bjnqywfAxHAhFT86is5PzvKe0SnwIWlr/0/nUIors3z9WHrh8cD89kRC0U7NiMEOo
I61f1XteVQ2lQx7vvmAFfasDm9HFIY6lDIyHQc2Lk+YmG5RbK4QE1cM8BLZjYF/sBmJnmHSw5KL6
89CC+O0JlaZnBLM2zOw/NSdeFf3Ekh2NV6y02r4M8NkjlVbeG9W49ojccCF6C4nh+Q9yZLlFIEE+
i0Ddepa/VdMeNHQF1n9wA7CvaDdWaZUP3yMYjqm/s1q/POStfPR8Wf5I2WFhvIVISr4yo96SaSFt
vTYSqLNLaxmF+C1wUjG3zXOI377lbDXyms5Gjh6x6LNqX2hjuaqS4gmApbuXsDyv9Dr867xn6RZp
w4aTrEu4RudSEx+8M2v5t1vcxum5h3n9lA+5+SK0Ev14KKh9UvhC2gD8MzE78FIQL2mBIw2bzo+R
k6BQEu41RIZ2S/GbQZEuqhc6yygjBnOd0GLadP1YPksYMxsTCdk6NhICLgI12jUYKlfzq7R5W6Iz
/QFqES4qqhrVsR/igBwph/SUsSbBK3D8z8MMrJqMZHVOG9Heud5zwlQsEhMnYlaMY/b/e0rFpcYt
RagvT02LksIv93BjAu7CRgc3w882ihre8yKrkYaCm8hq3zy5eS9AHpAWLfGpJk1yrMueDKUsvP77
Zf+7+4aFNjUV3bZZ/Kg4l37+U4q49MrCRpXvdVWz+QUbU8IHo48Q1Au0msbG0DH5+oa2g9UmvvMG
vSUoMP1a12F0QoOvrXAx9h8elcWplx6NFW1NrZGb1oiL5dzu9Uu+DVqjBfNtN3ksxuSlBHm2olg4
Ad0GY4XemT6AF1mIuorV4JSE2gYtGI4mtA/mtCkH0/rcA+ma7Mqs1m8haZL73kaXJUNGWKOptS++
tN8HV5wXlLTx3xD+xgjy8wdFDATM61h6h7++M2DADnCZddmozhp/9Xqsk+GLIvo//J+m1G2NwVyF
L/Xrap2Hrj0KYJSHtkmaG+WvhmYGQA3HaEgDTLWjMw30/35F/L4sN5iXQXSxKN6y8+sVYZp9z0DW
U2gzYP/hN8lHkyd6mapHrydKbDL/sA60LVr/lbwE/ldOl3/6Cyxd8MbxbJgOY/LPH3Unog5iErB9
oyUtYGbJoFvxKIV7/ZL+i82dIt09USeL3rHuX7z/30oChoaviMKAgxcNp9EvsyjbL9UqpB62l/QX
T1HtPNgFi2hdXXt6Hm8DBb/l7O6M7TxaNz7ZSshLVobe+E9mj1roi7/nN7vV9PdIFn/YjrDH/Xrh
mbQYB6nHyr7SSrKnSNeTohmuSVmgTOjIi2+1aOUTTnrQbYccBzf8Sg8l/uE6RHvH8M/zQTI8/vK8
csjuyvpIN/cij4jbi93oJPwEPsv0rPJ8ikieYT2FXh/+oOd/87JFqzTlScPFnrjQAYvCefBzJd2W
JJytuoJAly8+pN8WygZQDUqYGCXxh/w2SfGIo3TAe5p7Ux38fWx7OCxaWKgITB80JdHXQ2rh06ZU
sQUQzDjcqv2R3s5X04jf+zcG60Fp60ysST8Xv3pteqrhGgNVANOCryzDOEygwEtXZMGV2B2NWfCq
TVC9xpVdPCmFlV5zI9+bhXkvTOSiNTbzLZ9XsIxD0WyDApWXFcvHOZNiOsqbilSJKu+3tMCzDJ+4
4h+r7sukdP23Uj/3nlCZB+mOSkX213kmLQxlKJg24DZpIDi1Lv1vS7sNVazdxsBydmNDJ6eLTcNd
yDBJbmm1jih/u4v554zY8xfSIlaMAcaidjRAlxhq7yOJB6repNebsfncjj+MqjUAh7OatSsDkGVA
QOMYNWg20tC5OkypDgjt4IkEdrixbOZEeAbCSQpBbNF0GAaZdgCDZS3mQ/8rFKL+W8nBomuNRNKe
ZoXchtPd8T+LhsQWUZaPYji2U3amCRv/ZknmWLDBZWVFO7pK/i7onGoVxn24CWVtPSC9tx76xi2m
BqzY64N3shUw+3N4lT8q1VJESr/TFEfdE96VbqNkzNcJHTsmU64BJpXw3AEnLhyeiQj33z2FVuTn
ub/3OJ4uaO2r4ug/vHFqT46EBQNd09J+WaOHZWsPfqu2xzCR5hLljrNvDL7urvDTe2p71xordLMA
YQmFZoSOlcPF/tSnIVkhz6PVjYUcGvWLIimfOh/5T3N1SlHYoiS+cmGarOl//kr6HDeaYzfVMayX
5jhAW2iEp6zBXnBRlP8PHmyUprseYj0n27uq0Gvxwt/nMAJWDynBzLeSWY5thQ8mjtrXQXbJPvf7
t4h3v28neI1ZlPJgJi9+mmIK6Bqkm4E4hXkld43QztZc6BxtKsJDiVAvnBQUejtuTG2sCNthLTtv
oGhVU0rS53k911dZU8urafjmIxJR9FGE/+m1+RgyH9t4LOdXxLebjwF64Q1Le31TAxWlrlr2uy6D
Aujmo3LRS5BIGRmBD4Ehx3Ogd7BlANt+sxt4dPMLoiVbuwkT1HNcJY+FKC9zHLCj9BoBkFG0gdU4
vMki+AOSQnADv9BjsR5Jz5FkgQ95NayFXxZL0Hz1RQdxeplfmA+xK/BCpPZrRRfNMSvSjUuf/tTm
nTzNe25vBshdveQOdjrY2Q0hZ4hih5Ur2ksL7VhZYJO0bnn96pREc2ZtdtSV0L8DlST11K7FygZ4
enerBr1IVwOnsnFadM6rOjkWm8jSNgnD8iKfejT+5FydX5j3HNvXN7rwj34XhKvOMw0qPW3+XCqK
vsaAUW+q0s6fbXP0t6QPE5o+varHsiOAhJSJ+TAb2uig+XmCLH7SWkx810jYLg8y/C2egN3f5gpO
Wy1XzuiT37UYVo8l+5APis04eRHG0tumXRAf51OaZ4fYbtigrHUIabVvqBDD/1gZizWrTT4M5MEr
E/BQr1u3MMqoZYpETK0Jw72mchU4Gdw3c3iKesLg543W5QEuOLTjfUTQiTByEoZZHCEH2Scp9gvh
FCO8VFV7xkEtFp7uc2jU+nPWDuLz1dkCOb8qG0Jz69xhzoEy9OLQs1sFTYDBSQNdydqz+yM3rjzS
7T/rvHjOKrN7U0pSkzTWXjfmEfa2KkWIcmHoyWwBHTlIxboHI9EQUKnsHz7p5vOvV3F2IXAufSI5
gRDmrHWP5bRB5Rlth75GYWfHCuGQo0ucgBNvIq58RsLuhweY/sOW9ecOrqkfjteJa2TyF45pODy0
rbx3dj+8OUrubVXNkJtmPhxXAGjOoVop72VRZQi/9O6xbJt8qebGN8LGun2jtv69KetXMQVM5Bp8
66QsCQwISVsOdLtDniH879IoGLYt7trWXBKBTikD5epl8C3rc0Prj0OE3Lyf86AijeOTNdbGBFwn
TeCJ1ra2m4/mTUpmdbdSCvep6z25Nsz0KGWpbFq1/MEKpzkFCfibxbzbTscRGSCncogPpWuED01S
yXWmltrWDEmKGON6ZU10vsHs92OF0buCwXPz/PHV9GMiJgikqhsMEhNx/iEdveIbkxV3MarSfVIG
JrfIQftLg+d0XRPBs25K66kZPG/nTu7leRN0tbaHGpesC1eGVwwY0RVsTXTNvXQVY+04zecnHflC
6UdgacYly/Kp/VJ5R5LUnY+xt7uFllglUwJQ64Hi6VerH7QtJMF2Cb8zXbeqDV+Zu+WjFuSQNHXy
Iiw9gKHlxpv5fFktZeNq34pMUTcy0rtdOTTRKxTBz9eVEbC+VhrlpbAjqIaKhwqFluh7VCDxrIGl
n4ggsHlM9Tsz9Zr3xBNEdtdjueU+r54soEnzhdlXPR4AeL9rF5zv58U6v2DasXv893Pz7yLPcCHV
Fma5EJ3HrUoXmD/Az9Z5UsIOVcwQBXli3ZNpHlDV2fCqhmG1yGXZfpN+/16IcPhB6usxkDl8M4uS
9iz1E0ns7PgvBGEVKP9mDSDIXRIo8uc+T/IrRJUnbbI5e7FvnjthR+uCQvxmRtLUgYQNZaAenQ8D
3UtJty0ZyRKq5dQZA+cg591k2g20Ot1pIBapAOhLHlrjG5h6sS9iT6xmeytcc5qYab6TZhovBRyg
W6LU2q2qDBtUXVOgQeVwfoHhPLpZ+ebvM/NenTCHJJoxWTt1lCxL1OwnDbbrwS24PCxv8G6dKauV
WjrFS0uhcsESwfjRIjoC4Us4l6eS/Z115Y8m7wniazJ16VRKtsmAgMK7NTd6G0Y8KDx5h3edEhVW
hqf5RS3FqJYXnbebD5kH6ktNt3ZunOoTR0SlVDx2T12AdrlRhvqbYwDJ7RmrIIeteOAAJIp4NCpm
lL2HSYuEsJmeMnoZb4iAsU9lMgYHpXeLXailwRU10dWcQBOnTpbf696ztwre+CUR5vIhn2J0e5S5
64S2OFoBznUpikew+N66s412Wad29DzvoUWJHyiM8PwWGRnr40KPk/glKvnOgXX0i8AN8jdNp2xB
vb7cmbgt30ijuQzeCMKu6ZRbQ9lu/m0SuWsyLONsUyigob1Y7a5pUpsPNjHlRiv0l9EjXCOGhbGY
D3NwB/shMMvVfNj1urGGAxdubRHIF9Xv62U26OphftUM4+95zNIwVZj29mb+mnmj+TimMj/1E94I
fUr/DTP1axRBE4IdW5yKXkwlzNE4FiQfIb/0qitJGYuqtozz7DKaT/33fOwUJLwGawbw4UYwcLfO
mh6y4bQXTucyr+rWlJz6z72/fw44f3qOvbTASVl/T7JQeVUq0W+x6ClrLAfKa6HjmKvLoD93SURB
dwQiP7g6WCbPMY8+eSD3WCVlNGiIVYsrf9MLj6lFYlvv+vfKkP27hAO+81qcD4HZ2Tum1NVC9pne
bcygeCo8MWwJg2hXiFhQNbUsu3stjV4BIQQLhen5JZs8wGSiiMt82A39JeXhdJhPaXbwaLdpDEes
Oztpo53yKc9m3mAYPRdEHm5dxzdDMI9oVrWwT+78bL2x/Dhd152T3E091E+VaP8zvwjoOrmDPVHi
3ifkvoZcygxxE6dOeyEvihhXUAoQujicz0lzaC8Sfcyl0b8blZmfy25Sn88/oUTcFB4QcJnU1XHe
lKVSJJt+olHOx4Q3wfEhj6sMuKkX1E2PARWqU4wY8jZvupp1lpNEdxYiUG89yFVEI/JR9tW97xt4
kIEmdr2v/5A6P6lg3fxPY4p11Rnht0HW2qo2df8sZeKdgyHUId9a7aWMsj96LP1L0Kv+JaCjfHMH
eKDhCJiKHWKr6X5foLabtxDxOEwWVMTzb0DTQH8wJvnSAB5EUZ2NnVZ/7TmVEW9HNXkyW33pp5MG
OajPJMpg0DJldK0nHxdw8rfCH6p9Ox1x9SaXcMDJjIRpbTaePKs4Nw6pKpINgYbYTgxCXuIxXWLZ
8EEEpMZpbAL8+DbqpMnkd/P97uQAALi6jrZFgWYeejq0h3bazIf/dE4RzX8s7FLH2nXKBwvfG/nE
2FYY51t/+fcxzYsNl0Jwh4LtYaZW3FMDHZN5Zrkq/cx8G4ROyQB4Hfx8DkHpoNcH1rBqY+89nEyp
ZAWV1Lu920znn0/Nm4So0EVUpO52PqTkK7e97ANQhoIUrmwxFchQb+NuQHgtrLxwFkwQ8dwpGQnS
UYwJMZByHzdJdyrSsYDDUCy4BKNHs5zwAa79MIPQdZjzS2HmPYIfEdwzHOFbGaKan19Ngn4T8zWv
YTyYZ+5SxHtq61xDTEFrm2DgR3h/+JqVYrzzPMtQZEfJa5lp7aIyRue9a7+qeZkT4uLnVTANBJpW
SOaQulOi+HkV3NgB1H2tAGQYCATlMu6falUboCP3hBjrLwVajT8k5j2C7qMXS4DH6Io6X7sZqKjc
CS5BkmnTUqzccEeFlwAd0OXzhWnPwWiwVrHeLPMmXLaVNh5sohFI30Jcb+Y5+Te1RvogWR+V1xTH
0SGjpvnvngfJYalrlb7JSWB6DkjJwdXQvloeMAeeh9rC1Jz2td+ItgPm3MFfU1sIx5SCSJJAIe4L
ZqskqEwJE7R50ky138jmWWq99MGu7VnOp5POsztjTcmvThG5qyLJX8B9t68Av9O91JR2JeKhfSUB
Pl91CRYspBHPoiFJAD/nfd4oSsL45HtHP+/16xDC2uuBNjxR8kcwQa7awoyktayVd4906Pu8EQLK
qdYY59JTyjtvIF05zHW2omx/ZFWiXLEjf/O8Qf9g+fa5A9L1m1+F+seYENqtXfShTNAE5D8ixQvv
JV3WnYKyYwv4EA0JdZkFxArD2HH9K4cg5K1GpNrtSK9tWP/Zi1nBPtM1TTV3mE2qj4mWmMzXu+Ts
VMI/mOEYA35qx2sxtC2hmGn7UtK9xNkOurpMcBQplkNYmdJ5q4F8rSe7Mcej7OnYWAQUdy1VvxkW
GFN7vpIsvvd0CdWUYtPJLSjZlTxeFnkNbBNwabrFCUCOyXTYMqtZgB1KT7YeBRdFxJe6jZQDetlT
HussOiLR+ESJGyU43qkK6lNlBDN/k0E83AILpQDd3+qRdWH1eKqd6kClM/koAldZyCwInvI+SDe2
9OoTQlqFME6XIAbDV4G04kYnudvcJNgA9hR3rPO/V5v13288hCSI9Ayg9wgYf5VEhXlUd+lgxcfO
ibE6D8OmlrgaWVkMm2zIQEuavb4PcsW9FFlq7b24fRq7fjhmUfpO8ro86iZjDUUX1HZu7r1WlfmS
phQ6OjySe6w26qSGKQ52ZMinsWxqZmj2sIS2j1eaMO693WHVnCjP88bpxAFRLVIiRvh77/rrrqYL
5gM4PQiW9qtCxS+QDy6109H6wkKOEPu355A1NaemGBYaRr95yMcuqwWQ5PqoVSUPdOmrO4mzY/E3
dbtVLNiOQnaHrLi0WajfiTardl6f9qu5QB4MOap57i6/EkunQHc4MXRiNGYvnfUaT6GH8yaaYg5l
YPV74YzHX86rWtktckukR1aBG2i71lUYzU76USAWCsPxorDqfDu76HBm2WsWD3AxY2pPXsxUOdPP
snC2RYXB1Rn8DRnKzU1v+/qme/Umlq39JBTvQwV4fFOYgz3ScNk2Y6Y+5XUbP8WKumx1PcEllzUb
ZdS9s4VXjThZ7hHUGctKcp8S2aevHcrjh9j2b8kERJ43jstg1enGh23VFYrmynlLXTPbKjLTGG5S
dLidqTxaqBkXVc89rSXEYJid6UGiL4Pv6PRWFPP3FEheeMIaNNgN9yGuKUFmmsolqIlHTCHqY/Gn
IYVLI3Egb56KaNNJk8RXsrwAvex1stqXMYnONy79ZOFEXfCt7hegyxVoKSqztalUF3caRangMFa1
RlOnM0+RlZinMQtWVeED2BqU019TPnDDi/QA86NgqDfC9yiITiXv5w98ldfesIIvFHnmb/07ysWO
xCFAowoZrTW9/j/l+sqrkbvxiDrqofmuGaVzHZkCHDolWRqI7ekybExDEU/EHYonjGMpgj0CseZz
dSmCXVMmckn7UTx1hB10namdutbxVr3FeuFTII5581Mqjl56WyW1etKwuC99lVKB2fG/CNGY/4k8
NHm4sxZ4Gftrw9V0Gjriojy6+vch7ZKT4+CvBSm0NPtGJQsixP4esSQ1IcHiJ6nfXZo0K8TmkmFW
/dZOfRO9o/A0ZjhRQW1vDKuC9t8XTHztoXrB0aPtq8g0iFxTtTWJ6CRRjWZ+ClIrIZJ12i0Kugk8
LkxW/hx2SpR/0Sv/h+aR5YDl0vlHyI9GX/Dzd0D+s2ll8GaOM3O/CxOS3drwPD8Q7E71DiG+hoU2
gtfMBbpj26ijUw48F50DFW6rGc5uaTco9434kOp0mdEdvyGnbFeBNQltWrjckQCPPmGM8Arue5nb
70FL3qJnxdYWeWy7rgtw5BiR/vBT9amnDPERdzYGylAf0JYEALY0bxN4FswLWY7qVSk9Y/fvQ4XA
uPDL01HjGjSwO04fBGqPX806MkhC2Qy+PIhYzbfSaxlA3bx6dwVYUivLeFrZqvNiGf5yPp/GXbob
ytbfZIpVvkdpfxtLciBg/JQbh7D0Y1oAf1DqsfjgBl6rZjvAaY3iXReTFDECLn7vlY/5dbgvuEdg
0++VVlfvMhK3jkizj1Jp+6VSp+qpxfiqJOUl5iK7mC2Io5bSNHPqvrzMLwS9jplBR4uwGgZAKfMr
GY7kjt4HDs1xNoueAYS4j0ZLjmauE0ao5bnyOJ9rySYeSRA6KbnjPgaNUx8Uh8xnQIVmineJWPUx
X6l9bBx7Gu13eF/Vyg5zndIfh52rqNuuzRqE4hymHg2CAq06wjEHYlBftBs7VymHG7JYa30XP8yb
uooVEAjUb+ZDw7Hih1EvC9alakYirEw3nodJhJJ0+EhipbNoG/vR7irtkidoURk+xXctUm9Gpgli
XdM1j87wAeJmsRsSTVvMh5/nEvKhurD4UHJ8O0aBxV9QJDsUsIV3MVCia2Da9ir0UBxWgoUvY5Cy
lkGkrGcrt+iDlqyLkvir2dmdaBewzNazx9AolfyPvoekKUbDXJRaryrLoEuCAwjUt0JLtJe0aMp1
VpbfXLWBuDLJtEYKPGBIC3UNnR/3tlkwipDMeZw3sH+QTLfKN62UIDcyW17FOEWCFjLaFr2lXVLZ
HD+Rv0GYDGelc8utN+2lTUxBSxvsV9Es007m3sKGJh6FrXin0pgsnQbaa0/ldDtXsucQUbPMA7Rl
4DjMunWpEBggvac9Uxm0i5csbLVpgOCk33pNdRZgJJyXcdqDC/nX3nzOMzrOQVpzqZd2Tlo/6xXA
aNWCUGnHHuHTYeBsWLNED+UEHmBtOtXI8XxCXtxacWi/I23zpA5VOm7jjUYMb1CRT+WQUKR7Q/Kj
M9UFJJB0gRE9OcwqPxPk5NF0tfc5+85p4h/kyVAiHSJjrRMMfHaMAg0jjPPnhqeoWxbd9H29dWb8
IyV/YhGoLogMCg5vdhvJhT3QPvLxHS8Vg+7jPP766DUU5uFX3/O4Kss62XbUSfFZJN9QiQXLENjX
k185xtpNTQoFBYQc3En6romly/JgiFaqUmc0nqLsDBOXwPIhDpNl6kb5uUMYt1KgAxOUO+3JvOI6
8oJDbCXuBR3XlEMItcccK2vK0BxO9rQXNREZZXp/yrHu7tApMNMg8GUm9giNjnQm83hToiA8+tZC
o1DDMKrCx22q3jrkXWYdLCLllhg9k20m5LLNgvGZRwaLToJaFp2SlW/ayIfjJ1a9q4y23Y9BDMSG
HLEl/oxgN0eI0gY0LnGC5qVw/Kf5lFORRWvUaB98yyaGIRHFVq+L+DSSDk5hqruDuCguEMu9xWDV
/rZEy4AiZaLJmMK9dH2KGhrd0QGxqXOACkVpO8gszDKe42+wp7CydQZJmdlQ9GUadnxbCZQ/Wdxi
Ki+fGzpQUw3WPvd2o1xAUwEEi/m4M4yJjWlHr0HSv1jw5ZjnjOs2N9sPGcdkXqRdfwtsrmW8P/p+
JtG4zlCcqc1uZziNsH+Yjrc2PJIbvDFvX303+eEqfXMd6yhd5WlhL2IA8Q9GN3SrXGb2OpwOm1QX
D1YvPeqPAX2d0RSn2kD9nxIxM+VErqNYXKE6DI9RRy9BDWJcFJHdPwYG1SIulI2FtXJulVOooTSa
anJDvqVcWhNmDDZZ9aBHG1iPlGbjamXmw3DJ7XS4zHu1brPnpaCAfbx5flrciWUrNqKHnuQ0Y3Ev
9dE79T4pz/OrFQ7tldkx0BVtuaK+oD93cWs/TkelCuQGcBJhOwmsEavH2gGJuviuaMVeV7zsdQhB
QKHZfRGkHQgQdrvBQv6nT91NXyseg169+XzuB1/qxqEZPfOgKG2WLjSyGNfdYJRLVXW7Vahr2da1
NbKx9bZakwqpnd2aKOywTZB8T4eWhlSD4O5nvTWIAjCncp7rlSh51AQgxHxSQSNwIgASV4OyzagM
nvxpL0zAn8x78zkvAlUCrIZCXh0UL6kescqvi5Y4Vg5b3f4zS93gkqjNkdYWaQ+ADIZFVVIwVKFV
LVxdi591qE3SgT84HxWG9Sey2/QcVK25Ii7TIb8XfdAis7SVQ0zPMW/z4uwxXTjz9HGbVaFxWWuB
D/nQyqH+BA9gm8MHGsXWQdVYxES25fIM1p7rJNW+d4p8pkEm5h0ZV3c76h8lT/BbxaNoZWnucHea
4IOES/8WxC2ZGNNeX5IOjp8xajUStadEk2xOMsnDLqTqmVQbuwrTKx5MbUlyg6RhpKHeMIf4zcBA
uxrU3tj7UZsc503D972mpxgs4qMW0DF3Ysv7NLbMFheMLLKWlkeCY98eUo0lx1TJrqZiNcLNo1lL
f+3rvY9NmaBGNU7yPXZU783NhkXpG/G3ksrpJrZysVXzMb3gWXvz+k5bmqXV7OerM7dLomcArKIz
NZ6oJC4zXx/ewlEx9rrj2os0yv4kEaim6BJ7z7Uj/E2qde7a6F3n5HXxm6OpDHwT28ebcRMdhfP5
MNQEPNW+jzZ1c6NkpL06YdscXZL9aDlV7UuXq6si0Ege9tU/42It2p7nG4z0R1BMxW2MXBaNlRrZ
i9Ct6jPqnOY87xV63y4odhYwOLT6nA2Wy/M1Nhk5pXptrF0ZDS9ZWA43QrqKe6tX69xq9de0VjN4
cBRTXXKkh8LFHKgbWznqNy/5MF2neWX1aOw1dGirbuqpIx1gjjJC+SFM+0y9T5xcm/goas7Oppzm
Np7mvbKMdnFb+n/SBSBBxjDUc54H6ufsYJ4YYO7eZqRxnHs6EphXHPPJ6wVlWIM+VgQEdIejq9i2
KOEOtlUyiajUkku90m5WYNI8cY1VjI7uyhy2frRDUx4M2w0WQicuniGEkSrgG2tjQvH08ZybibGO
TUuBNvN/5J3XctxomqZvpaPOUQP3w2xMdcTCpGeSSSdKJwhSouC9x93stcyNzYNUdZek7q3aOd4T
KA1TiQR+85nXFJ/n1UYdDUgbUZPZxm9Dlvfo+iOaWrAErgcEqCDh6fmmVNBj1qz8UYnRaTJVpdlp
YTk+5C0xbdcu82crSg74HCFQNJ/j9RC1Bei3clZWlcwVOVXZZ92eX7Gu/6IEY+3n3OsDvObuXLEF
RhL6th35yQWzYnep0zjDwCy8wMc4zprS3l0Pwgi7O9PCMFBt2xq5Ad64vmaNZbRTFuCO19fkpF5s
RPRQ7gvmbLOA0HAWcyrus3btCghs9HD5vm/Xg4jUYCWsYUanLlLqJuGcuLpOVf36iaapsGmJS9cw
hYWORLUiuBt2erN9VZcSeR/0NE4ZyA/UrAQlhrLcIiQ6PHQZ+O+6uiLJzJ4eUp8flHYonc4+Ymli
H4hH7YOVqB2l1BjjEqyxjCwIdlqKEqUyqLOH9PBmlLTSC0gmnqWx3CnZsLwGdYXLg91qp9qmvzqo
Teb0wawR+tmqD3hnx50n5C7nxK/0Aq/yQVOO9dBqtSPX+lNrhc1exkQAG6c43hVgu2/VUJ2PS03O
aA7SAfRA8ooHHz7eqREcx1iU902SfNGxi6ZYuVCZLuLuOFhBstH7vnuq4/I9i9vsHeUYj0GanzIw
TNvJmZak+iRq8tQQ8NdmWJ/ykx061PlLqAzRvoIjTDOR18HNbsJxcJADwddxGe8Kg8UH0d6tmZbB
B0uXs0OoJrsCuYmjkVjyCRJBDXBI2qCBh7IqMqynYFouUzhXO7zqlVOqwEqKZ/05xk2Glag4jkYd
3HdRn235X1J/DAP9Xsy08fKowt2E+OQuqTsPj2D1PsuLjYZN4XMZlMZtkM8PplaVz1OGLp5sf43U
Ebzb6oheVZgcmy0TK1lfA00texVwQ79Si+iASg5IwnxsHptCMu8ic6SICigJbdThFMrpciqkBTCp
BC03YA3YUL9LnV7Mza0k9ZqXdZgzFkFt7aWMiuusldHD9dBpw4tcSUjnlmJGT7ke9lKZ3bGfWk8Q
GPTtiErXThn62k1Q3HOSFT5jaWV/auFDwrXUyHLnBvuPRMI596rNgCBg5pS2aI7XMvnQl66ep9Qt
Vp6D2qTZ1tSXxK2QwD7GEalyEXTFK5C3DTAXcZJTOUItRs98Lc+xX8ssJG6h/RuhLg5z0qHWdH1Y
WUQpSy6qLbSJ19CQU6hOA7kuAvnP2NrXR/p99renfYCTj4DP6V7fjbCUI8ylyAZ6+KQo1XhCeAlX
Nd2anzMhv4CPrN4lAzsnac5eoce+6918QkO1fjRtyI6ZmdWPpTILkHV16rS1+him0fQItqEb6WJf
D3rW4V682LfIWwd3VVYGd4BjnV6HO9JoWesvjZkcBzH2qM2mHX8RozBjWeIZfCjcaYvGFCu7Kwy9
QVNuNtyrUPW3Q2DuZq0rjrIYslNWA/ltpe44AmE8llPZH69Pvx2KoiUljT8HvVa4bT+Zuyuwls5c
fcysJXNaeD5kH/inKcHSna/vwo2cNukcCq8ZsbiE5PRSIbntmnSM39D82oEinz+IKAMJqEb6DhGm
4Zb8MnJAP4HlKiF7XR+ZoSx2fTkdcoOyjDVtbUmgf6XEEbcLjW57VMsDsgpsXiL1gC2MJynSPqHn
pgGfGZX72pi+qJ01HK8Wf7mWpTf0YS5aMTwuxXSLiu1TElQ2XuE1u5glMuynyvTj1IKe1xoC/rkr
cZ1n4UENqVOBhKJCEaVqeGdly17E6Xs5yepzZ0oLyl7GvLOsXntGflh2Cguxyeu7yKVsbXVHS8vA
7tzIt3MjYtOROxy/08z09aWzT4keT1ulNTSnj+TpTk4Hp4KTfh5yabq7vqSpKr5j3MpNj8iTU4aA
QPWoTHZpYUw0HojjlxHAtjlJk7fMw3zbxYApV+nXbAX0fTvATT6Qujt4UaD4Xr/TSXiO1Wp50IHd
EWOok28P1oRV1lgdBx2d8rxTX+W81JwpWMpHU0gNFbIxOudzV+zhsod7+Dih0xlyubekPidR05ID
0pS76zOttI2RXSdmh1MqG+eSURvxhGizG6AtmSyfCwGMV2o7MjVR4is+Zn7QG/bHRCSRT96UnYYg
ac91pT5AvD5PxjKeiZmmb4+uTxGunYLOvGlXf0t4K3hQhvUtuDmU9dA5cId5kS7kGtKlQP3F0xHe
2PzxWtmPX+AsS4frS71dYLhr7jsp2044Qp2u6T6GjYknaUuPHJ0lH7hiOHevWs1Cxh4C1qDmVfnY
buFYLXvAYfperbVLIZvsr1U974a+jx/R8H2zKzl467BD1YOWeVjIAPeL3PbGeNA8w4pvoi4sLnU6
Ts+6ebCavsRefLmoK9RR4MCwseW1b7qCHrExK4h0ct1TgGeCkqBoU1aUxZDvbV9M0eJKpGTdi1xX
SMchGrRta5uGILnKueum+Fx3teRrGvbq19f+eCNaieuFGhWHqlGPk0HCU1jFs6Sj2A5UR1yuj6TQ
8jJa365kd/nTNErKloKxjE8gTxWcJPcEqT2CakVwLGTDQLMJ16Rl1fAcpR5c9YxXzFyP9+pUTtt5
HJn76+H648I2xvuQYsGQfqnKKfdQ1J+EM6zY7q5qQgIMXjR0iGIoTMvbuX/P0hpMBPSe9CIrr3SI
zFtuTob7TZ9eqsCijhN9aK1y8aJI9r/T28gKYsQZSD1e07aLSKJhbvAF0k7U3inJatjjSszBzaxq
CvIYauSistK/piU+1Qbx7pSZm7KNv0TjnN4k6+H6SJfL9KYT5h51FunSNLTbJ0kdziTl06Nttxvt
dIXairXigx6Mm8/wA20l7e8EYc2dMgYxrZTOz5aueyjU5m2R7AxQZ7jPc23Z1BjUHmMsOrdqGBk7
Pe2/SJqFmm4jR3uzm8MHVcbYQpn68UnGJhbf7LWGXL30VZsBMcAlV8qt/iNsi6/I98t3fWjnd01e
niIl0xBKlru7eT1konrLrchD/L31rY4WQlmH2QleCilXFZqPUURZypSwOfIAdwTviGbh4hV04lEi
KvIbG00ec+htBxoHAMqmAAmtZ+OhU8Pvn/Y6GiSmtHKUtdZiFbD1g73I+kHSAQ0IAPdgBIsXSys2
fW1CGc3t8hYa9wn2kRfM5mdbCfpdvpoQmDJOkb2Falc8msvxeigq/FATjfAN8GfgT6WMKS1djnFK
2lshD81FMwqWvkrLnnFenSm86NJd0mTJ3pzGmnoETyNN1XeFSh8IuEhyP/Z14elpO2xQ7Ezvg7S2
brR63C9SGT114CeP5mIqjiEr0ZOqjdU5F+mH65sBpItLsNR+16QyytYNGwrYLNrqVfvFSE23bWPt
qWnSL0ldnK5Q0jaolDtdKk/CaiI8abN4mxsGJXWBhqxuRqCr1Zq9JMuUS1inKKUoxaPAnNIndLOo
PKXiQGe5dWfoeA+ofQJbiimBNF1Vw9nq7J1k209jYyTnDn/xc7Merk+XzDAcStNnADsyhlaDtIVg
EZ5Zd1hJDcaOmWO8mGgi8yyhZpQsNnmbdu9oNgAcwibkUUfP1ac13hOlQXFUBqXdzIBTkgajiMFQ
n4ZRvMyTPZ+bSNF3YkFj3x6L4tEqrbcoNrd4r1P1zoJ5cBeppmIatx3RYTd+VGfwxnEhx2fLNgMn
6cf2UgYPMY5yMUg+hPkUK75IivkC7kNGYwZWCWqJ2L3rg5/G3vXeX01TjEXBRtfqE1AwVugUOLL3
SEHPx0KX+BeFjuvzf/z73ful0T4YfYuLuhqHH/JnvMXVs+DWbfsrji9RvjTtqJ40aG3nyZJezB4W
em/01ZNStuFmBGK5R6XRq214l1YTnNXFsl7kKAm3s9YEm1bSdbeL6OFE0wwWEkvl9Jga8yYqq50y
F/E91KriuVk+4ItuPdIjWR5VevvXV1XtApcvQpOxb409OkzNEbyI7NOgrl7i1LeMwnoRKdKHFvwx
REpY+ct8TQkpIkxxznTGmBOZ/uuriPwGhySJA0wRe8VptT5/1JZlOjZtUTmo/+awDxA3i7VpdZs3
QXtBpEjb9CFIm+RBnTAMokozooGmtlRqGxhFi9qdroccs8dvjxKcqD2aMtSEbck8xtZFRYzzrQ76
e8Ueoicsmmgbw4TYqLVRvMSo1NlWWrxRaaKaJAztpiPUWKZw9C3Kg4+a6Mxt2ue1Z1GieYxFFJ0m
jYtyfbeJluwydsvm+maLGKCTdJiGybkREjLYubWLxmE3Fop0qtstfevxJkFBZhE24M4RjOx6QD2S
ylVNtzBAWZlu6hsErfo4JVHqxYp2xPxw2iYJrmh1pzX3dK0hCxW2+Nwb+BOh8feRWnfsJwiQbOQx
oZGnxjcJK9UTqbgfa5KrDzlVRpKdobSCC9KiwQXDyHw3IdVJ9Z/XELL50tiw6YO8MPnTFlzfhK7Y
Vmsh4eCJRfu7/ECLQKeen4zEejylyqO5cazittpNxUWJkv3U2NapXrCAqczq90dhvQvyvD+ouvz5
CnwIISbuEHeDQGzKC4qEmXqKkDkARmLcxJkwTupk6l4Lrh3j28E4XV+7PrJxEXMbZrBLU1E/AMHR
D9dHBZTSb496O5Y3wEA+Sn3YaN5QktTVghZE0lVeDUt8n4/a4OErVN4qqGLhGGgUe2AhC/g6zfCk
wkifjTxLnIn9k/rAo2hC+2s1pY8GQ9Hp9DI4Q0nTMKKRTO5nh6mUpBBlGUn+CJYChQJ2312ZRBF2
9ZN8GQdYgoqU3qG0tlwKRU7voOM6wWrYWWoVhbtwrKEJ4y5RES+ecdzJ7zR6wfg12POnP97IYZne
xvEtJn0fgiUq7rK5sizHrEGggIxIEHIeW8cqwu5JwQtw0wmLRuP6lAYnRuChgWzp+nSKJ303JRTu
kmFpn5ZSCg+YDWHvamubeWV4orJu8z08mqyS8q1NM2l96XqIrS46ott898efXl/P1WbyFAAZ3vUN
LIKgAEZGvBUYjAMxx0+37avqg4oOqIvuXIVSmVp9SEbzEo5y4xcdlk0jdh+XKJ21c5dn3rga+iCO
r6UXnLfW3bQ25XBL1J6BD1BhKwuCBL+tq9m1yma5vR6SIVxu6bkIN23xwQgeUCNYNnmpS5+QK65q
9VNR1dZGGTs8rmW7fOn6xsVYBqQGQkFbTRtiX+7hlFmLlW/XYtSVQiImhfYuZaIqTrSnSKmN49xY
qI3Ncrs158HYGhnjJsbTiKUljd1iKbVHCyC1p2YIW9dtq2KiZSnHLBwQQI2z/j7L+DM11B0pAGv+
h9Zz11cYVk6jQj5TkUi1cM9Kvd22i6k/hCCwCYPb/ia3G80364GgpRTUoVuASH8FZv2ZYr6iJBBd
FgLpIggaP9ONCac6M28XDRlwAy8AkMFc0sy8aazEAdQZP1gIaM+Tpt0q4OLmadl/c1826DdFgW37
STd8MnMM4vuwbXy0E6XtX0A5fkb9XU/RtjWZ6Bra6c9qDGWeDz3mieTwQox0/LnEYaBZrsHSh8Ix
w3hMwODRXZnBahVH0eAMXOr59CHR7Ji2f6tfRJxIW2ZXprTFXSgzvexZze8mFcX16+n+x+fpf4Xv
5d03HHD79//k+ecS43nq6d1PT/++fS/Pr/l7+5/rp/75Vz9+5u/ew/9+/NvXsvnbzcPm8ee//OGD
/Pe/f7332r3+8IRpE3fzpX9v5vv3ts+665dwoutf/r+++bf36//yOFfvv/3ymRJ/t/5vJL3FL7+/
tf/y2y/q6m/5H9///7+/uf7U3355iIvwteqbf/nI+2vb/fYLlPZfceVEpgrnHuwwZeQdxvdv72i/
4q0LWslmyZJNC40BJlEX8aFfdRP8DnJziAvo1hXh2ELOvb4FTkVb1Ro5GkgyKb/849R+uEd/3LO/
IZR6V2IE3/72i351nv4O021ZK9+eL0fgzgDu+jOmO09jUSN1ilQ3jk8B7uMIGjs2gkDbaqWcrHmK
DdNpA6yiBg6hI4FhVQ8kj8fWQkCeRGXRxK6WhDshCl1qzAc7O7Wh6Jwhlrwu0zdWMBbbsDF2Rpl9
LSREmKZaoAVXe4B20eKaDOhySeUORnaCCLlblMyvYjDasC3dpAZ/aGViNWKi8ojyvuCriMSwRKZR
ubDepfe1RA15Mfd585CmWFhV+SdrGqATB6qbx3A8I0nsiFz2bfNmWsZ5lqzYrWQVH9LBK8LPiWFJ
VLZQPDJhwceV4eRpuEGqg8j4vrHUixao8EcEtjrmRjV7bz3V9WTq2thkgeQvorsZdEqDlnBrkfsW
F1KEnlg6N4itzYw1NLvTdiiYkQLrtqx8oNIChSPsyZo0gJjF3fp/SewhZpt9oo+8q2WgmblPnOWn
NolMMNwY81uHipMkZT5cZY/6hbAjpzCf5hik9H0ndZ6V02nv7jvIUFQ7J9XcywYI0UjsJv0eXDs6
n7taWVm5waOcor9XN0oGm1/P8CewHAGUB71YWlY6m+kqhdnfdWGyLQN9lweginJshxvKH+VMf6BQ
u5e4mamhY46dDI0zj9XHtn8r5TcqehtQ2CQ5gxdp97KduwaybJzleuYy+4CCsoDUUP6VyHKS8m7o
Cvp+9+tL661ZPzgP+hbwIgXBzF9PRtIU8JTGHqDdFyh5FztooQAzZqXwptYlWB5gLuvuJiJ2kJLV
3Yl7usDHo8HjdFi+gQnG9CzI2LLfkETfoY/roQvsxvI921ZR3suMvfVGzOjArwNCLhkHpuQWj3Ys
tpoMy3UyQchEx3WeIMPpjVA2zd6gA7MKZtUU5rexSX+WEdMDvoomxnDOPgyGRDY2dYWbVaL6SDM7
wgYQ+2X9+qYQWwC+rjJkvtGqpA7MQcZ72BRIK/IdDSOsgA2c+eoKj6hUukn3YV9AhBc7CkB3nWKc
i2S4qfvik77kpzYwdpSpaRVGx5lOim4e7aS/jokUlGI5MiZMlAGhY67jY85xZRcOeOtND/G272K/
WQNl5N3DjDsf8RHAJc5cSkhYZVsyErcQ4Ea7/LRYBQqw3XTDwrWJdbBs2HZlFr+1MM9dKrYC4dT1
V9oBjpuptVnv2npH4y7waxWvUKlwRhYP+C/+rA4364ypenAD3AfbBnGTyXQZsITjRlsmNiUGrVCw
rJHkA5fazKG+0xTmNmkkk6NX1/EDrtUqHgYIkZT/QXf0NwYeUIoufc5txjuOH+yUks/cr6GkFIbh
rmOHp+WSuyk+C/g0LmV0DGJjE4XnOR326COcKF7tE9xIYkXWiKN62SXALZkMxuim6Wy7RKy4WdY4
MSYmCn8V3bdcnJIWQqr+pQ3AnrAgnwwkl8O8nLd5WWZeHxBT27lxKPiM3dDUBhxk0KzNHeAXsUfV
v2CUNhslChYozLgiln20URAfgOk9uaj0q649l4U3hBUHCpFKUaPWUN2qVtBRZBY7tR7fhkXbVwqd
+OvfBkoMzC+MH+MivYv0FM03u4k2OAretKp9X+SK5lhWLTwBvtgNY/WmxMvRYzV0EVdB+BT58R5q
GcymxHAGU78rWJtAGam7oc1nV5Fj4VWm6edV1nvmlIe0wSOAKPzI63l24lAHcs7vVLnF9eIoOQDN
cSi+GgWkw0xSsfUa4x3dsxs4tR/pfBfAbVrwKWATE4FWM/6NBwtm0MZeDI+CXLHFj9lGFT36WA84
DkplvKnH4Os4LJNDxYpQqJB2CEViXmmMb1kra5s+LICmTgEiNwO+DHh2uFK/fFaWzvChp3+YB/a0
EKX9URSqH1tF7WuCb5vsTVXrXkXjpuwK1EriTZlmn/NG2SNx4S5F8FJloV/m00mOTc/M4SPLx6BO
9nS4v8VeP4Re32/jP2sJftvFAfwquiGvMvkrJvg7DLoUY+Ie6iPAIsnczDVLLisI1iFsJiwVhXrJ
ZgqTw1uoD15gBr5kK391CuIn9ZbrOWgCo2mIYbpMTP3jOWi5MZhZn5ardfcWQ8FDFaA+3lfWJlpr
C+t+zP6VBa9p9WXdR6fWxEsE3tXcqDcoHaPirDyDX7pIECNgmk7PgGurMcR2SCB2qLW9Q03oXd1K
SGc7QtFu20X11gWaaWsmNaU3xzRoGOVQTuJe365fkqiJK0MwlaEzES1kzrq1rItiuPY52AiWOfPX
pXy9UPoi+UiMgccpHlBjeRT6G9ZGrvyhy6x9xGo7Me51vO4LEyWJcE+rFPEC4RotA3zg8yx0lUrn
uDP3hRIChAqPCXCcZtIpKRg7K8vd9bmZImNpvcYK4u6sgcl032Sw0+jKKgiExrMJVuRtXMjn+zcI
UFsFwCC2sncGsip088Y16GI7MHPsNfk/EBXbBkF2GinSg4TESjj9KlUUydZQQZEODd5Tk3G22/Fc
M2qzxRdpfwrBmE2NMTlNbcPfZRPKJb9NcTOVfRzsd92s7xAzDmlJEEnsFQXTlC4P6IiLmgbsAmTR
fESI4ZJZyVeQLJ0fqzq+VTaQnZVEg2VMhi8xl3XK2I3h04ci8Nef0hAd9DS3WL/XKyWI/0z9MFit
ZxrFW5vnp64tPpa4Mer6W7mIs2QJ5GmsvxixP2WA1/FqKCjPgXtEcVtf06/v5sxARS3LxVxux2Cm
T2mrTjlEFQt65nM6kRS/fZcW/B57/zBJ/90EgSJi810oAiDy9OMXym089BgJl1ujNM993AI0E2hI
6TsYEZ9kXaOIpRCGNqtM/nbd/IpU2s5sZ0TJlz8/F/FTbnn98aZM78bUqUnA5vzxXOw2pH8XQ/eZ
kLy7hhtEoqhv3I205uc+3NQxW6JFlACMMX7IIuAoaC5q3bOuYiALxE43LFdklxbJhpJuTfllLoh5
IalWbK/rqIw+N0KDnUJRs0q3wXioMvNcG9Z+UvRzIDUHS/vQUeFuJmNfdyJxsDu5CY3MZdpJqrkx
CKpa9gbU6BDkyH2NYY4YmLOMbkOxvwCngGgGWiVv2lQ/VPZhDZ5D6DUDP2GNtv/8kv1MwrteMhtJ
PFI2k1DmahD/3Xgp4KnBfgdYtIZ1WcDUBuMzAn7W7dAZKjSX3yhzwsLarBMx2PYhVevB0xFSlQNm
Y/PGRDdtOPuoRK3zFwXz3bou9yhJWQRnI/DXyXKHJN+2L7U+ef3c+FOE6yVi6xWIxfWLU8k8q3C+
JEvfzt3g/cWP/HeTwiaxAVqn2P+q9jvaIGF04FNbbsKacUyzvjWGHubtmuywvI3FJgPsmZCaoX7q
R3YOSPvNglyQRm+OZRd3iYKpenAvN4AqiKBRCvLXNOd6C6v79ZatGRSGQb6F8NVMXX0wNzJehHqL
oiYAP96NJrYxYPR//ut+Fsv7dgsR8sKK0NZw0Vl//Xe3UKskzAXFxKhHBQIRHoEyMywaP276Goyw
sS8p6BPPOiaJFusfY6sX71qK2nFOXpCwpM9YW4I+U/vWGbTsVDNA10W7nNaBaR4rpAT+/KSvy8LP
GTo3RLC3ohYMy+mnk85qzWjClpNm3V9TvAmSsQXjaszpwLFszbCU0hwzc8ULJKh/ZoqpX+HLtnnW
TBbR7Dzq8V6CUoygch8zAXvjxrptprf4KQhq5gobMZkWuv+O0t73yEqss3/N5cc0ghgVPZfsmtDX
nMFmNSp8o2NSGySgi7aLTFJo/hT2vZvGyNcwSIGUeUUpNjOQl3U2/vkVUX8SX/x2G9GoBDFKwGNd
3//uNmbGgjNCjiroehXWdGANy1XuglBUZ109OuzLcGgkIRsFCi50MLLCXTPS9SfK5ccxeVpXKysq
HLpxbk/O9hen+BMp8PdTNCz07EAbIWb9400TVUWtSeEUqwnMEekIu4LLFV/TwjUHrbiKaw40T9kp
iYtvcRo5pwYrafpUcwuv5QDBMsiOLc3umiRNJukhzNE/P9frqP9xgOlI8ZomavVCA9b9U+C2cOWG
YGFWaNFx6bT7su3BhRLSNCRabPZjOFNQHl16j4oFUIIetxb0N+sSm3a4naeeVv9PfRe4gJwUd1ez
Fc4NMeYfL+BYq4EEQIhRT8zFD3fXK5ebkl9TPgjD3F/zbUbrunCelqq8M+rwKI3GX5CN9X8daz+e
x0/szhp2S14rbJTp0qCMjOKTJbZhTmSFX8z0NoIgLJPPawRZGMRwhDvrQLQkY9deYA36Gm3d1Nbd
dbz1cQ/u5xOCQnkLSdW4RcWFsXww27cJkmU3HyrjbZ1LdO8ArbbbuovwWTPPAVJX6xRcfyztYeod
6ade9M/XgfB7CfWH6uA/a7P/f1RwV1e7/3sF9/F1jlOa5P/1f36s+66f+lbENcWvChh4hiPhoq5j
GPqPIq5h/vrNUQIFcpxTINb9s4irK7/irEMqpIBgUFXVIMb6vYirGb8a69olU9yHwbmWfv8HRdyr
IOh3E5gTIC4RKrEsuqmyav80RoFAVhDP4IbjuBXtonZBb1ahsqqlQIKnHoFD8MBq8UWDC1Kaww6E
d4/7Umi7kGMYmklvOKQ4yKcGm6FWxQnPsQ/lhCYPij0epuzFoRk2lTY4KA/O9FCl6Sau4AwpBZbF
ct2lmyHQ3ppimT14Y71jlGmYU2fTIBqH7AtXBW0Jmq2rIQtITIltSKvM3rCIexIl9hUzjC8EH69T
Rzlv1iPykw6uyixhJBmWNla47DRKGT+FinjDNqRyirEOfRXfRDfQgEggpbH4hZy+fDcS/k3QrsPM
ZKX5/uraKMXINq53umniimP9lCcoaTYNZaQqW5FbqTPkyocewQ8Xq40XtdS/6AOQ2GwwPkoBsocz
hgNybkY3GmpJctF25waBpkZp8/1sUUtP0eWPjEFFPmFsvSn9VNfLDdJXkV9WcrincwhJOgJovNR7
S86GLbeiuk/VAji+lr/nVYSKgUpx3i7wTDab0c0eyxG182DRsJuh0lKHiOnrGX7VufasBsMM0jZ8
yJpMo2Yh7yObmhhAO5zz+ul1luV3u6U+bq6G3sryOnZhvKtCkJFNEtgOAjSOQf/uoHXloVjYBMyV
HBemqVctQ72VlrD0Il1Hx0BPwOWppatkBcXarg23eFY8m0srneUhJBOM7C14pnS7WIDklblnrARR
vo1ypDdCeX5cZKN4rlRSIBPdJ29K5KdkqILbOZKjg8Zlz4cwuc3x1xGrNE6HpZ1qo0ZUZOVhBF2j
kx1HelQf8lQrnSkMhc+otzTNBzaBWy1oFq7YAGsF2lY7hx6k1HwHFX8lF4aPadEv+1hfjJ206vT1
M1rKg7Af4xBvuLCxvGJeLG6CIkNOSJxk1CT6Elnl9nJ4wQAOoaaW4am2Z1kdUPdawBFkASBknTS9
ErQWVesliObCk2rRw5RvP0Aw+xhYwnpOldKnRIXRUVNrvppYzSFexOjqrb48C7l5wzBBc9ohjfcF
eLmhaMMbowMju5r2LUV5WvE+m8rclVke7OyGCKzQ1IMEZm4IAu2mVAltF/DrudqPPmWazit0DAvs
Sel3LflGCjTgATYxaEMfMmB5Ey/zeGcuDcJoLaa8ZdHfKJJ17ubhSdO6AVBTku6NQADWNvJ+08W2
Hy918gTVBPZmi3aM1UPoFvlzD7Uib+PJDUN9QWAa6JWeP2dN1zjRIohkhUzFTq6SLZijT4U5AlOS
WSTMQH/mF4tzJKDlVoOjmSCYqLgve5UarksrI0/saQ+cfQdDs3GDqM681E7cWq9GDDiX1kctnH8U
uF0FIMraIECcK08DRdulFTMkHO6bUgcSBGKsUBpXAnO9GySLqnuRzfuqx0UJ3L3myH0H+khrbmhl
9LVoDogLkaEtB6NBiVDSLS4o6n9bSW7v9Tn9GDRTv+tjPcUQln6XCKaDGakGvNnwQ6zj1ohyjEbi
lFQOioKcoLkA0E80ZywwJwjDdlPGCUbWK/AzVJTGjzLo5nNLYbmTNZjmhjXQ9zmlU6f5GWKSUTHK
xBEROoyVkXqJJKQNcLYz2BIYyYbdOVVdPFjLmOLHHQYbtVE+SHE8biU05UPUY7a02s8GSaEPivsZ
j51N3JeLL7flp0nEt0kTI0OoobOWh6dOr2njW5Al9bp8rKKqdmTNBFiQIuFri4+IO8NzLOL4UBYg
l3IadbMMV1Si0RTRhEGnxvDiFO6DnoEfzIF34thtMOUXlOX17GALTD1Z1ixXboryqJORgbQfIUxJ
n+Skx2GxgoCFPDtl4JneJDB/vhfXQ22mKmE3JpUIe7nPpRhWaam9G6gPOkGgPstpBYAoXnyWmIiK
scTSA/f/lDs5tlBHVaphUCIhWYMca5Hy9UeaB1Yx4Nc7E+GJTPJQMbqxM+LAQLwjpKa7Sg0yS4bA
mad6SVPjXRF4bA+QIZH3ouC2yxCfeMzUdE/5/wxikhg20j8ncr0PYkq1Qxy963IteVmUd5fGikju
TWPYAK2VKf0YJQpgYqGaa342M4LtVFv1EftGZ53kWrWh9jUCAusZOFcAJO3RRWbxBfYFFSy7IeNF
86JRVnM9aNSyHdCBKB1Iw9FOGtqXqQMumNT9yu2juAl9EMI0q1qV+Egs9dslrCxkbFLfzlnmkT52
I8xngFRJr2Mc3Udq9DWTo+dFpwlkamtMDHVXHkTpqTEiwAMO2bqIvNWHL5Jb1r6qcWg3Y6OuL/Q5
iC8QlHcGRcvgOwXb2tTG/ybpPJbjRrIo+kUZAW+2BaA8fVGktEFIpJTwPmHy6+dUz2I6ZqYVElUF
ZD5z77kPLU633WYRpbdCsgBL5URU3wJx0TjHtB57y5th22ec0ABMVmXCMs2dz7ruh0SNxFHVzroj
JLYh0dzouQo5w9+zfELNKIRzbdATAOXr1L4aRLoTI9xKOGOp4VZHeA/6jggBy7t6IVMQ58nSamJM
Z4MOg/bT99Oxy2aHH22YXgIiTF82VDHcmaRyZQ8lpn4+7ilMhEWNblhPsrZgmeM4ahxvfSyK9oC1
3D8vDqS6MNAiRjQ/nqsKOeLQA26EHME6tuRTqrOr0XmaT75Uu3DdfnVO+H7/j2htJ0I3hKJ0tW7d
Zn3Ds1N4fZavZQk+0Ez/ABjTJMjpV1iu51ze/SFuriNM3yjGna17aJvpJwY/FfnIdIrQ7Pbj9Htb
lLr6Ng6UcSHQzS35pNWyL4tJJumYlmRxuHf1ncbNOSg/CnhMh6kkgLgocVS2/XVFtKX8Hew2ARrZ
xEK24cbNGGC1y4wB0fK+20HcqtQ2EIJhp58UiEPlhn2kwf1zDI/1fvL9HaWTGfGmvvqBmm4uY72w
aE7m1PcfUNeJ/J3Vw+jn9g5gP+5HSXZIWZhm0q39mao8f/HM7S+K76O7NIoViP2j1Q5A7HFESZNh
DcolUGmXxZ9bFCYxrvrZLsoRrjv/0ql9k8+qXHbzwnsmA/OnYr1Wz4YLx6gCl+9mH5jYyS9d9fOY
ect5WGSkx2nFL59rKN5ThdYfsJq0PlPZ3cizmM86W05gex7N0TdjhnjgLCDdcaIM0WCVYi9WAcZv
Dl/q1flDdOUOJ3t5ysnbYCKdRaO1Vs/o06u4EdszEY5Avqb1bFvDe+AMD9tkoGHCwtakTX+c+sTI
humoFpR8JXjqJk3Z9/kO857mN8ctEaQtUkoNlm23cUNETMEpo9vPVY81a5I6i5BprEntVubDUpjP
6zh+GEsCOtiK4I/ue0Mv5wITMjC8ZMKbtetndLYplSR1dM65yZeWEZJxXcc4LQz56I8321v7Q+bM
H5hG9cFCcmsyy4kqeDU70OesNwP7wLHGxmDg+Kc+mfBy3EMxrQ+gRh2elS5IqhWpYdm42S7Q63+X
n4C/If+1fginh5fq4OmJXC/cRaYcH+vqa8hU+WODbNWZSsZ94KSYYWYWi7ZHYSPHUxUiqvYanaSe
aBKyg8Q9FYLDZ+a0rLoQI2toHHqY6Xdnwjc4jHWfudi7Zw0rZ61/DQ0bfRfiLyXxTqsguy0+yYYp
yC+AM0i0Bj0eNmfsDigWOWnT/jOgUoo3hy8aqR8w2iFAklvatyb77eqFe21bHptU5KRxDn17HvqG
BG5zfspDMgFbEuEQt0UtFr2DW1ERj2DQnAC+L8CVslOv3Fb2EVfxT9AQmFdxrgEe35lo9pD2j2y5
npxl+CYRNItL52+jvfLoARjtTT7SuTOg5PsTyoKQcU+AKo4YWEghylnuqr5b1YZzVCjnWwxifAg6
146gBpSRq8I28idq8QBPA7pehJJOAUOv98oXVIMXDi8W7u5aXoPaPJdTD/SAaij2wDX4eA2DXO1L
OZ9J2fBPNAxvaNm6c+C2CG6bMrFEI3adae7devlb8vU/Bab6lxdIGdaLazfOwUVTbtvGXhrWsrO1
VUcVQR8xeJB9Xlrmo2e100Fm4Tc2sX9+i9nNTX3qkXV81UVNy6C4gQmRkPDkqh/SkQb6DH+5FrVJ
usOmBzJmadccdhyhSTxbt0BHT21Jmbye4XEMuxrFSAz359FS8i2j43osw3qJdbgsSdfT1mJYgm1P
3NilsKCrLbSCmx/OEJssgD5cxUNJbrNlyaTYomJlbbgNmlwbG9wff9KTlfotR0LXvdROcyHg7op9
+ors9a1zXazg5DgrCCHzIqt4KAAwXttAASiVAvAacoZmqXjFqaiO0tue51zd6UH6IHw7O1O1aHRM
C3EJ0g2TeoIqc8cILmEft4XsXu0leG8V2IbKmDj2NnbbmvIadZ3eyXq423R6MkO6+QZphcVqUIL6
rbzw3IuF4QGcQZxKmLJntIuVUK9pHj4pMb4MlTgSqtbGTlr6u7lQvLx+lAlAn2WYEHuYuGzvk9xn
Xm8O07laJxWDBXjL0mUfLE743JBUMFSSmJON19c1OH9URYSi1y0PC0ajiAGoF/k5Wv0Vvfyu6Wsg
+d77MNjW41zdnN51otFmUJIprpN0uRcHYxY1JWrVaV2KeAjds9H8Tlt0DZ3RIW7oAbDdlUS2nBlX
eKV34A3oY62c17xanMfOdtfYKHFC2kvRRMOXOwUYbxzr08ACtw8GGSTdQHFZpf2PFShDmi//9DxB
GsoNRjgurX1g/ppU6NHLjSeSSEBe9o5xGOFB77iBppktu2cidBrIqyMEMOpQGx/Eyir5/hv3RrHE
9NCPluf7zH4avcva4IPvs9pPZUn+pJBAIdK9TRNxgIyRner1ZpIAAL35bktw7l6WEcCCgj7olK+8
7AR9bGZ9BLn305rkr1J+gCe0jpZGcmWX4+k+aib84m/PtZqtOn8rx/yvqYVHsFtmQezXP22Cm1LT
A3ju5mMi2YeCVKbIQ6BfJNL0nvs265inhPfhPYn02N1hoxg7UTYjElis3QFYbKyR2F2DxKnbrxRb
XTLa4i/1wXaxjKNhleCePOJVB4qO86hUZPntS9ux0MmkerC6IeA+a7AkEG+yZ6WAfDkVkWdCkaCL
Hl5WfCHAjfr5SD1CwDBzBHOFdkE8zYqIH1HCetz67Mto03cMRRykqv4x5QKgrGiPHWobNP3by+Yq
M5Ibf/6wJWKhe+IlM5D1VTubsNSrYFAmUyu7EC/4rv2NVq8y+OJL8a9WlGZt65V7fbeuIcM+0+iI
S7XwezN/Y1Az1ylzNfJIPP6qkTd3XaLvi0cYM7s847euV9zgdpq+6MC/2SnrSlev4uTdYTL2yMax
b799L89PcyhBdPVzFouR2AtwOn8mvXixwue5n+khZc9vu3IUh/f5HrtrFhk2avwxavJmPrR6aONJ
GOIYhiAECJIYONkLL+UMvvi5wxHWDESzKLe8qhU6wJi311UjB4BKkE4jsyqD8WFbA0XpgEQRvp3B
bKR3B25/Ds3+Mzf5MXzGS0ndvmM/K65zn8blSm5JZ6GF2vq8uoPFKbxCkjHqkIA/2g7L9tPTOpt/
dZ2+1AUDqJbkxhDpA4c1kFtv8mPTq355qKqRqtRf9GIYjJrghzCB+RiCVyKUh6rxf7imy5YW2qwK
y+7g2ZzkjX8fJjhpRhTAbSQpCD/TepmUHsgdrfM3a+PY6Irxs6p7cnFy87J2AfMuzMdVk7FQJbXn
nnyIt2NJpnFNfDkYx7qH6+j10+ciaDsHy7TpaNDrAZB/tfCwJcEqOCN9J6Hgx4Eadn98r3pBYvzU
p6t77BT1tE7NF2qjGb8BxJEaDUz1JTlcar+YdrqHgDQsqGJlhuh93pO8iFfXHmKj8N2dhUurMOeo
tL1LuikdaWWY8Zj2fxYq9COcTafOxwfe1XO3PVmzwXky8MEUA5KPTZ8zujW5hX8NvO7E3k4hV+Ww
HBtbA+6XRGwBlJ6oPc0FSKk1v+UBIBVzCDNsI+rVyAPzWTDm2w1I1so2C+IN90uE25R+FITdVPUO
YZGsrRTCMNGyhOkLhJUZP8rk7pS//kkx5GKf7F6mMcWy3fIl06kQiorlDJVrgGwxnQ6VHzKv8/rd
nKqoznobHedm7JXA6VFS8ZfaauMc+90uTC2Emfb8r27apxpNMbJFWon5n+12KzSclWq47xXyX2TQ
gCDocjcmXKX+m2mSXpBOMQZDuBBN5pfXyvlaCIIFIA7AZcxOBrbq3VQz4fSXDr/tUv7GuaGjLNve
N2d+569PFTl25BWjcD4udvEJi2yLphGBZ19Ye36fMRiqR1Cfd14jI7GxMmN0n+GZaXMX6Sw7hM7A
2MZpuzh36q+gkt1xsr2/1BJwHpvmKRXgVMW2AlXfFG/WkNFc9+5Tph07mVowbWHFvWrCpWo3FmAq
+6uZvBMMGdLuU8pmixDnCU3RHPQwJz11YmliJfbMDKGe33vwVbsJyuFhmKw/Xm9StDYSPk3PuGgG
FmL5FvrTemZgSXM2a83AivDXKcdTyG4MMyuVQYPSM6Zih1NoFFHBgxn1DdqJbs77mFkbhJZDLf0+
wmraAp4cHwebWB/XGx8YsVLFwoWvOmhQHf/LmrtfoJvRuqQGzjB/PZa4oCLhiT4pwsFI6EmABnGm
zES2RHxAOk7b7KU2a/+caesbEIHauaUn95rPZ4Tkd85Qcce+QunkiuAIqP3fMIXT23Rpgg1hTbuA
7BiWvZwnggWWOznOgLDQWq77OjK6q0Rg7qdp+rKZ57rS7I8WzmZ6ROTPdX2p5+Zvs0zfPlbEKPzv
fDSb2Jd2cajKJUKeY3GSAhyRvXOn+rgD1wIo59HYul2bwps0N0EbgPBUT1zKwK76s6ryLp66KRIA
YUsrAwFd7KmkWvYGHn/jDnEsFMF4rAgCEH2BEaU2nf0WlnSwPbxkMpqVcSHL0zwNWXgfw7axR/cY
BQUl2X3MsNI05Ua1ngp4lSkchyyXS2ySqLfzO6YVc4i+h5WrQezk3J+ki4a6ImyN/SdH1sxURhWr
hcSIQ97i+dobUA53vG0qAVFoWTCqmRrt1ebdIPVGE9aOs68nULoUQ76+95jSwNlub6RGFBsVBfCS
/SJ4KBAENw3hBnUw/rOLruXYAH63aOvDGAgsGypwGBbq1cZzLyka7Mqq0aE7APGqWhyrQXERr+Ty
VfmTyVgZI8iTzI3PIsjbhMvJAkIRSYsi1lJuypdjYml3jkbZhydjkc9ImBhmhdZF9ArVsZ7YtDjj
dLKyCZEU56XRZ78ZmhwyftGHCSXxYBMsv0PYeM+r9b4X3zOjofK9xHztaZnOk+Ne7K3OTsGg/lk5
XFua/kOPOZo3gPGWQ8JX7eggWbrhoWoNP1ms4Le9MYY0mfYpL+Z5aHej5z37a149ksqKKeyusJ76
KMyy8QAT2IS53pogXlJeFbuHXO9xKrIWTbIinUGDIWIkPfGabQh5w1yopJT+RZnu+s/D/xFUzJBJ
pmBvNrNb82umIdrNvzXEUjwbdN5jxePFROroWABZFrOIWrx7TyJ39oBP48Jdt+geG3TSuqcjCDhO
15e+NlfKhpTzpnnfFvE0QunicuAH6jwP5/7wzBa/4azNoWLXJY1SltKLVAJFUP87XUR4rA2s7YP5
VVVPk5tDQF7R449WW3DRMrA0dAqflEVc67Ny7Za6xRsfg8gnOmzcYAaUOHKZ5hhZlkdDR36kyM1T
blb/ah8hqb8E9m6j/CPRnFZIgxykStrjc6LZnoKPuz31kM0Fn68FuDjAesuzri4bh0tkr85VNHP9
aKG2YuR+r1OAlHiIMOTUmkTaM9aubQ/vLQmfAGGns8H4aHa73+6QhrG9cgt3nvE5V5zEBvfC6j4z
7MbQuQW7juYy3tzxVYrlx2JgHyvlXydEfauYEL/Mpr6RrTEfNxhZgrn7hIsvyZmlRLNs39zUZBAp
7TkSrMHwBfL1wQziJ9sYGbUbya2QcjkZHX1MM9B/jd/i9+0/dFcW+8zC2GqN45/CtuUFipBzDBHL
2EHqU8JPz14jusREjxJjXtiFHQInbXZnotT2ou2+eqMtLrwPkBmMg3Evn9qKCWfbkvddBdXvYWvQ
t3NSsyDDFstAv4Hm0OIFZwEa88m5plgPqWZwuJIeItUidku5HUO0N7Cvix0stL2cltPiq+IBl/I3
VRGynHAL96jpfm6uHxuLah6HVAu40M2PUOevrirtxK2NJ3dxxbUw6vwizJA6QrHBy9yHwpmO+dzg
AcglFLjt1nkEr3AccnEN9A0DxKOITCAWV0axk6L4N7RdYudFvjdHUO92wL6fpY+MHWV/oen8rV1b
3zz2JFgRHjfPL1/6B4OgoOeJpiVe7qZFSemejmseE3S2ObV95Lqwj/crFxWoBA2wxmwb2cmdUs+v
jr2j/9SKaWLeuE+DyQc2rgtHAr5yq2nys3JwsJCUU7BhC/fjWE/Ps+hEZEyGFddWR5mdf3YYMZ+n
bg4QCbQyqgkwYm+VZQlAw/zB4CpGAnqPYl9TIHlvAaTHc7/h1Np0fcAIYh2JC3sZ7zICePsjD8Kl
k8bRFGP1IxMVs2aTYjwd9QJBp4s2f7Eo6xqs0rU8Y9ZgXL+Qx2ZhorBkR5jWvDxVjok1vs9nDmnr
hTAVFxpM+3cJ4tWF6A1DbIi6On9xq1vWzObVLV7XqcLfTVTJ7LE597DzXzHD5gg9oXvCC9oXveFQ
0y8fNZfYA6X3T5ad/rGuPBoNb/hUIfwNa0p3cqDJgiH2GDLTUQHhgwX7yR1fs76BUiNG3mVEU5TW
aYVRso3ib9aO0KkHvVzKMvtszAz91cEOh5uf33McJnlS8AdiZ9zC2Oht+SKJLUAg/mms/o9t4P/N
6iKlmGWUBQf+OvTLdLJRGmm5MVmZxueMBN4O6DfnGCspcB3oK2QJw7NzrwprmN/HhWHz3BS3YQi+
pOQByhEOE96BxWl22OARJKeJlsU/0nYThmQeoOhlAnXbFkQfoQBhtzjnv0qwYM6UjRTy6mS24ARt
32+f1B9znTH+lKa7cxeJGR/gRC01HIA0+6X0fMSc2p2Xc20Ww4OYoqbFvDHD1oiXkGKQq17CwaIu
dxSLMlWA9964XGfSeY5pOlAzZqg9qTlyVvd1n6S+u0XuKsPj4lXv1pqeFiaA53UhS2U2iC6bOjcp
xja7jkg8ro0MjBgd7PhHtv6rmXoq4dTq4sbEpWXVcjvw/CaumR0nrVIQHc2fwvG6w52+XnU9W++K
YHHTKjg/gfwpw6/3zUAA82KXJ8DH+QuiB3dXGNPhvo7lWqHqwGt+TIm6LEa3iaXh/2KRHfDKmP/S
oXvFzzMl6QzVMChbDd2oaSIvVX7cjQYPfBbwnmWboFH4JDvhex4IyuYRyT8IkcpDVClTobpTgCDA
1rRgaEb8hKFWTLuPaE0WML0z1knIVtYLBBVQNaJgzKeWe3nyEvQW5c4wH2u/emiZvzBLdIt4rGFJ
hrMMLzIc0c0sDeKTQD5t3vzGesDEQ2Yxn9tKfKFddvNrKPAqnYKo6mlN262mgxXknG9h85Wynivs
NV7Avhk6nA5A/2jwtuD1v3+YYf1z41MjiIjN72Q2JzRLIHNWol6m97ZdMLea3a4oiTwuaCHpUTUL
SvBXxhlWwetsfrB/CHDBTWQMMcWUwYczsL1tncnHZKQ/ZesOh2UtWfib2qKQ82CxLqiomskrgAs4
HNOz/Lf2NDetLapH4ZuM2jtBH2j4xcHuKUtE0DLxzEYvcXr7PPAk50Wrzm420FnmikmWeTcVCXGD
gxAtVjpe8YEBDdNeBZt/5owK5l/udCfUiv0GB065QxebY6H30nEfDCDcmG51s+cOr1lp+W+90/xZ
yhbKIQOuc3evGPsDKS32ofbzpzYAodWZsojbnunoNAaQqnBK2iObskr8xA+P5DALjvB7ioiJ6T8d
iiAurRU1GGgUwyPTj9jLawgQ8wVJAWCb1VpiTPOurrdrL5AqpA7vEAjxGFrDsB/G6Ts3zEjNYry6
rntZxvZW5exC0Z2nkTu8EX76VHucQhNZAhFJcX9M/3ZCZ78mlNt6zzpaMX9JUsT1URBaj4wmktYF
ME2+6MfA7MWv+pMmGQh1AX0Q8501Mez1vQngkowV2y5v6CAbTFn8X6qGN4EZkSB0yo2jzE6RLqf3
1DWbEjPXH15G5+yEBSPPwuHwaMW4b2om2U3ZT2zV3od8Qz43psyqW5QM9tyQ5CqyA0CovSkr4OhA
PetMkDJKJmU6eg5LRoQrOuQkdg0qqDJUn/PVXOblwUlNmvj73pR4o8IvmTOuvjwr33xqO/6Vx6hw
h2Zv0MZt8KaHPiPe3EVehPbawCY5pwOUZfJTxEA2h2dFI1DonIc8ybZ0FywwaFwPsMLYhF8ze6jd
6KtqD2ud88vQe1I6ftQ5vxKRCd1ZIL+MxqTulehdavEXNcafgNR72kKHkYvhM41NgzMPGGun+3/L
jGCP2EtcAhl+hhObN/k5584cNYO6mGJhPDw7lAVpTqhu3z2yzDnmqX1oZpgpheuA8yn1yNNjvwnv
aq6gPgyJoBwonlV2F1u3T0gFsZOuzmkWzG4GRZMu7/j2onngiXgLep4+Mp0iD9lGUvJWB6M9P4eF
+Tj120uR1+hkavFH6yUE5zz4e8dd+5fJGzGo0ic3oTm8zVWZRRxSNm7FbTvJQSUTwSvgR5Zd6qX+
w8C4ply77aRmiTN9DkDz+OlrYBOOqkLGOCJgukQykRm3GB0yG3kT9LUnKZpr2ApIMvRX5rgQnzxn
9y3yb6bCC/c2vKjVYrNOVTXsIM+uidP+hMzR71hp4FRzecD10BCW6KaHtpPAM51/WLPkzhkp59lZ
BKceVY9lvAUw4GM8gW7cX1mTbPFIcLc0SSpSCvVQ5pvHxsWK3A3il2Tfk6yy/VI2G4N5qKJMrs+8
OVjUvSq/LMN2NfrieQv0UVIPnK8lKR/vdUMtP6bMQ9otgK2+kkmfSe+b7I8J7SBpd2gNzsaS8Swp
rj6/ezZqghLXdD56NRtm/zB6y/oyesOrnMZp74ZFmGTsTM+DwWBa+jXIoWqTyei+VlspfpbyAEhV
xJYJgbYtf6zzdlkpSq4Di9OjmYpbn6bOwar6MNHmQZAc/wQa7LHFMRRoO7il84vIZzNpPWXv2Gjc
AygrIiHH20I7i3zks+aW/+mjChznD7fuPtCm/QrFMGN4A0OCJoxr1nu3IemzCCWwY6km9i/AFkVn
kF/nDdvDOjnEW28InFyg9gSWdSvOJ3UgAT5MZunixS6Gvc/pQDWgYzc0fuuhmOJh4o0MG2AEIgxu
MxQ13nWc02MegovX6pWtY4Fw036VTX5HNYADnFKkCHn/Phqf0i0JdxoxegxOQ1sIJmQySn8/l+y3
po36TDxqtj5ZPYDVrwo2DOaHtYGRK0w4OYLIi8fSUMuj0683CaLdCEvKXO3uM9ZKUDZBs/XWSvVc
c8BYzkUJQnLSrWdMZ2dPHVobRrzd3igXk5lz/oZtmrWnjVjeCM5rimsslwY5mCFdU2a46lDl2xdz
UZ+NfS+9Ibb5jjFF9/wlrV7Hvcn8fuEuaEBQ7IZ2Q/PabOB5gdJ297rQN6xzU1nyoHvz32gb5dWx
aZncnkYtAJhD2wGem/HfGr4FC5hZp1CIuSyKAcN8dZERMMrYxMVxxcx7k7LCbcuLZqDTWSq2mI3F
pjBiw1/ug9vaBNelj0iA6KLKKuHjGTFl5ajswBzVklvMNoiQndbiG5OXiDsSc/jjkzoYDgFi8LgV
DKO6uXy8s1HhAkCBM4f50x1zL06ZgyY2riSxIPjbKlCamFlLPZtPZuV+NoDt4imzq6hTlAdKIYFT
AVK/oPkZDoUbh3kL7Q5xhg94/JAyjaz7IItygU6bSeRlkJpbokydpOnC79pIX2Clmiejqz/0ik4v
37Qm9YkMr2DqosYPu0NwB6xWoaKUyoKDZbMzWu3+UvZLsuFnZST71ClB2i4nTRD2hMJ5LzXIpRO8
BbhL6FfbLFEtmxypO+tAislj2cj+MAwMmuGhP4la/TRhQe47p+vPYPH7vVuW783MKlOUVbXbptq+
ZNZsXxRNO+VhToaV/rt0vOSlu4gYHnRF5VkTGAnCeh9aUAqKcWRJtJF02jWC6Yb8sRAYd0A73T46
zldL8PAT1p0o7DpnZ1uKECM59E98N8PTf/9tyfyXKlM3u8NwsqlsfWjdP+wofBDl84X16p6BmvP4
3z9q56vuWChVSIuS1NpIECYcBfrOrBCSETCVetNtaCrIZJy0EeBVFuZhn2JiHJpkreilNzWMD3wF
HIooYDyyu5xMsLRAhyC9NLi2VaMf+7DMz6jn2IKuB8dQ5stmu/sGttZFYx0GBcC6T2fMbNHkIdZA
1aEcydNW8pkhjD9sXtaTiJq5RKpu8+syMDrzBLZl5YhXXdKZ6WB+JKbhOBeE5nZGCxfD8TfoowXN
K8pgY+NXEZ9z6FwUT3pDqQG/gClLwezR71eeSsv63ABFHzIK1+M8QVZUC9ppu1cUWCZbj8zgTEub
Yz41yMspQvW2Y7E+Gqhj16YuLhupmjNI01ku4kfOsqYXn6RR4gIv0Zm2xcYYxgtAyDCcXLwNX1oX
DNii/5iVfvTtPiWqnTGgmpfI3sxLWrLKt8MOgpU1rzjWPPpus3+3faogjRwvHuzUuE4e2ztMT9Z+
8GsXO1xQPq1MVpgKhZEZtMuLvwIgLKFcot0w9n5qR85EPB2TPJ1YnyQz3ax7uxYsfGssZ7sdpNXt
4ADakJTqsWFYXTw6qBEyrzQTH2ddNJYFU9fG/xlmdyqcMVmfdWWfHJHxhKT5s4S4sKNUQs0NWTwQ
BvSTzCGNqC1oxV1ivJmRlKhTrPoh8595k8PbWoFtGLscgblgHzJsu5Aop6SV1amW6CkMIJ2A3vn5
ZlccZEWpmfE3PtrJ/3//tX8I2+k6FVpHU0cbEcJ2gSj7NXhyOSFczWOLxUc0gMjeOZhiAPZT0Xoj
ModpCM75tuAk1PJUQ1GlLhcUjjO132Kz8ViqfwN79bhWb+SvpkerTj8G3XznuvX3bts9TlX3R7Xj
TXeYzZjQnwI1cziEzP+WL0HoaR02TlKwxMNyYZ/KOzakEPr3iAE9JsKaQTysBUM4I+wuVwC7Cfh9
RPeZ9aD0EAnYpBoA6mZJC0SupPgWvVQA8anHXaAiJ/fepedyew4R+QE3kaLuwDPS5AureihKnIWT
zu6MhfFDMTN2RBoTibgmYAlf1pJ1tmWpQ+MU5kP/uTidupJkqa/21snLqL1I/5f/teGBqab2CJP+
CzTmua/pxMvKLs+wjJMSGUQUDAgAlsI86y6dT12zXlM3J83mnsytMovMxHYms8hbXrJNy6NOq38W
wRzwBXwz8dL1sI66gX9tsBoMmRdPbpAEDI9m5LYXflhal8LyDp3C97MAM/G9kNgg6kzakAb3+0h2
c9WjlOPHAI3ylW4BK5YluG3kkEZbhmmHIdx3JfLiIrtfTWq6J7FB2Z0M80UzYb2Ua/EPizOVK7K2
lUTOvTGn4N3vLWvOn1plbVwHs/Ma8l3n78ZgF29GSnWR1gb+1tRLSLK7lW3gnVPY5645PQttNYfN
nBgzZkt1ni3GqK2JPLsbHFAsGc2Cb1/cFe52QdfQgNPzW7omVFsMaIi14jazQbf5U3jCuNntBrcn
fmS0fshsWc+m1x+YIIBEIFcMEA9i8h2hC5AMGsNJNow8lmXt0rpHLaYRT+QWlRqTo9umJoioz+FE
xefZvLCi9z51xSa3RMYQIR3ImFDNiJiYESEkgstXHCcZvq2rRmFZL2FkaQJ4+YUevnHrwAN5rX1w
5OOccw2vaJ7Nspw/h675CgDG7wR01WM42eZtrL3n0Kru8SL1o+jMjg/ekBG2mt2YBb8C1Tx36/JL
rsRK4WUKdkQlfCOaKKNgwUNU9IwCSbQG2DcZ6VM+ZlenXU6hlTkJXqiHZjPHq+luNOrFbVJUrJq0
E11UkS65FzAq2t6Y/gnExZWbB5054FcUBIHLjTC8FfbLidoN6Yjdwa0nf3PX97mZLEwqWAUdN3CH
UdEJRhAkcbBCcF9bzYejjex3MDCNZzBTkzNiB8fR29j3/8rUkL5v0iPrrHwB+D0ndgY6qV4qcbZD
ZIcVg/PG337oIj21DbgNDQNeedabM4awFVJGw9VgcXw3/4mIjGTJKyeWLuWnq1LvwsB4Cj3iyNxw
O5jt9NF7Lil40v+bW+2LI71fU7xNzGVG6O/hnaKjG/S1NtLP2f6uhbwFEmbZ7BSftqW3yPY7C8+4
0pfVROShnWJkStt259Lg0yT75xIE7KarEf/owmy09LeYYPltX07+dLBwFSGsN7aD3ckZCUGvOLk1
vej4wGvWPpRt8ZNMLqJVtDFiD9ZPPm5vuPP6GPbb735meSyzrkPlCCSnqCjynKH8HXhc13MrqZvU
Al2N+l+P3q3hrfyRvW9M0WMMdu6n+z/2zmtHbiXbtl/EBhkMutc0TF/eqV4IqUpF702Q/Po7mH0u
sKV9IOG+X6CxgZYrJpOMWLHWnGO6AJ44D/LmoW12xAc710NfdjXMNrd/r0tQN4F1QOMwH3Nlaxsj
fHW1Nj5zfl6C7mwGnASTP+skN25FmDJv9ANH3NnoKul9m/Gpr9Dwm08svyiFK1CdQ09Rj8qGgS4n
uYFG3SLjYbXhZBFtEBQDTAbVcdJkdusVVf4dCxKatrRMb7TafBLSaTcqV0+dO74YZBDifGCAU7Xe
dEJUemg42tXGUOwdJ0t9zSvjXdzFzdqwta2YCnwxU72bGShgVilJxhQR38T4GREAtYFFfIAHNACI
bjBEOs9OLYZdFQTfG0SE2yj9GKfpMhVF+dGF4bvs3G3BaPkFlHuFlpCOlfIqCwgoHW+EKrWiGzkz
VUTIz17UA5cWQboc0EvraGL2wT7C+yUorBXJnGgBbIjYHGxzRKZq1ne2Tj/LAxzTUM/e81zQxY/s
T00m7oYzkOWD+DzGWW48kB/3oBENi7+P9PV00bCLFgIo0gt6KN0qrBC/I12mMTBZht+irzBzZTxI
KAfrScTov9Lyjnlxv1ZKV/dxT95pz4PBa5w8VhJtpOtaq5o5VjONd1qdJjtRufq+pOZNWKzisEX5
riOxM/ofNIC+ukw94skPNrReMuKUssbnqFg96NPS/vIQkRXMDY1gCk7tXScIKxIxqhOUu+Xe6ex3
NRnxxgQDfgde4tQnttqEGgLjPvCyp1jXbg0vRhsOatVvcmqhsYToFKVRRy6w12+H97aHAzRA2qoi
UR2sKKZBZjQPEw3/c9VQ/6SToqRv2uRC4ox1LuhXoCNQcshOZoGrb6IF9djg/mvIJMxU554ZR5an
3CLoMpji8i0yKSd0OajjUKjyzembtVmRmWrNRrKrRVFt7bwNOGy6NF1CfVx3XypFwFPIyVtFoXrz
xir50Ezr1q5k+LNgFkrTDm2s4QHWnszzKF2QE8a90Mv6naEaiqZERbtWLqgOWqyrLAyaVeIAmnfG
78rhBIy80j7WHMEfZjWHN+S4nnuUO/pIO7fRj0GAaC4hIC5yXy0t8Pwo0SXl23AsrXTck+lunygs
JlQ4JxeezQ7u7ftInM1FmoKhZ+0lOyQe2UMZ/LBC9EAx81SKemuF8u8tiZhOOfhsVwomxdYAAL0S
+AE3cca/lDJkbvJ9ZmgDDTSov9Kqj1ThsB7dOtm3ZvYdWbq7lwRe4a2cmCNTuWgexUyLO/kIS7Vb
pXqw/HPoYoj7xPhGLHhY9luiVShNtJuqHZ9njFEHhN8GTkpg+trcv4WsRIeqo3tqSaawwotJH8r0
1zYNb80xbOmUsD8UyVdKBtmNaDPfqQas0+mTnXnebq76G0Y/9V5BU6N3PKLl4+6jt2lwYrHq607s
rQI5g6Cvh4RhgbdkR7VHqHrPjmiYSGIr2fFUItzTAie7q7Xw3iGU2yeXgrWWoxNKpnknpxammNqc
qg2/RthU7rxOAbCn2B1A02FMDdOsAardwGnEQ0z0lb0LMu+17DrrfP1PZ7Ho1IX4GkctXuQU34ao
H2gZynFr3wdTqq+MomTkQc5jF33MVR7e1ifVZXzF/WeVd9auqirCo0bmSgT8gOoNrXbJ7WK4YF5M
PQQZUdJOGvTnBvvPZh76ZlWjk1m1nR76k0o0RjCcYxykdqUdPgUdM6iGlilMqP5J0Wchx9bDY8tK
62tN9WgkxfeBhEzsKWgq2mke12JK8CvGBqjOXHu3FYPATgunU6kcGt8B5qc6+DDqgUtyG99qUuKf
22QVSWuXojFXo6rXwoPHraoN/etbVQ6XmNWQApDcapstiIQU4SNa/ZmkHIurotr3rYBSJOnOoMOk
aatGH0NttM06Sr4uxXpXIWq1bOZXECLtTeuiBWzRYjK1F2tQxlgEcGFx/sTvuMpqJChMcKZVHSFK
6gLqFluTP7Mynramyis/j8r7gPjRXTxiCU81g4Ybzlg1lniaE3fPvLNBHebAnMh7LIGVS0wkjlXP
6XdaMv8EZQCjqaiqddJ9AyJT7XOP0WJNTh8eU/ucmBWBTR2sTUevfU1zv/LcgG4NAmnTEi+DqgBO
RTrXPSflVRLGzpZo1RylTJ6vGlcn3K8iJ3lSLwjYsGgZ63KxQEKrZkzCUDZWKBxaZ4JaPZwnKPI+
PIHAL/PpPsT5Wk4QwpMWs0A7XoWRkNtCczsOyChFCVwn752D3tkAOFXzpFuMVCzSZAddLI3uuL44
2fggGr54apJDEckONJyBYgNzkIq/ZcssGmQALDmEQRz/I+iAKYi/rD3qbr5kXvQ4VGSxs/MImpHq
Riht2U/h9R+5xGlOKid1KiKFOUyGHV33VRVWJo+M/pk02CdRS+NlVSagSt6EsQNbGeOv5VxN4raM
Vo2yX8M66tdGI0g+oitSgY1aD45a4jDpZXpdlZwYktHlIyR203EEkVUsgUmPQDuRA+jDRLjHwMas
ommVFC17Yle8euU4bYfaGBFnvJFqw7EQDYbEiLIhzIC3DyUqgeuYgXMTzRzKbMYDwOxTQc/DdYNs
rULn4KmYISbrLG7asykshH/EO6GToLeLkEMM+XsSMZnBRNlBoFyHVumtGtGzPifMGjM4ivQ2ItIX
p/gmnYybKOckm6zI80ava1MIYPE4WNZi/w0yyuWof3Aw9bkW1O+p3bfpnSDGSnBhyTjcjg62M93o
npLyDZX2o5ASQlRYIrHI0IjE6UtFBK9VLxGwub1NzZOR5/e5iN5mPWdCBCCPCOcRrV/P6M9R0g8F
gj3myNVWKpR9ZriNuo5FqM/VWkl2KMVaTRVyO6XdpqttPNwB0eO2ym0Cb00EvsTlMPzGD6n7wsFL
bNj7IJnozjTFfd7CMyhbQvhayIaNSQ/A6FlQ6HYXQ82iwFu2Nczxe28QN55UCAkK7DhVghcbQuED
q+JCXpvMbUMuJWsnuZ+MpsOx2VQwg6zYDo+C4VY8GjS0hc7UrHY0WmZeurUTjm9dQEqG3RMZpyP/
QnPJa7+xaxbx+dJVgAfa8pOVXV04h74ly+PfabDTpoRxTwqJxshS5pbJjiOb2qF61bYNU9ppZK6h
mxE5I7b5HiKEvcHz4QcRQpgMkdXGmUxA82BXybX1UVdUm/6Yl5m7mTMUhc2wtKVx7ZKCvCPCgfAY
nWOdxguIjB0XaYFeeWTnNHp8Tl74gpRs2A6t++m4zKExQ9wWxnJs/0bC5yGqe7qOfKFrFvpzN8hb
cmqaNY/3WRbFo2dlPr3W9yoRh641XjwiG6hA9A9NM4NFNEqArWV9Yh0AkWAxtd7MOZmAIX7dM+0c
TLcWDF9NbZUqP1AVhRmy6wr7SeUUl9xo8NAYN4C3TEHd2ZWqPuALISjDpTXVrxIa1/Ta63gzoH9d
DYN5ZwLzyzl9EdDI7cexX9tIcocwPujLHRhajz9M7VLwFtk5T0MuyKEKu/yeovWCXeUzbxAGmmny
lFss+b0K31VTuEcLEWCcxzfKdR9FH++JMqUY7ca91eGHkNoEMx8dQ5I9GhOexDZXFyOud3qzqBn4
gCKkzYqeK4YTopiEYcNfRQOpYDWZGIUhWdjNgGHhhNCntVctcm7eHA2Lee5nZWTsoTC9cbLYqOFb
YdUVweKYRSfdYaCbyRtX/VDmrB+jXL6YS/x023WbNhmnFY2v6tBkqH3gi+/TCLcfGbLY0WgEmA7z
9HmciZJr6mcZWkx/sdTQhEUY+oIl3T4qc9T2uVnva3zztLKLeD2YIQ1+/dS27ktHZvnZ0UvOP1rA
ot6spe7qtG/kdjaTu2LQ9oaT/4wZf6xrO5uYzeY65RN6+0CVh1pvyc3ITzNpAOsa9DB9JHreqY2Y
tczvg5QFBxKKPnkMfHF8J/aeYBQNPPpy3s/p3Ju4SFhXGAY+RX3pB711V7Tm0kmWeDtS4LsVLNhC
JG+Nyl9kOvZM3qXc2EOmr+Jsr9nlm1GiUw8COrLaPPUgdrznPDkYg/3ocAqwsgQpcIhPXWGKSJ3F
qC4p7jts4MhiHnpP3SWLTbiPnGeTWo0aCX0azlAk4AIRjwllbCY9G1XovBdMQum4bGklzBtK+Qf0
W+Bpxu4rVD+S7t5pjCerKyggdXkfVDk46ASXShHj583l9ZSSMdYg4nQ9ZiFTpsK4q8p27ZI6zeYc
MIxbKO2m/uTl/SZ3bPB6ObuEik0u2YDaVVYjp+jA13K2yphWbMpZBUclIy0jY9saiUnbR4FfC9vd
aR36xrF4L0MkCa2mYyCnbyujTBySBT18/XVGkzzDCHOnsXoltGw+DmPNEAThRQfqra9Rv0SEs0Zh
/orJYJ3EJG+yRa4N3CsMBLtmk3ozR6nm1TG1i4oBG7te/m6VbKWZyRGQMJk1jbHEzwYn9u18vG+s
bc90zW9oJW76VL1zTL60mbtFUYAtVHc7/hj182h/Y1+j5kjG7+2AEdOafHDWe80hW7SwIIAP4bE1
jO8kBG9qLUHerbFSRjyGJCiHq7Lz4b+T8UCGZdNzcIhJocBUzejWxn3eGCZwgxHaQeD0ePiGb0lI
WycrApcBiFyLh3rEuds18+gXrti7YX1GGMxJJEufSxXstZwVcygw3HKDxWyMqL8XrA4VHI/Lez4z
dxFZu6in+8fZqKMd07yfaBUOae76TMoxFpd2tKqq5JmfTCwS2gWkvnxZC4ilIC5EcygPjZYQ9erN
CVhXoKZQ8BNiY6pxW2vUHU7CN6sykytt9TujtA/ChAeNxYCHArkKyUowVMiDX1s6nY8YrUisQPQu
F90VLr05JkNDqn6QI/Lg2Etg1ay92P34Hug0KTRqEn6znsyDU8NZQbdJUfvRADzxRo7qvFi0rXqT
Lk3jg/U46jTNSyfkGBDHD5iJbrIYqHbcA8lAPMpxCYczv01aVIde2ij4p/vvosieHA4V2rKvUwyy
tIXaUQ4GSZJ2fGwsBs/SJdxpQttPqtaPqdegIhUArHgBirJa1EwTtQGsdSNwKPBcGzN5JElPHu9C
urtMIjvUYpyv2XhQSP1cuC3rvA6/BRKBHeYJDiHlaylAFRhm5BOql2FvQ5zSOPNbushtaQ0uxpb1
zEYwNHcFpESeTZcw3ewN8WhOgBtm92zVQIEyCo8py/zuzs7nZJsmFbTHuDWZlzKJ9HUUi1n+vZ2m
t07yjtP0JOxA8BKh9y9leRsregkklQY7lCwdPiZJCw84S7KacPGt4pYknGoOvDUAlGPnSc4sbWys
GqflI4tFN+PtGzVUq95lbq0BuoH4bq1sQuJp4yNAI32+Vl9aF92zw35a9oikOZ3R/rFtad3tOAU3
swdfnQfrw+qCD9s1Xru5+hmP5EB29BnGiB/DXhFEN32SXuD6MDiV8bfGtFZm3T7HNpp4r+qpKfph
zTbQsJ/VH07oXlSUtGsx9k/laG2VFLxuaEylSL/ZMZZ3YUVrry+/08ViEl1jf+fR3MxxvC3R+S66
8x91ywgRssvr4IJ61VAH+ZRLdMfNZtUylljAAJcSDe+W/odFUhotbpybPRUw/Z3uQVQpxeFksu65
8083685psPyW1/lSAn0IMgBSYx2yrA6+smnn23o8LOK3hbxBLDgWXXp9xY9JQmIxiNs7pO24SUqs
nnaS3xtdQzaxxxx/JDR57SFOyHJcLqIumTPL8GGmd2MJtgl0cyvwD/yWWzwk0kIF29zT44UtkmGN
J3DzVNtDugkVPAzdu0cktmNVnnCFA0e0WQ7rskCQx0ygxS93SDH3JXOGHL2AZ2aLbh1SW2C5xrOl
8a7Y9GOwpIMMmOjuQJ421qBH7ok6+spUdkqGvtwBdDtN8tPy2i0i+k+DAcI6HPk7EzZNmFVGuCd7
caAzU8c4/QejBV3gQboZrEPuObdJRQCz2/eMMIzYjyr5SgvL2DludZsV3adZTA3WdO3dxaNWwI7w
cTk/RkPlx9YXYxX63jyNywMXCBcYObrLdjpzi6dpQPQwge7CybRCcrHrbZrccBxMzG0HKBmYm/M3
+LTAFeyvvtHzVV3mn86UvpD/RGdqqvhGLA1I0EIgT7LvqfQYT2QJTTm4OzsrGX7OjnXf1fqP2p7e
e066shX+gOEbT+H8SpwAxDN00KExA+zelLn1So7lN6YT+dam5PSJZS1Wi7EuqJXN+G4R6DXzDVZW
QB0J2izYWGmS5SfkbIdMFt2JPhcNSYIR9LziUEPMAWfz+9kjGBOVgMQ4mWG/nWPfIpfCpaPTl8YF
HelP4dKMKkp6EA5lerbc9bq3+pVpNG9Z1+w6Cws3U5QUcCZr7VR84yFFI5p7PtYNMwo+hg4Ert5h
cy5G6ziK7Ca0mH9hOH+3HGcTFOV++StW9OjQXBlQPGyHqMDcftHD6OX6Z0cyaDeWyVLRcQTCITAf
aoSBCAMeAIs1fu/pH3ZDhmIpAd/ZMRyMQLaHxKlXnWwXezQT+zpqv/ISbWJR23u0oQ2gfSaGMx40
3EKFgOOinbFpPHgaPs1rOtbQKXJ05dj7SRZ/FJm8a+AzYePo75lqQtFpe8s3ydLCuVqhYwodtrpx
57b0r6Lx2CnKUCMkgTBT6z6FwqKNChnPhOamKfcxtpl1XkyQmMIIHZ95aAkvIH4Ln0UtiQas9EUH
T+0Q5qjT1Fs9hDlqPmaqjsZKP7G5NSMAilrRohmInEY92/FYomH7/+DR6RodZQKT/BN4NFbff2WO
Ln/hf4KjhPiPzlnIdQCFWhYRTf+XOWoY7n8EIi5L2o4FvX0hVuLqXtKhhA2O1CLMCcmg7jKfBVT6
P8xRYfwHCqBD3r2hS12Hq/v/whw1fgfISxPYKaFRrsP8Seo2V/dPlPZIpOIsOiO9UBrQO4atFYUa
ycq5/pOscMtXhMmuolZWJG1U42VkLrZGM8eq2S02O9KydnUQg8hFJSdL6ySpqjYiBRfm8cb/467+
LxBPY7mYfyA8oTBLRxigHpe7JfjfrxerZ1VSBWWcXsxMhc8O/A9GH80bI8NuPbVC4F30HmkPf5kl
uRlqCKx1XrX11qMMknXziiw1xG+Jqbiv1MlVY/hgD+P5L1f5G2h0uUrPBuHq6A4hAfL3vLdKjeOI
KrO8eJEBQCJU/d0k6GdF7EIyDKZjqzyw2zqKnyAs6TWT2QKGlfoZ/ogQnb63nQslhmkeR13zTn+5
vOUm/XoT6TJZJJKBrTWkNH+LDLA4WduVlSeX2BpQSCfQirWCXVOxhOhpQkJNNJ1zEINrpdv1JlxS
A6cpe1Ga/rc79XuSgjS5FNuWntAN4VnytyQFRVPRy8Y0Ad/URXdulGA81dNnhRvvlSPHpCekPHnw
kcYSjE1t0VxzYb4Vg4oviEY+B1rkuz/fHmf5+L/cHqhipJGC+tUha+jWb88YnWEDT1zHLWgSeWiS
h8hKJyDrSLuJPTw7SkN6HwKZiu0AMwSd7WmgjYryngy2p4kAl+1YF+42LYhc7yko3frdmI1uX3/X
pJgOpUdqja4aAujn3DhY+6xtKh+bDmjTXHcvZRo/JtbB0KOcLb0yVzOszX0jfqQjGVquezOY021c
ekh0eK0hgOQCj0nPyG5O0b9GMYy+6dv1R3dDAg6uBSphN6isyk6eQqOfeKczcgy8/gFQTLeLTYlG
QSBjwhIzbJf2jjy0iZvcxpggV0ZTngqgO4vdSqA7FbieAyiASfPVDtPN9RIDo0hIGEcnHrlnze6L
TYqN4eJGIOTcTmQAucL9n7+n62P66/ckPZ21yzLJfrTN35+dJq+IExcR8ccwwwmoaFM7xlunDz7h
J//9QmgF3xUF7UIHBQoireGZNSm+uX4DmuXAjCmIBFPQQ3ZWo+ZdVqlbGi8elaRfM+Ja2WC+OKCA
owHavUTM8+2Y732aEQmXQlZMGh0wafQ1aWQXXe9EXGl7KQE9BEiq8+5viPflhfjXh/Zck9QDWxqu
/dvDiWGusWQQzOcuh+HbO0CxjKn+Btvta3Cm1wRRxbbIzWmrk0RihF9/vuf/WtikBEJguvBskZGJ
32H4oEY6crS7+ewk2l5kQ7Rzp5oIpoZet14HO1kDj/zzjzT+tUQsP9NgJUVYSSiSWH7/HxkBqtIl
TqqCTzzZr3oJ9rItGAWNGXoWi5evLJp1Tc7lwSP23Q/dQGOQ2AIg5LVcc66m5W0d/3JN/14iLIbg
0kLpbXue9ft9yIlhdrIons6YRfBHoNNFS54BL0s+0wxrhFt5uzFw3F2XbXjYcgZLVXrKBTEBVgU6
rFxCjIjduSRz9f6Xa/vX6i4tJCJclW5QHVyrjX/er5kEIlfGwiBOuaFzGGBMq2rStVoCiStUIWkj
3wQbdtQgXdAHz1dBTiyv/rf3U/wvN8lZlLJUMEv9cs3w+McXB9Mnx4ULCKQj6JxMVsTMyRzNYHkF
2rlaPoVMxXc5YhpgbLq56ev+beSEBecErlKmjd7GS0OcHMmz1qabjAeE4fqTxlF53fasobD5b3JC
FoIWcjDIFcxSdvhQx97g//meLhXab2+d5UoX1IMHN96w9d+SO3SWP31E6H8uemZe3dh7qE+d13TG
I89U+EiRhp6Jd7DJbYZX8FKA6l0kh+tt1LrmgWm0W8G+zRwDafWyKcDkptOjyXe96mwwOD0sFSbi
s1MiaCAzpzWGU1PpE+WL2mUe8yLZMbX1op5MFhHGazdPOGEBjZuRiY64qELVBo8ZM4ZNYeXHTHqH
kpzjNVOQyjdrOd6ZdgzoTybVPk7Lygf2Wq5DHKertCYGsjMq1N2uuiMlhMnOco3XRc2rWAH75VGa
DOSkJvwBMwo/cxOWT01XZscUeflUYAxvYDFkG7RCB7vyzAOyfQ7DY9icAsLfiw4aQdPljJdKrCFB
yZCwn4qjW2eV7yDe4VOeM9H8pdhZvplf18vl8TN1QCmEmUHF/HX1iO3JJlp9nM/LwyLTzttNOF/+
+/n+8pD86yc510QB3WVtFksSwC/rFEj5GGC0V1wGzTYP5phnL3oT0qsK7vSQFq+di7s//8RrHfnL
h2MBErblgCoXPGL6b6W704jIiZ3Awn/JwKnn8BhbyQ8pp71lONC53JHd3zWs0/Uz4x6u/HmpU5C2
e7vK6XzmKXeAbz8jBIhHxrZrsjZBGYQLTERvNn++XOP3lckTHFqg/nAKMh3DuCZ0/GNBYK0LXfI1
prMdozILuxmx2rIECCZPh3EfhqU4QRucacM1ezOiQApsXp7rs/jnS/H+FSDEddC0sd2lfDDZRn/L
AoiRjpRBLib2EB6HxmMJHBxWaxEIEDdpBY0ZOEhNqi8G2/nTtJ3gBIyOQgruP35RgYQGK0Lt0XcF
gNYjjXPEBvdmSQG2Lxv6n4yg+A7sFGv2WMiDFha8LExwbsOZ9nhlXQLJsT+EsLPl+M7ZSqyXeLl9
31jN4frdJdSnACP10q+qCDxVleNCXKpH+ZIZg3up5HMSCERjvMiLPCp/DtGKH7vRS07Kyu6uPxc4
Qn6e7IJedaxhFHAE+CfZ9ahlx+ax1rz4Po/gY80w7Vg1iNekpbZkua+y2MseuHnbfkRFUVz/HxPf
c153902fHTmHUdL24w70w61bwHf0QtK/GmFrB1o+E9MiApbmLHhimDJiuHOxlb+UVknzbsocwHGk
JeTZ0DGz7D61cXbutaQtdiOc5RIo0FbPR/eunYM3Q1FeddlknYRBG9XsCbOcH0O0H2s5lD0RZTws
MEncjbBh/SpSPPwwpEMegp/pBB0To3aJwHKZiOfqK5WNtwNuyYKHGuqlsXR1SPUB1bmBuyWoFGxs
pKAr/N/joQDPtadht1cZoD6PG7xo1KYzsn0/S5FIjXFgvdiRegzLBJGnKPWDcLH/9B4gvdoSD/Zs
hSc7ATTfNm/1nMtDF05vyAQ5YIHoJ7Nytk7WUjppTUG0gga13+FI0CyFe6h46IKcR6dqORTCpr7+
cmZzFjITWFdu71in6691hROvxohA8AZz2C2Z1Gt6VvLMoJo4TDBMVcQ8jTf8/nq/HEDOG4XjdP3D
Ui7azNa8IGoIj/qCIO0SZqVVriHXDY+xq9Qam6exzXicNspBztcvbcja5Llqi7zZRchdMBsgfS8j
WsVlYJ1GGIzrpMDiY8rGT6qq3lT9YO7DYaIlK+0GyTN/LMKeTrdwyIjtMiBLrPhr2UFvIANJY8jX
EkfP7npGGmZfxVpJDzMd/Wkyh207lTougBC5nD0Dy509ZAZRNTxrWazdSvA/fZKf5Jg0HP8dtXIs
N/bjzrpzuiUkrKbfS+Gp0YdNTteqrZ/dkzEPJe4hnKxCaCdanxbCgOlmxGyJeCh+4fnwaA8jMUzE
+BXpAilMAQylAtN7YPMls6IIq7VqifXqo5AMAtz2tG4JMwgapyPxOYfYZOfHae57H6rnJ4EdkKG1
9Mf1tR+RxKHCYiptpahkIhzEeAJBx5rV0YiN8a7PvDsg8GDGYlTDZcXTTELnKaZNechMYqjS8hEO
hdU82a0p9mGjObvSMr7caACvF+g/GgRx2hDYt5ZASKqXrF+jR5S1yg3QhwTEJZm3bZzFNDm0t1Gq
O7dDe6hluWuFgeBkeR1r/Wqyji1iwXlE4XE9aZl4u35RDCtP1oDDcmT73ZQhNsSxnij97PCjr0V0
pDRCOUKE1cloZX9uTO8YWsXFE4Wzr11x6DViplMQxdtglvdJYDQn0wnPOItgTeZKB6pahk+D/B6R
OfpoAw4AC2ugcZKMFR3mV5FynEsUd1Am2PPLxGGPHF36QMWzNFg24iGNwOjGcpfBtclK+ZUjxChg
QJhW0ZA/FXiMvOzTOGOomPHeHws7wFSudY+BwUkaNdhTNb4SAqltqyQJtiAZUOjp5rNW3CK1srah
biEJx65zslIN4Z6yMcctb3QVFOALCJvuAlSIcElJRNZz0jYBoW1oBoabwLpreCeQ0BbUXoUJA1/g
6YeSzr/YR9kpJkf1pg/L+EabWuhgGfOkubN1SJ4q9hVjywAdD0p+19daibU1U/tY8SRCKK98g4Mq
A+882rYS//gos/sSAUdM4vh2wAK4JeElgLQ5EBXN9V4v+rrAVMR/rLNYPkWM7a5H4xrpCpR+8nbl
UmKqAsNTDzKTCfewa0d84JYs/YfrE5IZHzFRwvusNMmSoDMNKdW5YzgFHGIMJW11vtUufYiRaf73
LG2OceUnJe1r3GfGRjrxroIj7S5GxGs1I6MSNCMRys40TZABtRO6IOa1NfsO4zeYEcvnbRqyrKug
Jn8hjkiDbhq2mArEwUQ8+HJwp7u5TyqG3cKDVrT864HejX5DdvsUugj9RExVDW0UZ3Vi+oVoP3WL
5Tqj7b+iqXpbeMrvYMoDaIeFnEKG3qWQYiKt89tBoS7wEnL7POzY2P+C0YFpbQSgv5d71nUu50Rt
Zu1V3gEzOudb2dzPgXiKz1mnFwd3CFyEKKE4h7TDqgCmHXb2fEfCZltmw2XBxByNNoclNpl3zO3W
Za7du0Wq36ITTzDpkQNXiegydKOztUyYJa5u7XtZn1BhlMeyhRuUE5NB/AJgtmA36OpGNTS9+kTf
ya5kb3Xt/rlt96ViTZiSETdAnr5lFiJ5IFd+5BQbKTJKudLW0QV5MYcCBr7u5JTnAA1kNTjgutFB
1d57jIod0lf8w50YblwLUn60u+MQ8BRVTb9Jc+TMmZzK9U016BSAJXqVKc6z3fUP077r9gnMxcEu
6afK1CbwyLnVSFHwWioRes+HunfMQ7LE0rbZsXDM1yZwSfrQNeFPTfCUtz0brSXMA4Ivmz0Tqb2y
H1Llwg30ApzrPaM4LH457xZREkQVjHl7D5wZV1Kk3faLijMbmgQmReCdpwL6p1lGu9yt9GNldfUG
WxEHI7oZpzBHCzQYxDdpvT3tanjwx3SICzzl8zocVPMd3metcYjDnbNPSGkYpnJ+rsA/Eu2KktIs
yic9BBBbNneVcBK/Dl2BAM6JtiDlv8gOHXxraOTFKsf7xUfii7DIdllj3BdOgFQq6kImlkyrcyN7
GdReJyDjlNJuBMCW3Y6cNGvcdLsYGNpxtKpp01CKYs/vj6T7VrtEzx4SdASrpjCjZ7heGlWHNiE+
ujZIXapDyH3RjdnR9QCFVz6mCWaiwilwZlbjsI0S3kmFTqWvpvfaZPGG30YCuB4rf9bAo1hACPeG
Wx2ZA0/nsc9eW9PZYFXPMILwZRPX4lAM4gkAeYlXIE0em952T2Ma0pULhEn0SNNuklzVVIFALec2
OFexJVcFT8euGjx6sy2RMIEVsap6MS+5m2E6xcyQkSa1QRBRIBk2xpsRELGRZXQ2i4x5eXa6ntbd
kEmDa1MN0a9HqTEnpY/UO1ylpgUqLJ3vHVS6BDN7O7s3bNBD2C+nFKFgR1RSo+k/Ca4Ldsmo7gwA
MhBx+uBUDt0pW1rMQrSPHRXbPa1LTXIWv559riv7dY1vhrhcR7YGvXsGPtsH2lsa59+Jt1vYdC0k
HbwG13J2jCaEB3POgtljUJ6b714uXnJIsxBJ8G5OGHzdAvfxsLQ8x4unpSUn8xFrfUETedmF2rww
Kc8Xs+4A2bci9QuJdHJCE+pXRmDdGv157vLmkrfTDcIXXjP8YIZe96Roawghlu/k2nRA7nTU8/dC
WulD7bkPCgAoC4/zg0mqvisJudhbyrtPZeJrovdeXRY3N7UhJnTtbe5qxaMW2get9CGTEfqRucWj
FWLzTvQEnF1AmdvbYMbNybLOZizpIs0fc39bqAK4dxF+JUSbhaN8IBaesxOzrE0cLPvXcstVx8Ao
6118+5OuATZEgJrMTgo/hAIiNeujhhQGpglbVeHOHMBQsW1S4kHR+FTIG3Oz2ZoJWsLOmduNDh3k
ZJpIRILYeSNXy9kVNuoVQ04MASbyViCA/R/SzmQ5bibNsq+SVnukYXbArGvRMc8MzqI2MEqiMI8O
wOF4+jpQZVVnZbVld1tvaL/0SyQVDPhwv3vPBdohuZL8+fqWGx9zlzt6gsSOE4M7KDFqKJmAWvaM
c5FEar7gaBrpLfItnJCvDliyn4S79nWEbbMy7eC1+vIMnCxuqQ+xK9x97PLLZdeCDdyTRf/ldKmD
MmlpWrd7b+fZ1dufQQVH6h23pRPJ43s5+S7siP4aLptwDmvRVA61W1VxbvOYN3SPhi8T9ZmTcz36
+OrLkLl2L8U7Z6xkRZd5fS2psj1UqXmv6AdBRSBJRrKSJGMI6wG4xicM79Of1Zvcg4acw1ghq7+K
0fKPE0EeOrwhdVrcwmncztaJ08HnmfDmdjNDbC2mux1YX2A6KTAuJyJqZs+tT5ncEZMGFHessRzb
Q7czAJb9EQwiCWooyj5wo0CRI/u0x3gtopqL3/IG+KNo/dHBJoXUpSSHE8QQL3nsZoJlqmbTI4rF
0MvJeB4S+65qwUl+yA9/PolbjLxR6F2iuX2884KdiDyEsEFEuc2zDphK/qh79BcLZ/C6Fsri082b
cXL7lZGN0OwHqJpGsMSyeNmDwkhufeqR2Il9EsaBs/b63rkEefSuMv+xrvEt/XMNxPlHaQyZymOC
4AQBIjZ22kXs/zs5xnQjF4N84ly4U02oAZDBGK3V5jQD2sR690cW9Ifst1lAS2Kxok/b28/Lgany
P7N+hIBgIbQTYnGO3XKKMShNBCRFEcdMIuUgsHIMEdm+Sdcwd/tmN/XWvJo5CFehWbLOCqZ7Tm6Q
7m3f/mwmI8bZTRECporT6hse0L8NUP6fqlGvKZZAWf/u/8fy1/6zQfVPcef/+tXm+X++/OV33f3l
+rx7+cc/+V/+ItWrf/v6m8/+87/8Ylv1aa8fh69OP33RRtX/Rzvo8if/b//nX77+fJYX3Xz967/8
rOnfWD5bnNb/4DhA/vsnFoWhy8uv6n/Tjurw9/7dqeD7f2V0wByWYnuOuoHgLaO+ZP+v/+LZf3Vx
L9ih5QSM35lh/qdTwbX/Smupx/qyTOJwcVJa+jenguP9FZXPDNEmweVQ5eD//zgVsEnwdhUh841l
9PXf5tatQoUwvSjc6g66qdRwqLidlbhOOZJFWYXbcrra2GwPmt0DbBV5GqA8NGvOEQ3Y2thJp8Eu
1yFCm6M/U6IIz4pd6VfLRf/wd68ut2tw2dVfqqG812nVSwwbi/j6d+Lsn+8WdRYdA1GBQdE/TOqa
YGax4Ei/9b2IR6Nyg00o7b1PhSjRZ1pIQUx+jB629MHG9zyBRrlQYXGmixFfgCy7nU20G6Osyg+d
Tl9bXdhkDkvOJwPXIq2qlyxs/NfMzdFIcPJNTJl0eRjr8A6sFyvVWMbXf/6Pcv/bPwrB1bJsXCcW
M3JhLTOfv1sz8sDU9M8onJIDEwtLLaEF6v2AEnjFnjaG7pLpRrN+O9a6oVPvNJpTVBLcTN8nSJm7
lHK+ggS3rY5TwzlQRfJMS8wnZm/KlWhYuyWFEa2bKgcmkw/VIbBJ5FF9FN791Hj30244ZTbrNQ6L
s9fPZEZZVoBYI6TW40JqxMJ5MD3koaleAD+kVIYqLTfWTH+fWfqnMENpSS3vpYOdsxmjloLSRjRn
rgeW0MMN08mHKNz6/yB+e8L+B/kbidhcRtWuxyiMKZLzD+W+TWmOVhfacjczfQfNmEg6VLDex4Ro
JXSvA8YZYrxsRVtHNMlz1GGq16IMvtmV81FANfvKPJ8eqwK1zfCGS+CfZeeJi1XiriyAeisLLqUb
63JrBoxCLTPFUWI8Iwpb62g7ujkTNadK9/MgcZCv3IFiThfRW4ycqNow7pE8onMP3HyHSZug4oAY
aAXy5KjxNR+mrVOGesM/L1i2iZp3WPORBsvXPtRcm9k+wCUA4Ci3cdSIY7n8njc0rIM9BWPy5Bc4
HodK3QGCN0R2mRahj5m0RC6trlTTVflARq1Vb7qdt/StYCuPqNWoHQnus5jPY4EaE7S+QNH4LQwa
IHgkkd29icbuMZYHY1jeR/3AZN778pO8o8YBbdCjFndj6ivnTSzA6Tlqn8wGOdBKOahTMvvV0PKL
kCCSXRrS5+LbIzo46OwhUdxYmnGx5lJtwLXkRK0kG39a7/pgTEk3g2GD3b6u0WGqZPjtJvKRuDU6
PSG7KsASaqbADXiGg9k/xhV5MbyJK5clGN6FWW9qq8WAnLuE27y5hdzstpuhss1dRRqg9CJ1UQmo
cIsZLgl2Wp0SoEakLBHy7p6J9I/0yPy2JXka1sLcuGm9j6LhGQB6y9CBioA+f8H2xIW1X0vIdswK
UA21bR069KRsyTJ0rbeSecVgIG0/YgiZY5JTYe+Tf1QmLm6Xk+460RZuzE5MjyI1vGPjhadgik9R
C+nWJtOKgV6rA1Wc4y1PZhbp2VyV02DzpjJTJC7v2QtgMcSF8aYnZrixhUjqifldUnNxYFW+p9o9
ZyqaDpbrt7sqHSl1jc8kLNAyoR2gbxxlT5qci1u/MhEY94nA1+qZAIJIdZwcb29PXXdJg4nT22w/
SVJmWwCO1Q5C/HHGAbyJQ5CpFN+uBwmFBGHWhy2U5PQJaf6J5WidmslAKByG75Fn8t6MpXlSIskO
RU+RgejFtTLjj3JupkPbp9ltrsvo3BXZZhRdvI+mSa7Aa7Wc5mJCaCFiyabtwBxN0YwVKC52dktO
lOIlZlCCPMjs7Jhh7AU1sWwJQbEjwh/vIRqsHSi42w6j7QZu0pEjWX3OyilnjA9MK0U2bRtFWpDo
cJ8tvS9dUR+gi8fMEdLcvdWTgLTQihfhRO9N5wQ3hX66mkeiYPnMNNotI4bZqZNuw4C3h2W06dGO
658M6aebbPzxOKjgeXDkcIh65z0kGXbmBsGwut4UvUOEscU0XdsEU2xF7V3ArrFxRiM+aAfMBOyq
O9nTRY2SO5do7mFEQ8MtEe9hhBHLk/euxkzT+69GOhXbLkmKQ4qVY+GHkjkaCbk1TvCtGEws8W10
NfJLSk3LfhhhDMQ6Fxtp6bOIonQTJSDUekPjrTfMndEgszk1U/oyDJeWAEZwHDZXZsOwg4wYysoA
9oP5dIaikHV7GCsQNY0zDYjjxhPWh7YLQiN0CDcxzRimO73WJEFWbQ/OTIBRDOf2J3YBcjIGSPoS
R5grhP4wqvSTWCUTjyDRh6AktFfz/Zhkk+6Um7onswOFx+quzqLQF85b3c5qinjtGPK3bS485EYe
NGGsQxVRCU5LPNCy2k9vYCDbVT2XgDL8yrwhrkBbTImdi7KBbh3iWuYP2CnhSWO0VvVS+yA7S18b
ImH5UhhrJKCnrNJT+4bxPxlUVVG52ReMeyCpGcTUKTXMkUgpwBojdXRQ6DG4gxdhhL8tk3neSKOE
0jXq6pIsHyR3BzNdaJ2zUpcJs+rJh43WA5v1LSu60l679kciGEQVMQEw7Dhky0whFfZrPnXzY11M
1p1Q7g8x+/GmL3N9ImYtdkYaO7usMtJvqdduyWJeTcfx7pPj1A+4Q4eVDFEYA+6Gj2OnUL29fH6Y
WLRvcd9iRYhzIKeVB6YNenZo3F3JdZPY6IWy8OA6hO43+EdELhWfsq7Aw/3Hh6VoMsP2vSOCXm4i
axn4De5vHRruizUj6i8w6V3Sze7LLIjqzd3IQkxV7LGfeA/0Oh5vKvMefXDOL4UloZ7YXnRuaY50
FJuEpxprr6tzWsb9ZjbMcltYYXTNce1tvSXTCxMf4FfOYzIVbXELglafGJQdY46H104Gl6qxfsYO
AaFYx2/c56tra7kHpma0oJv+kvf55H1WnTOCqjxJOSLaWpj+T1kDcVKt/D60+xRZ4xpo76dZGBTE
DEV7ih0bVXL5rz8fkCeTHcvgq+ehyomy882tzfRvNE1IUe7SzM2Ue8qC8ND0dLssnROc7dp864Sp
8x7E/aMywJKXlv0a1hRezmFCJqBRu6RI30I3+vBUOR4CDigecOPTnw9lUvinOqFomM5ywUwcbmho
QlUBXlG/j638CgA7PlTZKF+t8CTagoBcAg63GUFLAsecGg5FY8SRlEPodhpoLCMZTndOYlXbuSXn
ltgYIBA4qja7knWaiZBr4NAeaa9uapILCWZA3t5rW5pXMan8rCJod23JjdWASxE1WXGhvm+mPugM
sDY4l+FUrZuWLDJZ5/IqJSBhkUTncUYwTJbnUvLbPd3rd8cw3jm1apx78yWT9afpzswmFJUKeQ+K
xUdKKC0EnFl5ajfF6QedOkvIMdEMIzMB5oqLdT/pmXQqP9Wky/SGQex96pGKLSv3tt5YgCEOKSCn
v5NbeXBILTgJxig4GeGEdsHwQBR3Nr45dBuZz/uMdvqdFZCIWEoNtnWGlzSTvHoCnMDCNghXyzik
XqLrxkyTmGNOW459L64FDmyIywM2Y2qMSDetRPHhSbSxRqofOWXW0DgiGrQANQJ0i37NuSabCmlM
OsgfetS/JoC8W2Rzwt1ULqHOg8fmZnlliFSvIk41kEATiqBFTWtZKm9Q1fVep8Sq6qIIzkIlrKwA
KyorZbIbEq9VgKxtf0SV00a/J9q3K3XZ3iG41rvCo2hlGb3uGYRVl4mIyhFBjkqVFD+ShY29mmtz
rassPsQ9pHVCYdvOru68hEv7dM+ZYzafueksjQXDGq+Ud/Qa/1QWUf4gs68uM+I1MRKS+dx7Js+G
Mhik14x2pHhyAPpl6rVOgCPZFhH8AHPODXD4egzEJ5w393FOuw9X7goYF6/fQbzGh9ao37DYwScV
hIp17zZnJss/yyQwtmVMlqMQbUvayY02CYmwiIPUURfM7kBDsDUFtfzVB4+zQ2TWyrxrIyZuYNEb
2jnmlJmKiDY+WCZT55JiJIb6PKstIEyxLN2pT+7eu4bCTA65bw/navJZACYF0cchFGfVut8pNM5Q
pgG1se7vHAcaws7w0FOCSx8Ku1mFDcar/Ed00+JRujcKTklfj6ogKKVeWRlHQRkZt1XQ1tAlhLK5
XmBX2PcHl5oIUJRH5fTdwYwh4uoRpEvFDT8B6Zh1/VWrwTyVUlU8tOaA1dEGBkttKf1AVIyH9i9m
v2LLssrRJB+nLaaMACY1rBCMDQmtNQosravLy5DPl6Khzr0Mu5uahL3KbTayWUMYANXGdw+nfVLX
uiFqnkGUS6CwezIgbMfcGUBIA5L+pBKuN1nivjRhV+yrGD97DF3Gl9jgpgGlGq7tOWNkuLO6gTVq
6pwHFff7OfPepTcUsNqce9oDEmCnpMI43SvT4MoABF5yxmKZqyDdZtzIwvLIwAML8lB+j3UDn32n
vPaHrgNmQLQo2ktBaSPvsaWoeODlJY9RBhfP58rTgdTZKRIMV718mInzcWky+BdT/zQ1odhMNk4K
USJFmGX9TmA9PqjcoMuuUO39zwfGTgyDGuthOSSVk7XwZ8je981jXBvtVc7DuQQN7/dQ6NAgtKe/
uKg+yXnqqZ+LrVe40K9MG9KHIhhtSkwZkuem+9C7Rn+fyqF+m1Nn46QPOnGDl0HRsxh2Dlc8Zslx
aVg/Ji47rh7nj14llEg35nvt84gHVPvdHC6SGxVW4fcW2rtoLPEr68vfNBknr5ahuRdrh8W0WC6x
oFfu5tJPAn0j++mmJB7Hg0sAdN+zT5BoZ/HuuuwsgnFkpyMJXRHiWclxBo0aM0DvY4cb19SaF56c
cytKfRqD8TOy/WUkRN1I0ueQAsv5Ddo+OImqwUfjjtHD6Baf0aZLfWMd9d1wyYZ7WyYNRekT6FmM
PGcrS2wMrTNTAA8udo9f+MUx5UBUn8kip5nNOFcgx4yOuqp5rLa9Yzu7Sbv+Sz57GeaG4qsPrG8x
ktF7aWbTFqbNvPf0wIDQVvHBqAYyhh4FsiSOd4qR5k6nek/3Qf/sWjnRbx8mo8TjcmLnxrAsI/2A
pwcui2iPQ49RTjh1SKiOqwBhTMiPvo6+OSp64KdCJpJecUQ4KuAlEIODhJumKZGt6/4lnNLwRrnZ
KQAuu8u86ZXQIIccOz0Ezbj3J+JFOl2aCZR6VuM8UbswrNskl2/+CJoLFZ/5P10alRIHpqr1dva+
+5nlvwOThepuzVwfq4k0rKPCaxmFX6bsrn1nzU/KFca9sYY3nd342RjvNcbNHZi25CDK1OKJB4/q
x1y08eg96xYvAkW+CZjw+WLkrJEOUQIeeGHs3JBgv65d8z3x2w7aa30eR2lufHFpkTN20dzadG4h
6ve+Vx/j0b+lrWPfXQMwWWUan3mSOAQTmwfCmiVEx5w+HQ4G1K7CXTIp2JLpm3DVKTA4Tfg4Ar57
uNtn7Ik/ywBUZtg0M9oCVYW9B656Kpt+lyH7vbijQNcoWnpb4tzdqEbn1PlCnO+B1K5zC5TpHHX2
G0Uqr3TdCwb92VukRH5LpPmDDcXYxC7ktcCw4tcZ/XMt2dmPSQ7VSRtQBY10cOCMQiorc39+hTmn
JwGOOvbVDdBf/VTG5nEASSOD8NV3A+PZYI8uh5FfKcN7gri0dWlIGsqkeu3bfrgKTPsra54zaLxO
fojSINsiSeXvacFS3ArdHv/8X8c0sasGBhht/qcWFz8xsjdi+NBtnP7iGt7FNOLpbWy9/qq0CdZU
zOot4nk+NcKaUfn45dT6QFUKOJv9O1c8/Q62Q0NHtCG0sE1wcCXLbBnFswOU4smy1PXPn3KiZkF3
l7wdBhpFgLBq7DEw6P78JenQgGIIjyUFaCXmxH//U+HQBud89AB0+hjCotl5U8H0o2rnAznj5s1V
8k2Bu2J2FAIKHu1thVWqoZgK2hdh+cocNzZj+VOR2g4m0PZ1ogJ9H8Ik5hjFqbYZeJhdRJLUfuCU
iehH4946x4KzGkxz2ph+ZG9FRVTfiTgqCBvdDIksOuogOSQ1Km0mHkzqgqbUvs9L2XavczZumwka
va0RuVLf3Y0BHXNOvfTdG7ugwKJUZeU65da1UlRR9B78hyDMozVI1BlXoouvBA+xFAA6Up8MDtUK
8I+spfmF97SdBz7Tz3Fv1hhvZCqsc08qeqajES5UewU58pZRqrcfaU/g5N0Z2wFyUJ+BjROhzZBP
aJSf1LnjAKPA1iMWvjCtewcLmd9yoLG7/MqQjWMFcbd7oeX3mUkkxKz6NcHHtc/5kcK3A5HGmQ3X
Pe2nVxkzLYzqi5nJj8SN250tze+D4K2Nv9UhVUzkdqLbedXz5OFAJBlpeNTtIjOP3WDsYjkci2yG
tXaylEHndmdHZz/5Mnr/l9nSI9sN1F/HrkNNRPSYD7RmM10+ZlEcITl1B0LZ5tlJ8vJECHtbj352
aOYSuBq+1KTimB4OMnqkWVdvlrhVukP0ebSno4SLtW96qm91ek2ChaA5AP2Jhzw+G7jMMg0X1QSO
vZF2x+HB+iwbgSFmKM49B5oNCEMmjtlYr4OEGV5GAJO+QRoKGo/z3jy/ZEPiEEaO39BBHik6qg+6
iL6EhJU7ocgFPA/sncaSvWEKXmJA2g1mWoLGyW+UKqFIUGq+0RbrkvZudR5/75vkQ2JZb/ipG5ww
EUv9B5g7WOVojFjICvIy5+WtDirMAsp6atGDKIbPLgCn+q320/4ltY170H+AbnKAJettP9Y22mXm
nOc/U8ayxkxUlDjt/G82ni+AFxkKkD/iz7I7d9t4E3bMoKWgyvtE6KR9MMav2NjNvobZt5o6UqRd
Tyla7KdfUKWMzXLwTJB/yKwQJIW8j5URYnllnZycI8PkoBOz4vRXJ5l3Wa+7cyHtCB8FeJBOl9Se
27SBFjkHAaL71Q5CSYcFaa5862IElJc3Jrd7pmCnYtblxqb+I/WwLcW9/TymGFkYil67vOfH5WF1
npUJ9RmlaTWRkaGDfmZGBB22KP18lVvw1NLGeqkDrAbo3A99omgnNSgPyvxmRhJ3zm4/faFW0eBj
tzsShQQD5vfU755qx6QyT0v/PDYBhZXw5ExR/CD2+hpbVrOPw/k7Q+FF0SJMGu0s6zWzaUubyBSu
CUIYG06NbCRQmTkMugHvo8he1eISk17H6YdGW0c4dFUluh03DyhH8JeiDeIpG1pGXChPm4uqGwjj
DtdXCVamoMI+ASFFoVN3LVI+X2An6YlGXzvD5G3Yp8ztAezz1GukWNIv8bcQdOV2cqAfuWLi4GJN
hIWC3Wy708Gfe97VRnFMHIiiEfxe1U2ngKEuSPxNx6p6hkM6qUsAlgFGGC2oOO8PvQvdtKGQkZXT
cdjJIBFXUvSXoZLtKlS8dugRNha4k+rUuLNU/qisvD8xpH3wwjDfp24fn6Ns1rBOt61TVGfMu9XR
Y8UsZIUvcRhfQe+aQEeNtwIh8TLbAY+TzvA718GbQ2EPNQ7JwXAePBSHY038hcVIpy8d0q4no4cw
GspbqMonQjcYnukDdvluvzcsD1slpvo4ds+TOevXJh7uRglLp7ZoJy09e2cPublNlt/ysgF9ja2I
zTyMaUb6cwayiAv3UaSeB14o3h3jIyR/phVMF041xwyVNsXT1Pt6Tb7jbIahz9WNa5DXWJ+WGIt1
ZfXlnh/VyYLLvYqdfpdEzMNil+mg6Ts/LKTadZdYeEn8Ojq2YG78bubCbJOvqnIcwk7e3SdocP7I
0IYARnP0W/KfkaNwsvZypFYApz7d4F/4dY5qzNW2CzkRKhxsoGKnbLavg+YGSKc9hCKdpdvGFd/h
zYmbsYCFzMpOV830xuGpe/DLEJS94DSBZ8y4Gip5Hwf34qpw3DhWQVkhGMw2jsG6ABQ5dG75NRnW
LXbqj54g7A5y4wb2g3dqlwY8CNOfQQVWQrUPEYA7PfV0gqr2Z9JRae1CKmwb1OaAZRhmA0lnWTtL
SfZ19uc7QdhyDTsn3JY4U6yqal/FQIQkGn56AHJxPw9ybUrGEEM/OCftOVfPxGwuK7WvWlrMmqKI
tqJFPDGmJ0xyVKT18z7O52dmSGyGdQNxpWRPnXz1nFpJcEamVtuxmQ/egE230zH+G1Zc1x05BATq
GnhMcrirzTAwGAMxk7KSVlzscMrZAMrnya3Fdiy/jRi/HhTGoqKyNu0UVfgs3RI2JLSbpsJXbkmM
8ZPZQjRpgn1W0lswRwYmGofNnvyM3oK5yymUGcfn2UW1S12Fe7O/NILcIDjabD0HN/JEhCqIJqJc
spPM5C+tDEKpN0xoZ7X5HNJE0AFAOgwx3JSlX1FM84MsR45pZs45ZPLxNjK5qqF3o0Eh0Mltxcgd
qxhdh8FRpgi0WBsPueXf4oWxN1lDDJK+qDamMu9FSa1h09sss1wSvRSzWeAlBtMz8hvD7H6VbfVr
9IMXY0T0tS0g42N4a2zFCcIvAR4zrgwVlYUjRLzc6fW+dI2XzgFzQqZmJ6elsI0kXlo2CPKF75DZ
z9EyagOz/aD2vnvDGkcts48PIPRQivyXtpPFhRMQNr4RfcZQbY13jtYtm1aH3iFikZb6I2wlGYtg
U2hneI7t7kZQj/oKUX25Ys5OvsWVhxODheYvj4aBWMsT3O0zK3jxVKe3Ieh+1ydWxLezOKAFHkUo
ynC2cvk9BcfPNzbuJ2ZlYOUnbEWz8cT3/2YG6ZuRZx8JchFOy/GRC2Gz9wYTJmWEHFkwrgy9/GAk
ydMIa2vdTpAUTY+ooz95uCpa46Ccn4ML8woT0YEkA1peRvpndOtjp/uD1k17YLBUnSu/vmct1jVD
N49MK/auzNaiCSnEDhipuKGSO+qBPvPaETtKNJpVmNpy3XCfP7g6wwEPAqogEdM6brDHJ0KneuZt
y5p2cdr+ALQRB/MKtWXj7zi6y/RgGNlzJrD0+0WTH4bA5i+Ta9XjFL60ImQcXDf7Doj8SsELWQ/M
BiH550TRc5aAjKNcR3n1pXBerdqCOTTWn3hF4kfOsN/UHMZPiRP7sBObHV0Q4dWYELO8YGd518RA
zXEFqBfaXk6G0WI9wE3Pwi6vnuMnXN8hOycBhb4jBVmBqNqNEZo7z85pQ4tnH0ctom4+PGoPEuBg
06BiDiWaFJORVTJD8UxmdOXM6IpzlPqvEirZiKt2bReDQP6FQCedCMfmgG5KhzayPNM7mHQ1ysub
w0WDBfKIN5iakCKvDt00OBsD3sN6bAQdKm6foS+7TNkFt29PTd8nd5quA9b/bf3VphTbLANivwny
G1q0WGnDKfamtIy1P0u5n+dEHzO4O3eLxhzYQoPcCm6Rx0TYD2kLxUC0PbEKMtwcM+sz71Oy3CWa
OzPMQUXuxpqAGNTWi2Q4uR/i6iUQ6RNOK9JqsNQ4tm8G8sibaBjQ9n/61KNxDGxqzkDlDwPbTwc5
cMe4gX4l232TDD5XBE8orWSiUgfmJUtw1leUHgGiJsBVIyxyUvlsGfYetQq+1bmVbClBM/Gp0vbi
DQ/JBIyzjOt7x459GMN7HBfTRY29fdCsZK7LmMZzzEtBz+omGLkM9Y5zpXzHPyIvt+CgB3Xw7CWy
tlCVu7Ci+yYyr0V1GCkDuSLRe1so8vaq6GIQUaE4emOf7AKXzimcY8M9jNo9Xpf5IYvZAVGNyyFV
j7C+5NYZGW7pKvqdWgjwNl5h5g1vnNo4EHZQsAwwXumgwj2JmAQCin1kTy3XqJvzNi78raAhdZ+O
ycgZn8pj0gJP4sjEo73CXjsTp/ZPirdJ6Z4pa8MF5FJ1XF2DIu33YW7UW2kB6So5q59pGNhNA9nf
ojQx9EbI78amaOPkxLk+XBuFsM9WszRYB7j8C6W/294+6Cf7XM+FQJhNGcwm21bXycGxm3tDXHCb
lUJsJekI4L/JVUH94pk11K4EXEI7K2bYWWKQ6tLx1GiW8KChaiAs6ZocJJt6SXSN82K/htLVQF7G
xPwTnfYHVesev7e8o2yOkKTzb1nK/u8MZsnrt6Ovzru0YjmSl37KsQAqjwGScG5sfBxVvykT8VSn
lDMX1KcyC0ifVeC/DZQ9MUFB7BxKdyDS0h0Cz2exdyZvlWbtN0If/AyVTydDBg8+57SfZ/66zJlb
D5qqH0tbh3xRpWXVcEQUMt/36dzdTKfubqVf/7anZNwnPi9W62TjpudglWKAvxRUaT35ln1wc/WT
zZD3VhZ9BpEVrrSJUkJ9MgoWM31qEa2W6fzylcDL4UoHQTfF014WhnEcqpC3kwx+KG/RGaU9QDTh
UqrCuzQYKoTDfqLkqKpKFLAug5epucXN70CYv8dq+qLkYSA9k+ysiUxcZtchbG1DnzNDv8wzTUK9
Kq5Tp0fYhstXYjVbp5l/GRwHxis7LaRd93XCs7vOo1UyDOlD38rjHHvjgW3M3whQpKU7kYjKov44
DPajN2yIgsNv74dx5Y9rBsQQDxSTcOpo7okfyH1i2U+zR4NEE+BkTkMfYHBjrsco+WbMhXGOFthq
l3KAthb5JzNXrUFVMbkWXuFCPucQjbBU8Wq1xkyPlnORdGBodFW6qZfuJfbaXVGBoRRT+hVpbS+C
dbbtqvAwSdRZrNsckjAiuam7LljMceIWTFMWNiuFcfOxyUqGHW29aXMyfBXUPtq10mxtN61eh3bz
kka41hs65cAtS2qLiMWRRnZpXAEgI02GLjwM+7GvhpfEpTCVMWCfTSfwwdmJ68auRQA8Cx/vHbA8
DiUWD3UWiq2w2+8JL80qT7wnX6I/uUV2EyL196MZqT2VI3dOcg9V5/f7yGYKX8bx3WvHcy1IQwmP
8j8JVALrjb9XLQ4KbhXjmxzWrLlD1N5Ije3cBpshwv2HzeRlNaCfEFJafiu75CFoqbpKeXRt/9mq
6GCsGX/ELpVEdePcBStizAUHgKWWW2X9CkC5U9U2gEfn8Mru3pEqyI6qt49CoatEjgX6YGZgk4/W
e+w1+TMH4kc/4u40WfWRMgJcFolM7rATDbZlaqH8bHS4kAZ7gijRibTNax7Uaue1P0e95E4kcWZ0
77VbpgBOavmi7bDl8wfA352ovvk4nBj35JTOYO6equwhV0wmLRvvjpumDq6K7FfcjNFKZBl2Ormv
63a8tFi08KOu6/7qFnOwBvFFY9CMu4m7OOpGQf8wCrc1hL/8RMtTb/tvzRy7FwXUP0TJFjGAO+YP
lwwVljI5WHajEbZrF9JpU1YlMHL56giCF8NsPpHyNPclo6uYjTEnco0YQ81qkOKMwKXmXXuuXGS9
zGwloCBtubf/RH5F6ssf6K0t3lyOoqvKPpOHyV+yvn2GbLKNVe0c9Hw109g6pvP4zYg69+wxm7Gm
hWyeZsfe6V80w0TiLvWqmkhMBvQtaneSO8cZDzGkqgcvsMWJYf0PYUU7ml2wxBDfXA+qeu+r5hzW
RLGX75b6Um4RMwD8uKCBqKwzFqh071BPpWddbEvykWsNtIm5X/Gap6G4FpOUq5Yjr6jQjKwK+6oo
c1jXsYQuoByq9pSezu3UAhRwonYDIQfnwfKhAcS66k0r2wLmBU3Y8GMx8zw5h4WIzyYQjSlPp31d
6fisVNMfpnjYw8SvuBmBaE1b+9LKktlixLTLHZrvfKvB8ujb4xAcIopfg1y5Z0OwvwJkeO/ZuXaZ
75hnerl+i4ZUqE+JzA6f2e8G58wZAFvzb0Sd127jSrtEn4hAk81muFXOkmVJDjeEw5g5Zz79Wdo4
wH+jPeM9cJDJZnd9Vav27fPFydPV+HSIFGFub7ti/b87fDJw2SCXaEgXGbj7VVSU+t6gtbPW23gL
8AF345T+jiWtskMVHkf9NxI50/HBvXQYQPb/exmH6MWBNrnmXba2LkUAJVtUfov5I4ZNxP4PwCFD
hnDfWXBhR8sbMQyYuBTC6K+Qo1h23oioIaW9TKgm0Hp7wiT2fHCa5U74uDrhr9uAg02CUTrNyUlX
LIIorhZ5xbpiPzs+IE4sW9frlnQoz1rMRVu99ncl1xZ9DoHGeNTuDyxil6wdyg24EDb81WAuoHGk
6B0ZeuXofTQq/+11hI9AD6OVJ0hmVVQDabG/CtvmVUTts6UIyTmlU5hQNSxRHDlzWWMiLux474gM
/yebxtyqiaz5P2VLUftkG1edQ84iE8WupAVqLgq8MG35yfefzskuo/1E012N1dMc6qNERvq1Mi0I
AUaKhS6si4U2BuHRbozi1DMURI8IZm1OE2odZfl5eLaIrCgDKb7LXFBgo33Zqa3+RQ5Gdj8UC69O
7C3VXvnWoURiEXXqtara4RqbPMHlq66zKxtrQ8yzoK5gX1jpT8ugipLXUQzDPyPJT1344ebdGa0V
eVnSCGkyy1hVrkdEO03fGAtUx7LSr5pGFV7m5dabGQbHknLpGalR7TBW+vONo92qZVi+0O2autqE
QHWaRLuppERL+NVJyuw8MZK+lHO7tAmsjYj0BZ09s4qcOXoo7cCSej5GDYlaIP9DrPZVj69TD489
hyF+HiCDFLOvae8MNgkTEsMLFrXSraPePCdnmS/nI4apfeiyy2l7gDs1/nL6SL9UY13IrFpbLAMH
wyGSzgh77esyXjjp8Cxv5zw66RiBLb3uV1Q5JUufwtQlStOzMLhKj74XvVS9ma60Kc13Ws1MoPXy
gbx5FSz8vHcXkPcSGHMjRX2mBreYMlcaN/SvweiNvRaWl8KV3qsJn5qZ4gNpW57KRgu2BLEwz3dL
3UTom5DbN+kE2O1ZEuIQFrqq0R1h4+FpwEp/JvP8Xj77ASOj8lkuibuJfohXA0PDpR6eozDpT0LF
n06QW/egJ+/UZeJHQkaQQyofXgJMlTd+bjRNvI6z1j14Fhk/Sx/I5Fr0oaHaY5VVRIKQKN0137C9
6E3+L4kVwYODoWURkdpsDcYQ1AS668pX2oK6IbVpXIiojm7m866OBDZsJzhUZg/XsE/S9ThFi8mq
gFznGE3s+N2xXvGxgtvL75UYzzB0+k2HmFv1dbh3bBsc+AIdw1/IogrmqvYPpTcZTDwQ3nWqejWB
TCD9GlvSgIHMpR/I61NvZ/YJCWIXgqbP2rlDxSdrZSEB5RriMOd4Bl00LxWFQQ2eTzu6auI36enl
mlvEOlRBbB/M7rWCVbvPNnGEIbvuWg5gfuVgwiDiSaZxmNMtNxzI9c1rY6p34JmKQ/R8GUd7HVRg
CapJ6jNboq5yhRxcgyYtbp4tvavxYnCeqEWAymIWlNbaUXzfFEgc6hiSWMC7cmz1R5dBN0zNCipy
ZKwILzTzLtWGS1mxHLd4xukPABkceD2PY6RdTlgm4Tk7W0EYoqtqrEADNFCuAbs1M1z5dPoGpwDa
QFzQhTAVJNANbBihYUs0CdD9U6IvNT3QTq6rTbsgNq7xUM7dTg7n/17s5596eztYbrYk+2dwT7JR
xR/oruocP7A/2N3abmyCZmF/VqNZHceueTqx50ZZBZ9FjBs66Er4XT374oG1cmZorf856e4Wl6mH
xc/xVmFnyUMJwaxzMm7+YpLfbustpNelS3wOO2b7zyUGQMKQk9UWnn+2m756DNG2C6mjYcTzIXGs
Y83rYS3qnFraSlp7/EoXMiHhJoP5PTdDJ9/VjMhoVrgnjghucQEZMu+4QArrw+5JTeOvRkPvA8Ci
jLQpdYdsr2PM1xMUJNDH5aHWCqjPFFjIDl9r245vGd8nvT6JPHk0OF0K6h+Y4sOHQtDnUBQumF3G
F7Y5FASRDcQ/SZksQbG7l1XBqUf+xWTRvaLn0B5c5RZWRJNWxqa6iwBHQNDX8RNa4p2I8qyxexdH
jCSrhqlfO70RvGxPoePQIdlTkojgHx6AQmV332xzjlApGypTbakpGJBnvbuh1UgDJIkY/rPYBhUV
Ji7IZL+wzH09tj2xVKtbKllBiil9EqONMd0aPhJZ7m5gVLywOWwtTIHR0jMm5OkqeOhO/2hB571W
dvoz9Xi2yjZLzoHuvqec2WyGwVeoEUB0Rl+d0Mt9y2o+WFhLerWbBhdNVKzNNniQ90GKLVwo7FUr
rzrR7bk+Km3p9s4L7ejQJ2gRX9WdFp38atcE7OZLnynaNDBWcngUrXkUAVsfvP5oUdcexUzDAp1n
awW4LaZd64PuSTZp475lSr6QgnxELaCkF8rvP2wEXmD02R5GiwEpoqiWHgajpV6XcH0wfR7MxisW
YegbG7CdtXnNtUhdffyOK0AR7EIMbRakkziGeOzmMMSrLWsbZpjOCbYkN/Ap+P46t3VSPJ0/LvMK
ggMyxcTBknGJSa24J7AVV6FSq652UoCyh5bhNxnw8IsJBTW7Za+fRdCFu1Sm04qkuKL87o6FhanT
1P5kPmapZBpuKg9t6jep9+sDSX7eKqhaN/Ytb9qmCGADzPyoRC7mNixCflIOJ83lvxfdLNNNQIc5
RnWQOFrUWlQ9lnLvy4JfzaChJ0fswEVjhu95G1PZhh2ErM/WKfp7GyX1sY7Kdad77c7X2YnX4Cu4
5Ar/TF78Mw0bbQcg2T26pbFj955c0+cLDqyFMIz4s2ATOvGs5G7rvpHGvB1sSIxHnJ5qZ7SI1+sP
Mp3sn/URxgnD/NGnN5xyGn5Oo+TuGArjDKw/W8BmqEGe0Owy2fPcLcwtPCMiIKPDzmUI7j3w4GUX
Dg96xdJtPTjpJsSf+aLFBRGiimhJMrh71/SNRxmffbcWm6nD96KHFChYfXL2iO299OnYc4LRGwzK
OAabUoRrk66kLLaGN9XXr3wyrFLhayDEG7DFfOHgpLtoBDPpaVEsX1kGT4sPh9QwBp7XvbTt1L0U
+TuhfiQcSbYMR8S4ayz/j31oCO1f6OsEfhK7KkpxScFRgDJ4ziEF07SPmLQdgjQ8Zt7IyVdz/JdO
H/wX35G4mKamP/duSLRvcjDelJPdHRv5onLJRhr3MiltDna413aIP/Uy1uxbkQeKu4L4tyV3rSRN
3xv0mRkM4C7/vcQmx5iW8+rMGvvdSHvULaM44kXL2+VYUHnklCUdoiXIGOLjzouXcEt5XnEwFZoW
LMhg5rH1PolOmI/W65dR0Uc7G4j/TG9Ein22W/tQgy8YzNAZCUHuM0ZGtNeIJRNcawM0mo6E5yzQ
9rKXwpCQ3j22I4i2xr6ETrHQFT9MhR0QiP/AcwPqy75AJmOiqqtFBib7mOWruHJO1nPnHbOaNJwi
vlSY7IsxffbdU3hvTowYsXbOU5JdgCCwCOXO3Xrui9il0pWXGcOSO9fYJr5tYeZ0P0Tsm+dOPitW
FdNYLSbZz5wCBAGpjLWw/GFP+cpDJq12jMbKJMm+DTE6nKZejqfRcGgS0eXOQCjfxiMmsn7ixk1z
IqohXUFnptHdOZsoNJwmTV8DAaHz3hOfkvQi2b/YYnWR/TGqVnZZwDaKR+dCKmCdQ+VahpD1aK9A
uqLKzdjGnGT3nc6krg7DaWPVYbtubf3Espp9lsI+gk1qz3Vf2tuIUOasHUu1Ki1qSlPHd8++RVow
aIp9VXCU7uiZQbkcfr288ZaDoWWEZMimIgG+hYvYQHbxsYgunGzU9iSBV8PkccaV9OO1lL7g2oUA
Yyb+G+FVfkJNP8pMMQ9Mp+lSBzFNsqYUn+HobdDXuq80UQoHVrks8Bhyo1vcDR54j5i+X1BBRJUw
LWD0jsaaD7bqzcqjDbjOxVD3t65zx5OhN/VlbJ07HE008TIdllmRqZ0Vmz32YbfcmlXKlVoN1hHX
HV/J6jEU1MpcMZoNNmEiBIEuDgZqFPV1oG1GIAX/YEJ4lWwD4VMHOUeN3FnmKGGmbNm59U19MOKq
3IYhS6k3tiszN5h7ZemlKE5RG//1vmbvhsQ6mka7KMNI3vukC5dV+1X7yMtGVp7IuIKx9qKc5JpX
r82nt5eCxw2QepuBYldAKLT8JUqePhMG+yTHJTKbcLz4dDLQO2DK6rPUWnGGdUv9qNO/uejE3z6B
2llpacWrdOp4S2fe08eRPSTj4RntUsPZMcRSDQrDaDJhiTEa6/y0nmS9E782ffzXdkZwKJoWxsR/
f2wcLTgMYc44i30J9oJkldlNswsJshxpYwiZlbQvSmH7aE0YNBAuj7kziVMwynE7jU+7Qjfn8Dhd
4RJFRwzRpCs1E2NN5bxUEoXXbONuPij+pZWN7sHPm7uLQr0Ye6JLsXsoc6SJIP+IRGOd7I6aUStN
3J1XwAySpXhNK92Y11bsvvz34nck5qq5lVJbrCBXr/rU9LasGtqLHjxBPHmkfTeJMdOtkQM3w+i+
MLYcR5wX0EeCIK55tDLL+NDTzuSGa2nCC7xblwXFIQi8a+lMt9gw6XUUeToftGHAmSPV0q7b5qUb
cFU7PGeh410gZKx8UghbkjZ4MTD0gF+BEsDP2KchxosovqNj60tLRfTKerx9xSTMY8OBctY03iXO
SJkglYGEctWwxiW3gg9Tn0VVmS9mcx+CqMpnlFd9QizjLvbD6N6GPNiMSE8XtmNSJydFfMCIqC8i
BZzObS+jqUVX2E3x1deSzyxW5hpJ7ixT8GDWGzPJmkSNla1hluU37k2x4F3UVyVQJQ7QnXEHYcg0
uVTqZnEceS6jK19WzBjogb7n9Uv3RLp4gXfMlaD1RiJCjsDc39nQbbESt68B1nlqVZL6JFv1Vdme
dkyzbjhbA5MiaLXWDgIEEpgNKLMVlfepuWfCH68WzbVKkM5VRt2dpqjUHjhKcfyhRSMHUS42ZMVC
1RNLMk8LsJRE3oMpfEScgcBWIUUmabk16iI9hbQdmWlRzjQhD76Htp1nRroXdX6YSM5fTJfyuza6
Os6qJgTz4WLFKqX+z51s58APcUD1SI6FrjHL5WUmDU+cqERQJ6tU+ENNap4jDmG6FeWvBQpNU/Zi
Qz+yvyMUURz+g+Rih2hWOATcy38voqMtKkq2RJZNMomHWqBJtCIIyJFgjBtR2Y5YQ6eFjgOFo21K
B7S76UaZHhX53hXIMmsjwvEx4s1Z14qWypJTKRtV1vMiNBjOlOWFjPmmLWzzSH+FOk4mw7LQ4Dym
pyY9oDXaDmzYdNm1Tbgb7enA3gM6PPfijvJ5Jre5s4JHeG85U221zkhvhWOv7aIbEW4ZFBdwYnaV
KbGCyqewmdUnN55mKmy7tUs2YF0Z4zQvvdoGRfA3dbraSh0HSl/A+gEmZ+gL26X+u+4pL8wlx0ZR
2syd2C2vPT9TgKfhFoyDNXyXwGNKplWynoydY0trk5o97hXqFnHeNHO9SglA0bsKwfzsVz1ktKDe
MgXKr6Ydr1lDQxy4sjiPrjHOMsSXGbVfDVZnI7hRIbNv8WvOGR0FK1L2xkEmZjPPubY4yRJoVGbz
OuZU/LgpOB/mnc6pivXymlvWq8ra4BKJ8dEMwjpnZcc/cBikZE/p0hNMyCuVp9c6Sn8AiTk8Q8xo
U7UdKjSeE7wi1Ukry3dyb3JTyCI+oRqcnQCMso0atxJW39yaBuZTEIpgEVCvuk9VXu2p8dsODHLW
WpxoOydstZ31fCndgp3cMyKOJfwwWYl+8BAnm9CwdsLD59PZ4PzGWDvRw+md+H+A12BlhQOlAJ4j
T7Chyo2L17Q2hmb/34vOuXA/xThURMHNHefhipxSwgMHm1HBZOIIUMk69p0KSaagfJZOY7HdnvKN
ynFgJFnbXJuoJiDdw3eFcysShpfgSqyYjiYGkkRMm5tRh1zxmiyemanmluKJxn80MsTX3aXfmR5D
ajUmC0aD5SqfHIk4ruR2MMZLMiCc0IVHtju3x30FSGqjSvt1yrXkEOn9w/f0ap0EXFqZru6CsezB
Dqv/fzGef620djOVrbbJU5uHx3+hRy1AX3Sy7Fwz/geXMAcF5ny6TrvOi0vnSKIM/CxwSYs3ofSN
V+DJrRj6ofq4QMUbJptaC6zP938TBbWvZa5qpx245xRtCMUEEdkla23fMuT22Az5WUdTp2sYF4kO
2SWsOsUSUVA41YRvjWFsONfMh9j7o6mvnTd1FlMoD1Dh+U9QqTBnlum/+FGCEoZhBy+qL1oeINdY
Ou1RK5kAErTp50GggOo+A61DcYv69DEy3OQ05cxJRFBz3eLOIGk+czJssqNBh7DvrErN+3n60cw4
PmSp9+Hk/tl6xnS0IV2GJvnL3HLfQn1aEp4kvzSOFViE6aNty8OIJXwbohgh1ybLJOB2Gxj6zzou
mlOIVJDxsMKbMq+b4J0Q4FkaoOXNho2Oz06yXDaN2hih9dnRNdpW1hFhb1dThB6h37IXXI8VKpaw
9b/AaV4JVn1kTFlQNJ64B+3m2cV1EMbG68Ak00DZrhMdU3avq2XHNAk76R2icMDaSmBePkxPPwZj
f0OvRUK0f53SG7a+MopZkfac9YuQnCT2w6WZWfypy3Dqm59t92L31pfs0EKq0u+ooYTr5/aE2MLR
WgzmQY9b5Bx1BU+4bYBWKoACeDUPmh98dxN31JSRMKzo/+oRAWaqNHCpvNdV/Z3ESbfsFfFr3dty
h/oQw8MfA0SQSYXoWLjDWpkmG6vAvusBO6/B8c/S1859TwmZ4RUYHYyvyO4/ArRrjkSsAjxFdoCi
38KOwTteDL7AU22r0IxWuTf+ZIND/SQjnIVlUjudDTV7/aG7wNKaVizdZyuBKJjFhdh18WiCE4je
m4iUuohC9odVny/AauKFZeZK2k+/xnHxz7UipgKZe9EtO2Cgza4m5qgSiTB/nUQAIGZJ0Yb/woGR
ARVz1w+6oYaFHFoPurB4MBP1N0xwYxDI/iJM2uSpzHFJhSlH6FK1MBGcQzIQV++qmpIdYCthpn8W
zc422UH7fsGbg/rN3EdHhgfarLqACXjYvml+uxA8HaD6cbydQJa0tnlJM3/l6skvWg+hYmv8k0H9
RWiQxwEf5XzNGCt70ha6cxSw+Xt+gL4drJ0m1iiPG4uSWA4nHW4XeAT/0jB9VzARSJ3suQrnsXAx
yhps1SocUPl4p1HpdUQaKBnGtCVVpRyrjNB/M0bEoYpG65mcEevYxmX+ClDjFbjC3Mec2gsMT7gi
33ioM79AkBj/RCsP8CPupjlssWqtFfbS/z5FUHDWDjOAl9jnR/5bakxgCF3/BarajWCnHOnfcHrf
oE//JYa9ZlrKCTxnQtMSz6R3k9FQk8+LgLh/LexlHHqc6wAFGoqH4PTr1eWVGUsyVxZ1stm7Xo6f
4YRx2JD2h6Fr+8TUVtTybIfS+yhKA9BJBgzBTS8G2eIZdI9/wBDeDPq+U0cnuD9+W+wz2ZoaW7NL
4c4yYEp1CJ5TA7hOk99RYnxpbf9LIf2V3TAn1vLmcJhHTKNFPtOcjVTtZ+IMe1nFp1p59TxR2kdf
21tX+s7cUIp8jR/eSCRxzKIWXGTJqvb1Lz5f6/7jvPcPuM1VIrej1y/d8rlEw1aeNYF7hwxw4am8
dHpxKn2bZdNZJQ53KjgGhPtX6E+QP0x6nON9oqm7pWu/XpF9tkZ+AhmF7KdDO4rpA8TlWajvLM9u
MvgkULDHQHr3CvPXC7o3M9BWSdqQ+axPPhI7IuiWA+u2kgnnWEPACrGHj9iz/gJgBRx4q83URxvk
bbEIAnjbk97s1eA+zOaZcOagmVfAMBLOdROYyHnAlixM3DO39W/oM5IdzX4N2vfsnCZJwCEj2UdL
Gu2+zsRJH3ls5gwxthBuLtNOLmqoNu1UHBx2jLP/Pm1A17mQJV5ti9JEfJK/U/HSpbkNGKb8y4fx
Jw+3bqJXgOQJPHt2fWwBvMAU8+ejb3N8znam89pUlH+KpnzaVv+IGp/Z6lzpttfwYYsPKpGjOF9R
8nYCJfQOdQNPQruMnBHBJ2CuX61bSNRDaHPcFDhn2X9n26ho9mmukbVv1lHt7ydFy5GSF03tsjI7
cOCC04EgFrxX1YfmTQucvEvBmSyyrHNFeM2DrlrFzsFMugXdLGlhMOsf70bDCuLK/L1+aH17sgRz
lsgiy2MnewZcwdypOmQ6xiRFbmxzh6dSrupmppzko6GyZkqZDpTTL4k6BAMVBUuoPz/OZNxRKb+r
HED38DxbJ43+NDWiE9SkAQCJYG5y6SZnVYvTYMBfHNwySOeyACERNWuN2awzwntFvC1t2CsFAU2n
JjdvUb/Vt+lON9OvKGVZb+jgNsRNgdtFGMh1z5+5JUgJfPjXZ2sU71ImtA0Aogd5o3EWuc7X1G30
Kmrm0qT2p2IoPsNA9xUteXjFs6CXr7+x6Hf2AOYkGj98IU+wZpqZw/x56JkSmoLs10BijsKJBpNi
obOU/wdxmOeKkD29q4lqPmVW3cMq+rZGLAsSp1ZthK8ajWqDW/95tvslJpz3lb0QSXNnbnBx0+Jc
RfmbHZ4gt1EYG/Pf5F3iSX5g/DpXNvHf3D41onktSI40lccyGH0GRQftIdgnISg3Pb7GXDJty+nF
bOpXh8zMQhV3FfQXCzcnmcLbIG2y5N3ZMAm2+o28su35NoCrpE3JjT2+FhA9ZYDpbfgkQOkTHV6X
SfY5pWlFX/cg5nZWbSOQAWVCCbIzua/sme7oZDxfpMvjx+bM64nXxhzJk+m3GqONp00/KogvcTqt
YdN8upF+N3SIYChAVs2RChY8uz3RvYwTxyQ1fFSG4tpIvPf+JXLNW+mqX4mZaxZ2kvU1Xg+l/LHU
WQbRVvrZj/CxZ/Y1/auBP+4w7xOSydHIx4x9snBNKEyNP29ROjTD+OeoAfgZ+trMzYYvEcwL0X0g
k2AQdMzfvHzQY/jCOnVTqX5sFDeind3awX5MXvdAqvnUR7Gr9XFToHLPTAvNEkRpV4d/SqZsqoLk
pXNSNizPO6iSHzTrhiEqIzuSmZyGr8BQG7cDLJMb/kvggzYRfIexBs+3+Rw18BFCKz897dBJ3Gie
Ad7PDotzyvjAarR38tMw1An90woSzybbyjgLcCXTWLjXBczaNPwhIMCeUPthFP7SrA2n/oTqSjrJ
vRZcLRoPmEn4RCIqPMe4c1o7edMRJHuNJ46yMZf6nX92h/piAdauhmJrC+fDSG00K7e7BdJaGBS2
WDCgGFsZj9rira9gCxT0oD+LZ1nz7VkPOAeth1vSF9MSfZihBYF+ECMRMRKDYXd9RwD50lTzVZWE
96X4njCRwYz/azW22v2ES5zRxxpDJatVRX8LCsssHNK3zDV/okz96pp1FCwmw9ifKo7TXDTapYzU
HAwxEc24OBKAnFddsScbsjPb8t6Xw7evylUbka9zJmwNTc4vqGHDr5jNpiZqC06Ba5J1RwTja5gQ
XrZ8mg4nSB5IO+bU+PwznKZ++leVDhFBiamSw0XNk9xPs3e6q55N9GQuRdweki5ZV43O1pdudkFk
fY6MCjxQp8sd3T+tHDaksvhWKgNJLuSMAwi/8bja9i50uBIzNqOM4lnh8hPDbOoBK81GdF8wJBxp
Grv70e01LVxs0jT3L8FeM/Nybgxhwxdq/7lFyn0Zaeeo1xdB5nALg1iYifY3EJhEIFp/Me2D5OKW
m5pgV9YScdIN/9kyapP8IqGu6fzmLSqfnz50dBwNlEh8HTN+DILcIzl4cRud7i8w+Hcd6SAIFc56
6JthlkVBQTMo70yfWPsg+fZLPDTTc5l4fuXBbYnVaq99QFzUm9Rv4/05HWvThMGDvDgxr6pVzACJ
KPpmv8MgcRti0pbpQOa6SOWvVieokMNSw4c2k1X+7uYUaeX/GTcnMYvMmgrzKXjx2vKKoX7gDedL
9XiTUNvjRozP3/a3J4vT5Dlfrv1gpvDR0O3DfBWrno57RmpJgFVTkEWP4FyGJzU9XejinJApogkY
GnG7ER3DKtPBNai0Fh2fv+D88NJkHuSMox0Hww+eIcfQ92EjvvXMv3pjhWOOk0IZpFssBNEsC0Cy
w5N6yVkSAqu/akX9gLfMJTnYWDrepOZiNlpakf/qlQPe4dQ9aDyZSP7sjHx8gKhb9ezqswjMA0BK
U7X3cuJL62P3aHB+CAX/ONYhQkci/RgwqTcdmIcuey+0PKIIxJSzkYZMEtzcqUaxx7/xHShSnGnr
wUNjN9U1yWcS2EfL/ldEw6F1079ykFdi4u9t293iuLz4ity554Io3kAij5G9MKd25qUK09vY48XJ
CqJ9IxfFqB4ZmpzXPKIiOBns8H1rTSi19K2Lha/2WXKBaJKa/7IJF2vc3bCV/BMWxEAndE5OS/O7
In9InKVwGTQy2STRqhm4fDMqPbRoH03hi2HjDSzeZcClmauI9GYDJskNqFfnV0CyPGS7MuhzCIzY
Xjke1dMj9pIHeeXRv2l8943hXsFiRfjXmY76zqLAK4qvetGOLAej0zBbbxnW/YbAW+yoWwmDG5JW
8lOR5+dMBRAe2p05bmEB4gQHnkdGkz20/agd52Mw4lcyR7gHVbu1DeviRAx98JEBferd75Blp1MN
nnt4AmD7si/bbD67rueCSQ6NPRyn3j219rjR6U8izvvCm7mPYc+gpDXvcVDerKS5+PG2ljfNkme2
CD+GmwczErk8RzzzECd/1sRpJKg/lQP+vODKcEug0AxqE4gxYB/Oqs2/8gRjJLZFuq+rtW5ym6iM
No5AJ2ueSHWslWRJstDgjXoL0DBGPRo8zIIkcTsJUNC3w02V3wmcvFV5lD0TTHvT4LdQN7CH0khb
jQo4jmqqYkE1xRpDzdXIrKNbEEAoaeCr6vkYk4TBItOK9g0C5cPT1TmCU06CbM+g4jAMJYk7L/6H
dVSE+tLNHaQMe2uBOQ3xFo1BcSES+4l9kCKbcVl30UG04rV0xrX5jCNFGzHIwwQvzdPzNcmgWfzk
pvAlQ0phQmo3qbQkpmdcqLdy4vw+ENdkh7Kxh2w7kBqHaHtA3f+ISx54dcta5VzDgj926d5hN2PL
zMQZFwNBrbU5wx565OWkwQ60dtYQEhXCcOsRxe9T9TpUwzfmlr0yCCE09HqBmRpnThGeXFao0aok
6pbEIhIskhgLavO8hP0Ghl1PFlNgd59Pz5UKZjCrnn1L7JCOZslaOFh0jvTOn8CExZrNo0lEuLhH
ATOmVmpealUOKGJlSaBJlUTsR81laNYFIB4+mJxr8/8+mvc8ZS1v71fkagArvMuRDuW2YZpYkDrV
ntFaTIIkXq343RD11sWTM1rJV+XyIK3L9G8a9QfyEBiA7z52TnGf7ZRdvcBGWPfJLUjGjVE+B8lQ
Q3RvJ5vozlsYcIOZt9ZmEU8CuQ0d7dSM771I3mTqXDH2HUzdf4B9WkV+foqy5iv1GexoXfupe6QP
vdKbOxbqwTYoaBD1oPa1MvoXVNqLmfSfofBWefcciFWyXHghDuEOq0mIHBJKdgRB6Py0+cbKGvwS
9VUnN2a5q6d1edJaXOnNG/UD5azX9Pe4nTa54S2rNPwQuXlzUu1bGea/KBMXKy9fmuJJrWJ+Wutr
3xqdJXM6uhjsFVvc9eQMzazhpBsEerpxwpqoeb0L/5OGinkQmz+S3yot0d+m7lAkrF88S52odLtU
8W9e+2fQTxM6HrfoZJrvWAl7H/sCJqYeqkE/o6TeXw1A3OZFsh5Td4FUtSqcgcdBiRBOPIVhenVL
PIu1ArYUuGKSPyI6t317r8gccbCrL1nX0qf1QcDz3EfEY4dyl/rJElobtU2IruSEAAUUzZuFc5rk
OJCUAeMYbEmJDHHQhxjgXaqtmU5R/6Rpl0bUvxhC5iNngTpLdm7mrCzbf43M8UbNRXKL2/wQ+mJF
Ic8XvNBZ5zhbz/mo2voRUwSLQgO+QLO9RwSnqUjEX/HkYEiq7CjlKF9dfU945SOzeN6n2bdJhSbj
h2DXA5/AogT/2cJJ43PQHi75BfrKMZj0F5Ajb1UtTm5jXtr4w6OYxq+b/ZDn6IZMm0N9eIl4IlkW
j8yGYfc44SPnRHx3EfCTbPiJGaPMPD4rthOJGpNe02gihCviv6EvNpZdbmKPra3w3twmOnb1/1F3
HkmSK2123UvP8ZsDDjiAAXsQgUDIzEitJrBKBa01dsO1cGM8qG4jH9uMAw45Kct6oioF4OJ+954b
nHPG61qCNIKAZkjzy420u5nIkpFlN7y6HKPlc0waIbG0y5Ikv/Y4oqd+MrT4ER2k33z9dqBgs0Ra
dwXNDCj99Uts7Oa1URx0FhH1ZvotD+zrr3BnXmMIqXOv74d2QCqed4OFFqEeMMycMuOHbp+jlTfU
ECT3kgnrBNXRDKa7YiIXxq3JQlfdmhUgpJJCs01bTr/rREU6+VcNrwTkFYeqLGp8q2k7UCHkc+FJ
XmTy1Wv2c5KUf3pT3kTjsP4M/tSEQktgVyMOB11pAesbKwnuVTTQrDy3A6XSCUjAUDS/lq29LoRX
smryJ7BDgC4eERoewCa/A6oWdX7pUv01DlEtNU2+uVTFaOp1bNTV6PpnQE3lhjp4OJHByTZ6te/V
ymFzePLdqcnuivi7askNA4eaL7GeJOSJI79IM5q40UMYqMnfwqoJhc3T3m3s5hk73E8f4F3XCHRd
qqGjYqgsP5K1rKT6YT9gylebGMyVwoO/DONZYzrkc1hvYRVU9Ghracq53UqeloEAeDbCQdOjB6YH
la/ln1EfaodkGJhq2zb3IBBCZZo/TU5QHyYZbqu1vUQ0enOro5RvQ9CYXPuHJmr2TQzmKMt7YxfI
Q2Ly2Lg6tgAe2NPfX/I8M/7jI71zs10ZYJxq6D45sRvUpzHkzNnxqWyF2yzbMedt58Q42USVsJJP
tWdqkXY21l/wNtBqyF64lXOqtljS+nMzpcP570fom2DqDGrbpok6b63s7JP5YQKrObfVqvCFRjL7
BFP+6AbLkHA1353mmsyFXZ/DoarPQZYRpP/fv6+hE3lOBB2opaRPzdZdFAMCz4aL06fXUQ9eBagd
7NybgXEbxuMWsnO52BtJqUtL9mFJRm1jLCxUCluWSDBY6Sn+YNv+HrWQXr/pXZp5D/iXppq5n/Fv
L93VgmJOTgaXkItXC8mqi64BpB9LpukZgZFws8K0mE1yW2Zp4Au3vqSTeA3D6A9ZWZTYRrz0hvti
d8CiXOsRD1aGdYioriGK1xykI0NngpKGu3q9I/0maT8DABOe28Qp9zr1U5knvJLigBM3RRIAmQrP
jC6fT0uzp22JLXGT1L/kacRuzOU9jTqPAkpqrMN56uGgFPrW7Cif0ZOWdjFzB2J93Nqa5c9LVxP3
4KU1F+0bS90nD07L0aX08Yz0hy6qgHcMOpLRsB7bK9htNrPHQqrbha2Ek90nHvhHKPNvo4S6CN3q
Q9GPlM39E7lrDNqjgDpVsBFSeVgpzLfmxFUt0bHPM3pEPoqPjAC/2rq/czpGSHKc+u2uo35KYEWI
wK5CCrmnG5H5C3HehMgvZPP3quW9Xdk1MW30vKHIPgZSUiEesDXnJImOhgw/IXBnntKQQBf8P+TL
g3NA77UipO3//bnqoidz62QXvSoey3RBVjjBzHAghMAo6aLvyKVxbu60Q41Pf5GNH2jcRGGI4nil
ywdD1sac5wvlzi2zmWaqX1HRKaK70QLLJiGvX2o2T3JFnG2Ie+KvXAeEtrOzgvCJap5ho9vBSVjT
C+DFepO0iISx+1K06qkax3c9C54BtmQ7Qyv3Uce3b+k5A1L7vBeouQhVjKcjFBEt6D+a8MdZoBrq
bvJat4XtqQmr7cjJcBPTGui1oI8YOR3JraLMRcZ7Jk1OMNCqU7PYBrAfPK1p3jLBF1cRGu7fs3QG
A5qco7JCK2i731IbE08fhN8ZNYfIfKmI0oU3VOYpSJM2PLsdTZEjB1XNQ9vsPLv6SeAActMmcFLl
fC9R7eNA35kI51zW2BbrmlJepJGtIF1BEDEkfNRxjhbaTRAtd6p4TiLwc8vkBwOGMxrgCbLzXfDY
4HNPwMfBvzf4XTfiKc1gDFVB81WF6W6swzMwJHVK6x0X19dkHLj+gvXFBJQesfE96RiZtlQ6Tgmz
1ZTINuyfQ5IR9DLJeZSKYYoIct80ksSzF0n5V2QjqeIKPpZRdHHM5Ezq+bHNYaRDUoAPLbi/2RmT
udhm+IpnyAFoWbjlO/bNNbsfeBzQviq3+3KqHoGxLiA+TWdGghrMJqQfxzYPiVEeR3JZYDqZw6OL
d0y01ykACzdZGKwMZKjkF1F7uh1toFc0w2JxmdzFHzrhI5hQ42C5JDDaokELuNHmAgYMpsp37Bdb
JfX4WfbvRLrbw7Ke4LFB7RNqhHZRBm0LDWgHXDg9Ge7yZZeJ8JOpWLb0YMWeiStj2LSzDH2nvQOc
w3Q6yahg4qjhabhlODTnoGCwTbhUp2wxOrX+hJF3kxY1rahdHt6i7WHJskNqE9wSc3cI2VD2y96I
l+Roa9Fzu5TmTZYIsp9CnjGosX7map+TM9lNNcUP5soAmRDZdnP/V7xwgDKK1NPD+VOL0uF9Lg9N
W0BmYywrS8UeQP/CQUvnac2tvNAHm1Oda85n6Pf6uSyKj5kR71n11leS1DhiNe50g43rOjxQGt9u
e8MgSeoE4d6V1EnnGZsqu570KkGLqoh7uq0LvVj7cQqqJo0cRTTHCLr+Vo2J7qlO3f/bWjD0n11H
/9mBQ/nRP0uU/stv/33/U97+yX/a/1qg9M//59//v6taMunK+r9XLT0vnz9p3Hb/47//nwVN6//1
H0VLtvwXWrNhC0c3XMdBS/tfRUvWv6BhKXrSLZ1/7Tr/KFqy/qXwy7jCsImYukrQWQ4Ou4v+279J
+19rIZIBzkqtzTPq/6loifnwWlb/z/IipWxpK0sHeOnyVzlrd9g/en5UVuLZJNJEXIyWlEwbTymE
mNKkP1QOKdOQgVRpHNrltnZqiXuIJZWgUeZHRN+YQxeHMp1C6i37fsPtq8FL30J4CF1cgWpGIELR
uMWDqhWMksoYiz0CG4TkKSYlFBUQnqZTJkAhUctR0WRTv0aWOe0JaiLjBnPnuQ7bHp1KwCgKcJOG
8ace1nl3kgzkzLJdMFJzThWzBjglussIOXEjngmKxvJehpgm+mV1wCKISVsXTAyhOrtBDmgpTINr
jnrjpNYFcgu2vuLQde8GRkyCJDFnV9lS76cV0bZzp8ArJIycrAx+XDYaXjl3PndliOWg+4qbKXvg
OpjuR8nFTLei6qa3xg+n08N9HHX9WeII4dZ0Jng+cUMZTnEizDPXDdcvI4eBQzIA1YHcKMQpCJzp
FJwMK78U0g1v67IiQW+1CkclLfRD+FlIIZ+rmjyxrhggCgBwpN1BO7UpXZQgY+sPvZH3WGvPiWnL
S9NAA7cHdhUUSmUV0c9CkapF2/uXjqRh8/CyUerZbRWDqyYNzXS13MS5CA4KZNmOREayT8oqIurV
bmkDKN+cAb28E9Q50PNTvhkNISDy82QXSulcRE4Lh2zWfgTtcXErCFvwx84UKWK/AHUCNyDIjeSG
KXm7013SkWo2qovAquVqWbDJYEEdE6mQ0JvoPH5wZut3WZN3XjcsimmP5rCvMc6rKj6heI7ugrrO
n0atpMiz0xAexABpv67uxglYHN6HjxJaDMFWNl5rNupd+1DVdKEnHHcb19EOaWMxJkOvfKjMpvFx
wmVke0OipvX86MjsV1bTpyGyYxK20W2ZxOGh0raycsQhbNJkP0wLjDTywJjyNrUJGi+lG7Hv+XIT
srXTKMZ7a2GzGNPybmGD8a1BZmxlo/7Q1czzZoQwbIU0RVbMpdoeOaUtGeNgyiNQXFqbnmYc2vLC
jVYtD0mW6w9tOZwozrF8wjqOl0Tqe7TIz7YMGu8DRDpbMOEJ8lZw0UZnmpdAkakIDsHYvDdC00/A
exjxMUekWPRkGJSF56PNoRDyPm2bPCojPSqGE137HH82WCx6N6JV4EQxLpvKerE6Z9eHRCeLovya
5/kmTr+KcZK7bsLSNbnDvgsDrtzgigeI2yuLVu+ZTKep+Abs6Tc6KwhizZrwqfdyLvRXQxGF6KCY
hkEJscDOUl+Vki2TiVst5dEl83Iea3JCVZhleysXL2U3PxkaMKJktp7oekxv4a0uiCCM/0Iruy4E
1M94U1sfxE7Qk9scZcyQkfS7jAJzb9twGCtpnNzB9DkFD5csfc4tF4U5TM4z8WV/dUJR8VTWzk7X
Sbd1af5Mjt7FoYli7MPNiS8GiZBRaR424AWzqXVsaMdNbaf/GEpuN86YonMbX8IoQPXSAbwlCTLV
ofW2BO3ixc9MlcoXwXk7wGww9qO1H0vGqK3VoYeq6I/sqYDVOwpfSpVhhRr0Go7D/AeP73JwzBiz
2nJlBWl3Vuk4MNNCElxReROU9U0zAvxu/gZZAd07iHP7IONtF4VggiubGecqBWl17+ctujAGWHuj
V8s5E1y78eYRmDeT9qiTLtrkCQ1di0yMXZMN83ZpEAcwWG56K3hMym8cefyxdbyhERJPoqHdKBdK
3rQdB/kx6/k9Iv1PoywS4GiYmuXO+56RJiLMllAdUzxLNd4UZ6ZXc6yyCnM17thM4IuAMeWCt87Q
zEfZiqs5onkOi3YkM/ziZi6UFFcR8cARbEZgs42S8yNpL4zSAxePJnjOPxDm1042KjOWCEXYZWK6
12LtI2RAhu3QeqhK5lhppZEUjzlp8Rrbh4ky4RqlP5gsm4ewAieyJuDnKuuP0UwyEsvfOnBnWqvC
WT262tlUbfCZMethKsiyk4BGtQgYEBwb5+zJ6sTZTqAZDXx7Kqcwd6OcjlT7sFRrwTXs1tvUYge7
1q4Rz0gnbZnWfgtA1AidqG+g6T6IDd91kfMBEoV7oGAXrvUKekee3wYGDstc3QWd1J9CyWLlRsws
gS9+GWk6vLGf9RzH42pf2NXyCFnuMoQGpc6Mx/AiUKgaEioj5DpBB9Ueo+YwORCpANFS0wGPbXSZ
BiQVw9s5y2nJrdVbbcGHZUJPU4B2x93wrKbwKTGcFQtIKjOQA29cw/jPAhPdKXOHNZ5XoOfSuyma
rtmZrUtIK2n3pmlOjGLNF83A1txoOHKHynBBx4FQxT7AziRNEL9SkSKoIr+xYvhlcXZCOmNPzXd6
wBia8y5YbMZQG5P+h9OkdwmTWqPYm3p3B0r+lKaZfYpbhN6Y1mk9AOO9AFRaGpk8Un9NTJXSAvMh
jUpEeb7vTcjMaBmCp3HQcFIBUxwT1KNkSn6Zl+tn0Qn9PmDya9e8+1r5kWpxcqa1+nuKAFBPmJ+2
8eg8ubMjqCzPv9g7am7B2BgypkpWYhanHturUkSxB4GI0/O35okBDkmjEhu6RXS2WcyDznJ2tVCX
QjEHHlsCpVZAhH609fVLr7dzkP26kc0OZc/3gBviQ57yQI15NCD7xOGlpCFqroIBOgjszIZPI8kb
jSNeiBNOwk/PUT+ZAJzIfn2RblnvMAyH1ixN29tbg8zsmUq65TLAJr+oj0Z1+k0PzW1M45LIh7wv
bUJqxHQ1jyxZbfSvFT9ofyinVUcqboSm9btRtdWOhu2LhYOgIKWuT4yYWvzCjZOB8gvy3jd69qJ0
bRgvBH7uErMW6pdpQiqo3uhHAd42UQpHJrs9k/e3PdBtBxrZaB2fjD+tBPgzBeYRMyHNb3Fv7uDh
euVvRq/MzsFD40fzchwM5kBBD77Kaj6zpLklw2H7fF+/ZR68NhQ2H4r+UdaT7sER+xUjqIdsoCkF
vuI260N3N4TxcXaluYf5e5plMHl2hz8N8gxUx3Ii00rnMV5RuOU1oLYjU+wvB4ddWwX5ziJDvI20
nu6z9ialaHVj42DpLUyLJnOzJDq4yqzIsNXtrrcQc8KeXhBbU7sOXJWRcRZyYQSgtkvW7Nx9iu07
rpw5nS4sYIG1SrVlgpoY4VH8++ePczB7Lq4urcB2qFxAW/DvvCyTR0N0xpsTLcV2KOx3Tjb2To3p
ugGRZW7MtWxcwNfWJrYLOQKZCZhqTryPAJqzfJuXAXtiJp/yP0DEWL47lg0ngBhQWMJf0rrwHCQj
A8bVPbkG5oQOdOrBSa+tnVuQZnroGgorDChJAZ2daL9p416N9Po5mYNgM3MzIPHVJniamGibs35m
Ur3VegcTs6wDqAILftLPpXKaLRsEK8PIimGDnjBR1GmxwekZJQV11bX2FsH0CUftpZ9yj1iBN1Jc
d24oSvMGPICMF2V6revGJTRTHepaMm5rzC/0Fzqi4gniY4utorOi6VCXo77vU+ttaNGsC3BV2wIV
djPPce+XlhpPgtOQCGsDHPAU7+I8QxS3520tiNdT/VzdJFF/MBdnuBWp4YFwebCJHW0Yz85bOXQP
1I+xYWG1qw5LC6TZmDly2LZGHmKOYFYwchAdFesJoA2OXvltY/bLOZ5wsyeJTiYQXCwkXdU6DKGk
M4NHw19oVZCnBI5UhYF7xh7tDs1woAijvXEVe0+B5Ygoeh5sSzPCPFqxTjAuy+k3oPal1u2z00EL
MrQOR4HBTIY0dLvLhSX3ffFtzIl1+/eXbsSWVUxnJwxsEGRf8dBMN4mIcFIW41OZuPeF1Osr6ltz
/ftRo+vRPoo7cm8AE0N8Ndew/C6jFmJQp9MPNcGoR0vnlqloKhq6TcVJhNG4a/nA3/DoWVZ2cDpo
lKWeWfsJbx5OtOSS01tPdZo88/rDj8/JHVB9onZ6mz/XEd6t0qzAQ2ksDqxA7+6Q5de6Ka6iLqhU
w5ALTdbYdwiQPFF9tOvpJTbgwSDJHB113wKGP0GYp9IMV6Sq3OsUqwNMA+Kosj7rUjs6U+Tg5nR7
hkDuBudetU8dPFgBbIgZTIwvULk8XuVXHUPPsRDBfVm532j65q6lMIrLci/gGtKjWjsR5OzQhxKu
7aO6Mnguy/vIKS2PXNV7AEa963Fyl/0SbenxA/JmhLFnLfYbISWQDTOMRkPSO2A3OztFRO1JDJCv
Xjfr4S0lqQyeh2aHeqCugTEaR/cEfpNDl6IZUMFU/4G7Bb+myL8TxmvbIrSAlfUIXQNWJt1NW14s
Oh/rbvCikSaMItf9lLkJyHbdy6GMe5iPCB5oh24q0zNNwUfL0oZjwMGKMwTafir0B7xCOJcQqduJ
K7BbPWH0am/zbJNq2C07oMxMcBYd5TZILzI1fxkuhXsljFOWoI6DnnNXYvehWPQWb1K42lNb6vkS
5VnxiKRZ8MLDctRgCXH8DOyFUTGArPkrU+GwT2PIt4qXetfZgXVoQPUNZrGrezGCXY0fhSn0babX
fqej89t5HF/ziiqwvs3fkiq0ztSToa8zajZHwRVmis5YqH0ozeDdTMac9fSUiH68DTCNMOTlAqDP
siB48ZpkCb1iGI/8mQba4PYvD6VPpXG7dgn74ZB7NaWRbJymvcWTa7F+vRGleg66IHrtm9zT8EbS
0yEfChNku7P0D02MfyI2dUVtO4amwHWeHKRQzDQkaWcszJ7pij9htnhK5/xf6VXjw4M5WyF44TgZ
9x2B+ludgA6CLyc+N3bIb+PVu1ngg/L2g8/rXED0TWDcJRK3mVO8dIIIGKAMQqNaw8Mgqg9aE14d
55XgHHmeNnrP1VvZmsByQUnmFb7hksTYOM0kxuIBqYaE0SKdJ/o8NzQN3TZhW1w1Z9/3tG/HdW6t
7tRn3Avy0PVZc9ETTtlT/tKHrLWM3FB4WAYw4LXZY2lLiCth23iA29hAOzuEAVgTKNLoO0vd7kHU
znRfHFFpEYDq6eCkunPQxB1IQUjHKgNKRPRn0od020vBgDhU3xYWbK+YHd1rgvWpskE7OeZSPb+N
Q4XBttQPTpndQU675KqPz64QUOe0+S6hYqV3dQ4Kev1lsrajS0V/KIY2diFG9a530LW6TPoONuO8
ErMX34ZRb3npomG9d4zHWRJgHJ2j2WNwj0YmZWFj/zL720qCG3tEGt82Bhf5J6WNsiYuZBrvkNQn
JLQaccDgYGdB2vMXNYzeFH42cUY+Dz6Ip3ecq6LKvZiiuhh1fg1lReVPynGEPcQLHG6bnUuKzZaV
ZF5Le4DDnr7thhAxv5qPJNuProKMmxEr27QQX8nigbWfSc4bjBb6jBNG7urNo2M1RNxbhrjWVN9z
KrQZDY4up3rtM0aQOrX1fO8k+q3dyuEuAS5hOVzy1mSGjTpwXaLhMS5uNLuLD2g49a7Xgm5vTuax
t0NEMplf+6k4M2BJG3ut/uOKGdoXtchHLV3aKylxIIIDhVYsi3uqDA7OUNymk0PNzLyw1yIabBfZ
nvvYpHogC1lGb+3QfetDBYdYOH6QBg5Dct05/f0ogOCuz8wy7HrghW+Kz4wUzfpjWZgNb7si+Eyx
8dDehteQ1sgXO+gWH+i5JzrYUgtqA2ue+lKKUxAcMSCsMylhxh07rop7x4QJEIbYOBmejKDyPKZl
AqMWLw+gs8kHN4rHY34aFmQbPUbcwWSUB8tVp6DtRAeiwlqf0V4F3XgcDW8asQDYp6gf+reMWZRW
BS5KiT4daQowwVvytC+W7s3xdJ5GMhb6ygQSWrS3sZlmGfeMaOGMSukYnPKVN5avdYrtTEyF0sPR
AghlRhH4F5Nm29oYX9NFmr4N0Ud1Fjwj5oU7yTmftVN0GEuvGs1M3izTai9IVNpzYUHvH55zs512
rKbGdrCmeL3pEVfGlG/Er7gZ1nRWv6M/6NaFSrTtOK6C4N6wLzOZCqdpd8CB77rRJ9SmiSCuVZ8F
rFGzeQTyGWzTmF2MNoYn02LtjqruUgNLLZLxm/Bf41fAAlwTG1ulgWE0l3y+GPJaTsbo6Y2ucOIO
y72eypEEcvVWDgVd9tPgUy/rMBxbfg25ljcxTDwA82QLezdaM9yDyKOMyaEJMDCJZhmYUsooxjSu
hdg/R7mnrGYBeR1xniNySHNlZRafVEA94v3KdxRVFbSeJoC3pXUj2mTxO+ppsZfAt0tpMevy89Rh
S9R09Mgoyn0CICOepLK7BORxXdbOYjbJmmNA3mUBI1AKU/tToYFkdMxTVM4K72lbbWw1TPe0/qR7
+sZYfWKkwjCsKSFJqA7F7/VLE5i+TVRI26TLYJsFiINnbfKo1t1yGtuw3ZMzuiCuoIck/c/QWa2n
gMVRl4Zv1mqRn9PIeQ/SYTmnKxq2L6ybmMynS90g5wvjpaJz87IE9pH/trqJ/xTWCq0e5GsET/8M
kMubkvCrWrgkcICPfBwkD50RDcdI6RX+/IrWpCoGSKeFwkvb1ZgYUS2otQhHlqT6tiJpGS+cqCG/
f0fG8lNb9GQprTrSJYV0ik++EA6thJLrR9sO1yYKfiujHMH/IEWF1epq18d+I+tDo3VgvWaClmJF
GpjokOse7CUjvHXw/BpNPgt1c6oCaTxko281yMiRaf0alvyqOGtyl+xvODOMDCfxdcYUjHIgGV6k
ualA/9/Y+pEEyuyZTP7xyybLfbAazOt52WVWbO05yu7HmS6EouUFKxSZd2iZhwmwdGlIcZsztLQD
+9N1n8dUQXEwfLPoauCGiwkhNXoLVdYeQYG/xt20jSSmkQEMrUI9DrNRP1rNDirHJ+v+H5xuvGnw
AqrQgYXbSpcA3QrZ2SRBAtmxczGnOnZ/iax76iDeCqRf04w5RMrm/ayA4+8ENWKKB/KS4vOdGzK/
ggN+Rsp11WAzqoOoZ55RngjxMgsn6LSROpDEwrLbJzkDUE5s8zmogWtnmXVxjEDRyazjG1oAGjRa
7C3O+LSM0bNZ+XOGft9YNNEDYDrAdNk2Ov6LUAFntJOPear+LBVXOYLik2eUJmcC+PSpPd1Hczkd
u3okhhXE+xbq3DYLO7rnxfNUpaTBkuhs1AQkbfVg4R65DbnQx6BHD8rIDTTb8aMvEDkAmlGlMK8U
DRz+LETsNi6Pjwutm9f6J6l0RJLxu82q0hfLYRjiVyVYI3UtgkNbdOXBSVBUGm2gFFWQ9Ag4KgRw
9kBDUFOl0ZuUzQ4sKLf7pEihb5b5Rp8IsfF2EBjeWtNEN1hkAshhwrc16FCqO3qmCqR71mVOlvSk
/mJqWfa2WzwtVWwfc32O9nrQcJJsKalRTb/lMPlbxOwiLcoMRph09iIqZbYFN5ygKbpzPzYf9tCc
6sFgGIXGu01BhXgaMfKEMf/kRDRRM63GMHSZR+g7mXgNRPnY8nOj6NJnSP6Yp5EfYW+C/nAJGEwh
MQO2tpX+KI3I4XDfsK1ObOMm20ILihxtRY7kd/Ojs3rO3QqzgcC74nIuPOrV2jxOn8sWcaKhFAd3
NE1F1IA6lKnDR3M6LwzfS9dsvAUfEcaKAL9CuB9j7Y1XzJPufVnq1IR2hzpqJt/h8gJ9XKydawks
Hy/At+gb6x1qSEmkdiA4ZgcGV+d+uFkxghnmRDcx22yr5JWJjNisVXwVkyEu9DQOJZ2Fa4ofNpfw
73zg0yky5WlxwJs3JMfUnIkXlNqjHY2vziwJjtYfC9S7mC5fLsPpZWrqU+Jmf3p4wUB7KEVSiDzb
iebmMpknEJkeMMTHiCGEQYnuBjkuHBxE17UPpB0giDp8wVRZuIrZakjFS2QmfNRSib7wI+wl8CLQ
rLgHsWMGfYQhisCSnEfpC5tSjtgNX2ZQGlvZYMgS1t4O3OJQEUAxsYBvNDDEt1mIo8wduKCYgriX
3RS7iQYGP2z6Z93pIPwGlnFeSGhfopqRXfuTaaA+suhBCPYVSXh6Kw1Z7ic8pdUcG3h3c28Q5VXP
BlJmjc6hs03Uhm3rhDuIAHwPtMd19Jt6nfiaCUiuyJ0O/O3AeVJ+sosAaUnh6tFQ2Vtfk7fTow7M
qZnB4q/TA0NsdW4X9TxQq8ZK1BuIiMmnmZ7s3PmwXee3yCz4CJ2pEVTKN4B3rkPXAF0XRxP6LsNU
9aTkfFWChuuwN70kIIkpAjlvHdOw6DBAZ5rzXLE1yZ8Rs88mYVPda0p9TTFfcCHr2w5dI8Jvyc3U
utWMkF3QYiyMpJhYseYvfB4+ARegdEnzgflseMqQi6o8R6WKoSqE4fr8NFp1gRBxJ7SqPw9vg9FQ
H1pWOsT8gQ2fCNHBZSTIWOq5o6d7Zzk8NeRMn4DDvFmC2wTZa3x5OdGcjKLsTWHnTywc96y6x7Sb
ljX+thZMGn+QfYm0i/lDZENJY5/2wtwKIg69WmbRMLSm1rEiozbXro61GNBomtKTAKbpaqnq3a7q
V4cmIDOZ+w0jXO00tK3cqBjkXhFRGJgr41T0V8M1D+RQ2f3dhWAhVec15V888X2yC3Vk6Lr8dnFq
kUUmMjSq6Kg1FQw/IM8885iMPKelgkK33FcaSyQpNQqY0JUZCvQPjo34HgN0n9trptY6wLjaFdSM
ANrzC4uu+GWkxKwFDaoaATmpTW4jo+LbEtPKOwAAbHunxO7zrtHkBwgLkIxV6jdHgRljp5sWgWI9
fcU9Up4WFLNjnjufxd8YhQNsSwGgtkg9wuCwLpkZfE5U3uwa6SZ4neAtcFp1XFy9RK5kFz12BeE1
UQuHcTc2K0IUkwQBZUlItFzetUY/hEtz49h0Z9N0xKQS2nhmvhWWi3vYeG7MwO8auexNWoDH0BOB
hhsdOoW5RCth61mtY35I9zJI15AI4pcZUuaVtYQbnKXxqkl7QyopkVCPXGCzQ+82dxrWfo4c0X3S
EqbVOLGLXZ8722IuEbsjmzs/36GSPPUYpDzeSS128CRNr0vdq7Tr157jpVNZN3PkmHx5te25rEY6
Lr8L7GDu1qyZ9qwXD8w1sJ4zujVK5FpXuIDO8u4+tVEYw3mpvIxKWjhIFH9UOVi+jCjYmHbHwMZw
zh9+AGv3lCzjl0ThXuK19Ne8qYvmkdwgN48oy+hbMAovlfNBvAgFUrLne7aWkReA8QAwGKZ5DSpy
Sjk9TAPXKhMvJmMv3gRDARSQlXsyHEK3U2GoLbbecUx2cMnwEtIl1Qnk+l6o96SxqlOYNDewMx1G
aka8o1gchGyXPGhhDotqIjsWdRIXgQSECe9M0t+3xAfVQCzox8E92H19sse+Pie1/UHG09zjvdxo
+TobdrSAYWgOTXnUf3kg19DqN2knimlmBkDkPMQdVY8PI6iJjTTDy8J1khLA+LyaWzAtPMFn4VTS
pNsldH2Ij9Yt5LGyoAmmYllKBhgE3L+J0Y8TgEY08E5DJqqwT6EUwFYrNTuHhoWzxJheCJiPJUTx
SfnpbD0r4KPMSQkz1aQT973DUVpY9rkEpoC2DPBMBLdYB7ho1e17TiV855Sxl7eUs5MQuwsrnWok
ZhH5wk/ZDFY8BObRDUvwjc2GkbA1n4gixJus1TIm3OU2mTsL9iakZFy3LHqlsdUqRi0jktg5wD7O
H4OlJhJU+SVtfeULvIs44J5t6ymqfoyh+ewiUsBtT1akry55q1MiFRJpi4eKNhbCekXW1+AVc3LW
CxE8xnlkWcNrREXTKKjaHbibbFM1vMyptU919CVZmgQf7eKN6mTEJgwhxA249fBol8KgvBo0UtG3
3Bkp3bDTYQ8oiF4bihaRU91NagUfi8F/rUG9hHz5oOQUnGs5Uf71w0EQVyx6zMZQu6GEgab1AW4T
56SnzjvGnfJUacNNbdZY2fnHuzqHJTHYrAVGzn1Ha8WOt2AmokwZS00Uc35HEr0p4on2UPC428oY
7mQ2msfapS/ATc8IgbAXKqykyWxX7HzFSWnqajXizrVbyjzbjKJKVvcQA9up0oGZpek2ourkVQcK
H9fWHiPU/yTrzJYbVbYt+kVE0JO8qpeQLLmtKr8Q5XKZpO+S9uvvQD737h3nviiErc4Ywcq15hyT
ZQ949Dq0LyPRMl3jHKU/xJss9otdXRaPoCBvJEwbROXq6wQ1FzvdKam1ZhdB6iBZEegxhoE2kJHF
HLo3aW9MQT+11obD5W+KTgoLK8qw5s1PtN8iRqoTmzXEHoF8ZXK7r7qtxZoYqpeCcMEVRqMMScCC
z6XrllUQqjSvfwfJuoVh+JErFpuzS3fHGZhC6foi1LZ+9LQIzlnrMCeQXMGJI1Y0bQbLQFoWeSeQ
UMtEPl0gpA20wflX5ouDE7uIr3JkqkjlY2TmNN7Hi0H/mrySRaxVeTDL0AG6GxkVXOLaOlDwplLc
UT/B49yMOPqthf0pcuAGJR0cinmgM9oyM2AyQ/WCM3cFOvO1qGkXuT7Kr16hpcP8DJ2/3ICk5hQR
pv6GCJSDo7mU/KhH1jPfY9vdpgmXBY9ekYlA7IAB7SflE/lRdXcEIYvaD9JPJMalONUK8i/Nd+Ub
h2aA8V9cbS0czrnepQuc9k2OUx4knf6jjb1fetUC2/olybHYWoXxl8PrxbS7s6bj42/qJWCGuqXQ
2189kcprZY03ZFVr3ymZKiq/23jR+GUM6W9d+a8OAQYrUkAWIRVFaVQ663AEcJPrlnmBWk3ciHlL
k8nYtgPRHg4KaSrP/GES+WfTf0Uin5iKZnKXkmlh1niePGMNFyEjTPMtLmn/RHI2Werwz5OMcjeQ
05+jPozfGrgzqyGGi1zNMxe61ierVlvxYsmOpT9c9qV5VNYgoDIzvpRGI/fOohHXix40rkpvKu5u
MkTpTu7cu3BNDmsylYuZJsbgmGtfW1zZCPfXbSPyXYtkbgzD9iTg6a3GzN+7i7Jb7+QqHkpIMK6x
tyLQrI2TH7t+NjZ92D4X8BT39tZoG/fZsk0eUTI00B8cMTMhGAkpo9kUcGE4EB0pdsUAuW4YjYFa
7KfPcmnRC8rYXTj1qeS7XDF0Ep1/U+I9CWlf5VWYbsjUmTCM2fpDq0i0yFyww0k+1IudB3dgo7Ym
io+bZ7VHJcjJyL1LSNbUg2Meoqr40jMClLNoemX11G0F5P51pQHeJo8VhhlLNEpQHNbMddEKXJEH
BV1eVTusV4ySQjRK3NGNvj7WJlCZfnaHFU1L5sgsBwLBJCFnvrSqy448cZlaJ8bet8GiMRsriO0T
LrEQrGSVones0XGV5uLb9cmijzL7UR1wbci1dMiohB6niPyO0ewI9PbOMmWRevdHQKHYkFP2ljd6
w6qMNQlDqXE76ZRBdvjlA+FZj3USVJFKt1hxjL2ZLHZogL80qI1PCzQosizWWUMMKrxaLMaU7VFk
BOE8fY1NoGH8CIip3Oj6nAeDPu9MEzZDMxqwIeLkYnUNSAUzJMm0CP/MMMLhtJt8C5AAXcxeP8IH
a8Z87xFhth7wF65Y1ZI+HQ3mA/NcRKDMBWSPWX5BrpRli+vGQIdXDQ8Usigb4kIdMixxe1Y8n7Y/
vXbTzGkdeZTIk1+hjI29Jl5z0S9nzrj56KA0KK7wXNnja7RY1Kdmx7IEDtho+CeYLNUzkGZNSZ/J
m8Qr1dLoUKReZwY9GM1lLaYhxgAxyWiwJKltdLH3mKpGXeOSittE45+YACWCN5kkNwp+ZxxdGuV9
ujqCpdIXhCw+z57qXiacFZHlH6LYlU/L6qvvx35tewW9l5hINqWnV5wccNXH7I/ZMWlxuBJ1WhPv
08EjCdHD6qt3S6VZoF2b0lZfRSkrgLwlp77NFgc2fIy545jqu2lcZX30CXrilWIHJO4iVsXqiGUm
InAanfUCXB2rOtyh16DlT0p0Ge5jINerrjL2cdZMQWj5f5papNsW75bbDOcooWcCggK4QD91GyeJ
rrPA3zbm4fNU2+POY5JvJ9BBmT9Mi41F1xdRc94FYeXz3+cHsc8QF4fHyvSgsysEVkDGIBy4pG4e
Yu+xmqpq3YnqzS8wuMCq7RhmJthkmBLmxaZJmpOhR79mQrRoNXotst6kPfmhvW7xYTFwGj47lqnr
MGmy9362NrKFPTPFWsMqi97ChNnw0DsOlJIojD5GzBm8wlY4qfMw9eUex4e79izgym3xVnc5VpTE
+9GSt4sSckX24CsY4Iohk1zjbcwPxJBRmiMGEBrvyZg51rKXSMYz6hHKRANnyYraepsO5S/ho3Vv
ZxKQWv+NQOSIage480SIDvKmAXm0wNcokm4Lk8Ji2NuVnDf0vT/J7pwXOGJCBG77lOkhawfaQpmi
GHG6T+3OEePrerRbNEW4/bSVnzwD1u8AmFq/EBpe5sZNTxhl8DRdyTyP3p0+/NkbqKNHqZ3zurfA
EMyseOxz5EOxtW2u6E06QK2I51syd85TG3HWpy2OthDFOd138wA7aI2vEKle1KOc86eTnYXBILT2
h1H8rWZn2A46DenKrYI8Fd12XlI4hhAnsHMzX8hCQqPV/E0I8llVHRV2WTevVegQ++LzXVCGHkx8
B7ZgZKi9DJKXo/ERW5pOIg9ItkIIBOCG8afWYOFXQxwypSzw0WQkZ3RxvFHxRY8AVAyqYNrbOm89
F2Nesnyn51o8S1JFMinaVzNY4qpVOYOKLfzHClZ/VjOoJfgJT5iaf7lFjjQ6m6n8e8Cs4dQe+kr7
QFnzu5jnR/h8RdCPf5MYRxRMKoz9y2R9zuXBL3MH5dlPzc1eJ5v2HtlrbRpZD32UPssyZuLbmfrJ
h4NN8DjjDdFDXMXoyBIUvmNdPfUtxw18q2nbQB+qq+k5Kqatptv13phSou5oJJDwxjK2Iz0zMy42
a9rtUI5i16j6C8TkTqDOeknnUa44l9HGHW4mSQ9MMeNFbasuxA4+Dw6SkLHzWTGm4V4Xg0t30YII
l4GItasXd0TwoonyNbFmMLx4K6s+qQ8wrQmMSWaWVYXcuWKaF6dSy1rEm16zBSiU/3WIwAA+oD5s
Df0xwXW/mTq223Ju3b2vG+8KtuRcq+wkDf9K/ZedcV+uGLGin05Bz/S2uIW+ch7FchMS6bLkh5It
jNJaxOFWAEfSoWFvTUfqu2F2XqJkJlE3BeZVDER7JagsSCwHCOLYPzpLO0QTrBBH09bS8/Brayrc
h45mrdJzTzmzDwcvX6vZeyCrDGRMkjVvJq3hvQs9hSiHCGlaCpnJHrVuBcmvhihT/k3JN0FhgIgW
kyC1pb+Cc3izXLvdGKQC0Hf7YLjZbvsWNb/PkHWl1WbOuiWkDrPzQ9l6Yq0lC+XO6d98ztEbvD7T
WS8c8sFy8tV0M/9tyg4VOHUG+FyDsyfXn8LjagMZJFnrWkjGT0bTbtRRY1G0FYc2rD9IAHfIVKd/
47aPWgTy1XXi8TCMTXQxiCAYO4QXosIwAzj/uXONs93jYChRoggMIRcH8VrKN8socp0uF5kKjYQi
OXbVLdEKAFqq0I99gUiLIQBKc7nF+fKGrExnsTihNaS4mEVs/7KM6cXtOaJUm+XHVEOiG1HPNHEe
qBTwiyoQPGMtegJFS2YDQFG8PaRtzGzNUj00CF82xnIFaxbULPNiFv/NJqchElTEDQDUbLZmhh1a
yW0Slq+Qp+d93a2rSL53VuvsNQIAs9n/sDhykMfoSEtEA67QcL7a1njT/b/CZFpjuOU2R82xsok1
Yaaf/+4mjRgKTT9GgHBMRRiBXTkvZc0MPl36mJP0YWJ4Gt8fmV27WF+7ttS3phjCPTUD117Yc06L
1jNxvXCXY6/c5z2qZbd6LvNh41lmddKQ8GwiLbnoFX+kY3J+y+bKXjdF/BKLptiNPVdcQgQ/BhMI
V109Gy3jeB5dbqFXpw+cAhsgYyufhPCNM3hfeZ6+G9BmKLmUu0aCxrxAQtes4ODjQkTqLOgGzbNn
nYQLQ7k3YsSzP9FNokQyKPE9Al77+LV31WecsFaxrfIrUX57clwQzvmEOaL6NVQw59JmSAmzbKwF
/33rlD2vi3an2aZ8Te2c1DGJGDsP1XOW24cQCOFaY6wqBNlgWWQy1OzmguejY4kKpGgQqGj31Y9u
OTsUaBtFrvQPlJKv2Wyu6bsitKopynCCGStWm0xpTBTzzNGQmqj3xe6QwVu48V9lotM8of37A4FU
HhhQySsSVJqdMY4oMZy62jvk3vSLZBB3BdnsuSr84tYo5xfMwHWomCeLyN3cIm828Ft6nM/b8Vh0
IT4APaVX6jsZvOTpReutFNuxF65HoOFhp37MTcyJyhN7Um2xPKQKNAfUe2ekRZ5paM7Trn0Cb7GY
v/DZItI6zaOgToiGN/AYZtC4JIBMyvppLiR1bJ+4zSGyuDMkFtbwN4IYRiYEIPG5Rp09GqWWk5pX
3Ul/NGHHNyIhYnBwqw+oZfF+dB1a6Cm6CYy8OO1Et7HinEcnTwZmdiATiERsaDMrkymtirX64KiS
VPdq4yqldvmMJjZJ6DwZDvMdCxEo07gfFiCbfc6wuZMoJ0zG3Mi4n9CxNCTdtH8YW+urOUm3VnVu
W/9vMbkIuM0EqxGDnF9OKgAp015sl9StsW4ubYeVCZs048MYfejozBb2CdjbbeV+1tTpazcbQL+S
sb4aPhU6/FvpnFO0A3TM/6aDPAo9PKa0RDWJtdDDsNJIePcd2hK7LJ1LWmTPKDI2lUZBSmMxgyGQ
TjsVQ9l2ctNb2bmFoEhRM9c4zBMdlaVR4yvTIGoXu3CybgBBV2mOqiFVtkAKd+o87IitiJY83CpI
R+8HjjAm1rrtL+oTDnJfvmglUereiLsgi41nJ7P0zRTyGR0vRevcyfTgVKNcI/6tT/483JpBiIvw
5ca3CBPI+sehj+yXcbFswdQHk+meHJUUzwgw8qNhsU4d0Co92xjkWfeZM8Wz+5tIpfB9YmiIGYTe
CPPAhkXUJgOnfIn0tNiEo6h+VwBNtGbKPuceyBohHSYLz/CjUz5Z3k5/8zTbPjba8DBhsjswm+vZ
NxGVBllfG9bNjDi6pRM5O9QueuqsMq/4Gg2uuqanvSLyFNfEZhBvyf7sEnW6nscs38yATPq+9I80
Msjf8Zz21V2S8hjpbH1yJDauLNAxE8iAnJD4XNtOaEAZ9XAwLFweuUXVWM/DJge+ubQ+jKcj7Auy
a//G4JbxatY0T2+D373ETUR/3U5/qtLUH4b4M26pxd+ZJFBFU+g6viyviJbbXD0kEpNbLoExSddH
pDz9AHaEaqU0903eU0rm+9rosLdREjXy2KbqwR+mc1hGr6r3gyxINWvJEuc/X5IUwNrrWrXkOy/2
0D4m9pH+wQaF/c/CxMuakSGgMbzIetqf+kC/QX4ZY/zU4Aza+nrOKJJubUWGGSMWfT574fiEsEwY
kUe71f1IzemrFP0bY50tRpPfZaMwBgI2Y4xNW5fi2lsk91leVhs11VrAbvpgdp7ue5uOld7AcBYe
pf5YfMZd2ARZLb+8Kvtg1Zvv9SQ/VZaD2cc88wX5LQZkfdZCGSbA4smcfJpOw7FH2iDgi6+rrn+K
S/jlPmk5wmvGVZ20+mNVEZowYEyCbHXRXgunry9hHv9oW9d7RJEIus3BQANKiCLVrI2Dr+YAJzFp
G5pH6TvE4gDbDldbRMqamsyTDGNUg1wezdOSKD5RQe/nNjdOcd4blJvW/95bfnbfFOyFXVGIt3L2
scs6kPprhSyIE0W+K60UXVZWmeeSAe/oqGmPxQmV5WhVzMZtFE/Q+WCojfYP4GXGjvxMN+gy5QWV
l3iB0xTuIS3ag0UjfkjEqVH4jdsafZ0TSs5iRqgngQibJKBlZO+iInwVlR8GhpFraG/b7kjE3RY2
fRLcb6wwT7/v3TfFbLzEGmuCqKwLNOg5I1hKqRWLDDZJcy+/7/ahQLmQ4ZHQbcB+robWttSqnRrY
jaOc7S2VHI3qzmyCtDk7xhAM1mwd/EFQDJIAH9lJjOkAilWv7PJceXWsVo1GeERs0cj2pW6f/InV
AbAoUJLcFITN7rAHgOCyy6MjPYLhfdKAcGdVKNniGxrh7NBqbk0Mqncqoolm4ZxvKvyL2L9VMnES
SXXG5CHpXg3KuoCzVg8oe2t16d7IXec4dCgSyDdxEZlYhwIENqcVdMDEjODVaENf26B10wJr2Zv3
/Xq/t2RIIWsaMMot/6n7jRyty1xjr3CQEzMIImmSangbhbrBz4DHjZ4ZHfA/rceh8wNiWt+rDDvE
1B2TAioNLH1FsTFsWk3TjnXxR+CDwD5IyYfIns52op90bAonfwdYbt6lpvFohgvor/tjJ0jK6Ar8
sdH/7kU9XExlGJgfdDAe8/jotzTkWDKQHDsCLi7m4WqHC4uvSx79Jaik6xY7GqpHvGH2eiiHtV3k
9TbtOTQTeog6aDBvYJI51JLgzSmEd1fkC9QClagC+WAap4GM0JWfTfVOVs0AWWSwH2F4kKJkhtp2
JKiEbmPTHhCY1yF56f3cWbtpBHmSKnXQi3Q4mW1Ewu0w8C8vW5oyYaOzgFjcEwKw3NqMWJJkHS6C
1gjn5dv35WkeUdpN/wYokrwYw4TVVOrlMWJU40Sdz9i3JnInpNsr+vH0fW/ZNPOb1I356FTgnazl
Jl+e3JhyWJMtwQpqDtWpKkiypRqQekr8XP8W22TtAgbKtp5hpFtMQn1MaipUgl7rNsPMXH9qFeKK
NPVRwLkGu55Kyow5nXt6ZzyqFmeU2/oPpd+8eEgiAi9yWDP41Dw9s1NRnaumt18aUhEW9aFHji5h
y10AIBrdZWvUjLmdBZnuY1TUaOeVfiKewQzvCWKjFVhNOzrFO9+FSYfNSb6RYfJC0awOWp9azx6s
LGJZ6k/dpuVdoRTntEcTSnaudYMiCsBG/pijebz4kFw32Zh2O9/CyEEN56E9BHO19lJyFLHTJhsU
DRwplmgOieZpPyf/7W4wFnaNJdEdxR6iQ0h3oEweiGxkvf4LamV/mFHX0AKLxh0tweRQ4BjR42J4
SzPD3MEBeKCjP24Q7tZPTjo/FSE0oZCg1ud+UZ9HlCH72DSj12mcf6rQGLcNOT0nLWnppzc0ufnk
BeOiEGGIw4m/0ork2oYkAUqLs7/tXRjENvt8ySjSUUvh3QR8m/YprgJG7yELZoKGkUQbCedR5+qk
SvuFZtjZgwAyd+mjoh9y1NNebBjhHXNPVusqIeeB0xOiT7ozYtSuSyk5e7CIICz2T4DAOL7EyU3I
w1PVH4MoMy7RSA30prBPLakShUc0h1GWH1IV89414noXjgBi4ogcZyWT6GhBKX90GsTUEZ9grThm
LD98iK1PD48bOz07gzci6ymeyjVfwo02gLPLI/S7upeAiXDkLClg6cRVdpk+gr0EY5m0CI3JEo45
JNYy8slKKJN0nRPhfrAKeve+k3iHWR+1FRRa2tw4BVFd7sJyAnntbTCZTlvT/aBvZj56ppWfp0h/
KmfibVzRJyeyK62LiMyd6/V/eNUtzlEosp35G9TUxjOqKvCoPfhiy46mykXz0/IUMzz9vqknEZ4q
OX4JHOdrvHJni0nRpra6idAcivOmKpkP23KHk23Vh8NDFhOz2eeDffq+EdI5xSaDyxiF745clInZ
+tFCi7SKhoKcbOs9ZEix1nP87ZVJOKBtkLrlQqXNBpUdONRPhYHdmxGExvAbJZvCNkmBKZ2VGZUw
xWNTBrQ8ZdAK7w8Xf46SsNIZ/XFeNh2up2jcuVizHLC3Zu98fV+7TUmDtuoJzWioGgJXNlZwv2f/
3z0ZhY+SkKC9n6e/GBDahCdYuK2WG6X/1gBNnxpJH6PUJ4iqruYxJIb3I61zxlKEwxoEQFbhF3KG
BlSbpXbCu1okUQVN141ny5DT+X5vbElUiDka1/rAJB/1GnNXg6o6n8iymCYdOTcWa7rnuRFucwOg
U2syzAmj8Xc5U5BVkphwtyIw/H7Tm6N51DLjEBeTgwoExpadIAbq+yVmVC4igRHuiTLaS7LklyDi
LHZqGv7zdHt5obyvI6782aVkzRM4iAFCejKsXGpxYAbLzEyK8z83TdiXhBsdi6mQF4XcKc69ZB+S
lHgP+KxgMi4KsvD8z43KnPBsj0BhDOaVrvlz0lWQxAQiji6rz8yZPvxqRg9bwC3p/JlzrkJTnfpF
R0JCBiNjRpU1T3/wF5Ex0WrsUfNCmzM8ZEvSrFxeKsKqWxPgc+r7fsHPRSzE4/RsW09VOEeXlNMj
6j15lCMTL7H8hUxO48t9MzyABvT3Uo4/3Qy2Nm7Qch/TnEfGw4CP1Jst1Lb8jGu3pek0yjfWddWG
iA/jhomVeBJylBaUSXfygTEeyPizHoxclds+zdznMC+XgJx2o3lQsGY1v5G3m7zTqw5Is4HrheEM
u6p9LMnI+KBbOZLXY8av+gjjo240a+vW2rQ2CUTbp2FsBDZtzCHsJbwUmNhJTqkhbduE7Ng05woZ
GYlsjIkWGSAy9N9g7JGc+utyNrrPpFZb5JHen0LjK11rlX4d6/an3xjouIj0fDRa2s4c+68xJD6u
5fk2mSf+pQPXNGeRm/WOfWjMMb0KJWiZOdUBxVUeWIIsAO897kyI49A0W+0XbMSHWtOcr7niFJL0
+h9tOVm3zji95CN65GjM11xl+dfUwM9ADurHtI2QdTbttEEaAMuB+vBFq7NmhSyq+7SoVNW0WB9k
2V6InHoH1OIxcanQkugsydtS5NfK6FB14tPonRwZ8Gx5a89Euqz51luJKumNt0u5SLGy8mLPfkst
Ovc9+3HrEdr3RlRHx9S+EIf7b5Fj0NIOnehyf64elqd+KuVTOinjNU9u9wcBWYlvljW/QFN03oww
wy+kgyK+v6CRRxOqL0ttvx+rmfPGaTz9cH9BF4As/FjDOt+fO9tmUKJAeIwTDjRz3N9/OjGQhzk5
P91fwQVNgaMp0Vb3Ta/2iGoHk//9+SGX2ZwMGDrff4sQlh4O3fHz/e28ubrYQ9hgD27UGxOp+4OS
wbZujjBu//kMLIUpbrzvX0a9jA6Ngvr+/VgoS5uINvDh/tfN5MJhRIroYS07c/Dk1fVLiYGVPXH/
kefX8SN4u4f7Vqnm/IwsniXc8gjIkfkhGQxGucvTHVCF23qYtP19kzrEg0Xni+D+Xo7n3GrPNL93
OmiOTAztmxSRevSSHE0XrwDqoD9PPTqd+ybYYgaUyy65bzIcL7f+3Nrf+9W0GcbHosc2uDw3hEze
VmX7/fpagVunjt6qPLEeDf4v98eYMFHPk4UZ+P758zwxwPAipe7KDgGE11pnw8ycTYXghkVa+hk3
iBSZR9dPZITkhHB2b/ctAhWAN2qswkXHA2R/ddrR25WKNgwZ8uarW0e32HL8q+5H1iuEl2MkP1MV
e9f7ry1XPubkpX5vuZH+GNP1JMREN1+ZRD9Z2Tx9/67lzyIWrfve8vr2GSoLMbvLI/PZeza55nz/
rh7GF4wS+fdWMmWvBski3x9AA0Hl6GP0/Tu3at/iYfIf3BxdVG6V1U5GkiBMa7xiRog2dVjVGDjZ
tOnGg3hRe70c/2qpam8JkbZo8U+ZVaE1mf3DrEztwdBipvSy1w+NE6krU1fFumOxlukgESkcne0Y
NfW1w/EfuJF21O2Fo8JpaN2QDnUlwEzAgdGO5pLL3hmkvC9svKXwchd2R0LIbsGkXLlhfJA1pmhQ
aecy91+1iLE8NHMfGWiNZLxykuoU+vOTXRJNLVgcc5oWR8xG45V5vH20AO07U2c/ZMTMHuY8+bhv
3W+SwU12To1aONOtMbBLyL25z1rJZlQfVaV+0iLnhOtCf4haT3+wkj4mJvaaD4g8LEyuLH23PlAr
FgQ+zp2BPz42kaFUlUcX03WWIU0s1sbdah879oOB/HMwJvPslxke9YiM257h64yDl1EEV13pK1qB
NHBWTWfH+yhJ7YdZTu7ewhdKEBebzexYD7a4MjUaLjIFPJSWEblrGJQocLBTAGBzH8zUdpcs0L2P
NjMYwto/aNJ9t5aPQhyn83C/d79x2EU53dCjooqlf1ZCYupxcEF33Nz3U+P24UlSOOrL33D/UaSY
+bZ6Q3YsCYL7tEGO1eYMCbNxjhB3xwROCNDBmo2FfVXamArKCUeLb7pyF09gk/ouVhiW9WHdN+1w
Tb083LV6go49emrp9lzE8invx8L9XiporTk05Tf3TZOQbOZW5mE0Yu+Befi5HHRyMilqfTtCpovJ
/EogLr7Wbj4lTgotU5XMQRNcaT7kD9/GzI4Il8LNDB/GURIQ4s17UpkFUUcVofYRgIOxasR5otI3
HrW0VEfL835pfQ2xaUZXJSHsX79vFvMFhUW60/FNUc10e+avkND6KkeSKv66PiSKrmOxm5AyAE0d
vffQyHMOlXoTS+1ADtbTpDS5NY1SQ9w7EowLj6fXzgUV7F75aD88HfYMVR/rGeFDgssgFcGxiRq4
oPiMM1X/7nOb3Osk2/n5G/SJVd650F46n+Ba/ZTk0YmuCLTmsg68+RHLRsxk2X6I6LcwkRsf5pxh
CpInwUk4zE+6kRcnXYqJS8j/bcPsKk7/bEY2MHUmzYVP0kYyjv9+qLk8//uH95dqYQ2ih1xeCm0Y
BrhemUiAvx/xX697f8L9BbjmUlb916///bbf9+0i47X+edi/38HkCGmCf7/bPy9/v2cgz2mCf/8V
97e+/+5+8/0Z//vz/Pud9ft++ucZ9z/z+y3vP/zXH//9Pv9vP3y/2n8/+PsVdXAiU28gBtJAXkGB
OIIvi/ZQGB47utnBv25G/xbr5TKm/jsQYj3WOgb9Of+kFd2dGqNLsVZhdqtqI6AaClm8ijfoiN5p
Mq+u61VBZU9V0FV71jWYlXJEVl5JIsocVUG/3JSjVQZ5FX3R2ux3brUsMTPtK14WYnBuvZ1WmD9C
L7cDLx3sgHS2jdEvIRmTlZ0QXDFreB8kV4mKcCjYGOaZda2/bmtskUPU4UlcZu7opwOoRYhQM/8s
CEMl6TeVgV9VTB/8BBGsbiTb0gd/LxwjO99vCiusMTXU2TpDBREkg8Wohxpo4y7LTb2Q2FkKXCGV
iN/SsYU4gRL/ojdIR9Cc7My2AaLXEtuZTEzm52Q/TV2CDZBPTSPgVFeMioupQacIjx5jYkCA6w9c
xsiLx3Q8akKj2WN8kN7onQbO69c5GQ/4a9td6qS72V4iKblIxUmPTN5SL22cHM2xRJ+VT1iRY7SK
mfrZ2pZ+nCpI+KV1wMC4TVX9jMUyRbgYOKhAlyyY7E2m14ZW6dqexR8xx/QoGx3CP+FJh3uyth+j
nkqWTyumVNtK034rHLQKRafvTdN8sj1RLB241xpK8t7RGPpqfr32WlFtU13D1V57ZxGBFAypO0ZH
klMV2efOdN8wj7Uns/M/FeM1qoNlpkPmwlQnm6qBmGBrlliX1qVf1vOCJMSy7s/M4kVCl2QgUmth
j306cWxtTbOD4wU7DYNIdk0ATG2nJZ+LLhh+NqYaTPy6NWIC9Pl992LPZbrzaZQvRJFL06E5850/
+tAPOw9nqWABdFJcwOvlOpkRf2CNlboEibTkre2RUngGROEY+ctQ+4+Da6TPrYe8e8A+E7Iy2vSI
cnD1WcQzZsfQb7d65OiHtiXPsW0HAlayv1Njt9Cp6RFb/XykKrVu0ezRXp5pq4XaHtTkcxQV3jqF
2/aKixsjq7YGvWME6HJoYEfql738aIDlj6X8wYbVjkgtnvs3gJo+2ljCOnT6o9YAdQcrR38xwiEo
sia6mdglyezo9iaVE6nWNwQ2474oeYatsZBrRnaudJ6yBTyEA/W9aEiO8pHbH5Z4xH++4WHu0h8l
FVpyqjxpGHEj+0ovu3vxShbWzJSwejH3saqFxJg6R7uAspl16NPdiX9sRds2dDtOzWZORHISCy7t
GhjjHIFoRiDODDHniGMDn/nINz9tfWJusWytmRhYSV7yTRMjER/+IY0Yi2jknO/FGP/NCyw4YTgv
3X38e1Na+pvUiAPNtc+uNLZxizc68aP41Gbtc9XhdHHZY4jqdVSYoAoWyfca5z0A+47JT5P+LJoK
c4HPbFuoDhs+wFRl20+xK9p96KY3WXsEMquoBd9GRxGdoTOl5t7tNn1HJy8J1bGwx2wnUKsPXuNi
BXbQ09vqaEgnvhJqQmskX4fCfdVrKmGFKZwGnXtmHoQbUOEoHxryxKuyuOCHR8eZGS9NU85BUXUY
wnRgbJkld1afcWCW+t++Sd4TZfwAvZVlpVgnMEPWBjQ6Hef9XmmP4eDfmhYt7+KF6zGqryg4PlTB
OzUgh44DLA+x9A4cdtZsTMj2DRaK0qWvnp5TSejPqJcviAeRAZvRhx+FFGnu9KeObahktfEEKqA+
j619iaOKfeom2Opwhu0zt/zCgtM8EIvePBRem+5JJeRUqkwbRTHvpOiPc3gv4rLEBRXjBnTIHRBN
AwQGI7zKpP6ZWujkPcflpFI1B5XbYA89B1wJ7cRtL9w3v42fUxczvW2adA59+6nwpIJzRVo2fW7a
Mi3mDYSSUw6aJCp85wzIzOxw8HNasdZCNgbWvnpFGLm1amwPVlU1f5jV5wxVnsbzwZlKtS7Scde3
OO8wZXukTdFYqyflrdu4P+kYCrYJXwZkZxhHRk8bdmPnkiTsaecUoCT6BA9CoWGqLUkbt4Z+w4Gx
AMERxJLNmbf31WgGlsOciNTQQmQHk2QZVFGeGbQc1nSW/4e9M1luHNmy7a9cyznSHIA7msGdkGAr
UqQ6SqEJTAqF0Pc9vr4W4pbdyiyzes9q+uxN0jJTColBOtyPn7P32kFIR1fzAuW/uCkYlambT2Ho
bvO01O5a0LhQwjWuwmnU7iIFKVxeewscfMPxOsJFdkwECoyG+zGszs6B/nT+OFszjq6w3zhAynf0
rZj+yZm5k0I/4RuHkRQu3CSDy+V9/BIdSmHXtzXet9durmsvCiLK9IjWtG2krdfH7ILIA4eHOm7W
mgurcI7FBcDvzgiz/gprIUOLMIfw3t1DUgfTYbY4dWqzV5susWPUIPveohr3a8QZGgRoPtThqbC6
YZ/QsiM51LbIKDPPdo/DPhmaDhWUOAF1jfcW25ysdBLmZ5q0dgGSqaj3aVBcg7EsD5nqLpBZmOoL
4Q2WFW4s33+z6m4ESyk+3GRAOzKSjlWAn0vCptmXjjhBXNkUAaqPZiTSOQi5JcqSPttoN2zIOE3c
7BPRYrGO8tgkQfQnnmTOr67hK8jhgoRbTdQw04seyT18dpKx2Dm9+TySSYn7UXmVDUi4rNJsGzfv
eTsUd3T5Q0qBdh1Wcf0d2BRbphCHbESxKCRynKiwy+vEde+g5qZh0q4zKNXMFKlohlStdJJ7Hl0W
FpyA/FcbLrRPOY50icb3zraRbVV0YWPZxhRvdgATtQBiN3ZotFM+gLwrrU0ciYORQNQQiX7DsvAO
Ii/YpaToTd1wrE0/3tl5UQMc7/Bqpegoa80i7cR6QeGd3gUz3fNgDut17XY87B0tsdaw0DirjOyy
+QFVzGITmTHRx9gH44SYtKCtQJ1wzwE/BPdUKq+Nw4jsp/Ycm4s+VqvkCgzj0bSBWAXaHG2EOuN2
9cdJ29hD7uLqBkFuBtYy6wse0Ye+CZEHD21ffIgCe0RivlSYBGiqahCtEPoQAkfwa4RgUC6pK9Ww
hERaRbkrmXSMQPieyy5+aZkxr1W65PrYuDkxzz7pqolom4LryVQ6bDLegapP8226VB2x2mg5ALgS
L+4uoWJJohmlxhSvCxDMJHQZdMd7zKJxYdrkpfQfAZEO2xFSHy5qN9uYOAZVHO38qXyIKpgftqxI
pDPzuykfkfrSC2x6JvwjLcM+g4o+a/O+lSWbYPY11ZO2X0IOZkgMYDadAGQ3Hpg4iZkNZnvafXS4
/HIjO9EdrTIod/BgHhiZWSS1pz/mpea1zBsaoseZpAiagTbk2JodonWteytp3ntbL1DOYiyzmApO
mAdmeOFP46mdxmkT6c6zIHFy52u9gojeHLDt63uFrQiGO4UE1sdfbkFYkabX98lkdk995HiA57cJ
3tUfDRx0HTqrMfW4HwYMnsUitpzcRN+WdZOe1LOjKqyJVmKsMC5XHv2GPOiG3SgLzZM0zKOUPIVI
S3JUcch4F6Gq7DEKaa32YgwugndUJQN9fH9gD1eNAWAvytauLLUtaL17I8h++v2Mjs5yntMq/2pn
wtgW3ZKtQo3xNSdClIWbomWum2TGsJoHnLWourxB78goclAJ0665H8oR+S9s4dTIncM4CM3jUW8b
jgsGn4bJCB0G24gna+N0dXInpvbOFOOlaErGhOlSE2jRXlXqSNrI03KH3op4qLyJaAwrq2BkG0qn
wl4yPfMLCrAFw0yqH/jRU4hUhvBzfJLglqh/5mSjZcQZChNK5OTzrMCwrDxNoNcBP8xkV2+W2WC+
+OqmHaqBbFOOfr5Lcrp6OWB2QxdIrd4GWdibkOA+3WWoIiiKToVRrE3Ap2PIAWJjqlgTPzecTdlf
q0XSH9Z4fWUnD10573WQIptQD527wRqeRrhUK/qN1l0pmESDv3wiQRGJN6pq4fSPWhZsqzT1Nyiy
xwWVDxXQyo7U7ee+7VDLhh3etb5q1pYKiB/1cWF17sbI8+qFXRmQK3ATKdF1CGu++nl9hidqegiZ
zm5MAVCXi59eYgCOagTkdv6zamkiYcDH7zlUF46ipjY/rCAmOrGdFLc7TDetPW9RlP1oE7E4CH75
yCX3ZRAA/o7JatHhfpiEIXtdJ0/+EL72idLOxEUwVcxc4fXlVMObus25wc7WkxBEBqJ9X0j7vZzi
iEwf+OeM9ha60mycbR/oR/9SuSOaph7CQGcNBw7sX2PFVWPy835NdxX77kJ7c5OsPFSJTkLnmJ3i
DG24mo1DOXN+W8tNqcJgUDeBj3J2EGshMBbPlvk56DYxyrMP0MNotzzB7SqSLSu0RXtm9wwjS/0D
E6oLcMxFM924d0OLcwYKdfqYA/4g1Ck+RklMCkzp9A8tcqXG94cnhCqsQU4eLon+YxvvRhK44XVg
ncr4m9NqEDCOjC0tLFKRlv9VBN0VgR3Wsvqpt8fiwNTS2mABMt8tzosmc9SVtvaj43fZvWz8S4UD
M9CmiLR4qktyUP2DD0wOlbEBWRObgnOj3yU2vUVfBJ3FfKJSeo0FbIfIHF+SJre2EseeGTv5wUIM
cVcm28yxJ7odBgJcEtp2Rp5dUPS1x3DMHvqanoZu9+UxN+F4KufR6Hu4Jj6RzgP9lFVkm+YG4pZ9
xOKS7ZlG7jVf9kApci73uT2cvAra452JNk2BPwow7RQ+Zq3AJKay1lLcwd2m7wOiLWdn2+rj3rTH
6jCYsH1AsSniFOK30R9Hri89Uw/Zcj02jnpswj2gIgujYxL5tCAichVth5gqSt6GSj/skVb0S+JV
HKEDjrn8jgmCQcP3ER5RDFbMbu16y+h+6eSPyDltIndzG1oPP2+m8OF5A9gXgxKg0Mk1ruoDG6Kh
h3uhv8gs9rcj8LtVc6c587sm9JIcAPsl6YvPcVGa1T7STAce5QCmbW057WNhz68qx+GpeKG4ie6L
TPxKIMVpkNg8LQowjE+gn8RcXWhk4u8azGd0TiDUlo7inJKOpkXwimmZezLkzKDQ8zewEoHwwG3l
UifPPByuV0wS7AOoBT9OSOk1wWui3XXZ8VcI9oBS5bguqoqzsPVyUDLbJCmHtW807aGakE+jsqLj
0RioP1C93RnhvOWRaM86bOW1kdA0ynNqlBlioDFD/mViH7hztYnq9qyBpfc0Ff0i9bLcgL4qMHpg
gMlLA75SAJ0avt220NRH5lT7Qo3tJjZqSfOld3eZj9JTH2E3N771FmfUjOhxPPLIYpwOsUnSIaIG
+qUbUbHj2u0P3MFX0jPa57ZasCrKj6l8Io6UQX8kx3g3Jdl9ljvNCRv8vMoaE3qsY11mEopoPTur
pOnx5aCNTYL3kcRQHWlqjoHNQ+2hr6gW79slMTMtlpl5Rt6F3pP9DZsi2gwD1pZmpA+Z+r/QZhR7
HoqHLPJfIO6aG3+en4tS9YgYYaqb5MDSRUBVbxMFlhWFiVp+CeDr0ju058060PSP2qgP80xaXjSR
LeETyKS1SXDHiS5BY+mDx60f6g+P4KBnO3CHUR0/YCmJtmtERpPndI3/gFCdJ7MjMHLOKo+A8njv
h+hLwiQ7QpsTdxzC+8gP/I09F4e4szJvqv0HzTQ/qg7AwYzQGx8CnNDwF1cX/05AUVrHxySedQTI
3aGrO42opomXrPot4NMGqfx8GYgFXTU1oex2rplea9vQZBvxHqDb3s5x88MtTnWA3CifzRmp/pAe
kGLrHiUswAMEFLs+KF6ogFDjT807B2B5bQ2eekgdZ0VuzbZhhLXXAvjkpqLLWHOmSg7ea4Nod1XD
UfSaNi7WrXVyIUBvup5EgkgWFPW2dUuJfTNjK74v+dSFNeok5vWcdqrdQY2wmMwMTAQgL7YAUNeh
BdyttjE+5sx2PLuTx3YGf2W7iY8seEFe+MY2tFAO9KGWslubV9zW2jYc5wJd4oqQArn1F0iWNCDy
NRM3jYm8PzI0iUzGZMJIFI2QXHBi+2bJHLGMGMGSL32vVzRdEkMSSokMCE4Z6veeWK617diA6uuL
L7n7FF0AGS+DhCMhWg02trKirF6SiDGTrsrpmAmcDuiCN25MrZ1NINni3kBXQeRlT+MUSfstoGK8
UWPte2f8BMJCSWyRqNYv89yucu6YTc2vdkbqQJINz6ij1bU2IU46/fzKsIqkmRRFxe/vKsslCd4v
oyOJMNOr0JGbQsV8LHUtfUp1sf/9h0YDuZvLSHv9+7ua1zklC2SorIrzdx5uhY0T3WWvOxrLf/YI
jFYdUMPzrAXjzdTUqZVme8oYzVOlxreRgbQbJK/BTPKxIcSXoI33WtrofcKUfeT3Fxk9xpvWN5P9
769aGXq+pmq7MxGK+YtJvl/ncr4NGq3Crndf/Ghg9OloT2BZ3BcO8zQQB/g2xeMUWAMjMpb2TCZU
Ys0vWdsTuYsXkwsq6TgBdstN3cCTxYUB2geKF7Bf3BASkSQSBPHpDjabShxDG2vtS5TML5NfG7dY
RzTZxFVO84s6g+IpWTtBAm8r5dwye/alSPTEB2Vlu20UEHMn7/iWkkcvdeBBTkZS/pQ+Rn1OsHfa
fTr40uGoMSG5CYEtQKtXgMk/ohTxpurIxBxpZcdhaD5mQvvghHdXYQVuSeus+8ZS7A10eymWKmNX
cn5tlX3q+kZ4tCvvAquqN2MhxavpcuUpcpstoQYO+bsG6hNqD/DsZLUk/dZpm/IJKvORyCsSMTNs
qGRjh/vcAV3WJJX2Osb3hd7d0GBq1wau4ePccJ777i9BfcmcmYqQZVHh5sbEq7hzvE7qnbKs2OT5
YO8Dh1DLPircHY1I9GYNst+O2+c8crWi+I44p9SIlM8u+10QMUnPzfCAlAC90tIGLjU2xta9dxfn
quVfySRl7hD5jA5gEoYVoN0+pD1rDP4lx7T0ZvohLAqXRqNlQptqWwN/Y2dTuIBDrRsgYEU5hKs6
NsZjbS3oXz2BaltgRxujadcPIXLcvne3klrg1c+7nW4MwV5OcLfCIcGhIeJxoyHieG0c/S2izx7j
dNkPk7SeGzR42xrk2ybRSBHEx4YYTKGMdYl4NpD277A9Tc+dgi3uWzPJt3GIsTi3I8K7RvfAY1qu
YXEwX+9OVWSh9/YQT3+ksvcv8G4ZNbAxHkgwusFvIOqD+zxMK2t+6Jz+o7SZzuRVfYfgU5xQPgla
ZNwS636WuwwgJM4FJFdIPPt9hf0glgFxuzzPLGF4SHq/NyO1URzmP+eE3Nm8R5FmpnQ7tRHRk9Cm
YWvRFHmJ2uzbKnX7q6wpEd3cfTccyO62w5OfW3BpkhLAyhA6oHz6+QfBqWst1fRPJAtbp+a0bYdF
cRRK59mILlNkegM+z1sjtfYaC8nm28LoJdsLKEAWXfIqfglIdHup57G91KhPRjX9ogAJziRStc/p
up67Oy3XqvNE/vdDZJZ3Khv1EzyNKi/1iwvFDaNYdf39jz4h9QKDLHmIWfFqZSK/Gwy6OUOJBYnA
SmJ6Fv8SpGJvlKY8Y8KH1tX6+VZaNiF3SUYcOOAh2ngCavR4NUxKat0hETOK/HPRtp853OSxfMPM
846kCOa9SvPD2Bx1IOvrhuPeC1L4kmFhH1S0mzp6deHSlh5981qrjjFfrF77gFbqWJsXUZNHG7VD
t+1QDQ0dg3TVcA1K6DBQy0ZXZoIpMXHyuQ/T5YF3hmPvSnzC5SZQjQOndlNS0KzzsjhU43CmE4pC
aCLIaUJKYbAV91gdqLloh5Q0s1r2iFFO2ckNuQFWrMo9gnb+rv3sAPmH8ubPg6JbAyLLdY2vMqYU
UA50lcQ3Lph+OtBUAwDGoRPHpfDUQ1fRe8nHszb2hPMVDz0QdGIo1Hgw9W2zF0g5dtYAdLfMuEu4
tCZJzDKJ7b7TreFl6Id0l4JDoEGO8MRJH2RuUc5RnCi35aGiP5O5CJIyvfGSxP5WTBnOUucdtSXq
DyxdbPczwiLGnlzk0QM7tkD2XauzwZR6jRMXiXlVr3uuiW1GQUPe+WdQBfuinptrhV8w9DkAxxgf
cgwyzuR24TwUTtF82Q5xI1BwfM9tpvwQRITZupQK5Zgtwx4swT6imY07uZ9R3TOyFhxqWtbLe2RT
tyFmEncP0sx5YXptzsUPDIHmw1yqj5HOuzPlJTSgltEB8pitabXcb2awum655hyKznbXG2erP4Yl
FpA+sgOkkb9oV8CiLhEaD4U6IJtYSzWwKIonUVkQWRUaOsZL6VUfO5K/IUFDwwqImSq4j1vubo4I
MvBhnxJ2XGYHesf5KRszfZeoPrtXPo94OmU8T3awZeJImWbx2UjfWpmd1q/rjBuScEvuRA25CpZt
31lyxqLToknxc1nfo2FFQm5X4HiQutvIZlZZ67dnmWiHLDGCtU2vb+VmXbkZ++mLFj1U6p4kLJTr
3/OS1wS7zt9U+aIoj/EzQlPdWqRLrSqEd9z+4lfqePjLODNXWQIJhksuBxUhzGU5ebVOR5i7w5kH
3dhpPviHxmj27hJhUoE1XaJhtrEDpsmdDZDbHDqz6jdM72564WaAG2h0xaUKPaqXaB9R6WRzClq5
0L6gx5YlhsZGMEJFeHupWr2g9hg7mpjDRJi56GmSVcWllosiG4k2cASoNA4hDus0dp1NGPergr74
MaPHnbLEuYb1wHIaYVwk/UxG2wodVEM4HnCkpLW2YgJODdD6gg2OSRKnB9DvDZEiLYOQDqaIXX5z
ZcZHqzJcgIJLA5qha5vVhySficAGqmKa0ELI9Img0m7gpmzqNnl03HIgo2BrChCKCfQ55g5EK1UZ
oEQzgbSSjJdwmVvgNjf2WEp+gCvt+cyBMMsMewfaeW33l5DU/0yL/UfeZdcClE/zzz9084+/h446
tmvquo6AVFdC6qbB1/8SOtqEy5vm59z2K5K3RpvWaStPMFtSj4uVs4XXMq273tnLAW8vd+wt++jS
msPzXzv96f/ycuQScvrXEFReD6I9aeiGkko3LOfvr6e0jMTN9JwDBTQpkJLlA0bD7UH/OLOmHn3X
UNdSJAnHzoWBItfSuGRHWODIHYx7q9NuYPLjoz9qNxEdZVVwTOT6pYXNu0I7RoNDU3u/Hj9Tnx4B
MzSviZsH24/PUC1TtklMr71PhJurNe81beCq/WZxfLQFlNdUZS92N1yykduF3uWX3OGJz2I4cb54
9Oth3MYaeal+9wMxfwcyTsuPuZDPqcrFXRrUr2ZrTqA2mztp0kHWqwst7YrVQuPZhnKwVlkAwBVh
7zlRT5rOnTSi8+bVgfohslsfNDrWB6ouM5+ubh7TWqyVudENOkJGKR8t5nVDirrAHTLIb1n+Vmnd
EaEbAQu4OjbYVB6nIt/YVDtVPAmqF5oWaXrN5lli2ptpQyzE9AbYik0IDlAadZ/kOS3fEYZggmWU
8YzYA3tdF0N0M/252ES431CcFBb1V7Nx4o5Hs6SKUVa2V4ubI9DCdx8JIRmPzU+IWJfUJqO+Qb2y
7c1h46sU8kzF8WpN5gOa+oMMGi4hGSqeUrmemblXY7JeewSY29QMDqGZKMY4erLlTvGUJ/IgRQsq
2E/ebYZHcFVh1y1mXcw4NNAURG3Lqr7pKPU4dnKvzdW9KkZGQnI41WNKICz5FEmmksO4nIwQ5VeM
dYL1/3l5S/HfV7eDlFOXlqt0YQjuVn9f3WgUfT13QvZeB9sn4z9eRT09ggPbjX5THrpE2YeKTTjF
fLirSd0E+tJtaztcl1n9A//uYy/cO03DbS3K/t4WwalDGcVMUW/X9uADoIF9QwWVrSQz3bVOxxUn
JIRAGSDKZjiNPY+W2jSn0X3yPAa67pW9srxucX5bmsR46thUDZBSKcli9EH+Z4VhZvv7nfj/MdWG
TXj0/xxT/fTx+UEgdU7DfDp8/fOP39/+r3xqzTL/JLaDbGpDOtDohG798Y/hV9P+84/fX2KLtmys
545UtmAbZyi7xFDr9p+WEiZID922lI5q749/NMXvhOrlS/xAJXTHhNnGsvvjd3B48Kv4W5D4f/33
X48KyQ/6y9asSLtQriMYDBmmSUC1XPKr/3JUIJWBIgOMgjbRyqyHz9kx6JKwJUvuvHnquf0bM2Ea
X3pyhP6118CJ5Q92a1Cda7u0NZC1B/fI89HcJvsw+pT5K9va3qnFahD1o2tBhFcasCMGizQUIBa1
R91hVEuzJRBw6WEPb5E5c4S/CY026tQeLGQJ7AZ7Mdafrm/do8nclekhQvuNJvdxtJhO1xJFwP9+
/d5/9O2v6v+pkHVdGYKP/X9ev+QFfvzj0NL7LP+6jP/zz/1rIevS+dNxDVvnBJcsY/XvdczO9yfq
ImlZSkGjwxv772Us1Z9KKdt2WMtSt5k4/3sZS/mnNCxJoQL0hXEUGez/i2WMFOfvC5mfoxht8csE
0mxHglT8+0IuAfzWhZZaL7XSv8DonlWsni2BzDpFwur5Ef82VCZ7phOeDSv+DqvcP3Bn3y6nSZce
dbhdWz/MTq0ozFU0BscAEpwgLKjo3YfGMjRv0otNpxXzuZ7vbR8AYDAaCz+CeqU1HiwE7yujxTei
gTjyMrSJtYJySuc83E2ztsuk46z6OiMBL5/3fsO0op/gODroR4xdZYx0U0P7PjfL3Rg004m/76lM
ErSS2QmtHDKDdGwobFDKSJImHf8KsXe6SzUu6JQL2B8e7DImywebuigfs5Cj1CiST+Wbd/GU70zi
HZ3IvU7gaOn4+YtnrXzKpgABgANFGNdNRx5rx/FBnELJCLjb1xmTG0n+dzeUV2rjhyCNP7sifZ8B
IfXFfJ2caPHP0JOi4VwXNvNCHRtBEPs/FdAXWHACKHt4HhJ6+UTfCRitsYaRFtdEjHac+I4X6GCx
Gb+h5BlXdukcjEz7CHWbqK30O27e4OFuOj9/ovVxD0Fua2hmfdCGBo37wTSa16mGi4YfDeq+tI7M
6M5FAUgsq5LPReuAww4euUCyPz0Jg1c7Nta9Lwk1DRTFTat+mDmEZD05EcO0q5juVJAMwDFB+jaj
b3cMv1EcvxP+crGLS6TP+S40Bi5BsGS7kL9ezIEMNEDcoolwWn1+x5723BEkCYbI9bjeffuB8yOM
zLcqT799o6Tv5KTPaJSbOHwvYpi/U98068xqf2b6OaRIXmUlyXcufdBBxl9BJBGJJC+p4J1lelRe
dJbt6F7aJPv0bdyntcqvzTyK1bSgeGqIraGsxLal4RST0bCWcEPodwlEPRXeNcYwyWIGjhccVUwu
0LGxysfKv++i3j9M5N14YFMJl05AibsOWP8Z4krlZ7TbKoSpYoh+5oOr1niDHkSYD1zOjAd3lA/F
mJLYN0fvTe/cV7CU9iVCOmqc+uAGQMQ0am/yJejtJxudkgoBCJ/j1BJBJQfztUDA3MS0GSXX7lqt
WkHojNbYyaY3omNWD0h88B7Q1RIrtH9r0wyfqrkm20hEX5jPkXJpx2B6lKZLPHvIxUcrwu9cC7/r
KvqFM60cULyqxOss7iATMGIz490G2fi4SF0DGxmZ4y+fXNgjYgQ4gET7ilUSNXM7fw5KRwSroVYE
RsHbE1Un8oW/Gd88qK1NRc2cDKx0INwLAXGHaYbu0NUxhLtbobuEJDPUXGmMmjNdbdmyQjz6/blN
I4h7eS7xikMVV3cxk/DAmG7kXshdX2gOT8X0Fj6bTUm3MtcEbWMeOtRfWws8CvrqR/Q69MT5dlJu
FiVc+p719jPciBDu9nDzNdCnDKBnYqU1DvBo30gfXvyYPzOW3BUq+kojwkCEdd8rRNNhQ343AvCw
DK2r7aCuYDXkGhV06dTkopQSzTX4/7I0DsLWHzD8Ykw4tK3/EFeB2A+N9chMhJEXN2+2Bw/+283g
zd9MszjR09i17SJPWhIxK2jIc/5sWQx46qm6y2OYh7bFrymj4hqiMeqac6Qmd8viuTpxyCW11EG8
LQDwqo7uwZtsyknH54spJg/8Z9JJQU7ixEeqnnc8M0XMB2EXTr0CYX38vWCEoGtQyxtH3YO2RFkj
KY5XcRXiViivCNHPnDhrM0GuG+kQuEf1g8Hi2Y/x9etDjqTcwKmVs/M0LXuAIjGDm9ujOekEMHdH
CXRnpcgn8oq2+0Xi3tqusxIIqnMQTnFVBa8Kbv+1H4thU9FCniYA9WFxqmT/NsdYv1i43FnKt70J
r5jmjjWiwlH7oi2esERyW29zBolz8V41840R9zYZxT2heje/5aiYBvIGaBLBYq1d8Mn5SSl+g4Pw
GnNNvuB5YXQgqtEx+q01qG2uXJx4DdlUeBHqqKi8UGYvWkZ7tuSS3A9KeGMXktv0SvbUdGyhXDua
1a2txbpNf28lHUQPEGQbcTbmjtNPdGewDqe5dBSUTve5McqrzkWaK+RLFnRfwEDuoSUL9hMyFRUW
vICQzpVRMT8yikV2NOYofaDaGW2/TlCrJXVx1cruXKWsdxNRAMpIo1/HJGZwZyb0LbALnFMETBQ9
3jwqo8IzU5Q3tV2QTdKAzjIysI5D53iT1C8ToOF1LXjCmMfWxU2zCImKotKbsPN7fT2/RA0S6oqx
Ay2trQrG+yod3bUUbF1UFPZQ/qiXfveAzCXcNGP7Tmg2y6y3nypkCTrpodzX5Rp/Tge8EO8dGkJV
XwtdA8+gCSjmZv2N7+uQMaBc67X9XA1MbsooRLrVTcM+MNCyVsJFTfjUGvV4KMsQjWXJjsKfbsCR
bIWPfbA95j5LJmMAubKr+o3k6Td9aH+SskVxz2uNoAYMFh3Bccqf7LpcwKApox3ZX+xwAbb0NOTy
9DWHVbiKJhvppIUoZTQ2RFY4XtMjgRQ0i3v5BHHfcxLrGToBRM2Z4w/u6htTSQ+lOFgU/0Na4Td8
2pjZtFN7sf4QIi5hhtVuQrrNGF/UHViog7EsazGrQ9/Zz34yB5tJ5ZemSfNVMiefo9mcgZKKVbbo
vg33owlwvzKp2TEcYiYwsJBbgvvycLr5UfxNQPF7X0wvyn5DGTdu0ny6uf2AeWrGlkLTdWDesxqY
UMDJ2BLxdmKpnarFUkuFeU8xC5CMlBX+6FyDd9B8A4u0R0f2rXONBh24cxeU2b5NkpvQ5lvZYDst
e952kTb5OkKarIvnSVX+Hq6FrwfNxeocWKkMMrj8EGJMa31H4BYxsRNIikrQDHDiNt40cFipk0GW
0kBYZcIidSCJ9mVMvA9pfmSX0kmoaKiOI/JzyTAwRe1D/hTwZD+YNhLx0Qos4P2C55iKZp1bIy7E
UG2IQ+MqxvGJ1dC5N0uKxFhh1dCOIiif3CzH1C+Zj23iik4Dsk8a1aBiksplYtUxBw4kEpEleXHg
3FPEN3pgFu6FrxOBbLd7DlGmu6Gz5pwxSR1kI7GgpyAcXhuathEGtVVuqCe4F4GLmi60zG9kON9D
Vx6Cut5Bq8Ob3hGY5YJPRSU0gWFEeQnT9L38Ngc/8AJDjpuo1PZFNNWYi2MPiE7m6TYZTpb7oocQ
GlCAPiTqC1tWCErHx3CF9ThtHjv2CNwqvCEav2IwW2/0refE3PR1d5Gc6yNzEwSBVIXMqikeEeoW
B0aUT7MsrqNK3hEhSUrY3+A0j8ynz2Dix9WoNYQFjLOablprUWb153ismBehbED0NZhkj1DmYe2Q
RuIJ+7O23vw0PdIIZ0OOOd5aR/slKuLbUIjQxrYPuZu+AzV56+OHoWg+bWk/Y2X+6WvhF5eer8Ak
TD4hbh15afpzMNq7Ihr4bGPA7FbRoM/ADYhKPr+myXSbjCXCBfwR88sWyynqn27eNJNp02ascMY0
zGhcS/ulivjgDObFv5Dp/KUJrSU4Bq9FmmXvPLzrgcipyiTjq3gewuBLC9hw+XSffc1+VyXyqCgH
eD2MzRtDeXKLsrc28991PnvmvuVaEGyIUnPCyEowL7/CK4ruWOgZFx8jfsNF8+XEAkxoQwI72nBU
hjD0OcKkqn/2rJKdpfqrEbUkXwoXqgpsaZV8pWPwPY0BA+zga65p2uvZisTrByNlT6ja+DsLfaLr
wC+3Ie9KZQm1PrzK0b8uz5XPTcNn0LsaotDlcGDG0BCTuNoXtv/J8B3agII1alYs3nQ6lkP+KYJB
ev0v341Ad2jx9+83G/nbAWMbSvuBsrREvNXZL11B5o2QP4iJiJcpZIq7ge3LzbTnTi3lucDLD+MO
GhQfAxPjVRezLelllOApGdiaOCTyicsi/ZGKYmt8Hqb8pWQL9eoKzExvKQiNpoiZa4Dmym+pAXyz
7LA3GuQaxWLf59BuZdhz6dTj9+o0zMngFRolF6lEhEeO6Ckot0fyiSgHyKWwy2SH9CvbJ7EG3EOD
10RSAJw0133yifJrsN2eqjELvFZLrxQE0hPAomsTwoiLxnBlauMtwX+OCwl6kK3flzmYsNq1n4MU
4HH43kZqcfr0ZwCte96Ur7SVP2XFgM4Ed26bO0qmjJMcg7zTOF7QUmArmTyQPR5uSkF4xhjInw2w
is1y+q+7ZrypiPU9cRkq4AV6RQJKr7cc5IbNW5ZXb3ZIYezEt4A5AkpGSsaq+p6gaTlc6TqmWhQF
vNP6rgs+SoMzjnLZWmHoeR468PYMatmOt0uyNVLM/q2yl4UsAsDJ6cmq5psCRTgxio374j0e/ecJ
tRKTR2KEEpPEdWpt2s1fUdK85UvSiQOog/cJfFc1PlaLpq8KuITnEWK5QhFCqKY62RjNQxQQ48GZ
YW5VVN4mfwT4aVG9RT2FDZbMHFsQ/6gQTK+4G9DEXzHbseGRlBnYladydOkxVyUxi0o8iNje+pb9
NjLi3EV28j78B3tnshw3knXpV+kXQBrgcDiA3nXMA4PzvIGRYhLzPOPp+4OUZS1SKtFy+1svimZZ
khgIwOHDved8Jx8fLYIWVObRBuJc3/WIu0Ydo2FS3fSu8wKXfwrhwKU1q0qIoGyhm+HrZCePvpaB
YarxrTcW2V3eQF4XszYtEfoLBtLgxA5uUqd6h9u8NaT2NFZMBI0sQeLXb2h106Uy/be8iJ/b2jiN
jfk3fDOx0lXcrdOKdC2A6Fc2FOrGDItlnkosTtLkkZ4gzoP2H9hFBZ5zS1wEiWaFew9+Iacubu4z
H5mMRfv8lU1jFZKNRr884gWLCFPEKbZGkjF3pZvVZI81amk6z1rfMMYJ4kw8yc5qXskzH2sXDrA7
3xOHNLDelTEcIvI2lhThy4WsB7ij472EiMwOng1lP7AzSBD1S8fXcBtrcgnlCXdo9UTaVrPkJEdg
5ug/uIHLEStjszmSN1po+tpuWeKD5GryqxvOQ+Ai7Vsjoa81xTtpsJGLvRUyF7kKcRczbyLus5kI
bH84mjVWXghs7bp02Q+FOtB359BpuJ7+fVX0FH6r8jp/b/5nFUZtqai5f1EYPbbZSx2E1YfS6I9/
+Z/SqPrLcgFhKHSdUlomNfQfJX5yBP+iqg4+yKJ0Sm2UNsI/FX7qn5aBxNy2+XMQOop66j8VfmlS
/Kd/6ximaUmy6MW/KY1Szv9Q4qf24JpzfdWUOiJuKv2fSvxlTmCRZkTVndVxPq32HF0eG+wu2wD2
IOe/5JuyolfNpbZIG2MRSBY4QqugBepZtShwk2z14AqdnsQU4N7UgQccWgNYaHKWzkBKGiSC7ITF
nkc6pCFn6M+nfryhUTBt/Kh7sRL3mY/BVeEuNKhYbMUoJMRTScg3KCA/KKm8pXsp2ZDM06o0OXPQ
zK0wIJX71tWXbdW0Ow1n7QLuyrd0BjyhQLxDXYuJsa7zldFgVa0JPHdENQuTF6Y/+kRItlD8iRQE
IL4EHeNyzc/AtmkN1vKKDXix7I34Zf5foSiiZjEVABM37ixcT/HFUpJz3TUNjrTj76aqYP/dWgWr
VLByOCkZZr1NYThv9Do969iHQ5VmN9nj9+IXERMalddhlN9m7ltgZCH0CzJQ6pKImuLBcJElxC65
GN9cP+MUzyGkdaojgBeQV/yWwp6Sne0krwb9U2d68gkzHLpg4wYem8jwNZzjDEiOPXM9/R5NPYj3
Ot04+fTEmfoVGTa92PKmdROgfZT5rAr5PSv8CncFhWekV/YEd7mtklOXN1y0J9+qPIb/R64MPrc4
Za6UVz/qY8C9Fypt1p4TvwvohS2G6KXeYK+LJIixLH/TUpLYQit+RQ1GwDdWzjrIb3y7Ow0FFT47
BO3voPZIpXakUj+v39Grx37CAJXMh72G7FQwpuB9I/HFruxru6NGh+90l9VXRs6OXchCbvUGOVtv
Qa2iM7o0+rDbVyYlat/YBGFnoNGZDGKqCRi1k+g9CfT7IlpzJL/8bnbX2dN3sgNsnL/6aGuQII4P
AqDaKnUZfeW8AFCdkBsOxNuOTWIbI8kZ1XBZlM+kmOFzT7LnQTjPsQhOaQNmSMdVWqWc3B8jSHTf
/7zGMOvU/r4fK4DjPslQTYHhiX+Niu3N767H+1ajo2t22rfv1SUL7n6XGAyo5kTHgcL8XH8rgjeY
KUf4L5HV3wO9TMhbU7dtRqmTPi6C9eRZE6zy4LBmGmKkbSj+nfcaK0ut+6uxwb0REfVjqWTaZJoE
9goR0R1NtSxKfLX4F7pKQwyfAQurzV1MKP3CCGu1gHn9pjPsZMkCl7ITKDFJYLy+RBAERM7Pz5Q2
3ovhuqg6l/yb6H0uqMcjI9LSkDioC9clk44ZczFV42Oq55exayBiEk847dqNSnCw2+Qp9UK+DqNn
cYDpyYrxt3nFkzGo0ZnGGa31aFfcGwMbX/xkaKYG+6LXgLXNRb25OOC67EIm269XZdHNeVzEilWC
J+mbnKxdFAfUk7kIWMhsj0Z9r1ky4XsuG98GjWvNDuy+eI7iNNoqItVQzJhHUq/aNbFkOACjehVO
7WPRW1sRUjOaXHPnW+E+B4JfGGw1oYtuaHrgjGW358eFRNaWPdceDx4DBUqiOxPqPHqo9wjuX6an
l6EczyfLR/7brR3FbsbzkrM2DwiiFumrOaXXMVrkIvUeXNG9SZkgopLIdVlFoDA4+oJGES0VLi4r
KftA0uLwzcSZhK925h/TQDsEFW0d1T9pJIvNljRjbO6Q3V01WfzG7vvWoGILgv1t0skPY0tppdhi
Y6e8jKsI/RcHBBPrJh7GdjNW/V6m4ibX03qVCytZtma7q/M+wQAOZz2ZCFCHYJolI9aSykuWaYVN
LRJhftA3s+d9yVF9p1E3F5W1awYNYrOf3UDJLZZaiq5E7O063FijcUVw3ZNvwrLu2guj4/dJQimd
MHu3CsVTZkniW3ZbKTg65jW5YJYWvZqhDqgpg+nEe+KllADrCGWIm/ZoKQGrwZCfFB0XDWDfzlbN
RTnBXS8TtUxywt0GOcCM9h7blCv18pi/CC4mQLHJVL7yQ/5fHPPo48osooTrposIg5KarGajIEOv
Y5VeDmV0NrlMqoM1j38HwKyGb3/hp35Gpcs74f0yMPoh2cRpxy6V6YcbWXZ9un1iRphP0NkV7oyE
1kTtr1OblkQYJWdVPsJd5uTdG1RQvZpyA1hMP36tPf8NcgbyH52cgpq9IIk5mywoH+fTf8yk1/v9
/WSpvSmvoAsvCx01nFdHz5wMOAwnzr5sOJJ+rwJaen7emtee/vdoUeFJGKBLTwvfPUduXc/a20Fx
ZtjtKiumB3OI9uvC9KOLCSKfzb7BjKtuj/FWyrLFoZldJ0xG25gG7SK4bsl4Xwmfi59XIKFPGjXP
CYk7bFwKwivp6qeZUbsQg00+LWjz3OERZN5wLznMghafFnodvHVhf4KyehmAbY4J2141igWy4wkg
CKTmIKmAeTWzryw5UIk0NYBaLgJtXbsUrPuoybZGYlmQYZ4y1dyzMqC1EtVj7Pivepw/x7eO3iVo
o+Dv6xScBIG/ayPFQl5ww+M519NkpTL5Z1j8MbhIgmpTMn8XCeScKrWfCIYFyQE2Gz2De5+HwHIi
h/NjQTHwIAvvAc3YgIw4TbeOXqEnlRiJqWmsy/bOgjC+jAGtrbDYYetiMsddi1DXzIeVJLFwmVTU
kRPbWtFbNfd6eFsAXVh0Iao2En7x95qKHtgokmKeiwMMorxv/kR3aBnhUFyCFrdKPFj+aH/DRUyR
xrKyNbGVZ5pDdVBJIoGMXr1bsj39/9PDD5WPaZCY9tXpof5fN0X10iTjz6eHf/7lP6cHQ/3lwiGy
kY+xHP4srDCMv5SkMmdbpuKBI5H4z+mBP5H0+FFU2JZgg/+TsML+yzXZiruW4+hILV3L/Denh89S
UqQUig/XTddGamTrBieYn/VBid25TU1tcT+UdXBo6l6sPAph7I7LZ6/Nn9tx7rCAj8fMbOqw6MJj
Zjn7ZijEBYmhzRdiO+PTYWa+HktJ4XIwsghQt2Yx3k96JWDUfNY4E5GhQx38rjdAnMvpksJSvwrj
hJCvVmy6wstWuKer3dAbyYXAVbQx/I5XJtLMpaqkOiIwT1FhUhsBaiMvBWaBHwfnb8P//r226vOl
ugpRF0/NcRxT5zz36VI7H6d52kf+IZGxtTHL4MbRYAMHBJnXoJlW6BRJZQ1h7/40yn4j//3d5/K4
0HY5hsUo4WT58y0agkoHhphrexoL8SIzwyt4+NuRqMddyxZ5ExstnISsaX7Ip/7r9xXzWPhJ5ssR
WDKAFfnuBuVo0/30hSO2kJ7eA6bRyoA6LYDwbad19XqcnZtQGnDUziUKW+84602nVrXDiegwtQ5y
iDaJaeI1DbRjTSeFJLzqRKjw0RJee9RFLPC7tLt4EiWm9vifHw0a0T/fO/Hp5n3/Di77H4ryFgdm
/dPNo3KluUg03X0ZTsTGRyyUei8vcLayHalFftaAwmuT9qzW8tdaug4iFqtaFzZglEaBm1d9k5zF
WeBeqsY9iyvKjW1M8WlKqufM50zYx2zGQ+8CcnRyZ7rxFUGd8TXQ2vEICpb4G1Ou//ylPr80P74U
I0JaDnUAXX3Sgzvkm0VxRusZGnFycrGUL1z3zoxxzTXRhd8OaulBHqSmV5mrLOQMT/dzmZSpWBsl
YdWu07xqU3/WxGo3Z3BdMgV1X4we47OAi9HDJQrbQYSI8tH5dOdjZdeNcqAeuNzzsuz9RdRGl5Xu
xs/hGFx3AKAJ8uqe/RSWReIEPs7+wD/RIgUMg/yBYEJlrXKzDy/Colq8fXEP5yrJp8HtCmkKx0H/
htzt0z1Eid9hZRDunvPZrDhC9pBZN2YiwXIEcp/E4p24Nrnypxxmp4m4xm3Tcfvnq/jN6KSQpNu2
Mk3Mpp/vURpras7EQmFmDWSfEfOKhAI1vacZ004GRB5JG4dCVKXhF49nvvsfv75FPd91DIpFqFI/
T2amDpQjKhHFtX0o95qswCK5UNjd8oXDXXH/5+/5/dd9+jhjnrpg/bnSZl75OIfFae7rWmtpe833
u21vW80NMQJs8LusongCdSkLUn/bTEI7lkHvHrym/MK28JtvzDqjU7UzdBSM5jzb/bTSRHqUwYAO
7L1ejDiPgYstamqz69imtWsH6c2fv/KsT/z0jS1hKZzRvAUIcT+NLz3VYhegjrUX2nTmpNZRWm54
NNvmOGjU93XCATacJaqjbbRfLBi/+WglTaY8pgcHmeY86n76pparYUQzM+AvNuWPVncbls22WxO2
ECxdEsqWAKWWQ5g8AOoTX0xOv7nN8/7CmNfz7yPs44d3ravCMozVfvRasQ6pxywLSZRy5hvjlmho
+4sv++srZLGZsqmusQ2jIPrpsRpjIZtCw/XV11V25umYh0jboMABKcX14muLtrzS23Lz58f7249F
FQIp2QDK+XlA93WCViAbsCXhZY+LcaKtCtrZ4xrqdlOLHgGOGR7+/KHfd2efBhUVX2MuJiuXcvKn
L9tWmWuTMoXmSCpJRmAUU/TtGkqL9kDGQxutFTrBewkLctDVviWf/UL4Rb+golwtKcbRGa9y9cVQ
Nz75gViPLKrlNndD0ptgu/rxmWueL1sNpvEeRnF9CSPcu3TayMKoX8GXtFN19v1H4j7E8hniDfyb
wY7Wul3l58U0PJQjpD4h8ur4xf2i+v/5JXQVgmVhCZ7VL7tLn4JRhW7AA4NEZBsK1QB266Zgj7aZ
JhhQSo4o4GxM5Oh5u3XteOaezEBImENxacaXf76c7+L7j49PMUYNDADsIB00+h/vUzWFoW3lY7+3
lYPuT1ZXppu7hFdaO7q4WA47tXcg18d4CU9+TmS3pXXiQFZOtcyLaqCwk7h707f0fZv6YhvBzUlx
2ZwDZaSsJ4vDhObi2E6oHko8xVsL996FZ+hAvNsGjMoZ8R/1KclglHckxC71YRQbrwmGdYmUmtOx
Ozz6stynpWvfVMq+Bc3TbVoxZ4mzmbiUcfbjPPlfN5nGr5OVoqUBJUiYhoOM89Mm0+ynWgMYUu9l
GAGsTohpzoqrjq0clT+vAuNhoJolfifG8klUUuu51RVWRo0n2Ke0zV033Bp0/nD1X2X01wanbQm+
yIOzGFTJn5/gfCD8NKCYY3Bq4MBC/WbPXZ6fp9aAXgsdjaYB+WOeCyvD+N41c/HDM89TtuRHkUTi
FhPWjaJUsghcskdJIPviKn4d1swCJtchBIdW/O4fr6Kd9E7R7RyAloz5QiiwQkhtvMPkIOlKbKxc
dgsJs4NrHlP2vOipA2+l3yIDRwboZMRP//mKfn2INNAwErDqGLbOhPzxglBkDAkEBnOPjfcsYOpZ
haqBNqs6hhJIoNGj6AW9gY1eQpHzzx9uzK/Nx9eKEzVteI5mptDdz69V404+59jR3Au9ZmqM3G5X
oxTE45qhQAwBwALZGiH32Xcswv4+B43jk7Szy8QXlyJ+3fTi4sGzwHqvq/m09vFGiKgI0XGm414M
VOZJbc/PRTjN1H6FyjkQwyOeBUiBnTgrPGDgeS2H8749xfZ4rlFhrhclWSDbMIvci27wCeeR5Qbx
bb8ie4r+Esr9s9Zw3o3SNW4a29m7Iq0vElI4oqBJ7xOOc1+s53QnP99dh4mTaYvzL8NttoP8PORL
lCaiJ29mTzF2ogNAc6YeXPdaqhz5WJtEG6cDs+RMCXxrp9+4PvG1lYz1w3w0WHsMxQ2iTv0CXfFG
K8Zty4He9nMMuGn56LrtsfOt/Nyr0vSr9+Q3l27RnqLmwrUrXH0fLx2JiJ1bWoHiTowJHnbLQoYr
rMUQInO0aWxsZuWDLOVwqY/VWUXV3bfBodKnuP3zGP2+3fs4Rl2DSoc7F3JMCh2fBkYyhlyjQUwX
MTkeVMabpkUnTXZZsG/ESmOztLUvxtZOjmVtxbee62QbR+XVWq8mBPNWvp4Q42wcOkd7lDjUrjUH
Yu8IzrVV2Xltuo/EBza30ysgo/KqR8y/yyrrpS5h6WXUDcYwroBuAAFDaWvpXXXloitNyrPQTY8d
PbR9BbHqarTa/LzMo3U15xcSbqsfSjMqvpgvflNacIX5fUzNfjmqKh+fTKX0obPQbR7aun1D9IAa
FvjQUjh5/pi0zvmEvuJ6/D7BQ6NF425k1YbNPeArmzcbU3hx7QYISvy+JblWDM3RL9ndlLGodrbY
0FIJznRKXPxKGe8VKNxdHWriixFmziPo02Odi1dY96XjYqb69HIMGWlHZViCoE8JtKPuSvBdOtEp
TNVz0YhkEyOdOv2/H70V2sfAKpfkeD6k3OMd273xPCNJ82RQLwloYhxKUedXwAhJnJR0SIAKauHJ
HzT3zNCjb+AQ5ZGpWN0MxJphUGY4t/l21KdtivhnL6zCO+ZO/TJJ0W3IVKfe0ovXL8bzr99bsb2f
/bFYt9TnNwsOUAWd0/P2WlypG/i85l76IMT+/Cm/GyacZLjBJjPP7MX9OEx8RVKFXejBoUovOvAz
h8hvxcGrgU9CY3EBf5kg/xHkRtEMpjT8bd8DMUCV2xyrITfXQVNVSIEd4zQ4zVk1ygaVTRwc6kIv
ViDxvBPTnkIhPgbrtlLEZ6ry+osv8euewUUUQgXPFmwZOG9//BITCyAxCbG3hxYVLashLIkg80Yy
WZEfAP0/CfLG8INbcLSsMOFlxOkTZuRwl70ctpqgfyOc/iGAgnArdjYYwys50dllvbiYGt+6yBqO
BH++6l/39C6VaqXzbrKmQ5//NLIN1iggUnV8SBP6j737qPLxKfUrYzmRWwnxTHdWuefSjhrMnYQm
/YAg95qsaW3mm1fbRIIryCfv+c/XZc4zw4c3jnIk52n0lnNJnIi/j3czFVZOnnKQHWofXn2cCRA7
WVyfo0dpthX5DRWGgNUUlOUOfRfhtaUHtakMTgngbLr6sX2wIKZg1EnztQ/Z8ixk4QmsyIO0KAAD
yHjn4DxaoyEK0U6g8HXq7ipsihuR9eUDbMS7MkppnpMAwTHerr+487O86NM3NBy4Z3w7tpk6u6qP
39ArsOPlQ+/tyegcoB05HJ/w7WPq6AfgyZG9TTXV7C1OK4dab55EBOYt8aN0p5wYk1Iko42dT5tp
DFtqmJa5hS9zowlEebQFMMOlG7vR9TV0xpaO6PztfeWsMr2oMGlN2UEldzGIgouupAZm92qbZ6pc
/vk5fm5EzEVlbKTU/l0Di+kva7OjtD6SemnvfRplS91W962IgAT1lfI2se2O67bFcZlJOT5mIbRv
kUr/EJjoB4k6wKkETf+L2fx318TYcijEMbDcX4piHScHfYS+tdcdAhM6zKRno7DqbU5S5w4Dx6Yv
bsV4njSJdYN6Qy7ARGBYSCEHTZ5rfjH7/VJicNlD0kCC/YEB1po94z9vvJwII4BeCm0/luk2l80T
/HVSfe3u0YXHcLA0GJ2OX+z+/GDkL3t5TmPUjqj7k/bKe/Zp01S0I9QmJYKDRjYzIiH8Npn16Pcg
OpzIgdVu9wdTG8/hHpMpW4X3oYHwAm20JhAqDxEkSlH21iFyaHZLTDppH+6HLNijmutXGUvpgYLZ
mzZO5IpVIAyzvrNAnbbvSVffVDXxFcEMUuFzYCA5Jic6gIMLr9Hdm66Y67C5Tn1Bny6CIDWOh14r
zH1j6wSeWcO5pw8hHo1mjh5+T6pEO4WU/+Hiwn33J04o2M26L8byZx4KY5m6h7J4SDwsiwrnxycF
XadU/YAlUhZoU6ukCS8HI17WFUDWvmKIzJ3iHMVzradnkMbCV2T7FUdXAn9cuwh3KVG817mutpg/
rfuOqW8HbgO6fFY2tKRta60SDb12WGQ884ZR8J4TAPQgWvNRw2m4R77VEzYC4gRa9SJK2v7eEgEp
ckOIpD4z7J2Bzn4aguQ+jwPtMrKPo1GecNAZ15WNcxA0z94nW+4lihBqGAmExz+Pq19ORrxZYJaE
M2MQ3F92Snret/2kREcKHNXe0UAO0PQB0m8a4B1z3pK25PDF2eXX4sI8fqm5GDAbbIuy78cHE8a6
Mjs9afelRpa4lkeErqFvvvMdfU2QSHAdEEyxGPLJXwZkoR/akHyEaHIOeRo/9jW51oMfPqe23DEr
aSsyFMgJKfxbRNDuF1viWTv6adpX3yvTqDt1MBKfi2gJeTiJ3dCr7sykXtecEaDuEa0dYq3YQyPD
ogiNSAMehzE4IKWT0KRKD+0HWdTEwPZeslEzjtAdG2bRtmtOHmSpZVAH7IhxbF+bkF0NSMMX3/+r
Jx7xpCHg+/FfbhNc+w1dl5ZQ5SV+6HgrE4B9MTJ7lBelYR0LN1MI/4dnwui1ZZbH2bolKug1ugPO
9qA1rb8XpjWeiS7954dRApf7Poz+FZPkIYzD4u+38OV/lHqZefa/K5f/T/L6koUvP6sO+Ps/FAfC
+IvjOcV+aAnzlD3P2P/old2/hDJnwTDFWeYn6kj/kSuLv+A7KINXUUnKbjYl3X/kyqaLSoEjv80K
yE/QC/9GcCD4RT8Pa0Gl2tB5CU0K5TYr2bzc/NSMGJN26LG3+EszCY5EEP6tZw3QEOc0EV8nyGM2
zfRSI3CQ9IRF3HgSiWb4t1fWZ12oXhtZY+cZzyLlX0nc60uXyGJsHmB1wzkd7REqksCBwImqGaYv
9pqGa8978592m8Kgts0eTCoU3YYuv5//frr6KR4G2sdJsKQ99SR9E8Dr5C9wgslo3PWZefJ7w1v1
PlKErMPzU4X0hzXiOzXvb22EHFvOnAdlZath0i7K1r8iQnOd6f3fXuHuPMipUQzBTJ9d300OKIvH
ZYC7ju+d0oPzaxNnZvvNsmpmcyGbtDy7c6MOLIGTEXFBJnCggautS3IIR8PGL6xOrFWv0rDngICY
1MtYEqvaleCFk+Y5AHkKIQ0gHzaOcDHdsELiLDFBYZOhsHQTquRDTa5NjIUZ0QVsgc5ZNqUa4IFf
to5dkOSJy76OojfCX9DT4pZYF3TM4ZBB/4PWtYRkv4/0nAD1og/PQHY+6zkR3VWwgdAFxMjWC64K
c4rs1PlIDsaqjN1p5UX5qZvAd8YF9GwPJM1SexVxBqOwzWpuKvNvx9cMOryNmu/dyCQ/T+jcXudZ
Dk2qugb/vOKwGOGME/hwoRz4AgmaXSAwi4IyXaLdMjE74olBE78DkXvmpzRpOuEl69hBd6a3Bptd
75TUmJUCQmNCTjJRjdTZVTUBf3HLD4wp2MtJ8HTx25cbJZ4o5eEk6kFCoSLIF9MI0p9cEmu6hgRO
jlOJo8Uc7aNXEmNEHQZnH39WUKqQWrmtFFa/jkSRmP2C55snL4PFbtVXEU5pBueuqWtUbani+8tt
XatNE1IDKZRJ9Ttz7nXZvjX1gAYAIgRova0ft+VydLVb+FXRousfvGQ1heS6eoyinJSLnXBTgghb
4aw9VYdHhUKtsV8zkx6B31mEU+V5vFRO+qjFw3YwxVUBdQ0B2nigxJEu+hdNt9+IOl32ofeNbsJL
SEGw90Og9e5DerKQbaIT1l6l714kdf3gt+Nd1B2aOfXHmMKH0Yw3gxfcQ9K3oTKgUtQa/chu8VDS
sUwib+QSujOgJcRr9lW74MR1zAFHOr5xIVLj2mR/xcOBrq8Zl+0AYqEv4REAxgXRQJLYNJ4PTXfW
hMWzhwFgaSr5XozlKRTI6FE13wbTgyIhF1o45mgzQOIKFpUQxxeL+M8RDbxmqWNnJKA2mjkeqj/z
FPIPA4ISHIfaew96g3/MCf77r8mqq9HuEZNa677Qnsu2f9YKNPNdXlF60+Dn+ziyQ1XfDw7ltiK6
KoxzskYAFI76jZUEc5bEZe9faIDbFlTiztIq/wZmGrWNbVG7JkQqlktz0AW87L5YDkbTYs4nY93E
MsqZ+GgV8dHts+vc8x8wkUO2SRULeYfiH+Qz2sRHbMS0ChUxtulAro6hznS8DsA7fQqfHXT4rscB
L9oT2pA7h2TEhWoAaqjxXQV1uGhNdx844qWpaCgWMSOkL+71wN0ipe0QMK8Da1g7o3Hsy/qKkhND
AIadn+K467KTI/DvT7izKNrAz2gZmSKuzSXetoXMvZPMBMHgNHT8mtyM3EX9244Xne09aGS0ADTe
JhbomoT460XQyvds3PS5fwc5gdCZProK0nLrEtdKisd4WbXVoQvT11pLDyS931pJaS1DDyFvGJ6y
SnsoM/E0xSaXJ4H9gJNfRXQB8aLKQ9oQ5BT0GGVJHjsGiuzjMWASwna2s4zuoTCBK4/avp7QzPij
LNfstKnkqhdO348xzjUcduKuZLtEUV5fBYIHS3eUbJuMw4FjL+mJvxSmfu6RImflJM5iBVRE5CIw
+sbdYcSbx6oT46IkvnFhphhKAwM9TBAcJlpxYLTIsdDAE64B5RfrzlRvcwzjZFXWNpn14dgKx0Mw
56QnUYzIvCyuQ+0aJA9KDwLwhB6iDdJYs+zWftay7rYjjGA9WMaViSh/bDJCQ2bzRolRUfkGiF2o
1JX81miXnkU+cBqPK1wzmD4PxCJd5QRFZK3XroLRbxfcaoIjO9yYTqyooHiTXPVCbCg1XQaqeqeW
8JJF+KibjNAg1kg23PpD4ru3bttVByp+6z7WpmPZjG+gcNg4YBpkyZRnWpRYB97LFzu35b4IsefQ
ylpWQUicFeZY+PhQK6Yck25YGCQsgP63zkP6upPzZvZMJ5G+0Tz7rojSckfaQ71KaQWsRAt8pZwY
OlE4rZAkHqu2T2DRSJaSUtxIq7uJVL0ZHczRWeNFh6ZiegwCexfHq0CfndELt4/tDSly7EYyRE3d
RSQ3yKOQMGPRJ7cpL4FI5MQGSXQnNkTmXDik+2XTGr83wm+3XnEyXUdR8iRH3gDyVylykDMnp+zN
K4uztCxvRy+E8AH7r+jEVZyFF6ZYDxzXifbr/9ZclZFD0xKEwz/LdHgVmWXT/HK3pPftSvMlAmHO
Ubi40zwiuNv3AA3IYmybpyK3v7WiP0c6/mzX/lsBU39ZG3vZRa+TKauNX/HmTnlFDSJtkDpsytw6
KGTfnW5fSH089XaF6LzbhPOxoPKTZM1nQ0O11w3pMIvcsKDMYGpf4a57NwkEWeYo5HtzjmN9CcwZ
NZ9zrcYgHmXkEBoxkEvt19Yp9oinMKqEDjakWQDEkCQStcMRri/zMqwWk7SvK/Z0xMjO8Z895Ku5
U/3dV4Qcb11MxsqxibWlTJOtcle/akuSYhps8VMZMqu42jYfCVijXkGZaiYxkvtcSsTW4i4w8hvT
HNDiE4TYeW53NcIhbU0Lkq5LTLR1HXjxW2dWb33pX3khdtOghJQi02ttNB9Dad8ZbbQiAuQa+Rjq
bT3E8OE/dCLTebN9e1nMf9+K0Wvo5dpvbXchEMkXnMdX+UByBlGgcM/79taW4TsWw01pekhe3alf
xSnQqUc7xj7RBIGOCBxsc2RZUCEJl2x6/TQCvgXf7i7SvCCAsguOSdebEKKKcqVeGOU4G1z9TmnG
e5olzXIsqlVhgc/vG8Aqbf6WzmgpItxg+ZbFtrXbbCnq8a0oy/PKIKApG2/Kgr3rSDot66oHkD/E
Xd6Tignz/K4uvQkjE67knG64AiC2FHd2DaPU8tjYwwrf+sFwl+TVCxucdSzjdq0HxURNSC1qF1D3
AIse9MV71dbaInM6AjRnP5hGaKeswPCSUrccIlz101CR9OXX/tzslQuzjLcN8WaUUAooKLX45prR
esrbccG9GxeJLG5wHhDoQ+hXNShwMVGyjC2yXZBuHENjIDtVaCDDtGolUEcsSVk/Yn9HyzoQJ2yV
9BZM6PElpaqcBs9yIEbVIucTfPm44piurzPH2aCujHeokhelgWQhJn1zdlrfDK53AqWYnlTzFOlW
vS66+IFZ+FFL9QdrxDA0J9aQt6swjmjZUl1aSVJjrRyIkngEcfUeSvMNfM8Skj9u5wmAO1ypHaoB
gFYFnq6YnPaKYB8q5HJZzGgn2ON+6J4KYx3U0S7E+omn6jnq2Pbq4jWjEkLEavkmbV9fGmPurJCK
7pK0F9gYuRty3RFXsIq9/t0rxovRs28rVuRlrGf9im3vSrHvXCut3tKuhKbmEp7SeEi3fT5Hu1FF
VO56x73SgZ1KdrHE9QQlqZDu37gvbpnpoFtz6ABYmGJXiohDd/BC5fHRiDnvRC6EsE4UMDkGXI/m
g8qsZpGSdhjL9mhGHDe6tHxNWr3+cYqM4+4Qgqm21XAq0vCZ4rlxZtTdA3hpZ5mQWZOG8YBUOfkb
9+rlaGnv/WA/eBBe6MGRNmccEreZp3fqdi6Ij7awbn1I5IEoDSAYdryqrOlFkC6Mcyx+GfRwXbjy
lYiVPZEo+hKSg7F8ih4s2OTLom0OVpM17IC6G9EZ3wCRv+iSqMK2ueE4cU5G3U0jM/hk4zdkuW9d
weZ0cEKExkpeAlxGjuyUzarX3ZUGOiaK2zvXirYldURfMVfWgnqn9yTjpl2MKUHfVkUdNgCRMPxf
7s5juXUm29JPhAp4MyVI0JOiRNkJQtKR4F0CSJin7w9/1Y2uqhvdHdXDOz3SkUSYzNx7r/WtmxkC
XmuPNSkDhZFrrCk2+fV3N8RUKXtynyCXJ8sP0Xo3iBznTx1uuloeDfAFGa1UuvivoWF0G3LGvlKz
NnZtBoBOi0mPsT8I3IAasGhzrNLlaBenUNTnJ2TfOw3fbNw64FZa4rKER6iZZZ/LqviEHAP/o8lp
XzrHIU3OzTAEUJ/7Db8fgJxWvg8EwuqD+Z0aaAh1mVy1otsniXVU0efKkvb3cuszHlIzBdQbplpz
cMz6PDfzs5kblziPQbvMZ9xzu+WPIdH0FVndBQSjn4x3teWEKozyjTkc3kqwjxzUF49s8wycnsOt
XTA67K0/kUNzoqc6pFF/dVPxx1v4NEJzXhJePSXJz33lfA6x0gZdo23otaCrisrdIoQ95NVvFbnK
TqA13/fwzxvzxZzq3Hft8mAY85sWZxtBGsSqiEeUHt2ZM/Crkg8FkSY/ZaiScRJeUlbLfdiE+IOL
mY0IuobaDnQBHPc4dv0fCZeYTkJdrGOCKz0XOlL+Otbp9zhI4qMosS2eg0B4cEbMGcaGsjSjY3G2
h3TtRdZn37uPsWbQIw03rDTkFRpkOOpG1kO5n/hgFmdnp3mJjRt9DnddFypXiE0FZAJnmoUhD9ln
WDviS/JdzA6xDNqPY+eRpK1Y771GCHcHao7xOErnSQvjTVHYzartScpL5Ho24/SqdRA3EU4Rc9Co
pAfNN8tsebEt2Ph4PqgNpqepD7f8Y7kqsBWuY7KNfLMo3u2KfdVNnpMk+/CUp6ZNwwXr8WQx6N1x
8G7P9NKtoOvTESGKJdFUlCGAk+JVUH0dE3spJWuZnBbkTxTx8jhFKt8zQsDWA+2TIymBvV/ZnJXn
9N31tpPIn9y4fqvM5qi37afI3HclodJzpHsA9M0WlA8wgaLkUYSgtIp3LyFJTg5N7MPDOsSMruMo
IR7Orj7zhGDvuQo5TnmnyOI1SUcXZoea/tiFvFGSk6o7r5uZgjEq0rcyXuIruHx1buyrsHi2hDzS
iulRnA200mnzcmPUJyJSCVYz84tEosW1pt+klOkzhVBHFJjcxGr0ysgWzGFIwF0LI8PzQpBNFW+u
Xa54qbepWj43YEES2FZsywlIb7Q8tZG0q96uz8kI2waGZy0guMfljcDo3QTFQ1WcXZ9Y59RlxFG8
umQ4dmFyFAa++ib9AyQuggEy/rjMlvepUu36wf4gKvWAE1gc9MEjGS6+5pWJKlJj+ObiyUyGMnnI
qGIwZjpTAMNqm7qxta/p0PCnKfKM+BVoVkXkYDFBKtK1j84cXuIw8lZJof8YrIJ0gva5ECaxt024
8sQfkb3y3S8gId/Qou5ca/5wWOPh3mTBTOj2nHIEGolaJL/L3Ite7nJQL0ErKWEILQAKUJI3oo4U
WkgnfRh9rT+jyVUnJN+92JQVR2cRmxctVH7M3J23hgoLXOdPDRXUCd3Yl6sag8w6U1rOgcpzY0nu
fYGRz60suAKNSe+vvXpV8RbDU0rLZD3GBQHXCHhc79vtbPpwMGADZcYd69YG55joaez0ZrkElzS1
bqKH2Jyi+JxTqHxgpXB94W0WwjnjnlkZgDj7oaMUtviweFcadJbDfoIRX2BCpuEKVk9RKX8iWIZ+
vS1rJAtC7a7h0F6tJLu1MmxWLNLE1BlfUeiAkVGivWrfNPCnnBEqwojqCni9Gr929OO8gefU1tLB
n6lW/NmxH7OJ/m5jZj6eo+rYanCLwADWvCVvxeRy4tYwivQ5gRko7JBvwVWsuE8cRsQ65CMgBzCb
JME5ntxKO7m1tFMbrooplavIugemYvrKyVhQnIK85Hk0XnKyozgWc8SJwurUO9Y+mns8wMOLjNtA
axhNpd0168e3do4+O52lJPfutlMGhj68NMn4lpGVnfAb13mR/qjoDWpTfx6IsAQ48ONJBtVkn2Ks
FpwU4cX1Y/ZEcunZoITp22E3AlVYJaSFAq65jpX1KLyIlpf52qfXqdUIMVP7TeeqcD3U4dtuuy3Z
1jdGzaqOYAHDv9x4o37yIMoA5tvVWLy3SUJaQI2roMGEuP/rdysO8I2wAWuQOzRejIKNvdIgL7LN
wDUn0dczAJMSGWlOH/0cWPGwM3v1Tiu2WjUe5vyoLy8OCTeV1cCiNxo/EuIQq7vOwLPi8VE4hzlL
/29+ysh4rMV0txLodTnOX62ndqy7ezq8q+J1UuY7cdo/XkrkUjoC50midemOyYmxYYBpAl0m9ni3
pr+R2UBUdRozBhCqWhtpw893ROgQd6xOW6WlzvsQOvGST7Uiy8zEVNsfJyYH2BuiZo3lQ2A4Ht/y
rNsyW2jW2ci1sn7T0gLp2egb1VNo6CoPYIJ5bYT6zBml3PaFtY9VEi0maXMkyHMs+7zKcQNqpM76
bwFLYDHl+ZBW7kk50g0I+Xpah1QtdNgHe3kbR4t2Xg2ttBcnpf8aXPupnrnfpqlhAbcgxplkYk+5
FPRwGNt6XaSuIy/U/Qn4h9cOOYJPXq9qGDbeTEM/S8ZX1cYNP4y02iY9veRNHZ1csnFFb4IgCN0H
gsFxTENtHIm20Q/La6arL2T57VtTnOYFcYE/J/ZjhfpLiSBveivV7LZu4pyl1570fHxz7cQ4RdeE
0re1b3Zqcv+9Ydu6BK3rZqwHKNwKM1Uv8Gyf+ygmiKevfmiIH0KVu7d0XMKt1MidYYVAZ/7ATANQ
WumLlrBUVgxsRvVKkrmTpvxqJwYiZhCnhnPzVgg4aU1t2Kt8dp707hLavF1u5N0Umgi8vxHBMOX8
2GooUtPoaMC280dzWczKcl0YEUlPGrw3ej829FcAxV9jWdJJmsjLHFiKnbRmlCnPYf4se5Z3G9mn
OrXXAQ5tU7hn0cc3RjerXjC4IC+eWE61901+HSEbcxnf7BkZVzxzStUx6lvdhMePPpcioZJb45v0
EhK0HeWMiieQunybHOx4Q3Xt6G8MRLnQNvbIjzM4PLuJ9OfCdtYJXaPkpzfbU6y2Qc/Bn5cKpJcY
eFTGEcoMb03lGXtNn94EWIgEkW1pRqSVLMd2e+shBDzUXr6L5/k9FyHRVAPaiqS0PlJSC/nBfcKj
B8euf1PLkRb2sGsUvmNKL2U2dKDPiyCKlXuqxbdS1AFa1ePgDS92Xcp1pUqVLYYSLwkZPIB8sFPw
uPa57qjvGxYLfmFUNk+FvJez+TWMww7ZCG55yUNofWHL+dJy9YPoYncl2mtUXnHSvjny3Vash1G2
O1N1PphpRUhK2Kq8pQVkO/EtztfC9DYamGXP5QQEOjhwbH7p8iRFLG+4M39IdNFXxMjSHyhfet4I
9hQWJC1ebnkebaLMC9Awv4VO9KM6ww7vDgEIWXxr63arjdEtV4YXQ29PDFH22jJkH1YFYbw+W1hF
XTF/dGSH/v2vm6q9Gseb0d1EHMaC2mknX5mYaHmxReB9QO60iaqbLyll8k4X9VexbYIC0fmgpSFU
mXBLam8rWVnRTots4JYp9zkp7UNFYlNUsvWmy0pKlQkmVTOeiQQTdMthWKgfNiQi9ujiG54Tdlpu
qMNxZcwYl+XPVbgRegMGadlrU04B9pRTv1vxtkrVbziHOzXlp2sRifBpBd0jn9/sxN7gFcuJSiOE
kXDCjjnsQ6kxjxhpfnrxT4HZ3QfcECi27H13eSilo6KhnqIn/AnnHDUDr7KRrJXu7IHHJxTsxwvn
D1ImgBrPJi1kjZg+gG4KTVUO4Y8zIUVdNzJEbRV7JeOfLpoClOcMcoy9ETYvHY9jC+Qg+2LfOhu2
uCx3Rg4OP7y5wpN+ZHu0jHcHWFAzi5OG2YPoKD+D81L3vEPKsGMmu5E8v5XNFKacvrNpXtda8qPV
890r2xcIg+e6t7/CkEctau3HbhzEZijtL9GZb5KGBw/tE3H2Z+AvV2V+77pqoxvmo0i7V1tEu4HF
UrGGnRNyt7pk3KFXexm05LuT5tnq6ec7dnRObCPbo1ezlxbJQxnGRxLVhxMRvyNvRhn0anOwUX6s
HJJ7fZXt1Zd10DiEBmaGe8+N/KRqyzXXJRRi/CbL9mnqabej43aLrfYrsyeN/mr8k2rji1Ctx8gk
fJgn2gzVc8Y4WkXaQ5tC7pdLY0ftyW14cMCmvKjcoxXcvAegEo+glSAYWdWdzDZfU9R7mYRLO0K9
O1W/6Uvtw3aSQJIf1kf9ppr4o0aHa7esQmmWwMMngHYOY5+g+XwVT/Y5t3hRk2m+j5p7pnT4IZl0
TwTdI8NEPy7Sm81ayXybP9UzmMCIZ8P1HmcgZgk66JWbDy8eUy4kv3upRwCP6AeojBSWRWDK9b1n
3cEsrkkUoT2g79uUYPVOJYROsfS1WxCdWA5vy0KRQmGB3zXdSzsCJr7T2vjWsBHWXf+b8JPbcC42
fWoCl2WoNqsf82h9tbm+JREssBeDhcV3A6w5e6R6jgYr1PLjAUtxQojmD+Rvp9FixF7MuAtKqwlS
CIfKjoPBo8XgILY+Fdr+1pjcoOHfKIbvuA8Ok0v/JxpeaHatp+ar7UaS2KX5iMHrqxNkTRsaBR3K
8FDKF32ifZw0BC0NVU8klYGpmoe27ra03z+McXxZrnDfckUZL7BR+RkFeDbyxnPeZiofw63CcrLO
XAg+FcGIUXGWkTuvVavqApFgnISf1SYcOmWBm6CJmks+HoYOEmKZuBHZnf22m3TcjczroT/aC8uZ
XcOKiKAdylYJOFEhJ/q7KvM/Uvxsf6rLZ/HT/s8S/KAJR2Tzf5P9/JXk8hQnWdV9lv8i/vmv//sP
6IgJdERXQQzquKw1858kQHxlUQaxfzpkviC1/d8aIONvyH+AIizRcv8NWeig7Qd1YaK/5387/4kG
COPxv8poFlGkiSMKwz2ID9zB/yZltRFYVBEgguepbq6e/mNO+kHQLUiF9p0q6uvgzN+pZRw1l1XT
M442V47chukVHDrfPD3pKbsYYrJl8kIjHdJ9q58k4s45JpgLmwPZEUM5bK08ecmqGXSPSgObBiUH
c8a2kghbWfWe31YRAEK6SCK7MSx/UZfqJWOoT3Nr+qDcPpYu3FcIWKsCIhpxiMY6dtvX3sXPW1U/
MqNZkqaMFKzOuxup9lSQSZbYCqgzl7e3AQXUyXfF1V+1wb32nXEadWePS/vOkfAOdPIaFmiF3GTX
9PmuXzqDY/FeFOlXWXlwnfLvshXDKtbRRJDj+DOR5L2y8mDqLo0nQCLb4p6NYWCWlA+YSZqVCtZ0
kAxvGvHYOdpTxbq9isfsnRPWpk7H25jEmLFjg3VgoEluP0Ta+GQuXVah0QiDG70eJFMAe1Cei5U7
qABte/dq8u+tpRFpoXePyCd3qdYGQ+EAQ5q/stTctWZ96yNS7sam2SpUBaYZ7ryan4vw1SDoZKAN
J7Z62r8osw4LNfzVh+ox17iE0NyfikGe7XxCd1+naHwn4Ck6whUoS+RHpR+Iw30V3dMqy1r+NUxA
lVUNO2Fa3HSnW7rHhT9OzYvMQ8QMrrObbIffUhkBkuBDRx/e6vgKmIpLasidrre9H5I67MMQy1aD
Mm8ZvF5ZRSHlsx/FdOnHYt/PX3bO7ivjIl8hmXxwgeONkb6wdLnD0B5f0mh+HYxwM6kKwwJQKCkK
41jRdj0kfGVQvxnqpyt3WXoRprIhtOJR6+276vUXxbrnXX2u5nYNUayt3YckSt5J49LoCpY/ES1x
TrpB6lnAEdziZ4ahu87N+VOgSWED7lCrHlsy8nzgUHTTObkPnTkFYzq9eqlxYq0/ZIq+tvqI9F80
FEAmc4dazzKU3z4GbFvNaNctJNFTiwWmVZJN436WJNGaSolcDJbYmsBThLnDWlZl0GjKTpPqq8yb
F6TLe8upsBl2NwTb50kvH7UKYcsAIwO5sqeNN91b1G/K/BTLYtu5IMJpgMwJlMd8omXh1E/kK0mm
51ISSJFiL+nX0qUG08Nwp2bKxoqJttQpxkL4n+uG8ZuhSTj8PEFCh6aZ3aQXojMxfceIdyFPVt+I
H0kEWeZqmyTAE3fSEm6eE7q3BDVevdwMamynDTeKK2k6iG5Lhvn2uSuHU9wNUCl7cipTGne8+e9K
Sg7xcrqxpl+wXVupK5yckV0AK0va9D3kIA7GfOMO+gmdwE2bRuw7A9T7CnkYedQnfDvfNEkO7SK+
9mhQdsVffyimR38anD1azt8MqYmTO3sBe6aoozdz0E6mF39NqnXHknMspfklk+k5jIm7BICYq9nO
M+rHNhsJtVV2Fn6PyeURU8z4SxncQ8PcV9XHj2pwf5mOXFH1HehREGF57rv5nlb2PrOmjzqKt2Iq
DgCdjpa7ZGDFW6cr/h9qb+3f1cx/rfjoG3AusMcRe/evsk/gtYnFyG1+BhlHbocNjr6p30DkgHQl
tZJP/D2M5Sl17GAO4TYM8cEKadgUFJuDHfzTpvnwd73mP6fi/TcWzfLXYBpCga45Fhblf7NgFV4z
NI2gu4Ndr/LHgufPUn3azQpCJsz3UiGfJz+1VRC34RXM00cBtb6ewkMljFsR9g8DcHTajv8faub/
oSxmD1vT/1nPzE1jH/oXPbO2/I9/KJrNv2mwtvDKcVhADG9xSPqHopmv6LqHatnCGPX3+MV/SJot
82+uAR8NEzggHczxnHT+i8Ds/W2xKoJCcXDtG4DZ/pPjDLZOhNP/LAtWOUjp7Nn4l0yXA9K/i5od
TcHt6Hp0CMLuqmA+zeiYpK56FNqTrNmXTLBkOhmy5QCrXW8POYWSlsUblqwtBbjfiz9d2hNBnO0z
zLwK2mcCX4kwGHd2bwYyf09tzAe3PNknzGrSFgAi3W9VqH5Ghy1DOMWYQvs0FfpjMoBjQ+RYF2CC
JvqO01FP67v7rGOC2JCpapP+WbxpVGMTKoqMCFcWqAa4e1qEtB4R/k0v8UzMVNZCDdi3Swd2qecj
+nrLO/kxdgac0Clw68e6eS379PGjiO403tnlzrr3lBBGB/9wiUvDzJVoyFrcW9leOHDQIV3BU1fa
wddQQ9k6A0dxVuqbBb6TSBLFWTsWlEXlowRlhegN6Oo6RqhaOmikyH3hh+r9VdqPnpmtjHVSf1Ls
otYggGfHSGldWe2BIHMotKsQtDQHv1Ufn4WybdyDIVy/yfet+p45FKnxWhOP9exBkEQXi8hKNw9S
+3XQT+G0revxRwovMBTjsc/oD8eMjsVmYjZb0j5j0jMjwbU4Q80l2g4qSrPfRiH+EdO3NG4axH+1
o91AeU6MSLYtjNdSOPBr33XaGVhkwyiYhnBtuCh426NOC4eSOTNfkwJ1irpq5cFyaDV7S4bDvKOG
v5Kym6A5ICuRIyFCDZDD3ejtZwYs+BMX8Sid2XizHPlyomtmdQFt52ddZxA3chPGNSxboSL5MdV9
YnhcXbYS4pQrsDhyNxlPg7dQWN29QKIv2vxsTjahF/MBcz7jl7NrP01O6OfFvEYhevZ6Qr4yDnck
IYchmibb7ylS2wbBWnaiWd8paHX3GlVo6t49bz0az5QLDzLub7NxZQPzYzxMasyl6q+jOLmpfICW
v4prZGUIL+eG2SIUZjMjYZyGrEDX4s77WlR/QGU7DiK8k2O+pOEtTtZsr0LsiWM33A+0eoWLlrsk
pAINZc4rgqyAjd971NJuM6olMGV32wIZqXPUrTw0GTnhqEkIUfP7MaRHC2XFU44qY9qS6Lekoo2R
MsAzICKTdqMs+ND4wRA9LY5509uE+xD5qBJulUWfjOTtft3C5SMATl037kvaGEtzBR0lQZCQm+fq
ZbadTXMqa8bZ76DRLjHBMjoudr3kfa0QfODFzxNtm+ufYv41UJHm/MTpYRDkL7dZ0MAMKKR1dAW5
eibzM2WVtBQIsdEGs+CUPG9Kb5cY7rGtm103DPeh+0MPn77iuJPJq+s2S0Q0HfdsWzniVUFrU9Da
lSpwFW2jjNek/DS9Euv8vW+3bjqsQICjqc59GsZglQ9d/R3PXw6zYGo6VFw8et5XbtzmKX+U0HIn
NC0hj1TN9barZ0KcGCdOpHqZxyGZgkx1Dln0ZDHc7nH0E+CAaljf5SUMU8jjra9gDTu7aYZ/jzlw
XiXbpPiVrEQOaWWGODBn3ZSFHhi1tc/qr9Yx/FjmyD9xWJhyY2keEMnnwZQHPe6Ykt1SlcGKcS1s
pDCztpnJzDGt/GCyXESi2coZvX3rELlFJywT+ySFcK0chU5yTZYwwB+TliDy+SsteqwLbzPj+pNo
Ec6NXfwpjY2NlnSDwBkNXh7pm86hiis1Opyyy/pAn9HeOAQAr1oDAx5MdlTjDI8QJkYcgtrDrDln
yxuKi2nZ92Gs661GHD2CbkTMItuXtCx9U7qMCeY/5pzrKyK2xy2UbHGuDoriY8Fw9TcyJL+Ju0eB
oyDg8UbnoFvJi+7o3jaNlG8vto+OFeWHUdGPrR0+k6EttqUjShyYOaAIS1+pskDV/DRlKcjg1oNl
DSEX0ESgS6IC85qjIhXhtLHR9yGOawLV7X+0drZWVWENqMuycZ95brKxveSJ7uatQdWhFgS0hq20
3yomKrBK0KV28bvTaMkKmd1iNEh+o1T1diztxNRBVqQzbzUPxN8oMRrUyEPJkIcjDj6k2znqvL7y
ZYPTZqypYeQMnkipmX+bBAURVRcLSNHVIabztna6ybdEoaGJSX4pIXvPJLBPtfL1mFfqvrHTH9T1
HVeQ+e2umhBcKROxWs0EUpkWdGu9duH7qFEMugA0OOo/mCGK+wpbzc4bxZ9p4wjCMOc4fZgntBf5
5BX7jm5rjDY1dpvmW0+62zCZX7EZmTfPYgcXmdJve5FQMzljf+hr9WdkpkMxy8IYTvhXk6DrWuDm
cbRFeIsLtL70jfPL4oYOVBPu3k0W/WI8POZJ4zz2Ir9gsUag4dWkx3egtkNHbmGp52o+EZ2FXDIv
XEnHlq4B8PONGL3nbCybA8hm5H/DF63FEZks3UhNMtyXGp+3uLcDRdnyZGCJlCFvNHyZNtSfZxUt
mtWgFxJv3ZjyBlA36QmwKpgbybpz4mmHgPFqDSYvhxm/NgWYa53gSqSsFF6pdJ8Vibcming/POQf
IAgO6Ff7Y5rktBhc/QUNWHxOEyfcAQ5iAey+G/IFDzozwpaLw1ykTCEXEsmDokjLxAuGFQJlGu11
wFaP9hDlcY9tMm8FosNNM9H/DSMiDvBDoKGzTXPrjvmFzZDg2Ci+hjOzvVS7iM7VGAJyQPJGrCAN
gQWuW/2xml7dDCa63J5ndEQmJeAIbZi/4F6T0ZpCu9x0mTFc0f08TRElhV0y+E1oy27AWvktz9Te
y+0nE7nwNoWdsFUb84KPQ+iQGJkxQTRnyARNFEHLwZoM0++7LvPNGo1ASPRAP7If823TWhWJPDH5
fCFss1h1J1fAdxdgsIMZeVkNJPZCS4kwQETcQdoZzYZPxxmwqQ58ujRIAWfMiNoHFeVUiprbJgnK
UowuaL3h5KWVJD+i2at6FxCRe89SD6Gwe9FNuVWE8ZCjmje6tAo0nLL6jlhxN5RrkhFWdTWulm4V
IDfOQkcr36XiVBp7V4+2Y+r6OgCzXEGenqyJBWpCIiOiIP+Lqz7vte5zrjeDdrT7a0u6n4E+ulii
wQZnHVXN1cwPefwRa992dTS0H8O7etSxHBpyPkHcPrnFk0LgKRXFFakdH/JaRPuoPHmqslWyXzu9
ZF1N7AeMYM5LbYZsRF/39oPUDqBm1hh59nl1qKMykC4BWRUN7XKnRkx2NPNzshiHReNBGtZONxBe
l+FuUmkReke83h/gNz6JMF5ZBQ9vFrDOrCLU5RrOuZDxe629iuQdo0NQcPdwXYj5CPPMd7i/soqO
WfPIEdoZxCvxritoVozaPoiUwpt1abT2gJ9ePLR1dmfu6Tc8/WpxMBp708v3VopHdHMj3oU2RJtS
kOhILlWK2CdW1h23XXKkkiamShKfezWwzXHdDvEJi8mmag/ajHmOXpijb0xFPZrq0daqu6nRdaOc
fpgi8MYmwnLtQlzrpm3ePSSGqmb4qRWuPWs7K95BFdiT5HRJSX1OtFNbKDskijpnn2pbkzqgWm+y
R9fEcaIoA4Fva/a0oywPe87ao0v2YfeQoAnWeIdKfIAiPMd0c4v5SrLyTlozitC9Hn/Fo8PzyuS3
WBFiuhpHWp88VJKwO/WmIh/u0TSGUl8L+xtUg9GPm5F7lY9k+hVn15vW8/gna60V4Q2+Mpu4iH56
BrfTTJEkcuwvg287w9pGUrxEyR6j6FMKbGoPam2tEo6dBKvkhN+a1dlxt5n92m6FBqRlvNGE7gdl
1ffPC12q1CxWuZcQk3TEid+bu03OVhcWywuj7fOEsEikI3NybcLOr6S8tCK7TEh40HRljgu8bKKu
yrGFOtE1Lri85KSEpkMqXTq/9KTusC+vUzPy2xyFNOOvsXY3DiOdKX5IgHmnEX+FTvpobG8geK84
uiTaXsIAdo1LZD1o1UNtstspD2r06JoPErV95aj72Ds0tKG85F3HoKEmIlCNrVcYvmqj6R1NkBjZ
us2Ipx7+2MkpRNhQiJtLQ7uV/NbwI4szZN09SMUhSJqWU28G9g21FNOvCT1XpNYL+Bcx+EWa48HA
ZKTjoikJJ0/JfFBdlDztuEZD5Xfuua/6V1gyW4N0LOXoxGnQxBHnrjd2L8xhs5/aD/hD2cMvsQs/
MCKmwT4Qm07fCw9ikMJcy6RYN9Ba6LDvkuJtKi+aNu+pdyqH1JFxDepq5UUfdsSBYMDjHn722Ieo
NqV9NQSJg7oaBZrz3CA76WQT0D/eN3psrhKeWrfiDryhvXyGf73qyXerpqsOl3+CoWDo8bWs+31N
eZEZB1GaDHvPUUNBiM2O7nMPWyN0d4mUd925j5x8jBihDyoAw94ZfbpTiJSdKyISB3OPfnyqCXcu
Ujxd2OBMqtFy9Fsn2YyifuoU8x6G2pbW/NhAOaOCHwMPk980a0E5Hh3+VEN7CVklzLhjVcN9UTrd
RrN3GS0JHAMEkR4LFSCMfJw6IgmV77kdNjnqREqMcB1TwQ5esxsFwRG0IEKCzrQa/Y4TCHvxc+Tx
NTIKv3TJzzDZbWMMtNW1LN4H193aUb1XeAeaSF+EH19VwtKuRc5mipxTUxbHcW+weGnAq/Wnxp13
TgwPrT3NMEIsNI+1+lyP014R4G0s66TvhS2QvMwHx1GOsx0uWYw+QVUUMz0lZPXEshAoTftUkrlG
sum6IEmJEgW7YrQ3bXGr2ZgNt8FUVZLy8kITdOmrTwRDN1HtW4+Wc7cQldb6Ak7TsTJP2ZuH2gij
5hVwr2OofmvX2xDHgxez61b6zVFPmldvVfChqpbhYHLMj8Ll0ptXEStnh7VRi0ym2LjH1Wk6S5xn
0YhozMRB6aUbR/UTy3oewUAVBSL+nJ5QFDmoRjB66LSze25x+6LnbDRRc4xD5c/kKpsRm2FV0ul2
5ptLCVmANVJcTCW3yEN0WP0Z7Xs7vwkAWambcf59tsPfPKnpO5is9h7rBt6QVAZGk5R+1Vc3mZhH
bfptpBXoEU0LqoTIGr/r1KTrXtHMZsbVxyKwHQ6y+UZ3UXIUot/okzjHqMmkRpJv1gatNb5OOHJV
dO0RM/SkRG8v6EjIN3cqrjMB2wOPnofWlSwWWV51UnRU6extz14jtEiKnTqovr087vOFLNF1x5kD
OsYGZ3xequsXzZxuGSIKzAKpp/gxR2UCFjn7/oze68RkJlIJujZ/OzpHZX2FJR7gUPfbcW+Ph2ig
ZDP1A9mqXKo4EMaJdgpK23M4bTOX42ruYnX8Ustwk2MKVkzrXYu9C3EJfuZEt3jZyfDnJsaj2hB5
0prEAO0sFOzWyLlFL8hDojDF4kVram+VZ/VXcMRO9H4zcMwgOZUk8GNTPbt5f0gJdRVqoFliV8Vc
hQwHOcMCw+Yt1rE1ENkpnfFUOQiZXRMZzEVxbzYLoIln6weg61uV7LTUOxB2ua0IeFErPO9UY7Dg
WmLWyDW/hdODES+IJxZX41pbOKpLgoAGasUHY66eauXYpZBPcEU2TOjUxwQYwwiGVYovL+7vJnpi
Y5jWXW1wVGSYtIvQO1bxBHLQ4okI1wBHMDqHxAcXAbypp6R5Zh8V6WvoffXOV9xdHO9e6MNmnia/
KDX4gnuPBBXaa+hwNeVtbuLXhK6NmCv2mnltNOOO5KdgmnNECW1QGutGOwxltEvJFvWeXDuICKvU
ApvrT+KSF57MB7u9VjAVCETwy4j2KFZDXR7E9JRntDvaoVy7MK0mPqPmZLuaUNQKuWthXTSKOwc9
r4lBX4ZUpDI9JxgH7Uo/GIH5v8g6j+XIkS3IfhHMoMU2E0gtqckNjEUBrQMB8fVzwDczb8Qmm8Xu
qmqmiLjC/ThyYh02g4s1i8MD5XEdJy+SYVUS3opeX93xR25zNnR1/SRy95yism5nbBLRo6oDTukJ
z3vzEjMY0ft2/bCpjW7vJP2ZT8PKmL4jj5LN1LY1H84Z8O3MOQhOB335fsmtgomE7SjcDP1SeW3m
7j7qJgNlakKMADK7Z+G40SlVStX7ynqsr9APKzbVk4WQXX3VwiTIh+mriX9z1mwkMtNWBqI9pljU
+05u8uoIiokY73mlj08dpA50j3zcSCBu6dZtRMLVapQha1r00vptBFtQxSXGeVQ+HbJL+x2rOpYM
ZgAcq0setmDd00zXLGp30+LtKtlwM5OYpvT+MOfxPim7IAJhC8JmFU4prT+qctmzFFwMcNfUYFmD
T4jE2HXKx62Kq/sk2ge747fQkhZFeIkgy34JMYeEbDtHpew23rBhDEJvDvqB44gcrHX1U3H0cS11
kxWoxobZEDVrh4sIsaWmrCWLdS8BEKWtMSYhMmdYarWHLt8mQxaQQWrX1DgRRVx5tYBRzQ5hP3uy
x8+lXiKKuw6sirrsglTRIkrdjDYSN+DYMFZBjNUy/oG3xVDzPGUCRqXcpfzA3YBfn2Srqt0t6a/D
dKmREMV4zSv3m2g9nLlM5sqBCXSzNckeaJcqqv7Nx9cunndp3PvQoTc9E16k7Rg5k53b+7XarkI+
pb2iB63oKRffZ97LLQq41gvsuttJ/TPSyM+OZiZTxc5pdrrtO9zVsACKrZEr8D5eFWtr9DklFMEf
PA1jfR5mlSFcg9FiM0g894k4j+k1mT5R4a0b/HfL0NfTOC5czhtOdRmScTRmdO2H0pw3xJxr1nlA
m445fRCnWcEE5bxZI+Y++LZVtPPyq7D3CruMIcFrMjbI8aTfv6QYSBPJu1+cCkqMpjrW9lnPJ546
rmD3qk4NJ+fBpZKuRbirzZeyu2JU3+mjgsv8qbY+alLtcv7f1OSC6JmfvWU/IlcaBsz5qhLvBwIh
onXq8y8zeZmHae8Yw24S4Tru+RB0/bvh3SMiwYjKCmhlKGa2MLLI7cVl55zSZJ+pYFPrgIXOrE67
MUfrz0ixgk4KiWNfnKeJ+s6Z/cl+lNahZjwbjTm3zbFRPrQWSySnP6oFm0o8/WqLzM/S6NsQP/gN
Otqovnioh2mba59x8zi3/wav3w4ZhZBmBCZjNVcacAHe8LauhUBckhybmEB4e5N01T4zIB8mCFcU
5TSFetB1MV26u7Zqv+PsEQ6TGvdRDA0ah1jn3Et43xVEX1hr5uKxdTawmrBAPubzj0a2lQGRctI+
nXZvmJzAuFVR+A84AxpdbpMxfBaV3ADuDKQmPipq0WXcq5ibgunnPD8Caw9YC7Ph+So5xg3hrhX0
FZE6bWcA4zYQVV58nKDZY+IAktOavWRthhI/pu6KbJDaLKwlqOH4sxiqsz0xwAnsItvoWs2aYl67
ZAexA3KxikbjqkajUswsndNvK50C0LpHoZzr5mmkkjGm3gfyxfPzoViEpGAmdesNg6GJElVOt84Y
tqHabmdBABrqZc1pXvFj0bmj4NDGYyfrM7bpdeGxvSmukzs9O6LZhLi6jQUVFJEfD+4CzLBXQ55E
KEyUWKy9x/FInfYYZ2dXQ7BcJC+C95IThn5eAge5lfWTOWKmq/adWzMzmZBCoGlmO9NGx9IEByl+
6zqYlmAVhjwndp+kMd5DICQ5qX92hAS+Qzk9vc3ydXJ8y9lpb2H/hVbPk2MAkmgro+eqMh/zt7m9
dpxZwEVWsymfSajj7azeanQaWiMY986HwXy1hRNAwPFnvILR/DkUfLgq91i1oJqYYGYKWm0N6SlG
cKnyjEvYrMXTHNcByBfknFP7PqpLWBzTMZs73ZqQbHW7hmEQtjMG2+/Ys/2w5ZDjqq1RXbiDFVTj
v5l20UxfpgHpGHoFm2C04tBoVRDm2NiaVwNLUm/n7wODOSf21qohTy5wCAFPMLe0I1X6wW00JlS2
utHF4Ov5xXXSQ6Q6mzJL9sI6KeLouRGqePTPnItm+NrSEpCfsM0g8DFt5NlvubSjYHRK5twKSBHS
4NFwpjIoR8+nq/TLIn022cQt6p9+Mb2Ow1pgUivLW0oiXV0FHc4Vur8N+FfMHMlqDGGItu5TXFor
TzW3eE6OGmNvzct2wn4zx5gCklBNxz0Tanuy7Du8VzoVxpc0f2obbuJIwTzzZCOJSd33vME4ZD9P
7fjVF8joL6UGNKZHkWUfjUoPGLD6Uh5qcZwLhzE11AX8+EmNy/fZO4o6vvZxvdGbm66O6wkAToMU
TWW9HT5W+jXRYrnKjedwLrWVJWM+lRR0DIPlb+Z01y4jX2GOt6mUryF/O0Gd9wFTvsMeTO3FftIM
NE+osJvvrgMw7XZHtP3buU2PgkA+NznBxjrGJuvk5fi/ptwnDSnEzPjX3nQSMtxblliBy1jrJrPs
hk+X3DLcxD94ILoSCgPNiDyYTPMj7Z2LcCe/OAns7iHqT+CRE3kdvafEfIw3GheuJr+5iZX4miUv
DobA1gUI8Zrmdze9TVOxFrei0o8NgeAPtdhFgLq9TfesmfsMu0q4W9wrE3afbN0gNsLmmNqfTT5/
ZYW2GRUqu9jcdDrsCvBNWFjpiWzUwj2z8JJQ9xoHwPSDtfFAXMpOq1A09+kriTxoCEufzR0jXec+
uDfBgKOwH+eihyVZbCNw8JzvYk7P5aIjqKeHBAEBftdPDxi41VQbwU7GLHTf0bRAKjrzx8us28Gy
+KhmuEtDGaRs4htZ7zOKDfaGB5WFQ8MNq+MPhg3Ea/NIDAWQdjbk0SExWepywZftuM2bjsDhbteN
OVL9d2X+tYkuzSHAGDTOnR6/FTIL5s7xq4alKLHL1FZZaJ+wmTJxGwOkYvwVi837BkfhM3IeFa98
MPW7KU7AO/yMFXdXMfm0gbrYry5edyXv4DptbEN/cHooYNO0tZx/Ono7pvXALf0u/FGnN6r5oEid
V6PCnaYBHUMJ3WPQl2fOApNlcj3TuWUXIrJKGgGdM8rhjTcj3nNKbe10NT07bWw9fNTZp52Yfpz3
W63mrPeEH+UYlf4JPaYJlvyw79LEgeMuegydV+WeuM+V5q7xneA7wKVhIdFTpyUQ95h8OGF1TSoK
FnWd5uJSFf8q670cPCSZ8Y/ScFkW4c2L5DoZ/iEMh2QKNuglhkVPKt5W8N5W9J/Bu8Sz9kr1jbyk
W6Pc+3YAwrqy2aUsaZWUkebI9jvmVsdtr8WUEwpR36yv0mydxvZL6TxHxW+J+6sNrwXjsMyYrqmm
rSZuSTOTwZDbK+Cr9OYPlT35odojeNy3I6L+oli3uRKo+byezS+37i7u4G3tMEaDPx1c09t7hrNT
+5MrnwmIY3TALIXabvBe7eLXKnkODm6CspEZcJdvwnJeW9yuuKGFmbPQDPHio+6g1katEpg4kVBi
cAJwRPKy0M4NNTKy/lz1NLUOIWw4KIf84tTVxLme7nD7+3o/7h1zOES53PVK/NjBIMqHmxTKly68
oHH6w6ySc21jBqzzwwxdjLy/tWTRKoo2iNzAJHdcKfMn2aY/TjwzuEBWMKFxn39Iqo2b99QZ6avl
VUXh2tU/etvhVOxXLisjYY5XJWkppV4sly33Eg2LoBLRRdk0Z8MLXyf9rjjmJtGqI7/xCASPlQw/
xWs/Py0NAyv5d1A9Gz2bdo7uEawO8EShFaygbFW/lFG7Qq+fibbepBhfH/qeUV5o1nt4utoMvq9P
sCx0KJEOHVTuoe6es5Jp1RIb3b/mmbrNKuXHUYxu7XqPVc2SCVuzq5nXJFSv1bCrKDfMMMXV3+lL
JORWjDJQwRszeD9qFgwpfdp3bbWPYkD3OqUjM4Gq1rZtvwAJFibwfoivxnfF0HdQ80+HlQdPi11d
1JYKXNcejag/ogg4NX37O5abPEJ4Mdvb2jX3eOM2tQUSxo2P5CkKlsRRXJ9jedQ5ziIFw4bmMPhn
L2kNROESexhlx2oyV1pLjE3lHrwRu4vDSWN50k96Z6V1bGMLYmorTimtFY/u2H8ZofCPmd3uccit
6vRhbrlgcvJT4+bucK1NBiP54V8ITghI8nFgQMhu4cHLethxaGRdNOMIP/qif0Avgumq2KqUEgAy
fOhUa7i7S2Drm5iHQ8qlBQQDuwfq0Ay1jqJ+shDwQYv5VJ/7Gu0Q28l1Ht5RkBK9XN+E1p6Iuwmk
qgGM6Ogo3t0Bg2GB7c5toVQo+hjkU7Wr8f0w+wyihIY7rwIrs++y7zeOPt4UlBvhrQFHQBo4orBR
Pmax9966EXUvEIrhWQNfPZfos/ohSKLvuKc64c1faWpATkLQmMeCvSIh4ydNFx9joSBAeW4pNpMU
592q4QjoQSiyZQ4Dm+3cPP2M83evKHsqJrBe4WYuEfvoZgtqvfwx42XuLQ6l3u07SjIlPlKWDG33
Ui6fvJiiruv3s/OLFBhACBh3/FoVyqMyA47WzqsKcVDu4CuX+gsiP98IXX8scz6ennPTEBOXEzXo
dqA1CSvxIbJqF6c4FgWr1nRbY3dcfHZD+e4K7qaWYXQUodonIaavNiMzi4JKgEXJwJsDoI1Qmu3U
3YWI8VCNfsjzbprsfWmuO6YtSC3CxbYZFUGN/jnUmp2yLOEi5YVD06+ym60te+dhk7UXy5yPFqoz
lBdHnhBAALy5Jx8Y0CpP+msU7jpNbsLBOepJFFh6tINUihwcvBwjeuYhqwiwlCnqjalxeer9uq3s
Q62XeAkiv/3n8obsUQYuqyIm7ciCqreyelEG/ZqL5XJnrJAM9zrJ8fopEKfdh5LePCQlraAzLO3W
r+4NOvPeBl/RzqQRwvfN6se0n3BMlAwQ3k3zPZkpRB1aEdV3Bt5Sc7Iu9SNLhheH4reVDrM5gmys
Vd7Lp1qUh9YKv3STTzFpWrvElA9KZrzrHaWSUdrbjhlMAYa+ncTBENm26ZXLOFEVYe6X2bxbSFk6
tdJqiNSgS3XfJOVJ6nThzC8aImTqmbFGM1wSwF0GzkElYpjjxpuMLjLdlMJdwEzMEMLvJOw3BU1Z
nkXPCiifxplRv9T+rfHKbR0ba1fMh3T+zhCwjdAiRWW8helest+azFdT+cEo9jKiYPTKN5cYuyhl
0918T8bW0OkO4itBP8yvOr/2ENHpT8qoAcFYkFHJvY7MndOnK4BYuNK9KsR41ZPiTAeOjk4UZ03i
1IxToEGF36KNM+ElWR9zuS9UuWl6/olcue3+1R4uGMhkFsnhZcxm/zKrD1H9oI+fQ8lQyAxSj74D
4vrEMztoCL6M7t7P7o9TMEjhZqCUFSMfkvKzwg1iSOsxLoZjrGCl6NJzlSjBYNTbCXqMZKluWOlp
kt2/RB3etQIAwQAjS6lYwNjEv1dY0Drf8baKch4rFN4SoQiHWT2L+9hTu9ic+o5pMenRTkOCnX2I
BFI+72dw4veW0Xq14BwToz+3HH79JOkTxo855Fjo/lVFRClVZmcW1JnRXjhQLetRXSiKnaaTHof5
35XhW46xPOajWVwQh/JuiCRElOnWz80jINGzNRrrbloY2OpxkTO69WoQgsnyl2Re2xKXNuef3Tin
oG5Nsc7AsY8qKfE42ajU4G6fZKZDSJgt85Xh7s22+uRIGnu0nSXNqz2qL4NnfkeZegLA9i67qHp1
ozGoZuel9BqSDxWr2eEXZnorWrbX9rQliYrZaAkNDSFV9GApnhOBOXI521GF8ZZtlfpRxfbNeBmW
0LAukYNKQ1gf/UB0K3QsedZ4sYu5awnY6nMGnORJem7+Xro5wQ/pzZN9spnahDU9x9yM4n9VAlyB
GZolcGtWec5pEGbCH0kiosUS326vhBSNuC/DBGmS5y2A45K3X2H+qzLyV1IcEr7ba50PJ+CXa9iG
hRmtmIDS+Zja0QHn0k0lBsZ5bqNtltevMZ/frGMOaE1qoCNF8FI4iJSTM8QjVZsPInxRTuCPEP4R
5XIR3sTC+i3K72M1YsOi8EB+oWf13g6nIAdw1LA7LZYKHQ0PfyBKSBO63dXlvvSine5IFt/qWjHT
oFrCLop035HTPo4bOybelXq2tvclOv6YyR+bfLbxOM5ACoVyCI9FNORPJpw0OIjqS5HQLBYvk8ll
06bppRlF7Zsp+yrhfEnBEWaP5vCag+4NWGzBVrExZiqgjMP4Nug1vWG/l+NyIlTikGD1IhjZ2GKz
AsUUwxNUYiztI0rEFXQH3mtZ6wMLwaCUsd4ZDdCt0UQXPHaMH9GgGpSX7NTtHBSj8dggSW4AfGCt
X2kjykcdVZJ2i3GzHbRm/JcykNoNVcs8bZTjGsGa8oSbfKo0sCeQA9hjZCrNXmkEln3tNLQLdVw+
jShfpuiSsLo1otgX8mtm5lakKvt+1M54wzXuP9DFVGxTAJGH1d55KawYFgJIwHuFr6JmoCHZCg6J
H1IIOZwLBjibylQDx+Imi5gKoWAwdF+Tvzl9aFui6DOfjUjsBsHNbKLqe+iYdXnRvwadg8urlWKg
LfB/sebJK/QRqu+afha7VAXfjsGq16Y2jKz1BA8OI95qEbNXhIcXyrjrksNofRSl2FRVvw+tL4km
W7HQ5XjPWorC3sbp47C+81ZVxMVfM2ff6Zzwqb1Nhw2jz/UIfLacN5pB851gmgI3MLPnUxiYu+Zb
aX0SubL2xIULtq2fivoVUhua2g5Km4uU+1CFJuu7exWPKw/EmAE7p/IoYlG7JJJGMlzDIzV0fhy1
OwGt49yuWdoVRupneI3UiUnja8XQ1shUhpDIV8InW23Z2LxJkAkal2NnMzWYaZdGLnQzXxU8a+T0
+El51OtfWgiF4iCZON0HRAfaqrWvDteF4WT7lhSiDDoXo+eyO9TIcMgKw1k2rMFn2feJHlicVKK7
W4xhV5tZvZpNm1iE29HcDnT6jvUhtQdQCDADLJzfG2injBqC2DBWTShpP/ceXDGKeJKn6+2SuUZm
x9pk9Bx/MxZdF+KE3oEDv8UcdMyS7ziFyspOQ2IFyD6KGhVAhYHosiyQFBYcyI+b5rMqMB6wvQCS
W6t5YPTkGyiSvRdyhKTZjDw1en8KmZza/Vpx3jxGuH3yVvPU4NZGvAypAfFz1Wx6CWIEke2ixIQs
1buvM0NpS7vUXXqsjBqgZoJsmwkiHqZu3xQZaMNDitGDIVStHSP5o4e3+hayt5VcdoN+HlXqSFZI
07hWsFRYxwGngKBHr+cHRaDdBm2hkP4bkigDi4HzHibAdsyfwI4dsgXQUj9OQ2C2X3ODjF6/NfF3
kxw6RE7ojLLhPHk/oWS2GtUkf0LwGgKXG9YYLBhNKgSfd2faQemYSoTGP17XLjvgfc6HuKUzVyyx
sb1fO+d0mRlyjmC97B81pjEcAjHzU9DCN+UhNTuAWs/quA25zvAPHsI0iMNjkj6X5F5atKGZvknq
X5SguFppm3aVibAmZ2AE0qFehfm4Lji6tUPFyC0OyT5EoWwq+5GjpFfvuGcdYjoTDf/dsOrc7YQw
rX2DjEE+1ldENdsDIAyrl3E4qvbGnbZqAuWVtw4hGKuUFkhtVN+uP0ecIO3GAMXTFAePyWYUaSv0
fVO5KfS3Nvvlol3pFlZhTksjqWhPeDek3apoKO20dV3sjexptn86uYvyDwvBZ/NdJZlfeaAcv2yY
VUr4bNQISaymVXeO7KAnzmCoGRd0CXmxbvXgAFyFLkBX0jbyaxoAC1a6Ri7uZOV7YAmaX7GrbZyS
ZotOaGMRLYA1JlX8dlHPKaK6Zyz6GLL8GKr5bs8KEmZinFhLWOGjZ12JAEIum5gvSuL59cCsXW8g
SQzN9B1bhfvSSTqpMGre2p41JYB0FgI9nJ6BrXnlMkF2ii1JexdW29ZzLz70MnWCMtcLfxgZTbnK
vbHL6MHMv7xQwj0fOapAF+BUsnUys0r5W9TTq51zeyIP4xW8Y/Ti6bQfoWS427i3weZ27/Dnun/F
gpko6BRM1lk0liCa9J4DX4lVEKT6EG0KdQ0LQ/OukdYQfog7r/JN/kcMiBpOeNcSPgzIJzz+HtYV
DG6hYa1dLFHqvzFTd2X5UGYn7NzIPVkwub8uFF/1NlXZ04SJyC7nQ6v/hoKZ5lBt5+FXOLt2eGqU
k5t/k5F8T3h60UQ7FPMv2YDU1cb4BOvCYBCHlGawpe/0YmWbDx1CkgibUpw36I3PAHQ8aV4870PB
t6PIv8XicjnC/GOObAZZPJxak58mLg4wGBYLtzPcwOiUvk4jKxIVSI9+mQv256KlZyY/CvJKUyON
hXa1oFNd0NZk26xyxdW+GbduTaAiJynXaRjPtybp9rFCyVM4wNdTu4g3ETCMYz6m9Zab/1UoPpzd
4Wr1BvbXmRcHyMkuzQiuoVKO8C2dkjKDjs15h46Iy08jJhrg7GMOVEwlk9ivFHVc6XU97j2Qp+i/
6Vf0xkK/ADVySFXnlivpKWTNiVOyATnBp1Fn1giieFrnQzdu8il6cWtZnfW+jQOZucOqn/OTa/SM
LliNP4TmhQXWQ0LGEb64bvCNRbGF6Rnv16CbK0XY17ZgVl40Q0VMn42u8KCV+ugPA+b+RXbcjVN9
zmfk58ijd3GT/fN0BAoUxCQhDPnec7qZV8rvK+UpRivsZtc2KsA805UFqSLYMBUf2iQjmsx/k6WO
jF/BenbWvO2yhnV2lv8sHFP0OMgy+diyUOF/iGcDk4+GG94aeA/d+OESqj13ZOCfbNqQ+71tEc9A
xer4ZFeHgrXnquHppOmeLCpGDaL7YpYvGUgQRwEvXqySJnbXXgtleO4AEEXQJ8dS2oycGCcvzi9F
1Et3QqUYqWO3oaPuAifDLQ0y5REjxg69BHUEws+5QZpQFVz9rVa9lyLd4ww8YP1umKrJ2zTaxsmx
c57ImjiN1Nv1ZYGOPoNlw2SjdNBIzxGbae4+UFBGMjZQ5SQMx79fm41qMo7IHqcxYzu4PGS50tGt
L1/+ffPvIbec6ZDqg2AtuXz5903RKKxSDHn1Gs870HwMYIOWLyfkNrDGNCyMdpW2axp2KpmKnWan
kkTaLw+jQzDp38Pf9/77y79/+/987+/fCjH8n7+tLuf44LaHyuAtCHdLOIcJgCoLIVJNFut6gldP
3Dwtwq2QUPBBKzCqo9Ko6f/8Ui0ctN0edII9MS3w/KP6iPKwOv7nX2gcrypuBTefDiD28MZZaj8d
/vMgMcGng0QbrGPTaRdmwd9X9f/+6j+/TKx6b6DIU1JZHOPsfz0YBsFiuhsp9JakAFhIrhjMWkc2
avMWaXRYkpagKwr2wuXBStn1kd/6/30vbJR8rxSSWTpZYAOfv+PfV/TxjKGyaaFHdb5JX7PkARj6
hhKh2rZp/z6EhibAnAtx6nNIP3UVlptKr9MdA9Bb3IPJdscsaSlfYfWG2WAeldT4v34dj9F8jF//
+x/8/a6//7QHV70KNbsMZnVUTsxw/+dDP9ft8ad3WDSFanr8exg8g07ov782eA7Yj/YMDkz8C9sx
VIE2thjdrRJbjes0CFrJ7pul+1oLgZ6BvkQ370pZaJcwZv6hpO1FGk4wa2l3Nw2RHFjbfuj4glCJ
oVBH2OJuB0EDYrVjTvoPptVe9w6z0FAo49EJhhFFFoC/+GSn+icCHWvTmWoHj04waGWCefx7wODZ
MQVSkD70dXMck8LlS4UDtIchHijr0GnJ8Z7hO2XE4aQguly0El1YKUEdRc8RMEOWcJk8Oiy4GFhR
x5fucA7bVgliJoyrNMHjp0JxBlkqL42iPszSVneFM++LckBW0I3V3nao0TyEprU94UTOGMdpkC+r
0tha9oxgTG3aYIxyh9Vxf01Ds9onw5Mdu8pLhN4bFvAEmRfEmK7TsaE1D/eOlyD0TZWtZL8cGLO3
0ZTRrwwU1iYcITQc9FZC0a9RhrtPVVXgkLESH3S6XhhLLBfcSUBSJjm9FclD6TE262aRn6qooRor
uhtpP45QKNrJj4PKjgRTQ9Po5ozJGuByMYyQ5a+2uhDzAxSvY1njRRiS+amcsA1OIZspS8gnW8HO
gjTl7z8kxjcJNJrNfamjdjEqYUOTYdYqPSY6E6Ykl34mkE3SsOSDmDSaIWKX1kvXNbOm+4Bwi2q+
eG/hJAVaXzSbuKAETQ3F3hV2qd5KheLUaeZii/9nvnmOiHDZyiVwY35XAfrfbZyQDpq2TO+mnY42
LZ7T3yqPkFVrWnarapWEpNp45bXQg6oAARjPrCZNrY62lLRLvvtCSc+zp6waO6Sci9Y0jH5LdbKO
JEV4YbFnOMT8P6u6M0AsBQH2+GKBA910uZw+EvwxTl22t0hkD5NbuA8A5Vd1ojjsEnrnQeiG3OoM
jmqe7HjU7bvpNfbdQXlLb2gUm/9+r0mXqbRuoaTqx/7adypCSFXcwCfHRGtkAI8Zjdz+HroCEnzG
X6kb6oznzImv9qyfQn1xjVZ0rF3J09Rpkbotaq89jQn5QZpoGWubIjoWmhIdGZGTkml0I8t4JjYO
F6GITzmwwhMVtmqcZWabLKYTb+lSGanpU7S1SF88o5ypz01EFVHVtRf0ectUhUJ7A5ALYCz40Usj
3BIHlNVu7WWk1rVNRUo4ARssjBHEWNhXIoblPtD28UTBn+yNND+L5d2YEU5/nSXiD+DqaBWFIZq1
3Uf/jIy5WeT12hHbJEbUUWc/WypnKbTupGAMHyGwnnph8gCbnzVhz2jGPdtcKcdcS0hT0diahoj9
dh0SdQ9D4Z1YLZKhyJUO/v6sptChuZjmTTSSkVFptnddEc6ttHAnKao/9Ka6F5Mzvjn0TmxSHT4u
zxagz7PbQRs3KQDttHduDtkNDxlhPDlCdDZTrHv4O1RXEAGvxMoxaVKsQr2rM0mdo3PaEwqqgy0K
m/RCSoF6lN1D1+bMiQrPvUQ4X4+qcLpjNk4Q4m3QhZOqykteNfIyatHdjvBz81KbfjHF4cXIGjfQ
qQh9V5MgXVDu7FwdEGib2/fI8F5qQahQWNLW6dLWn7thkIHp7lXJ2YwWfdizI3kweoymHglplSf0
3TgM7Wpq0hx90fQkkeKfcovhR9oTGz0X82ft1k+Djgk8TNXmqCRF+uS1GGwYmfCyZ8/USkUQUkXs
dTWTvmagRGmU4lyzQL3B3+6c6Mn1Eh1r1ggrtyysbd+gnvs7pEKorhjcUqQMsf5gN525E+5AC4zs
D+JvhtfQaafh2BS82v3oDEfLTEBMq04QaiiHrBYjoTlVsbaSpGQFbpyR9mOzA5ORAAGEIIF8jv+8
vxxcPIo+9AcmjygwhzE+C+XUWVHFb0nQAY6wWcDtp+rVgOUYlvJRJbtKUQVLf7txrkRCKue/N5RH
AhaUwnT0LbhFO8rz/SC97Mj11QVN7dhvCVr6RTgFc5+D69pqmrItiXVfjYOWX7M4jq72Y1RpyjXi
sNpoQL3XWt3wy+V7LrXFTtexPngh42LN5vqUhuFcxPIQg/daxcms/ucTPQFadCt93oseEf1YXf4+
cPPAGjMt+GNdKTCCKN2pVijsIunBQGcxnNCV6d1VGwpt1/LmXLEIww+kypcwzXQI/zwAKKAaKAtG
Fo29tXMzuYhQJOhLk/Q/X3XCYpILr8pg7B9EY8i21OLB95Ts1Zg6DaWYbviuZev7DFRAFLf6ehQq
LkCJSX0c5dsIIfM8JIjZXKZomQESBPdMsmxYsiW+rPGj2t0aqZ4xcLXGm5jc3y520i2I/PAIykKq
abiZanibsRb5WmdswlB11raRwPKc4TAVIJEDVUk2DVrkHSuwm8GaExWhirs9hKtMEDkL0AGLPSGo
aNs999hYDFcMu39L6410yvhX1RsUPnViPEP+50JhojvhgwOule7wa6eH3EKs3GUWZi2ufg8u2D5E
nrt1TLmZiuE66vC+y26PeJdCZ7JuWKIemn7edXG4HjRd2+gqXV8tgD8m0RN09v24HZBKH5Lww7QK
79HSYKjqbZ4S+RN4CTrN3mjRNBZxeIC8vI4nPGilmaicKvN1bls4rEbGsKzOVrm07sTf7GZiwuGA
y/Ng7kqrbChhp2pTsMIqjMUXMCqvxSjO9J/9WV3EJI2LUUeh5reHEOhouLh+EIvI0zS6up+kZgXj
Ak5aTU+uktRxGOSEge5KuB03XKPuizHjHG5vDIMBmwh86MAFbHR+69rJr70sKTOyL/AzoIbmKlln
fcmqrHgBesEQLg9qOmPbLVW0wV0KnDr6JCHbAKGKjsAuw6MndX2nuMu1M/+TUbpXVSaSqjI3p94Y
XrUI9VmtzWetGT5ch25LdGRPheb/YO88lixnziT7KjSuBzQERABYcHO1ysybWmxgKSqhAzKgnn4O
/p5uY7e19djsZ0eyWJV5BUL4534c/7qv8d2aVbVKO6c+1iajQQfLbTYSfktd90ElMmDENBjrwvNu
TJ4a6sKldZpKx1smSogN2SUIfGrFow2VY3+sBOkdrQGzV6zpOTLKZGfkr5OEVIJZoVmbZuuco8k+
L4yvljXy3i6H29Zp20vkiNtIBc3LkPdYNwpe+lTd02LhrVjv3LuoQ86bVYkKj3PslGM0Zbfu8KYV
/Qqimz5KGsBaqADojPExdhoNuR+11gtlvNFu8B5bYFumrLkEblzfhijoGDOsrRIawSU0MFk2902a
G+9mm+wtv3vMY+uuapp6kxftyVigcU5FnZoZuPy6QwrAem4OpMuNozaHkxIm5JMCrMTgQjvNB/Xo
kWWkY0W8aDu+/+v499ehLxRddoIO+OXbFfaTQXKALdWeAcSIS8je6yVoYHphvp/ElOAWwJNO+xKO
1JJtz08ZYBXlzYhtkDFVt07NaWvB5d0xbqV1IP8yu/pFxoAHQsq3FBfU7djfh2nbX/3A3iZWRdFC
Pk58PgGhGm6hvSnhvUzTpxmH8FXM8QuLALl/GVA9VYXNZojrRawmnVYBGBr4vfHVak7wRGx8cI+H
dvoWU9OBNCoeeMNBZU9Mq5xg8LctH2zjpPjCiRHS2uF9eaXjns3xZ/ZdLFjTqbOtak9w+12YkbXJ
ysq9MbVLHH0663R475QBd7ROMZhN1n4aS95vyyEYOzR/DFgMmymFBenD7eri+9nFz5XgRCUvUveb
HNEKDE//OHrZvDc00nKqrwSFac4QNClM1q9wPJu2ycreFBbiVmFivE+xhIcKZ/7MbE7jLvZZcTdB
J/CR8/U7QwGxGTHDvX9tuURsu7SuNwrl/SeYrhTQfZcWXEePPBet2yNjFzddF65otg0wetLqjbHG
Qr4zrcbczHQ1rAzExBgekRwpQfNk9mF5U75z0veAoep+0C2WAF3fBAVwOwRiPAiay39rUJk0MKRL
8zft6pe4jKjfQ611XOuxnakvle0WtdQs8+7NbKw/ohjyS0fYG7beUjiLu8wh4bZyq3zv1rY+T4AT
tAAN4oTbmJLUbUdfCuTMZAt/b9d56n7W6j12GaL3LobCIWJw7aPJk6NkAYS+saa3+TR16YPFsbQp
fyPPCPcqrZ2VKcAMBNEfOyvekgkQBc0pkGhA/ccLt74KoPJMfvTrDNa47mmLwGkg/pQyRmYexk/h
Gc9qUJjBFfOaiZMM/fQXGwImhGfnFsoCx4Ky/HHaN0cOI9by+qumFwFPBju4IZqPKeSoI1q5lXT1
rAS+osrmRNz3Ju4MRLAwb9fS8i8dI+JyitUWizdZ5DncjcAHVQFyqV6VTwZNaUwtmL+o9o0LD1Gd
if3Tsx9AbISbe1eln01Od5yOchR+FvhQDm9RvIQOtfcnKkd7H+UoTSnpM5NbJDwQ8QAzOovkU+fJ
vdPPL1PGUKluC7h9xD5dARGydo6OR9dgJ3vjlKXxs5F5jC27lBNM+enqGGd+ie1t9N27JVokQmvn
OqNJOUJzn1ouUl1aUwzRsrhAv6T7BHREqyYmKMLcNRVB+oGG8RWThaNXEbfxc9wHY2y/ODPCmHTH
TSa/m6wAsLmMfRdiJxPp0QdmkJvN1mmhYnIa3ULDoEAX0vA4bpqMZuSElSGxcRICnEnsitsdA2C3
svMdZyrmzBI515uI4Vlk9AVc4aQd6g3m0cd09M40Bt72Pj1QHL7Q3vrggupMsHcCEWpMz8AqUTfj
nP1m4Af6cob3QO2vF3BvycPm21ncnDSWir4g1Oh9ZDamHmosaEPy0GkRMyp+tSJM3sa+e5rYOgG/
yIMf/1sX375k2ZIF9yIS+cBrkpWjimsmvZsSS6zi0m+mV+1D/KGWkISM4tYG2fAHUmhFAqAiumFe
alIA4DnyU6Jwa9ahdwjFA1wac01lyj5vcVE5CAaVehwo1F3K3rTwzIOIf2h7+y5QnVZ0ivIe4+JU
Css5yxweVlF/Bi2WM1Hl93TFnJRp7lOlkqdkKcnjEsY7WcP/X4osw4LdhV0JVE//0oHJO8aoSzzG
DGfNAg8HbLF4O03gTsCnnNG+6MKogbJm+TOg2QNG1Q/TfBi66rFSCkyCTduPr20a8uTyxuBMbKbp
1JesP2HoHMw67nc6pBNuSJt7J43f/SygpZZNagXl9Jw39I4UyeekMrmlY4JNfxrvzYTEghX2uJsB
rXEebfZemh84VaEDs383rVnvupE3qfacvTl2W9OEs2QEpPu87FElDrGlotubmr44xwzyI+x6ooDy
oapwj/hp+ycJIaIuaUIiY3gUqT2DrM9lyhYSm9z9wCMQqoZsRlZ/5+kkd42joUPAqmXcz8Z5k6GL
b7RmklIPVPLm/X1K5OHQLO8f5dQA5kYuonGQnigWeZuFfIp995J1Bj6HUf/WBRWJUvQwU9R3tqT+
bMejwJAA8cq0nVfL6mw6FVUM0cH6gbV/xTrXISzCtpvi6DazEfbKOb2zK7NYx5G7MyL5yi85MyFM
3/IpLkAm4bmZnPkGsB96mS9QDXkA9nMlqOciwErq9+wFzEFhcw1NgvszjXGEunLDLXpdLSc8ID40
P9EptE7EJNYabMQkIXvZDmeH0sOHU5Ym2giWhMrIccYMeD0zsqdQRF77oBq3jA74Ije1d2RTP+aV
3ZyNjNkV3INZ5ZeKr5Nvy+GQjfoSsEhZGOIc5b2JUJ9Zms86Cn4nyUAOJCIuN+hRk+U8orQBOoxt
du7sY551s4+K7jZvvNfMg1Xbq31afkVGdcOz+lH/hehBm1SkbAg0FXzNKvPsR5QWpPoyRQM8fose
R857TDbpFgkJ8/DKyR57DFFcHFSkZTTInxoaWJtJaooG0EAVuysAhQ9icMgjvVB3hi2/h7b67Ccf
Mnw17WwaJ9GW77w0Gk5FcSxdnxBM8zoxXuUDlJ+px0duzU67GTVdgQbn66WSTHEmoLpugCYzD2Kf
IU1wCaTUkleOICJHkk5O/zS3FSjtptioluN/LGoTUrXfnVp2dQ5mH3jPgHZEDtADZKOz343zijfg
CZd6UKTBtbDjTTmQYhv8Cqah5T1gGMZIgtOC9i9IwkSdXRb6vLsbLPtFRrx+wdGYwqppNWuAgxlP
OPeUCRezgd0KCwbjtIeptUlNGAZolsr88S7u3LAC51pt0szjAYKjs5lplzpzSHptRobx8GC2pVc9
K+6KVRpXhyyvA/rqm52XJwi5NqGzrKX+xPqaCYx1TtQyec5I1MQc/mcnojR1OfU+FEbDWuBRMmNY
NWZs+kDW6Vjn1Jin+RYQS4zrjm4pAxji5MAOAxt2mIfgQcQkCqThzeuhdWmfb1F0y66FYVbjFG0x
xjWo1hna6dqS/OW2D+jSDQG2GFzpdGqBAvFfC3E/eCFnRBAkKzPI8O42r/5C8bH68KVt9YeusRjI
DvWVXpjM7g4itx9be5zvdZ6RdxL8bTojMcc7435sOypXV2kurdsmySD3j7iMuymmwMi9qyIRrsfB
xEzS5N9isFlN/Wg7+PkrewZf5CgQGDNHvoyNPCNR1lsnkHdWrW/s9sXNbLoty34T0L4FOoLelz75
IOrFsV+UDyGCwzZMvRu9uH3LZKQPBU9qV4JJCnIbq2eIKj615qUFoBhigtkHkYU3rRAf6cxI3vas
Y9GzmOtKHHkIWVZSax3G8qeKqbhzYa1wCmGx7tpoHyUgKysUq9wnvBzKhoQZ1SuH2u1JOLhNxUGN
vdqf8wfmdsSAAqJRRl4+6TLkRmCjR84VtCs7+i6QBTlTQjph/vFUj9ZdaSNXU3Z948yZoLSIxRFh
au9baMRm2k0kmvpmzwq7C4wg2Bk4EE1NiN9wmE+H45DdtKq4aQMmn7Itqrt05Gzltpiw/aRyDykK
FQ1idPk1mnAB0CiRkPyZ7HhnZ8o8hDWyvGaiOjv6My0zYFX3Nem4NWcXQtY2CcbISs9FMu64+9Hq
FH0qM8T0Wsa0QyO/UqzNCj6AdqAUimorBpIqQ52hCNPYjQWMipDmpyJ6yXErZMt0PVT6vmCTjuip
KvDAwRtjwH4uQoqQ2x4PqojzJ+Vza8OQik2JWDegRm/uz7EggBJ6cBhNqa5dZvyYRWWQG/FGamGr
+9koL90gPjQy2roMk2mVBuL613+DFFhuVA6PNGKmsPEYpazaZMgPEUtmaJvdyvcwbrW0V6+iPGJJ
l7zR4bCzJGSeKmckbpvpb9cOIGjh2rU46usk/gU9idXNoqJitMnytXP/rK3qxOFOHWSA4Sd1ibdZ
FZ6mmH6unSlxzprqqiklZDyOX21K091MHHNt0e4O6tU/Rst2lZh8cjoiI6WcYVf23a1I+hOeyGNv
ZOM1mcbfmpsp5wJ77Vkee2ZLdiAMcWdX3nie6KSG/z8EGxs6LaZILEEJG9Py9YDdUoG1WTg7Jcc9
O+8+Et2NO6r9uAqPQKSz/jeZ1WsfOsXWNrYdNwQe02HeUAbwWVmc6wcHUKWTY/ZIMfMsTcFex/jB
TxaPNgkIlsW++2Oa0UsB8enSzuojr7KJc1N3748yO8sGorZPYTPYPS5lTXHDlOyVAkeKTOMYgpCx
Cm2kVM4vOHQae947kncjLYxXjprTRfkZQ42ZW6gfG0xTeORKezrng0yvHCppqiGjO4aC05ga91Vf
HDhGn40O4oMxm+Z6ll284R+zMfeRDnUPnYgPJXJQCyOGZx8k05yM+zThH3aX5hfbI3erAMEn2Cyr
gg5AO+BrFndFtEVj4StSnHrTQ5qJ3Y3UcDrcidciASQ0GuhgSBqr8AYHL9+ENb62Kaecze+K55J6
9phll9dhquYx7Ch9NFTJFQmDH03T8dUEXN/MRMSjpaOlzWhYr4gOFEPjs82Nu9mIhuOUwBmax9+J
iedq1K2/k8wfzqYwrnnqRjf4bIHkpK9DkNi7LLETwA/kx+sIWhD5jrqdNkPjcMauoQUyXMM51id7
TdyjJRlD8RIe9CCOx0sl+PLzZw/xgPMIFkcG65ZffcA2qThW2Zg+mmpZMHDrUPjK308JG9bRlSth
cnBk/SRLYTMTi/fOyNKsJ+82L6JrkWNocRj3gfHgqlqD2dIRxTMpka+m/qjSD7PuXDie4yaYaUiu
2HGn0v1yQl5HqyC6DPFCTHSzre2Ij9HNHlrlku9U+rmRJMpnBSW2AmKBf4iVG0Uky7HPBcGn74e4
DK1bmWXf+O9fjFDu+jL9mLhbrEfLv6PvEaLISDJ0UopHzsS90NbDiYY7stA9hiyln3JNxW3ZMSjE
rL6b2lk/j04LzrmcjmRmbrDsY+jXJc1nigKQTmHvRXleZYJmSrpz2x0NA1v6j8FjR3LtYpofPDT2
JCJW35YpyEEuVz2hBSqAIhzrut/njAbXdpsWXIGbxZy0/D98MpZZ9EApAlsrTlBvkWz95sy4alwR
HGRVz7BNWh20p078Vk2CzzUPP4okvsw1GQMAnN/EFTCWwm819TsziA02BWjHphbbIZNfUz4+Yugh
G1nv6hZLqzU95szxN55xHxin1kYizUPEXpUrPNdlVa5lIkDf5bDy2r4/FmHoniPO6SpMnFPMgoIz
qyM18FezKPdl0VBFEMF9cFvYkExmaKd9L0xE037qDJag/jQPPod9wx221j4ZqpgCycw/1BjyzVRR
/2amH+jFFSQIOLad2/94FVgNSajPHNpiDwWcPlsIGmMBh61QmO1rIkXYyXlJKPn43+uk/PXyMIDh
Hc57b8heakzIQ0FPZaQAJ+HH2SZ9jLUaqNDgBwi93TUriQzOLpNBWSKyGEjXsiLZaPHBG4E4DMKH
4YYljg/MMvlIMkmL8ZxxwcB9+Ln0PHMHveaxh+bUOHemsl77BjNnXVu8FV5Az1YbRyjI87ZphSQv
pUosroQOJpyVnLtEyQmSDml06ZUMXY56FUHCnuosIyQtHMe4xqwIk4zhL7H4WPzkeflcwxJTlpGe
tQVagKQPn0LR4hAZz1Q64pJ0xvdcZeRgnOxNOnVzpOb400xIVhrchHW7LelUWDVd1R8s17wNJ+9Q
Ns2TsJCkGR0CUIhuNNddQkbqp2qiESCW/24XwWeZuaBtqzvTT590jAs6M2oFQonaCqADrQ16a4DW
wViJqbzLtsrzz6NhkiIiXMnAc9j1siE95GekYqoUAwNqkIkdpsoMgrsAe30PJCIo5KPTkV/uB4NT
H1fsgCkxQbWe9a6x4SaMd7OkI47x2r2RkcTKcAoLx3lputrnQ/XoYcm/jPBPnkncRp4gQIBKCSSQ
9G9jeiAcexIrMZ6sqC/P3WT/JrL/7noMh3E1aopqqx0TRVzRwb6FuCkN54MJ4Gdk9iFfO0jnwIwL
D1tsRDxGhRxF2/rLSPTJsMvgiJ/nTkZNdZ46jm3K7u+NnhhfZyDTRn8wgZzTEcpcECVfRJheZiuh
qBQV3ai8d9xk3DSn+liwcqCtOlhzmbI0pELW/ZhDxupfgvd+cP5IabEv9T6nKwSRfJSfIUf4dY+/
J5tB8ZKusPEvhvvMnON1pRgNDdimiX2NO6flwa2aHo3Kc1ZdTE8dq9JzUSwE9mPOQxD2BM1nO7rB
07Pjg3D3mA+I3JkTCxiJh1+oGXALaaK9HQv7MQ0ZJBVI+7SCVjBXfLKkzceYk5cfaC3cCMgskpfQ
CqpUmYQDJHPAnLm/KphsOp1p9mw1FTgDoagpfNK+L86dPozwDk+tVe1AQcVHtxu/o0amDNUCD+FF
rQNKPx9x1eMSG7JLzso8BWmzrwdB3W5ABK/CndngzV3LbDgZoMu67lE3XctyEm0cx6W1lCwikkOK
gQgnyxUt6UgpBCC9GvK3NtslHwqzLsmH56AhO9gZw0uO+gOPLbhzpHmfOXB3mtD/YlVGC7ZnjDET
m1draAxL0WhswmrTtXxtqCgRMGKrlqMjATqKytPp04arv0l1zUrQwrWnuz6kc23uDhw70AUoSt3Y
gfpSFf9AnL/UzEsZaGLRoqB3rQ2qSAe66KAnZqDLs1PSE/LM0MLspMY40dd/OkTiYRB/BgOummIV
5SUwt27ZT9oJx43V8B0fZ2gTREzkzKXMpc6xbpDkG6KSA1P0RdwTNTC+EcWqHKedn4PJpKx5ZcJW
3zKlu1Q+K6yWNwavkRblgMhcNO7doiy3QzG6G4uTVtJjnFdJB35vMD8KOQLrB4HhYBpTKDsDegoA
uNrfUFu+b2ZwOiUXjK1KjZdhYtGaJRwM4jeQH9DcfKwWZQfia5iL15kaJnquusE7WRE/LXft/QTK
ih+E/EqbK7ARRlnGzKSsC4/KCM7UxAbQl7jARqY8mtF0r0Z4IwLTDjWK4N5M9crZw6SlkwQSjo4C
q33XzzGzeZ+Rosv0vX3ukvqxwU4EvAKQUzehkGn7kfvVXtsCCHxdLPwIdea6gahiu1uD2w+yBkmo
EdMVjJVLOM9PrDTtKpvoDkhZ0dtEmgx5lotxRhLBkjR3GawCbuMeew7ha4dSp5UBB2flWOV9Ppy9
Cay2TO7MlDBHP7+V8ftoWEeHyjIQFdySldI8fbT4JKimHLBA+CviLC7VC4bNCGZMmL4zp98FzHp4
bjJ/u3w5KrIyTLIKnBTjeBOX7yY75Nph4sS+X79ZqDuVJCdYpnSf57pbj5qVZXBKOP3rhG54Nx1/
+C0ueeLdLSHgYWwvQLifKU6E7dRssyToDzOljBuA44fcAdg8R8O71wTTCsvbpDxyWYi1VeiVYG3N
axPc9XEANChpX2IfrmjwqOLhK4Ouv6ve5pTTStUB5PUqeWvl8RuHzmpdWg2tb0shJ1iw0Buuc2dc
DdChmF2QnetbHsKzN7oHLOwaI6AkZBMwmR9U+lMJ0s74LKJFRjDqcRcLrtqzjeVIBOhIlgU91QPk
J0z7k5HZxogTJqKJOtgLmzX7GtFc960qOWcNJOD6GMVUBYvEROm3rm3gWnsuTVCyLOnva9cF59uB
KJ4tNW/kMmnsjBcqjwLSMyhBUVvGR6N6znN6xnKovRZHJg5RUEZshjJMcfZmA+M5nVlJTM9BAxTd
WTBfnHqyU/YQ5TRDj5cgyh+iwv0t5nNFJiXgS56gTK6bOPCBAUFWlwMKbYy8wwmbbF8tW4pgg0sr
On0mWrpc1AEuouKfaQB8NWce8UzV/TaV34YDyi9w69tBCBIakX6KbfSCqlcvGOCJNoWsMZRRq1VT
hBtTopl4yJEMAAZmUB5TmgE2NXy0TydjvoT/4MuPODa5/viUIx1t4qFPYRegyLsCVZ9jVrbRHlxb
PuymvjKUwEjgOz+FFBd/pAsNjYeMRUPiuQW6EM/OZq7dTxmRTSSCaxFg5bLEEGrKECVsolCJAo40
1hnIfz9n7Z353w2W7NVwMIzpT2w3r2ns7rnYPIw0h1RWSDbWufJk93irUEhjH3hb7CKDEx/0Q71h
oNNjXOXJE9YhcnmQPMQSBdQ8SgqaqlVo7Kkr8WGf2pux6K92ZtVXQ5NzdOKGruwIPFmr93nU34q6
o3Kt5CI8DOHRd6vvkREBHcIkDmMPU7Am9Jj3dyXBLC7vI/gAZWw4v/BKqYk7mg56D2SaI6fHjRWg
OHut9Y2bTvImsR5QYbClrd7aAFM0NqVKv+PRuFdl/pg6/escYhtAE/4uA6vcdhzMqs494Lv4Tpsg
o/0u2uZk7Sy76TaEidpDIOXWGoF4VfEnrUAevBl1ccGokqELfayQJNcFMUeo+dOq6EivtDWg6QAr
P4Osm8icjZN2jGdMOV8xtMptNPRvUzIyA4ifTcC3a12QzhCP84RQ4GLymLMCBHSHJDAgt82jh8RH
A3tQYp/Nquw1zDiiN5hraV8S71YzoQipD/Z3z/tRY/NsNxzVjZDKkrS9VoY+dRkXkHJUH6kPb7EQ
7/6YZjySDPizJra3tZs89PZraeaHuU6yC6b8tQ63ggj0OiPQ1bWg843hs7fFu2q6OydzXlrBQbJP
7BNWa0ih5WYkgsq9/ZPI9KNocPu0vQVG1E23dolnVjBL8KTmIinMW8YE/cZCc9kmvLGmdkqMFequ
Ycs1RvUydW518minnNCGTkIOd0mN/1tHcPFnN7ymLvHxCKASUT4ImWLMHrXpM0tF2hy75zBAOpUe
3uMgz97qku6KtKo5iO0Ccn8x+e9qpxvYOMRbSJZNC1MCMnCfJxeZ4GAnA8QC2YxQIeCQ7Nw7X9EO
2S+hDKu2gE065VvgIHxM02vkguK0yvgMEEbx85x6a+mr9Gg40gwRXGLWmzQEFOMLwU1+iojl0jmc
johfQ0yyvbW2wSRfaE2Bm5sgGhVvWB7rXW/yk1BFcK/jHOX5cSR/LNvxV03ZbUCj28oqptseC9gm
aVJEXPGFobE4WwFBlwbZna8nrA7b3cUZsfdQyTszyV+8RzTB4ADWFAJyinmR6ii/HO6qsbvOuax2
Pkdym/2O4yWlwIbhHu2CsW6d3g3NcriZoqfezvZd39u3LpwmaRHC9jV7vBnjk3OT5ijq9FeU2aFt
X/Ks+vDiLoaypa9lyK9UDBsn8N4rm+Wmxqq5yeNuEY4pc9R2cAgt8RsOjICsutmIIUXbKqAgRXjF
MdbtpHYfAdC/VBoOE5jojZJcrlRtbPtEf8isQFAZxkvX5WqndGdt5g5DskeBOggM33f9TSDst0oY
G81RbYPJ8Dk1UWkt6p9oSsTsqvsJAtyAewv7J7EbT5GuLn5SpvSbxPdo+cTBlC1WPFFMP1ShcPDo
xiedzLx3iAgrLJzn3HLpb5yYK9oLGswDKTaZlVhBm5fiOfHxwSFtmxvbQ322JgaWYBOW7iDj2MFB
x4awJVj3FVEllYTeu+tAU+x9tITefzGR6veVZPRYQs86kXtWpazWOBoauCjtS1UG9IISSjMinWy8
he6Q43AmFYs7eQogtBr1s1tDLSHKqR0YKDoNT0XMvm2mBruSdOme5TAS2rhWw4TJb9fqQ2pbX9FA
Kadrwx2sCd0C4vDAnqMbjPdJMhyGlJLLaqF4TQm9jLNXfdSVxweiakoxMvdPNMiP2acrp6TEGsYo
5lJRsEW42eWmZCC/zjs2gdJ2v6fgPQV7YRGm2YDVWgJk1hO43nQ94hDa2Hj4N6Nh4o7xlsCWBTmu
oPGI0mhm9hNao0dZmB8Tx/Lj+FU7ntywXR7Z9aaNHRnHuQkeDGo5XQIYQePs4UwYqyjNLtXSa8Zs
gyh97j+j6eNx7Ga+msJABR9qCko4K7Q6B4QI0JSBHcfJ2vszgoSnr4euHkG0jpE4c6rnMVccYVK4
/y3QTpTAzr3v7B+31L8uH8SOLlp/I7LvykfQp7VoneOkSEK8jlwMNa2sMLso3HJ6mbMoKeJnVMOy
h4Sca/FU+mLksuRIn5QbA4VWUf0U4ZbAh23vOnxgayNSxm6yGV7alrk3y1ZAmfCuc19bexFBVyhn
e93pce3YxdWN3ryhvQGNcpYA9dL62Qh/ERavtlU8coFNYE6gLcvc3aZu+qxdZnxNlfwhU/JmUZsE
L1FTtyCEC1IFAELQz7spZh6UJJV1MA37mWqyUhZnryTHUsUV66tV0dnA1znrFt5p/aE0q/aEP6uX
uOc8AdwKR/ocfdYRFsp2koqBW/ysdHvQy4LiF2ej0T+RNcG/5k0vU3g0eHdW7o9fGZ+isr1dn6S/
bmpV+94yMY45GXiMmTs3W8dN0Wh5i8h5dMkFnjCOEkIOTc7/DuJzLQm0IpHcMDhjkQ6wjOch8Oz4
3XGNt5EbxE725Qt2z8c2MDsSYg+BaJvdbOlfayQLWme0cjgKK0rFly1fwBz4QbD/yKPved2RAcrM
58QPHx9GnD+FoE8AXiODq8gej2gwP1ibtir6YvkCI75gcJb05Oe8dP0N3rIxPyxpl5jy21nkGHne
O2dgKAopy6yOCeQkp5D7OMLUVQVnjBGYF6PqxDmfX6c8acKW5FrAkAIldtZ0CMw6uwYsJBofYwFT
2l4WeGKfc3hodHbog+K95lSQjNF5mrN3MbMkGeOu9N8bi2v5EELBsOOvzGAf+q6VPFfJff3uVtFV
iNfI/uCJOw3sgjkMIPiMTAaDE5aaWw5Gm7RqviQwiZZmx+GVwCwFfrp/DvrxhjH9pvIXQwW/Itxk
Pai3uuZd0FwH3LY5g3LInHxd4Dpgk+F0au7HDvew2Noq2AV3zEa2rgtSIhf3HDw+mt7Z+uE1RMoM
IufehVSibA4MiytBjowgdHgOc3DGSfFIgnv09G9kMwbtA3taDTT4DIE4yjQ9aCt+dSswDhxUNe8M
N9L3Etc1x/iVra197I1PUZudVIaPs75qq/+xxLOg7ojVZKWSbJtmPJ5QRx35MJkRd5SJLmX/Vqvb
aeIK9FfL6P8vk8dPLFnr/qfO1ZvP/HP6/NuZdrG8zT6Tz7/tm+Tz5z+VsP7HP/Pns+3++XdBezwF
8a5FB3zgkhOhovXfi1jdf1B9KgLpUWLv2B6V76psuviff3fsf0jXdC0vcB1hClfSntqW+v/8kS1N
/kXPtwKXNIHz/1LESgvsv7awBlYgBUyiwJOWDCxhmvz59+dDoqKWX/1/TQHHEAuTM40WNR5WGE8O
HqZWbkoQbPzlXVbQUEIly7+8a9f/pk3Y+a919ssPDgLCJ7CNAtu3aJr91x8MFNCqO4Jcz7FxGmIu
3h4YpImuoDre0d65BVjKGF1wfBxgkRjKZ07T0ixS94jAAPXLluhRYbtrB5L/wKOBDf7kjBIufYGH
YtoicB8wEz6kjblFWwPUhL8a70k1xlsPz9tQfgniRLhb1zIi3sAaWFZfFNVzygfWCHulLeRTOlHl
JeqL4Ym9SXVftgQ+lcTFvnjHCB+k8n1omw8veXCd4MnsTG9FbgGZNxg2kUovsVPtzZZ+OXyGk5N8
Qu+FyVaK71rbdz3c4qjAWtNU74xCzk1LySH/x5mf4NBFrYpX2V8LM36NYSZOWckF3aFvcHzopUbP
7CuiBo1/O+QehHbA+9O4X35g2zXHfkCeggF0zBqmgwFypTfF8abFsekAqzdCpj/pxcM7aaBtauni
ojKImePCt0j5jUmwplB1jZvim/wUU7CIK+k4HzERH5SR/ph032DDNq/4fu8sXC0Q7aq3ABV6nrMP
gD9cwTgDUqBg5+MLQWSKHLGGjeLZdMoro36v4tbk2SzHnSNvIW+cq+aCPfukmgw9jPJBOxCk+eWm
ecbgfaywWQGdvQgaWyR6Uk7IM9h7NI2C8Nr8X76fYqmz/rfv7fHnn3/3lgfDMj1TuugkPBzBUl/8
Lw9GTRQCHpTRPA8E67W/MUfOJC7NCPW0rRP33hloRKPDgpullSZPvYzOcUDNOAJglnswIbidQgsG
vbjnHk6Tk3EqHbbYpH2LeD9ybi0d6H3IcQdrwSXOE+TDP7FgUJngpwZDngJbcSyAumFwnGpSIUWZ
38beUbfDZa5c/uMXfRaUHfAFS+Ulbxn2urgn0VrsIcSbMZ7rhfUD7Hk1dgCFeZjKMmVQ2N+1dXdU
HWEqoR9MjXgd2egnvr1tmGs3Sc1or1/nubvPYKE4cf7hUUiQ5e6lboeeQWS3i4FIDURdC41ELjws
/VP1jjntNPfZrWfhVyACms8p4kdxLRa+fz7SbjTeVXX9GEQg2nPjjFTESfIuTsqDHVjP/5u989qt
XMnS9KsU+p45NEEGCfQ00FvbG3mXeUPIJb33fKd5in6x/qiTVUfaypLm1N0MulAQjlJbogtGrPjX
b9qSnCg2AIObnEte4d4X6HihsYn+ALoiJGM/Sc49mNOlj++2E82LqTmm1QBcycZOmy1vw94f3e2/
Mhw0g32CaejCsMyj4dBGZYni26puStW5zi3nOsQtSXqLesA/vimhqcbPGcTyTiP/tTehY4WHmoYb
obuXaJwzQdVp9mfhUOAhGO4D21momQddj61/rh9ycBT4n+eWq1wL3PTRt+/zsdg0BrdfpWAUwZWC
U35ZFBuzN1dCtoekT5G50eaRZEwVDZxQi1QfCydnpiZD0EgjvkYOO9f/EdlnOc1ANy63bh8CWoaP
bEJ7dddU2brvm3sVRkuRdrcl9JO8MTg/HPgwWbGqZh7VcLuGbMUeYKljjTWo+rKlPVfUyYnST48j
P29beqFDdwjgp/a5tScHg1c922R1CpxeHTyMKhKjmaOioXXYY907LkLQaNs/D7XukDj6Cmslchdg
2hYlBVjDOM0way5uhdWeuV2+zqJnx0Y4hbmF0hPgZz/BGJ4bOmT+stw2Vb7WeuVA2Rr6tKfrzNrk
ODGGrnL++ViYCoIPM4MGnVljvXSkpk8r25uZIZRWAo6SVzeWF68z676pma48c+UNJj0GgG+lwseW
9lxnrpWQZ1FVq1hibSWdBVK4Va0QOtJzX6cR1GcL3Yw2yI3pFi/Vetsr46ko9cX0fuWjBdRewqAW
EL7EiXTEWivvWu8id3Ms7Ju7yk43umHcFG7wNL1g6FKw/oXeAg3dHZzNRKCXxl1JNsDnd0H+5iYY
KmWLrQrdsChC3t0EEUMQtaKxvsFr4maaDyk/V53e0NPpMOVzw68m5N8eUJjQxaQpTGkcv4C0QRBt
Uy/ACSMkIlvKmZwbhBxKb4fK5oa+xg70c1/Sj8S1bNZHd05HwFZDJtEUvSrddPHFLTguYQyTmcAW
tuZopio+JNiDOXjS6NrupkNZSe9lozgQWZl8Rkus2bjsW5soWOjSSSxoxIs1KhJk+FfdK0fIXCa8
iiOnWit3JTTRENyQDsyOrKwab1zPe2YWQBAu95lf3PdTAgKqEDjMc70lzshpDnqbndtVzEJCypZZ
3onRI27APEkD/UaEJSvziVVD8U2H5g6E5jQxUXKbkwm5sS8LUkeIR6HrTYiFObeHBsmmCZ6BeNF+
qKhMdPxHKwLbCsrBmJS2DEpdNMAuReiPhyFRDbM+tde2O9xqfBZdRv7dS4wLmhY4VMWsNrpyXanW
vjf8HcKv7osxMY2xt0u0YdIAtg0V4AFEQGrTi/rmRcw1VwS+z/3HhGJddkAwsfvHM/5Le51D8FRm
Vfaz/vfp156yHNtPz6//49/ffTe/+s/rv/3Myr8drpbXx59894vVf7z+2HvJ5g/1w7tvFshX6uGi
eSmHyxcQoD8O8uuT/7c//NvL61+5JrTsf//bE+k49fTXvCBL/+3Xj6YKx5EmtEveov/1eiG/jvHr
A6cPCb979ZJGDzDBKj+rs9/+7q8dji6+8SjweDCFZdiWpJb6tcPRjW/CBBJVVSrB173K33c4uvmN
GovnZ6sO7uioHP+xw+FHUlfxqdAw3zQwEzD+yg5HY3/1dphM3qm6rrHFEAwRzuRovrYJs5QYTBsH
EyfDblBZVJUtJOlyFibaTFXvAYIvTaQBYzPcZpOK+s1NO/+419GnPdSbcfp6ApQvbEQYsYYmjvZY
tN7w1iwc9aDhrJ7CmdEV2MlJQ30+AOuXUGp1j1ydNjkfJjVjZabnVl7dev4z7K2TxEM8hf/UYyfC
exq2z3Fa3Feet/v8NLXfnaZgShM6ILYhraMpfeiKCBJbrh1IJt7nrbJolHUMFXCaZRLTe+Qtu7X0
h2SoD58f+WgP+np/mNKl5LisqcZUir95j21UbElVF9oh6JRt2fMA0upUZ8lve3kNgHFqKul538nl
54c9mr5tmDfsPk1TY6BZjiGOdqAQUOHtp7Y8YOlzq5XwGuPg57R3eT3M/0whTCEWCzJP859PIZfZ
00P1t+eXv+2Dh5S5qKzfzyO//sCvecTQvtnSABYQPJjX9/7v88j0E5ASyBq2YQB5MDZ/ISWG/EZB
Lk3WYOASUBQe4y+kZPrRNI7tf0wkf2kemYbh29fY4OVgEmEyk2A5qn30Guvo1WFyxtkF+R+huOnZ
5JcR/t0s3aD0OG56J6RGklhZzvzJLtr9BbyxjDD7/mYi0aYa57MzmGa6Ny+K79aR4ZScQYHGaGoK
VRiTZpTsOJluyAme2wW+oXCL6pMa10NHef7rQ/kOAXL+8hw8HK9x/0+vhmBsqkX5/NlY3j00ATqh
twP4z1/7YwRL+9s0i6mqYwngPmHxcvyxEvITYVoq/2S/gfkM/XWEmtD9mHcncPDPwat9c1QJ2U78
Gth/CebT1Gk2ezN2BIMWoFFjBws2bWnHo7dyWYVd33BXGoQPmL1BsSvGEXsYNW32Sfnc4vG20EVA
i7lrL1LDzFCXWjflSOvBC6yfFHYhRKcWWXdJnnhcjN+b0jqtsiQ6G5wB79KeArc7TcaeaFPXR80T
Oyrp6C9qRdRha3T5KjKvIhMact1nDqE+xKi1hkXijqE8F1aIuwQWMESYxufhQKxn14fou4oXx1La
tdm9JH11i+CcsGdIqZjxJ9ASlWKdEgCbU53qtoG0p6C89WLUKjkWh9gotN5Jb6sE0ZaJsxATVBV3
3bbwNfZqKhqbUEcI0QWQZPGxP3XjJtngvYCyJTRoHQhoYxAO5p4WXIZkgP1ooQ/hSIVAp3eaM30Q
qxpEDuEpps0NxMOloRaTiyM2BE4zIkz0oX0iqnUvQwk20w/DQrUHfzW4qL5lgOUWOrTzSHUvsoxu
fC3JG8L0elF7qP1Lv8E4RauuhemW2xgrgTRaGVkgt3ZvJ2srr0GiMAIIRNGSSkPir54OF6qM6UsI
EnYtVK7rvz4D/P9ZD/96lT9F/88flDhQnvzgQamq5jcTAb/9ayJwqIgppFiSbLYnxjSV/5oInG8A
7hLkgImAFdTkd/6+lBnfNEfwr+wqbWaQaVP996VM/yZsCwTZkJJ6VqjWX1nKePOPZgNqHoB3SeNB
mDQonKOSq2iiCGvOAnSO4hdgucNhxu3nEI0IkbXU+okc6a2MjRrmV+eT95kcSgIu4MfYzj5RtIEv
MA6gIh6Spouvo8nBvladnU0yaG8OPwcb6r/0kgrvZcAHI5bxvBqgeZsAp3MJ/Ki3enGheMkjQUy0
qjcwjsFRYGAFWHrtmWOwMMiLSRzzasC9xSk+3Y1u7rCnx1tdENlwWdbYPzCZIIsV9coGVbRHBe2U
wH1WwxEQiNPaF5gTK4E3rJIBomzvo2yvvWbtNsW4JPdEQzhncVFEce0VsOiIhDMsxlZd1iDWDsgB
wR7AR+FmY13gUbKbWb0KJD3SNupeQoSQD8ppmyn8NBuax0nJHdarUHetq6b25oEC5SQYmCOswXVg
9ijtzLLUF6Qm2rYYI3/hDsEaVew496HF4+FzJdS6OutbBAfGJLavbaueI6zYoQGYsxN2zxX4ZMOE
AHVRsQxTB8P+DncCH22u42lyVays+DEzCYQRASGqqR0+SdcOIdC0cMF7t9u+fikz9d4px3KZNKWw
T+IsbLZlcJcoBBb1PqBdHEAM8pzrqHS2ZtDDkJ4IP56OswfS2tZxNnqlrDFdkZee5lQLR2vSg2vc
RiOu9o066ePd25hIlSWagx+Oi3irqzw0KSOUffyjlpgg/DScAoP8MsJMXmNrhIPZPHBo3wz+pLcv
D6XvZxvXgDthesyHZabcGgr5lyl+wyAfgp5+DqeiHyCMywgmUpCoG0XNMBmhlbuI2a+ihGx2VUIA
lgu/zR0671qpH1EDyNKyNjgg3WYiu7KS7kWzMaePOojC+P9nDZ2VCtZxk7Z4uSqcN29FYTsnrpVM
9OzIBHdOk/0gi4PmkIqRNxYiFs8GGGlQD5QYWlQ50TpVRcs+w5cAqzZ667g3FTaxLoq5m1w5Zzi1
a/BGyyVgTXCNrxT9AFyHQRT16NBX5nlfV8Mi7AOyD7TK37VQ453oWSmwKA5rYPwBX0mHgLyFQxgc
XlC1iXUEKnJ1ePmf+b8eJjxEn3CBf76R+c/y4ZFu79VD8/xf/+ftzP/6e39M+qb5zeJ/bE9oGmnU
emCYf0z6hvjG7h8IhLldtzRm/z8nff0bYLJqqZDG6BLTCv3HpK9Z31QMiigmcQzRcLGQf2XSN472
u2yODNOgAgQFEQJbj6lCfLN7wJMtimCHIcF3zB9orswdAkJrNzBRbrRRWGtZObyg5ihPYWmT/CN4
3b1Kr0/tEoPAcFSevU5RyADTw0Vu6rA3lJX0g+ocEVxwDoa2HEdHPKj6SAKi6lWrV/tQtk1A4TKh
vwBbqwkj9UDUtnqwrfYxMnsB50UjY5ijIcfzz+zC7M7fPKnf7Jv0IwTo9cpZji2HXjpgj320b8rK
EVPMdMqF6nK05c2UzjQq+fkgvXxZYgW8dNJY28Ck2CcJ/vlu6FoLqaGs9Cfpvo6mvFLjTT5kIems
HjMO5gokjPRQXzwsqwKL9o05lF8gMkcl+3TakuxXRhhLNFAn5cDbB4ZxN+tDAMeqEMMBqFvbUvRu
+maEgBa5cEdIFETJzLr0+f06gtqnXbTUYBfgq8huhTbo++PWGM+5YDLZCRoqsezoxEJO7paaJGgq
7NZ1aC4+PyAlz9u9yesB2VFjWACzwVKPDxhpdGwk0/xJQT8M/TgSpwtfwzUmF276xU3VPl4dlApH
Y4cE48EClXx/dWZvh2YVQgQK3N7fqsmQHdJquHA1qZPfmVnnSJvINooy9UYIwjqJFTbq1tq7nX7f
YPV0BklyXSnGFKUYERKW5MEX4/Xjc6cso7lAb0mCqx5TIwzbdK3axXyzzvNwY6HO3GGgtBUtOUSJ
gc8wLs6nGQv6V6SMo6qQ5zB1cygLbZZakNyjW9PmauM4Be8JRiu66GmgpOl1bTTJtYTj6RuNONfs
7x6u6VeO5ty5yN1mJg4yNPCz+LLA4HuemEW0fP22adX40pAa1KWTz4fLbx6hTWd+KstgzhtsEd8/
QgeBqd+wnrMgI/p0iiTb82a84PlPgeTkA+acjnpBKCOs21UQG+lFo6ivSlSM3omMXSYZ/lH1S25m
11VY28vPz0//cB9piU2gM1cH9s2gfn9+mBL3uqmN7ESNZqd3Ctx1BCybTPrkxgv84zLerpXnokDm
Al6yoPWuXTW5SZUBPmCnVadi+pKJUOKui5JXOhDQtbTpNwktMIxhonhFf93YYhy8aLtkWWjD8CQL
bM68JJJLESGxq7ym2CF4n39+dccolC4ZIo7DxgZtCR3A47ZLZqm5Yw0CsWVlXpv9VUdo4HPkQnfJ
K2Tb6saLtOqFcDi9JHgoMJPbtKCtHQ7V/vMzee35vcE0pjMBUwHyIxoXXON43tDzIE8CzUby2bNu
OJOFvOpsw069ZtqEd4LmfWVmyt4iqmcfOukPUcVnQi+tPYzapTsxZVw8TjHQlqsBCsh9R7A5BoDt
Kax5yHRjt9FxIqEwr8Zt3oXtee+mxZKEymQhMGBJjGItbVggThQOONsk2glePN4mFvoXN/31Uo4v
leVLg4OgO5K92/shhVVMqBsK4IYpTYRzDLANtuF0hUkBEJWrXClV91I7hVjTv1ricSFQ5mstRp5j
iQQI2rdqwB0p9eQMT+dB19xTUbiboQ/FpUmn+4vztY7A0unRYOQjDZ02uUTxejSVBBiZjywaqL4w
58mcPMQapL0kHQITpSB3T9s2QnmGJdh66OtrB/H3rg10bYXqa1yp432PbuN7hjXKEjePnn2Y9lCy
GbvSXBNhg2svg8CX+GbS4kd7iMWqRtgKfdb8UGWQIWNhuWfSK89eAxlotMldhbXIJqkj/y4zoOfG
LU+wl/C/68ged2GXVgs7xQ2sLP1y6UOGuPZET5AGcr+9NTho8A2S7ckoJCs9GMaTtHWTpZb45crX
rds2a+N9U7VPiSzxvfFzaNqO/ZxjHHzl252KDYazSbn0KxsCfKZ2V15qI7yEBvr5S6F9KPNMdSok
0ZczibN8HK3eGEpkpoqROzFgidhAwIVA8iOgaMG4rn1sY5UgarNLyNvCXYyqiKJoMM7U3F5oSfAS
I8W7zBTD2HxxWkfYtaHTaJn4VHSCLU7MOZoTh8pq1F5oPvJsPKF6YvTQaqjjOjYwiLHDrkTfk9qz
bDDX4zgcMLwpk258aQNwsaBpHz8/naMldjob6ilKDqARbtTx2WCWWft6gyg8wSxkic4SQyxfnYUo
5EZ1M0TKU9Na+VcsounWv3mJKf11Se9AmrrjgAl9KD3sIPZzTDFPLBd/dnfE8YOkJx+eu2fcGEr7
gDs7Kdxl0m4KWv3O9IHPr/u4GfrHKUwnoAM+2bRZ3s8jVoLmv3Vz6OkPmu+Ry5ur150s2JnWTrvv
c2T/Fv4wrfSupd6iRxiar8rLowHKKdBrk0LVAL2pyY/Xj8qUZUe6ondiKN0zTlkDZgvNcwyD4Is6
4WgZng4E/ga2zv8pqI77rv4QaLleht6Jh+hjiKLbRiULeaAzUgJfFBC5pKiejNY9/fwm/+YCQdgB
+w2O7ohjcK1TaTIzl6GbxSV5/nqFsRJhgDtd6xeH+s010lafmgoobaei4/3zjF3LxGkSZmZueDiN
FEl/bnYmkh/vTk3ae4Fn+QHgTqwBc9AVITc8zfSWUChYGz8aggzgjcePvo6vWqcZ/QWCKhA+EijL
g6h6fy5cT6J675pFlGEdqgjscEqooTliPJISgJgwz4HZqC4J3Rp2HSXg4E3gSLmuUwIHvLIztkHh
2adhEi1yQ1nLGjINrxsOdTi3EXBpRD/KHmvkzMPdokbwa2NouIuS5jyizphEqM1FYTAV6zpSgSxD
xo6HSHxfWaJHm4OqXrejJ5tK6tSMrfFUyePxiyd6tGdgJAnWMzgKmFCrbPGP5tS0bu08rAL/JBih
+KhVfwFyNDNQUuHmHi5IMYq+2IN9HEOCEUuBO7EX5IcxhPO836e0EU+0or2RTXfTJg1Sz/bm8/Hz
cfgIYIWpmtM0mkLHFxbiwJ6nPp3LWqODAXfh2rNwXkHBhFGCuxAIsZQqOwVGzL64wA8zMLfUht5O
z4uXk1fl/cANGlXa5H3hyqjYi9Ihuo9QAvfUxnL3JHB0dds1U2ySvfj8go+r1+lRWhOrhPURrgEF
yvvjjoMVR6WuccWYYeLugpeCFedkyyp5srPqngBPiXdGEjETp/hYzoLSaZc1aS0ryk0SCfzqi+2e
9ptbwZrIImSj6+Oyj+bkNsUAJsTBFWlOmmxpZs2LkmwtVcEGdbTsyyEMVFIrivjg+0g8B2m28xEi
/DzPMnMVuIq59Ah9DjoJjlr7W+IPEQPqQbv+/N7pU5H5fv2CYktXA+zIAJg6Hi2J3nd2oRB33pKu
sGsSKDS45vQv5LGWg6HiANeJeV5H3omP5neWmUm/ZvorTsbQfVr4Pvl85eTCl7rNTrZZdjJIPduj
u2eXphDcM3pElQVaw0ct5xCrjfdFFfLxPeY2qyb6YLzPuJSjKjpJ4rxBn6PMinK40cZ2E1TYQ9dW
fcOvJSeh+GLe+PgWwxSW7JMEuwdgvKPBpoWd7bUEf8xAxF/fYps3+V95iy2aTbSSwApslcL7/Ziu
86wHgiIyILNJphi85m4YKJu6vEwPBGs0klBlT7WjnSrx2vp8UPzmEgENMAZj/HKhx4MXLzLbMzRg
NVaZ7TRRJWqw/foSPz45xpyYjAJBwmCaHd3J2DQDKEKClNfRM7Z1uVYcEInMxYZVpLvQr5//6mVh
T8t+a0JmqaaP2+Wmr6CIrulcVWMZ43Oq4gNhdsALX07BR+AXExITsI1ml231pB4+fngyIaQ6xC0P
nCK9wk3zj3JQkcOZ73fiC2ziN0eDbTeh1CqTLiyW90OFEM9icKvenem4/503cDQrIDa/L+xlbFft
F4NDNz7MGGBAmqbD4oMtDDD+/nBsEYNAEHOMwxBu4v2kHXB188TKMevH3YjECJz2ljhuYiyh9vFp
H8SPsaWeWkSh7is9AzWQKQ7AGoutzJ/aztgjqV5njucfjJzU7nhIlqR8WZdkjVWzz8fAx8WRM54Y
ToCg0IuOid7uUKWuHBDh6XVcEAEzGT0GI6kIHTIY1ScgRvWwYIkMrOst+WWp/rt7RzuVnQpoJYrp
oyFvFORD+WQMkiPcuCs5qE+vRVtq0doPnW6VK567VEv9SsXjaoNHBm+8iB7zpjbORUW44ud348PI
ARPWNElXmt7xR9AtwvN46Cy8Z4ysOeVmBHMFnGvhyB02VF/RvT8siWxOBIQcZjTGKLyr9+NGIcOu
FRyNYNfxHDCBIA3zNk/gV0RXOGiapKWiUPj8Ao/bBAbACg17B0LqVBJRG7w/aJOHrWLhuD8bKlN8
zzqsqrjqcO9k+LIkKkkR4QgCQ3/Of9Kx9IcbzUpnO/dFXeZ70sGqXZBeDxa9EH30LjApcho3WCI4
sxBrwPYc6Wd+BWcf9TZeT5q+ElPw61A93uTQZ6xs2KXoffy8mNmiu+idpF4bRqbi+Vf4c6vPJTqT
xqTiwXfTuIq0MvwCifuwCHDnHAg2NqWqYDtyNIepYWizRzAo6d3EP4Ruf2GrpAPhPPOLgPJPOXDH
XazpejmY4YiJIGx8KIxd9vQZfpvuDAvtZtP87GvQVM9ajaitCL01lXnPpHNZ05vHesWHPSvsbShb
f+dU9aGq2waYJ3JPMBnrUTYX9dpX/fQ81/Sdx4M6Z2rB9ydpAAPw0oxaZ/ihKTlBdtWAQW+an1mR
rp76uatuSyAq4ePZhAIkvfJHwCr2aeS6hUQLfj42tQ+lF8OSjoXNjoD2halOc9Wb5h3xhmUuAmRd
Q1WLJbV8ReehnffsfXHb0zZ9nmhLL0qHOcGf/YINrn+OR/EpaSrRhT4E53ntfEHb1V9r5Xf1ICc1
bRscyUabivDoham8rktpxTP2ygw9WY69nm39sBtBjKpd2zPAPHi8irfsAsueAclq+3xJDduc48pw
IQznjJa+ig0U2X8y8LNL5tv7IMXmN5bKkpTXu9aa7Bj6rLuCxFvPzRCfRZA04mcs5xGXBv0CNMXX
qRsDM2zXySSeVNQOb6TYvQ86T39k1HbrpGxtCtMrUTjNZa8oD/XYpQilSK+3DSLwcor93FPInTbR
lybUS6dEThDk3tLhYHHG7hhH/rNBxx2n0NRdjB9D3g4Ocn8XUbgrUDommbEKWra/VZ7eSOUQyzrZ
lKTdzTv6W2D21XfXaONTNQr0dSjdQ+7Xh8SXynmPfQjAp9PO0xxkWecV0t1iBoRi7428Dbe1rZ4R
WVg+zzuMqEfHGrfQQJ1dkmNQW5Efr5jqLTaF942mBRdtUQQXY+9hC4r7cTZu48hp0PHiPWjZVnSG
cha2W2j3yzoe9RPTCAn5M/O7LmnENumxbcG51NsStBjj7AfXDZZGude05saPgdYVVvm1kiEVqYZo
uPErmdNS1S/qtH4p+tK8ynG72+q5wutlIOptdOGhOlHMbehgYE/yrbIgLsg716GyoXTNnhMPTWpW
VARcAUCdVnm2Nwrsa2UpZhCoxAE3pWjPJIyWPtYPKcrB6yS9t0rMZaxQGgc7T87tVJrLqA3l0jVc
d+9ggDZqhnIAclhGHgF9lVaosPU8+0D85HVYZsO6ieyXpiYQCo82tiyAGD0dPrJvw26Pv+1CHw3z
rGvEMPMk5D9vmEdtPexatTxXfNJuMF82VnlsWqSwsRdS29ZHjYWNcQbyBTbsGqvEN54UjLivVT9j
pPZBtssLtzgZxrw9IxB6g4kmNga1M+7a0UDk3NjamSHD7wZa3qV0S9x74mHeKqq3s5uouE3LG79g
3QmLwDrYJVbNmteU6yIW7Pk0LFucMY7Oorj6YSZpduZE1k/L9LMLnMFJSanPqqmdl6fqT5kEzsGO
xjsx2du37j6tterga/2VzPAGrJpMbvDjXOMZPVyNtlItYizV2Ka5B3ewo2Xslz8UJK9brIZwHi4O
RrCj2dCea62HZhlvz1kRY3w52o6/NkyyV1WHzPOqU77C+T5UJlBXJ24rGTzAq7wW7+fGisK1x2Od
8ErN2Hga9XrhFyQ9qZj6cRpfLUEfIQSON+0LJLsu5CTHAKbbjblq6RS1lQHG5zQqKFdLhWJY5dqJ
SJeEFFCcpCz+JBDiIFtEjEczuG3NFC2Wkj58vjZ82BpxOtSoEEQEkzE10/vLt6XL3WUynUUmeeMD
Prk7BOebXi8T7EPsbCMj9f7zQx6XZ0y2AI6aPrkQAB4dNzizsiMvxDWxxcsxRxSucCDStsaW0kOs
CIVrch0z66C/+fywxw+aw1IV0ran6wgt4pjBEpKNOJo1hx2JXewSmwl/qsdtUPPLtL38/GDHehiD
ozkqMnAaEI6g3XlUg7rEejaVr0LoSptshwuvuw80nJDUJhmwCFSxJ+prbUU6DE5ZBtCkgivgF+v+
8bOdzsFAfc7GHgLLKyP07bIvyqhxByP5texHEeEaRgP5kWjNuSaoBBAmfwVff+gRvB6UwW1ZVCtA
dEcDKsAhPNN7SspWAVx1w2TfZGG3sDN8fFlyT3wzWqoeJGmsQZPHNMi3aYU13he3/7imnM6C1i5D
F8Dp4764HzIvN+2GS7fGEDvO0pjzyHQYNyVt8zJaJY5SnnZZm+zj1E6XyI+Dg++SRcqKf9WlHQGG
jWaijyDv5184Nx4HSjcGIoDw0YwTBIFrE+P4a89e5jZ+bV2EbWxzndn2geySYie05LlKtOwGA3e7
Kjcj/SQ/V5Q7JdTGmaIo3cXnZ3W8XZ1u2MSIQKSC2OzjnkkptVApSncGzOAf3AaewWiqw01UGISM
Sgy0AgK+KDFxg2iML3aHx/XpdHBqctAZMaFrx7hCFOZNgDmtMms6Ws9Zwu7MyyCmfn6JqCWO9zs8
YvxQEAmBB9mQo44gPHSpZGFlWEI1KZYIIsy3mXQuLRk96NHGVVXy8Qp/EadDeHCM9MUnggqnIP07
+NhT7acEfjWn7C2tpRzGue6794bZkqKqqpuSmO+DTsJR6uJLVyJF88efXpyRrVu0GP8VErCVvSd5
v526JIelw6E8lRsPn6SZRxbxRprqjaPoL2yhKV9d35lHjpatU+TQM09fNaPIF0FCBpTpKrQ5eOmx
yS9ONbZvBx7rrM0Q90m9IlnkJdRVsi0CtzyhhfmkRXW40kZtXmN+O/NTaLZ191NJ83ZbSHHvBm6z
Fk2+U63he62O3r6EPYtcCHwW5p1hebiK6cUyA4/cW3ieZnG1beFB7Wrf/V5mEIv8Ao+mMbFOGxK6
7eQ+VwUq1fzeNPH0LkMBnUIJlBWN2lNmy0VcFdhZ2has3fjS6gCUVINAQzVw16Nmr9uC5Iu2AZKp
JxNeA+bcOu/tBb6y6qlwQhwr5KZuO3sJF4uUA6u46lVxHUzWv2un06HqKdpFkA/XaeMs69Heaz0W
uFkkcDa27Uer8C7h1D5bI2aZhYNckDQnglcXIhictZ6cItCHokGPcYTyXKphv8o0UiSrHghxVDE4
dlsySerQAf7HINxsHJtKRVu5UCATwtBncWdszIPf3RKYjC04O1lYf0ShFim1sYX3khTQDpyGgJIE
L8NxDLKZL3xjJoty3avgeb4P89fTvCmkx72Kc6pd1y+DVRtAPCD3am7mibVIa3c1KgNGGjp5kfh6
9DO1jsNV3SQPdRLeT0j8Mk29FabTJFXo8iYhrKjF/lFx9oXv/WRjkRKbl31v24H8WxQyC8MrvjuZ
eydEmqxgquJWHJHTXVr+KYnBddF9111R7St/nJfkjs7GikdkWhfSfkhJNF1TSHSkeEDIhmSuqe7P
iqz4mvcO11gGZNHn7rx1bKzgTTYVlQdkmRZiRrjOzFZxqDbbFmfFuOzX2MgmcxNGfd5hWZ+nZ1GI
36+EJDGvA+2OACGb6KoWJbuMl35K+GsK304x0KoP2nrM/HRuGniWjkRszhyj3+omHPBIFFeDpa4m
oGCGS0rVYx5asTE74TW8jtkoduCZQaZekZd2UWbRmdVRxGe8tkFtSHKUFJcEjgM5nwsuJuAmz101
dTbOQF4ym7k6Qgg/ggTVTb7ChPgm92CLlFq8xADsBnYOfbmgV04eRacXcyV10xM9SM21WyunUYiP
m20qL7qMbpQyHM8Fb7JdRv7lkPbnMq9eMNLsrmJP/OiYx2J2rvdeSjxA3T0rGDmucJrj5MdyEYTk
FWLhR6Ok6PJ53OMsNsWiok2g6m5gCfjGXMvrl7CIJVQln4hJVx/mjf+9LbAxszKiJWihaqHarKrS
UlbWSPhcbPrJeQXBfuErzovukx6lGG55IYfmvhjyJ7/xCRhyJ2++VksOIlgmxImuWjNS1zjQFdey
jda9BjxCi1edSamSotvnpL1FDYqv5syifwgnHeY8ls/dLOSOkh7VzpB+OGyUDW/TtqGKPkm5L/PJ
xDk33E3kj8QK1FSvoX8bmhiS6JWI5q1F+6TNrkiaZM63EnpJxJtobdygxMDP1xxInIFeHCxVd5cx
rSxLyQ4za4inKftrdDwrT8fFGVTkpAdtYB0mda1V79oY7k3Vk5Q7WpG5r+MaEyrVabdDItaOrOrH
zstPszhe66ZtPbKc732MjG9Npi2ck+w7M1HWLqWZ6pLN4uudO88GS26jobgO4hLf2h69RlAa5IUC
aX+PyOXGcU/AWoqLbm94ySyvNGeHIZRJpJTabjwA+5OhRjfayFqZYxFEWW137arwIVKZ1VBsjelL
IfICcY4TLHt1yGeFkPllSQ71YATe9esXrzTZCXjS3PWRc1pWpLNTLuk/Y7dxz1zdAXLwvd3rdwmc
gLMRYAvSZBltLF/JMfU38GRpPUBlvhOmSjywr4zKstTlDoGuvSYGteeNy727JGbGFGoTr20Z+ndO
ivlKY6vBgbQa7y4jiwiLi/xqpJ9x5UHC1JP2meyQfG3UerfXpi+v/4W3Trd3WidosN7uEwyocfT9
8yee7/X718+8/tsfH8ReaFzRY7h9829/fub1byuvf7Guy9Mhq/v10Z95/fDRv2Ujip8xibepSajK
KLDLCvN69/rFSQfMxFvyO/Apnr7++aPX/0olyVljmOP0ofjs9bokBE6qsV+v0v9m7LyW5FS2df1E
RODNbZf3VW3VfUO0pDnxCYmHpz8flJZaS/vEjn1DFKQhoaogc4zf6GijtjpmTkOum8d5cy93jfbf
rKnx45kKut+lWor9cxmo+L7myS5RC/EjVHmMJYj43/KkTfa8LcRa04T3hrH4LtZM8UOJEYFNAkB3
GViffccbGmduT38z5LDHm0b88EM0eOrSN28IBrvYnMbN2rbT7q1SisPch9viu2Ljv3UbvMLcGdWH
646m/9xpnQUNkT+sPxrOHkVa8c2p+G/bcfAqB94uZq01k1Kt+BZGhr4acjXYzruGVG6GCMwb2mX2
TQYAKKZaoEOi7YhoJdOiUXxTapwjWv+UIQf7GI+uPFWhfOykET6pZDuekj4iARh70S6UZfgEpGU4
CeFcSzXD/Q+HymgxxKm3nSvHFkbYSdsAbaPp3AkY0QTxk9ZgfjJxXBv1Rf/Xifv8n8CxccAISwEL
SBWocjnBXpvQojB6MGa1y+JjxKLL1YLinyELXgjwIM2GJguA19o99hFTrjbTsD1S+uDVisLvc7fh
4GCwYA2faOWOi8ZykmvU6/muj3V3kztm8hg5lYMYJG4zOMPP3ceTepyTjdaT1VbeWuptvc91Vzvz
/icC3afqu+lV+7l/HrG3CpTMm+qr6HZpLXQpTx0OzPrCNapaNa4d0f0KPURzbZkX30evrRblkGpX
n2nKVksUsU2Skh+MlOECnHL13IgKKwtsf+KCuaJfCvESNxEWFp4NojRWBWo7irYUiMlv5lLMGOJ1
HEXB2p0qZ/AGNqbhE4yedh1hqjtQPFjMTW17rTIPfclXjQRA9tIZvO39aHifCyHsaddAy/ZzSwIt
7ROvBKyw6WfelO7LgG/a01x7bJpt63jxbe7JNPTXDLLweS6TbczMxofTMbeLuxSDp1Hx7xcQOXgV
VPEQbu+DkI25CrHIW8+V06iCfcVS7tcFlG66a1IPgb1pxHZMFE/1DXCe07CMJOpPRVz+zG1hgs81
mpWTxkx9wzrAQ87Ts/uGDEp2BIMpH/K+hF/yVcdKQidZztXvR5X8FpdFdZibfPUw12DKmR3dWOcE
92IlV9Zdknz+0eH949zwj14RBQ8WCnkaDPEYitljYb38H91NRW2PP0Fcmbu59Os65t0/GkdGUG4x
VD7Px75KvwY6F8ybr2sRaWMvHKLm0/SZt+p0m+6D+ar9VdJp47nJ1Xxb1eE5inW5w9fKODmFNE7Y
JDiTmxgAlLqOow0eQqG/jzHM0OoS08mqLzc1U54NInhYtjiywwr2d2vVj4pFVWUCmeDfJXNxoxsb
T5ba/t6FdAx7p2vF0Rmqdlh606nnemrF36CCU4F5djPN9n/3PddRxuDdK0teBzBsy02bps1RB8Fz
31X8xliNEgW3VpWo15r9MUOH9lZMeXEm1BcA3EzSBzlJnxNh8Ecpjino5NtcLQ6Mm2iS8NiSCAtR
0LYf3Tx1D/fdyg+eJXpU+ETTYO4yjssXbLL7w71LX9VfMeqtDnNv8yYQ4be6V7NffaBt9T52Q3iv
cR9WYn8EqOzs72fBbug7pExjf++yzIKffo6ZwH1X9s0/zL/qX5VJU+IenEjmrr8v0yuMENMBchy/
BpUikz8SY959jaqrMShVif7u7nX6kNUsRDp1Nw9prkhUADdaO+p294FpyiAJ2mflrzbEs3Adbdzs
j34Vi+S9ZEFyPzbfKFuOrHyIf2+/+k7TlhDC6Jrbe9+t0TLpFa26Jc1LhrHREEUvQRMBR5++K5Qs
4fFqHSyheT82yCiKQcHhcfpm799gPTn0um30q09W0Ap+n4W/+bpug7Xowu5ie3M/D/Z5CSauWBp/
ja1x9Azl7brf3MfWpcz4M6w2N1CYGQuEPwww8G75o98+SJBr1qt0cx9fohORGJQgRJ+Bn988ABKj
vK+GBIHx+ddlKy5ifXVh/dqvwt6ESdxqTAmne1B5LLO9vOvX9z4bNQOqWQ/1+musgYo+fgaScv1r
bK4RLwdLZOv5lLoGmaRWr03t4gDKy3mD157Q5MFA+38XFWVzG0urPmus8uc9TPbKDQIPKE0nkX/S
y25j22WHb4ZveCfzv3dZ82+8yClvSZ9Vt8EiG6p6w4Y0LuKX8+5U496++0/pfTdpLfdkZdjjTU2z
aTMfCvgmvrqcD0UcUt2xXxVeqi1ttS1vHqHaE8vSjTKdfa4vMic6G8JBAI6+/H3ZId2KV6q5ZrXh
nmpLv/fbK311i2XrIoyEj/VUeW4/H8KT8I+z/244t5lrtYHj4JNlbr4OZVP3vxvej3dYbOWkYZcY
YW40jTePG5XFrbJa94zfy/LrkFf66rmPPz0nIsvQdTdyOt0tDxAs7JV6lVu5dghT8TJftoaf9bkI
6rUC2XPRYau8kaVa0y93frpCi4fbQzZmYjeP1h1c+1Sr/h/XpDWDfcql959vReb3Gr++pGlXxTNm
bj5fS5v5FplT5de32k01pt35zvlB+a9vNumplcxfuyr+IGmtrwdsaTYaROpbo+afID2NNE/e/T6I
UPofEanMXOc9xv01G3XjnMfRpeY5enTNSWagt42t76Kwn/lu+mAW6q0flPTQe2MHzQhyoIVr/Xuv
Y0LDPF45wmJJnzBXfgw1l+dENeKi3oT+ckD6fl/odvQWGt7CwL7hQ086e92DQt3MuzjQWdVCJyj2
LcOSdKdWCUl+t/PfgYhhZuTkz53rJMc4Mg38nrzgEjskYK0WBnrej+U1dPL2gvjurzE1ATnIqO6D
Ez61yROBiUcjbKx1FPcEiPoQ8fGos15dDdMYVTfHaxtkAjl07D6aLBuXOFH0xxTuVANui4/zPmvK
X58MPX2r7XrYfB2aP0WlnNbtU4u5mVFZsG5CZH7vfZGt7o9/tJlPkKSJPE5ulL+7v3cz73+1mHel
RJfB7FUWFPOpvtrM57ufxRQeJvep/vHV+O/aX33rSkGws033X5c4N8N1h4v/upTMETwhAw3foa/b
8tfp59pK41S7xHG3X21/Xfx0fV9Dmotl6TwVo+Ju/hjgV5V7O6yjkpVp9s79Ds3nvFefu/hjDOPg
HlC/+ePI7+/u70EXPbrx0Mn81Vz765xffd7PIQoN2MvQ//wfl/P7u5x7EFGJg0DyWrbRNXWG/F0r
dWaBqqyvWZxl23YYhp0t0/6MegczVNt0XguhfK+bof2XC8ztyvwH87DkQWWJ/BLlOFSyRlVPIqrk
vvCJ8PauWYO6Qjmn1vPuY6yCQyWj7l87jLEY881Po5v+dp5ZP5ouYB0oBvHBMwvzOBpo5jSyHJ9F
z7w6aIz6Z02qr51OHobhqxu24Td0+/NlrAzNJdMCdyvAq24JA7SXuWCuwqLn5deIJ5anWf20BAoi
huUPz1homashCszjfOIO87e11XfN4zyseYC1HRL45ZzxEB9kbbcfCgnPhVnXNZKvXCLJEbmfLxtX
Y7Fqk9Z4QaYpfnBAHv2jYSY2RO2/031DTs15HQT2ilHfdWf4J+Ou73wUa02tvs43v/KS/B1/wOv9
Lpnx0pZJ9EMJSU6g2Nw+lQbeuZEU3gHzEe/gkKhYt47onpoSsnSJAfUPrJaX84in75WcAVkH3otQ
O1K5L6HO3TdD0WOL49cGQtZdvFOHcoVDujgLLQp2ozfJjhpYEwPa6l9dFSe0pq1w59S0S1Ym0DtL
nrEiGXmJ+j7sVqesF4pvwXVljVRjE7RPrIgp4VOveeUnOiZot5fWczgyOUpMLzhpXSRBkPIWFa05
bOuhq9ZO6yADyQN7zwvrA+A88B3FDc+tpkTHWChbKUuMtYZWvI+OfI9ilv41BjNOp6YbQIvpLklx
HFU0vTpZbtI9RmaxV23wQ2McyFU8iVZbOi7ZfYkBm1+pBuR53zjJMTdPUS9XvBOjZeDF6jZrEu01
q8x9rxkvYUs//A+SJ/BN6TIb5QZK9vgoJCmNGLrcaZ8n/rPe4xRTGVFHEJblaJOWr6pVetwcjK2w
g9q6ERx3t60jXijJS4vW60uJ1kiQDcUTTk0/lDazlr7iVScRqni2SKNYNUHeLsshf6rdQV4gCg3r
wFCajenhSDnFosx/iL6+220q3kQvtSUMou4s4zxZWDrKEgxM2bRVbV8xs1EXVdMGHy4EVK3x5XMu
jGqt4Re9N6YNwSRtWbrWwYSDejKwXT4NSMU2lnGaj4AD+ykcrEfa6ZDaiX+0qFIQ2cnCg9CtfOtx
X08lM5+1obTJLW2vtYf9SFMxk9RKaI5I/vaouSyi2Hm3g778MUr5MkinfdF73PAKiUcMWJ9TU/Tx
CddSfadF0I9SF8kzpmjJm6ozDeh8wrh6cUQkRzlaltKdsErqmQ88u4JonImGxFsCH3xVJJXcKEyH
Hgv88+BmLEaSpm8yU5UllDtrm8e591Ym0a3oFPWGor/2iI3VwfLzYVEacbzr5XgiTQyiQcclUdad
MjzYBEJPKYD3GtH9vY4D7Q9Cxy6WlVr8FurAhvLE+V5pmN74Uk9XhF3B4ju6ubWrAdMrK8MNtjUw
q5K+tnRaNbwCn7Jx1gkWaEQlt64RDw5GpLVj+99ljFhOImGEWQnwN7s2rm6PsFthDTXBU13csMLZ
Ysv6Uw4iOQsvtpejliDFpprJJhBIZsy3qCgCsol6kK+z6WbVWAeSTPDTQ9qSl88Lnr7E89epqMdH
uJALOaTeOyxx5cGWJMvG0c9WUHD5DhtgJUWSIbroFe9jiylUmOAPxm9GHI0SB/fSzPexXCIZVx6J
e696MB1YDJHQDZXY2gfJeC7zAhluv6yvkPYQW81RmbJqLF6zIn1jPoUZxGBiEuc6j3gkvKEANXz4
KMkviIEXRzSv/jhOJPQb5r/+Ti1QU1iKtr2ihiz2Qs2hzMm8Wqq1gtG7y4ywQmthiR5bvU/wm9v7
zoQWD8qr3dhHJTBwFcN49WgNqXFohhedv+/FkwRUC+E5e4ln8QUe+6rUjaUSdCvNynDO6R1vM+aF
WBvTbl2Mt3YkRDmKId9qRlVtk6bFgw8trJtCgDof1TelH8rneZMOz/bIlNAdMgdbndh4AS/BYzch
yiYz7km/7luZL6XqtNuaXCrOakV+GkeM7pkZYqhXGEeSTS5m4LmLBIr/EOE18MZPJ9gMgfEK4YUX
jsgypLQU4m2F0ywwiDXXaROYV6MBgqvZYhUZ+aQBr3eHole6QxUm7wFK6gUZoMY2wVaSs3vUsdp+
jIlb8nO+ZvBId2NRhHtp4xaZaIr9SN6G2YANU7YdS+dR6MWTjp3spWsJ/QzKe0JiAEqF4QYFOTil
fsxjazHaMT450NbXTNrHTeUF4zopVAwFDZY3nTF+NwAYLkxzdC5eVSrLUkhS1UJ8s6qiuvHcJ7/5
Jqd7V0zAUFXDS7zOdP2+q+jaDsM+aOM89gR29kfNKq9l6IJpJOmCqaV6AUJYiHpVY8fxTFa6uGU4
F1mB5j/y5niqRytZdpGjPir+s+rE9SVMdRwsAxzlDXlhrOZO4bF10Mo6WlupRfqrAacjMYtZKGmw
JzR7TkPhvEcFP/iilMfCFzkI1lNMqhbko9U+95NlRSMn4mb5PlhvQ2yZH3AAtRVEm3pv+UUFhNrg
IVS42R5op7GqyS49xGB11zFP+ZW0Fecwb/pYQAaLXqNQX2R2V15GtI5vg9T1q19dmNJlm8rNDcCt
YLSALj5bWd29G1rdrjrCDrt5l8mHmWF8gKyJch0Nbd1Ytfg25CzRjACBfLnhGsfdmPruitC09SDs
nAhDIPQT7BrtZOdhQoCdpIuZacVBq41h6ZLo/EzJeDeydVaO6wdoaIEcU2SBfXGqR0vLq6IVipQ2
pm0mgSiNMCO6rSXfqm8vazBIe8urjYcoVXf1mA/rCpGHU2UU8SN2T4CWDV2/uBEPaw2xuCAaig9R
gK1JcIyFHtc+czPhwoZZtoOVn2xEjbSaT3oNyrkiJ5FJbWdVVbrmhUyiJYg+AXT7zw4ulOg5KAcC
7OHZJX9KxtdF+8wTyi0uYp88/BAthwShJawKyQE5ZX7OjXM9WOZhhq8GTXMovYprd6fHmxOKF0LX
58BrtIOPnh0BoASovEjwU6m7tWokeDajZfeBlH0y4iGnZCJYj2EXH8y8AwmKCUT3XfZmGCKuUJ5V
By/Tnj81s7pgW3XheIyEuq2cHlGDBKEnvbLUc5EelLqqt1jFXDMn88H2qhZWPxKhkFiDjG3qiMBZ
udwnIWaPsVU/KhXU81xqLWKcWv4cESslduX0l8w280WWK+qe96h4yPMk2UYuNuWD3rcHRcfMcMhJ
5Cpk7GVhnhNfrtV6BMwfoAwSxyiDVLHlbTrJq5LXYMEDy63JkCn+ssl74At1ZUMj5tm5luUHgM3x
NWmKcU0EU/80M+d7GiWXIPGHp9j67PRePCIxCuIhLKuVZgY5Ep8k7m0CPg8W6Pdti+eH3SnpvkKG
pHOT4WDhG7zqMSQ9xISC17kXfbpFi4VcnHjLjGyvZoxi2Sn4iOC5iqeA7WNAbQf4ymnmZKgK2mTZ
1U51qUqs7yrcjpdh0yPR3Xc4vZNIRMofbIvtYnhQtp76022JcONXdPXxacZNBukTFcGrVVor3hV/
iLga+6dEABDDhi146IrBWARV2SxLiBiXEC/WvDLMHdKOYK28tnvIheMu2rI0NjlgpXwIrSN6eswz
SrM5ybwtF1nUj4fS9w0ezYO57UKjvvoJBs9JGOQPTjUwuZqeTmmsYBwoDR8Pbq/ylkNIzmrU7PLJ
z9Kz0omAsEo6oVdJnWkqywPF1y8Dk8AnH//ATs3cZxutWWINOFVhnvIwMFPZoSGWrLR49N4HT9yE
DlfdUezhBGZDPpgl/m2x5gZXGJuXotX0izmq7iLmpQrlYPzHFsRwHGc4tqrP11GN6ape4xvYn3of
vpeR++MmK65wV/dCT7ctEONvtU7OegTFuS4VMznwRevLgYHjRvw99vL6Wqt5d0Kl6Mw3z2wccbUP
EkA30KzDZ2g2oLyLU6IG8QlyrXlr9MZZjJEL1gtrroNSvhs8et/1BQKvzSL3gRbLLh9WhaMnH8Ti
GHwpzxC2/ZXuvfqdV3y3ogimotMM69TGahLQvz4J8PpvSetXS0jVmMakLQmqBt1baCXGHhXc8NEi
qHcC8vjRNp58ZTYCPzrygqtSh6wytLFeWT2oBYls+kHugVwbL16klcQsSHBo8DScxHwEBle7y4S1
20PZGLu+DVNjhSCJDQDBBD9nNntosc2+70LWANMngdwVUxJ16hrdK+yWZbsfp2LFG9r9125ComfD
m3/tlUm395mj/LH5OlbmQLGwhHKWSVx3+46MK7o8ttaRh7ABrtS4gkwamFqXqVvD9u09eh/KMha9
ckUackRW2HIusdZqvOSuZugrO+SktkoHv3q067MA4B/kmnbAf4LZXoEHB4xAAhS9umrisVlqVVey
gsX+L4/SAZuwgWqozh099Yi5jblJzXBfwnE7C/6LO6niCF5VV5CD7SltWaO5WdZs4qbyUbSZCL2x
Yr8iFQcbydAxGR/jk1mAXovrHKEHCSAqQ2nvEEjHXhhiCl9a4Oyxxwqdwf/QxE5pjeiIuHD/4KfY
KqVmf7ME6srSdZvj5M+AUeX0cd7EkWzXFrmxKXmaHospPV00R3huzDQKTBeP834KuCQtDHsrYXRS
YPjmOjTaf8qoZDc3M97THTEkzbMquHFxfaymzbw7b0DYF0tFNTER672N7qkN0JysAo3DJqg6PoVV
Vz9kQdysRrVAbXaeUyFYh1EtkJvEHhr0aaeDfiahi9bDKoOSeMI+btgZCehHo0DC7SHueuvkZN3a
akb/moNWKizW2LXE9h5BB+Mwf6ox5lzncfzvvOc5mfnr+FTt77q/j+lMgbDNnvYTTz34blNsfaFB
3/mrCS/V/6WbMmTwsYZh1L3x//X08/Dnrr0a/lekJLu/zjvv/nVsboD+6n9GbkrbW6bBgNva71HO
Tf64uv9fP1/dJmWx6HUD7YHfHfzV1Vz3j3O6KTKCXQf9vhjEJcJY5LupxN2DZqbyZuUB6zEcaVdW
MqQfmq+QJCyN73UB/BzVw/gMUqtjzY553NxUD3+CVVc+EiHyVQga8sDyUr12CXGquUJYe4ckqL3X
xnTQLNFDc6u4XvLse8XHXIF5avDAnzJ9yge14i5247qvpfJGqH0719CIC6AoHlqXMXAU5r6Ay8fM
Sb47+dL2XahmEYxRYWvGMYlz/1yA9ryPLggzgL5j+E6cKF67Whfu/bATj8IxiBRMly6z+nnU8+TF
zMxkq9mBsbGywn3RouY6V3ArpFrCqOxvtef3e3PIJq8223kfmXjO90Zv+nGhwAI+J3klT6HCDHFu
GifPPHyKz8ASyaqWbXNoYkKAlZJa95NrCa6/KiF71lcs4wiNbkfS2U+RiL7PPRiq/CeLhvpJIxK1
Mx3PWI/M9t+chJ/b9L1kJaruquMoGAHq1kF0Eugza8xPn7XRVCEYQGimSukfraQ0zui51fdbgyDC
sgf5+i5xbVuNlSb2Dn+pG1AT5rtT08YLn5RCVC8w9YJtmKvOprbq8aUv/dvcNwFNQtUYLt/0OK/2
Sp872DSOw7vvh8u5RueA7auTtj8HJrhwNMCyJW/6paNHw7fW0xcCSbdvPkCatZeX2jbk9fUy1MkZ
rKD36UwyZpxDP6dtGQJVkS0S86H3qTj63ojs9lW4wN8qGzu/rk/ib+D7V3MFWcAZxpTJOUY29ybM
MwPc2OB+JpZ4ZV4VP1sNcQrP7UHrdKP2YdeXuRyYdrgK1Do+VDjAPGZ+TVZ8bhj52D4mnovfFj9y
tctYC0wFevGS6k2DD6WZrC237XZpX8rnPg1f5nIPmCns9dq+iGhUjvis8c+ZLqJpUTELfOctt+1q
U2Z6CGhX0V59T9nNFVy771Fxy90TPBTnrEYSOO50X/hiLqk/Ni9E5KytExoG8+Yqe8+Yc84tvaDG
FrBvo6Mle/fouspTkblnUZTZUyaU9EmOKF6jI67u5l3Ypv6h1ouf8959Y7Msi+XYHu6tkjDaBx4K
j6reWvkiFv5N+MyuiqlPpLbLbRLF+HyWxq9TuAoQKqVgsjfVIEYP8F836uXc+3zM9B+bvIwe5zZm
JdpVk5jjaq7gwIC5NdGPryFbYpumAINLTeLGp4z1W17yfOhF+oScc/8IJYj4fFa/FfUQHWJB9H7e
zWK0YzRpg1ecSn0svR7SnJtakvx+a8Sjm9TZq+KE9qWylfe557YBKUs2eVzObQC3FMuqFt1ubpPU
2kumyOZaWUgDsZyenl71G+Tm4iRK0YHg40QQNrKNJc1gzSOjfks1A391TI4Ocx/SwrYuzvMn6Q/t
Y0MEem6EGDnOBJnZ8LijkVP7I+6RqsbPg8EGLXNtWYPTm0tL88JEpHjtTM24SH/8mCv1DRF0JEbV
5bwbop2LWHc43Mfu2+Klhqt+tcq6fEG78mGupdu54EXNSiP6jDp9JO/9nw18VvU0NtV4siKnWHkZ
1zGXzgVf9eZPg+D/3nSGs/wqSLUeGMe83wxAl9M4CTd/HLx/lArxuCLVd18NJx0Gwl/ROUHz6RhM
I0oGryG8OQ2pavPokDUYw2Ya7JqvZmFWZVutSN6/Rn7viVgo9pBFxnTuryZWYyIoHA/1vRvYktqD
mxBQExpaiQGphGxaogrdX2M6Xb0TGkbRa0RwXs/Uo+0N4YkQjs3k2/TPJW8kfgJiwepX/UBtKaBR
6W+1vhneTEzkiJs6L70e7I28yJEpr8Ol2iTjQ2kF9WXe+F1ZXzpThJuyAZX/V0GS6NpaqSzl74Lc
hS0TM6bF3ILAe42BIxuzyhUATzkhwekc87H5k4Y868oXJtP0/y4IybysUBxCN+i/C7w4hqcRxxmM
7f/qSg7A20IXD9Sv7ucqosTQuOocUovTWOZj82YM/XRpAXNZ/VUQT+66eVGXfxcopcStES2n1Vcv
8yeidjx70NVb/1Wg9hA8pO/Kvwu0GtyPVkrWjtN1zJt5GBBuUfDUNO79VPB1E/0Unk5d2PW94KvF
oDqs6MoJLvTfXQFAI1xSgT/6qjx/qiYCtjEa498FXdn9dOwo3P3VIAE1QTamuR+PUMU/B1YIII4H
wA0sb7rylD69dRHE7NSu4xte7gK/ei28efGIOj0LuKvI9WLlV7V37WqFLBhLmStRvXLV5Zl19dqg
XnksLa8iw9QldaV27cKoXXmmGK8p64JVp1ndNSAmytnC9tpJ/n2pVKprpw8j9Vx5DYShcrauuIKE
1ejPzK6dFhgrmGDJtRvJ9naBEnG2xKI0RytBL3BPrR3/ogQECz0z8XCKUd1VV5v2hTSHN53NugjC
RVxbYMALVxTqKeolaPGHSBHUuwQVZAkv9jsodn28TiHaXbqSNzL/ovritWZK6VBeREaKwE9Rk+i6
Kl93sRCXNKiLdZeKlLOp0M2UPr6IyinXqRzCC2xXvIfNQTmnUjZrHCe9M1XaNWFjB//nsVungWad
u9jp114AViXI4pHSUD8HdamufS8ivG2O2jrFiBbepKuvOy/t+EQe3ui8iNgMMRvi6a/IJAADCnsy
viJ/1aVQz/7ofM5lDiDpY+ryyB6mqsjShPtUcfvFXKo1XrwlvGcu56YIm1XrrnGy9VzaY0S+VIiN
beCza/swLccFKsjmFD1tD2rv2S+slSFAVVl4nHdJFMmHpFPH+y5L1YnS5qUnr5HOi5Dpv5Y6Wqe5
biKjT1al1Xkui536tS7i8DKX4R36OIaFutXyKNnUqSPWRQEiH9yQzZM8rFBJtD1rePDRP3vIGzta
pxpJrz8rGKJcJrnRHkDl/Kd6pIR8RHFr5yruee5n3gTDWCKc4JPi7GWrL+Z695Pdt5AOfpAVcDdz
9Xw+N69d2FSKzPg6iuYUIWSxyLoo++ws97FAiPM5j8J+X6RqvEqm43IMl25ix9+qCQjFRcGr8zLn
XWsew1BNP3XNdFYdsjY7BSH0FztAVnFqZxtjDGupEtAQfPumoiIMW40GQ5HhJaIY5SWFkXAeEYxJ
2jZddibWLpbTNVeTaQfUML34HsTjrXDt/CV3EvyZauBjqgiHNy9kLjxXaLVyUQzjcM7hWp5g01iL
vhTFdzGgEida8j2d0aNV7REdR3f/uVPzb3NLrNRKqOVNdwtEiqpAInmeuKn/WUX3cxeoZSy71OvI
/PDCK8oIvHJYFyfyXvI0f5qMpo74l/91+L77u2ooWdPZIoF5Nx0LFJ0+pk/R708VbiU73JUIR3A8
1cqsf/irnsW1EIVWNl/H7+f5PZpK6s3aGIiH4HFIB/fieRjzZqrolz7ULPhPfxT+7mA+pqHmslSM
Vrlf1d9jyUdjONgIotwrP1ZCvQxOnmMJxSbVRtLrdnYUIvmHJG20lpZJYkvWxInSalcZ4AUCN0X0
iFXJElHIFXEtAoJqHTwajVIj1TuwylPC4HE+ViCRtoyRdyQ/p74gldJ3LMN8KGJacOo946fFGuJK
clHfNiNmNpYz+k+6NdnkmuYmA08BwChqlQc/6ZYFJMolOlKwA/xk3Ufih5d57l4dw/6Mna2xy7vx
VoIIUFPtCK6EcFBhg++zoryDISsywvypusQrp/9omRIlJbqco5F32wans05Btz9M2uEW1NUyGPX+
Ct8L4WbLfgxw4iHrFbpocigA2yTZxckGLIpkvcoSqfE4RdIgxqhj4ytNvDF8ma9sPU1WTVSka1dV
+qeuVYYzUponpSGgXg9D96gZtyjN3vvGDC+K5xWvTd2DCBbR47wXhRvl33AozWulDf1tdIf0qsl/
YtQJT2UaPneDpexSpQoumBglyyTwtPeg7fdZP8HO7KDc6QoYU1MGWBAGYMxVLm9FEOAhVN3+Om9q
IhxnWK3nsLfydye3XgERPBTM0fW4si4Vs0mQto67V1S1W5EBG7YYLJnfNHtcI6D5KnsQjkTBI59Z
pJ/okE6jfJfIzl7xrt2HZBHxIwbpAGmndVcFdJSHTsGbMNcQhSUmaW4Tl1dDyFyARXs5IhUBnyyV
cOZq4z1ENWhpWgRQCzmlsIFLwHcjy1O4iEdZUEJ/gJE/GVoUvzjNs2fayTkOnXrfC6JDGM+debdu
3EQJz4VnxY+qUrzkRpzi+HSR/VPotNE3WMQIrVb73oIYUOfBv8imIO89BQ21DuujuDPlUXXXIoiL
/8femfU2jmXZ+q8k8p3ZnAegq4ArkZplybLDQ7wQtiOC83h4OP36+9GZVciManR1P17gvgh2OGzZ
EnnOPnuv9a2XQk/VfdpfGBdG5zzm7yKuN3nKOE0d3bmC+Op5eEtdFYslcdRbaywav8wEqmD6n7tW
hjX+f3xrUk7O2iQ+SBPsyeGQqCchjMFHMjg+R8z7IEWsPTOKvptF/l3zZg0ouWKvvdQHEJifiskJ
/Zgh+b5vQmvdIBML8EA4wSd8itBSiVHn1i5D6ILufWFW0X3TdUESVv1t+ZdccuuplnxNacqfFVpX
q2SSysbKrK9DramnvK5NvFwrJUZeUhc1uM2Iit2pLX5KrLisglq10nA1XgyGy2oyVe9uNNirHsrA
oXbFk6dk1Z3oEBGJKsSB3BaFP+i0bgyFM/TYRzfNcYqDEztia9pRfGKu5e7DspNb6J4rsUy/28Fl
9bDb9KAMs3sMES+tww4aN1WG3LWxXuyipBnB/tD2mDDjvql58zS7Y4+L3TMAzJTDnR57G40FTlfm
XTbkzquTKHciIVRspc7hLu21g8Oc85Hrv1qXwIwY1JLcnhhyIKe+zHfR8hHmpZzZ75DvySQ7KBHz
kTXa5eGkDPXFUrNuHxIIBuDMcHZjy2E+F6LB754O1wo+Er4DsgJ7M0kvTGdAYyCJQATFM5ozdaKa
DfOhCiOPlC2ShifGUyE2gW2HAI4KQc/o/2TTWkAe+BJzNDSlqI/G4vZLoPufRp1GkuPm7sGEWbJq
+kLs0tH9qPry1FEnnw21bdbdwi0qu9chbvZa1QDM676WGTrJyfL6y+91srxINuNr1HSaXxBd4hMA
ZgRZ54l9pNbdJhfJKxbt4dbXp7qy01eEgNpOt6hwLXQRX3F6LX5Cm7Oi49Jm0/UbMTQ2CVuEnlFh
P2tMB25N7LwUAks9tUrHub9QgylzJnDzlfUY5ijONaE+a+qkHAcTB71eELdgDMqT3XKR9hmhXmgt
n5Wptp6cRH+1HMSfqrdoSRTDt9D1bHsjth6aRbwfeunZcTBoMUq9k4p5Nw6FfvJsJUimXjADnvTz
hO7bjvWvQLAy4s5CuQ+HoVvzMhQ7dcig/NZlvHM0NcGh0BunNrd4KNIbuLX43AJYfCjEcXRE/6i1
1R7GvbFm8oMxeTYvnw9e0ZzcTveOo52kGyzcUO3npLkqHCB8B3/c3nE4f7rVD6VKv8k+IRoh1N9B
xYX39l3KpNxUOuvh8yHpimfyLk46WR74IFGBda2YvzZa8dipMgnGRHf2IIK7wIiTaKt94uML977k
o70xNeXBVfv0ZmpIwGPDNV6TXv3gKOC+t0N2N7oGcZOR8SOKzWIDktT0l6Cc26gU31QbrbpY1Cz5
UH4TbTxti6ElAM5QUVvFZxVL9p7COD+MS0+SjVnbg2fEReeJL2YbWxur5t6IM/RAhmrpT6FtnOFe
KO+KA6mP3L0EJRHqzlVUZxoSGC25gqTolNRAKSZmv3GFjp+TCAd9aosPgRIEwJn3UqejFSwuV7dl
4jgqOnOAwRrfk/FbK7Vu78i02eOJ3hmxlz2beo1dA9BFgPBzSVXrH/vYSwO0QtAgpH7QszY/Hyxb
iEBnRIoQi61UzaK7tszSE8vGXss0Fwlu6Kw+b6UhMr+IacDKt9g46CLCcuN0UAvlUsjYPdhZKv1o
ChsSTtNd3ob6vZuOwo8tCltK5WuCC/IwCVsw4kMfhJA1O/fquJacN7C83Ckw0l8qw+jXVV5mtz5J
gM51ERmKfbmTuLB8zxrWY+Y+5LNV3Xm6F3xySF16wI9aOSBty8JrjPRVyjYJZJ4fEvrT2WREr5a2
SZgtvWRt4xwiAwrXXNElDXu1P1J5W0sYn3FrqjHfRs0oDm4XDTuQ392qpOe40pOkeNL6LjxoKsmq
Q1pjhyqHD5hAHPq9H1LraSzmzVbwawaWHKI9XAeGdq5wn+v2zkiy6hzrRlDiskWH15SrMfLmzeDo
D9CHoiP+/HTrRkADskSjy2hO7XUkE8SfegTIbiLp1/a1vctTXQto8OS+oSjejlAcaN3I4xBqOT56
6PIqCvfQJZIut+jjnaKTvgogL98PywkvVtVHF6ljsGAWH3p5sBzvQOB0dN/Zsn4ydPxS7hLvnG4m
RbFfC9O5xXj6svirg7pw3cKl2IxTvUh6dTzAZGKldYukzC0R9Ihh8LEyZ2evfGvjsvmSGn27rVS4
bJ8PsSm0b5ayy4x8xctjEQgYKeVmXm5eNrrRT00kMJ/38uenfdWaAZi5I2rl/FXYrc94yXqIa+cw
e/CFOqVOVsRO5rQG8ZAociyee7q1/dBa34WT+DlOJF/pRU0BrQKDnBzc4cOfP0Drg9Ro3JJLIPBV
8ZAPSgr/ZpYY1tx52ZWt/edHJfxQK6L9kDrxg7FoXpncKj4KShQ0jfZoD8ORw4t3yczkxmUmgy70
2vsSCuSsS3y0aeicOCKYe6kUqU8PV+w8WTV7Eny+IYRObo7JAM7UdYu3pUtunH7dO1EAdesK3/EW
tkjS5ZtOU1T8YjQvnIL32uiQxdXM3RPUaKErml2sFKe3Pg2SRXmhCF7Xrs00P4rxBdetekiTVn5M
x3Yyh30o4R/OvaEdM8AY26gNH8xF4DtASD6i3l/3uqxOUzivysq2HpJJGS+mNe3riUy0iOjGoOoj
/QwMqiWCSHH2DFW6xAvfyMiMAoNdF9hfq10throrJ5LDuwjTS0544LbmCl7nIKwuXfNoY/Df1FEt
NlI1EcQPVulPifoYf6ZvcFpxfVCqC6XRDo84eRR/iBz1lXkYDS2veiKZON8OmXLu9DkLSnxJr2le
BZxcp4+oGfTVHE3NvR7GEGhGK916FZCAMXayp1DK8eC0lCkFG6+uQ83sWGSLwbFe9IGGnmQ9PzFc
08/j2KPyQYE9Iw956sk93uQ1JqWCJB5fKwy5z2ykb8DGHd5jeENx332RYnijqB4ugN0cnz6Au2Wg
Feidkt1AxXgPWRjTzYjK4oMeoHH3+QA/Vp6AmiNUYzMAjlRvBfYaxEK5spvVDmlYZOLyRqUSAC4c
0Fnzb5YxfJVU0TT1QohgufOk9KaySWWX7RhwNqFAU7s8hIoDGrdXrSD2RvkgCc9oURLc0fBciizt
7Azpc2e2tDEmrQucmihQTg9kE1WmcaQcsVYEqTVHL0+jveK4nGZGS+Om7i3m117TJS9p1VKlNWO3
FoY+bVLd60B3JGT/uNH582FQyhdBQk+gJ20L/7GeniNlWSrM+mx6Y3axstDY6F3knN2OzYziZz6Z
dVcFEjoQSkB39IcyjL9wqnypOr0MwqK01kPb1E+CsEPfY9Nd1Z3+OoswuYTmnFxsGY27YWrfkkUr
XaaxONVG7a2iAdVNVKXL5YeMpxDKsJvKGW/aWN2R7ZjulBSRSdTDs2xizfabgbt3EveG9SAn7C26
11j37PS5P8rE3GGmIeuEJqjZl1dGQNO9LchBcW1kZZntXMHS+LnslFupaYEi8uqcsoRrarynukQq
x6YTmO6oHy0Ftgv+k/WnVFmtc2VvJryorkXNmNr6eL8k9UxWBKGqRQ4ak3B+7FQDmpFRsNs7c3aS
bbnvJDfUjIBzky1IqzAaN8RNYnYzJhTvw5uh1s5DW/TFqjAGPMFsYa9YGmJ0VK9osj6iDCeiZuL2
KPGOnUuoqr5icb9VGkIAqx7boPKML7yg46poKqKW+jdULCGUt8S5LNaqA2qeL81ozPyiBDoWjsXI
mnCiO2/C/IZZwLubx0qwfy/41a4mbSqD3cSceLoiQNhXS/SX1AtU4IsqmgHZWsTYZmoz0t45V7GD
VfIVc8g3Up2da5O1lLQmZ4gibW+NqoZ7Wnt3YzkM0GAA1Sp4IlYmZcOxwPCXaALVQDSeyTEJb1C+
N5M3Kt+Go4ynq8US9gTcGi5amgVGHzWPSjyEV6OaHxhfpEFPb/gunbZjFUvwo8lwX6iF9arMU01y
JZrfTC3bTdm38gTi2PbHlEG590iUhXdRrShfkTyd37P7rENNI2AZd/ckWXUGvScCGlXBQVBdsfbk
083ombGqSgHqOdSRNjqz9djUFCXR7LHIK5OxGlNr9FGTGVupyurqhPrHmA/TS6onezfLe5Rm6fSS
EKEIpTIGI2lz4vhUZ84mynBwmpB7GGr2TfI9IZP6JVPScIMrVAV66FXrymoFrLgeAx8NI1xQpXVj
04iu+Ia2ZsmBY9Tkaxz22LP6V4TmnJAq5d0EUuB7YVhtLB2/S2J9JaTS2WuuSnI8gd8PLc0awDPj
AplrWyCGTflVqXA/ETvSbSGpfmtN0pmNgR61lM+VXKhnKWL+VMTy2dVGd1tWwHeqQsnWKJztXae4
ZITg2thKnvNWxvcsA4ydPbFVtWq+iMZ8FBQqFW/zV9owx6FyfFKEm6Ni0UfSErqCw6g+f0K92xiW
wmyIj3C0q6OSVLafa0p0HGddXZlKlG4E0//LkHXgZPtmWVbdjwXR79S19124zmrOP/JmjBcIc/xQ
9CzNXjth5IjUoy4fHKcCajv1kLmXZZaDNQ2lRr4OtdpdIyP5Meu2X4xPsUN/sHDi7j63sPjLGfdt
14Em0nK5bchMDVwmYUEdZvT/3MK9FVNR+22PwqmSWbkBLMGsRmlwTMz9xfJSbWdP2cjR2/tiy4ZZ
grS2mTrqh3qen/HOYtMGIHOMjOZJYVdYFy5KisqdlEsqXPMgXG1ew4/2s8ymt6P0FsHQ5lOWFIg3
0qrhmPLkgtF5Vzr93LfuNaqbz3o0OYymtpPOGB0/HwynRb7k1afSas07Q0++j0PTghwfF5HNyIym
No9VbNfXzweNbq2hK/WdEyJZciJ3AzUvPLeK2mzDGJOCXZvKNUTps2XwI0H8+XoXy9euy9deK1ed
8uSok/3gJXP2WCYHI5vfuig22LsNetFNci2auAqwlYhr5gwvkTSSTadIuUbcNF+otY5N2zp+gfNp
Rhx0nWJjvA7h+2hJiY2FbUgz0BVxEgZJXPEqD029+ey3JGXLtG+Z+ykpSyfOmWStRcANWjstzrEM
BeyqdD4mtn0pQGpgOymYKOdy/1kdc3mcs87ojqXRwWHEL8UhqqKVLZIPe7TtXbVA+SaMRYas3ws6
yH7bNRqrklKvM+g27ZxsFbwQlHDWtiGZGaPOYJ1Kg3ak7RTlxknt4WQOm9qiymhVHUjOlAZ5m4dr
erXOzYszdBOMk5Cy079SJwKUcyIOCbwqOBKV6lFJy91g462yjDMIIQ0wnZMeYaZxnhvdV1XhL85G
ezMjyt9wuM5OOo3wQecmxLAQBhF/8b1kBLpONrPRutzznfU4tPbzqHtjUOfsJMWMTT8i4xNCw2tk
85vkHAL2dgdyi4p6g5sy3PVWe4dPvHzIJ1B9eo93pKymd4pznBlec86ShguWUElmPOJBVLH5xggC
TAwCBegvyXfcFyFWGTWGA7ZohmToPUIDwyVGGdKoevGedO0FRmv9I0ZmrLdhdI8GO/WLrA70Vune
StrJa45i6VWEDnFejXvVm4fZGzGJCMe8NU79Dglx2yhWuKu0/M0t8IgpSOpu0YNcsN4ijOWpgS25
R8BrbrDkI3lTKopHaYJfQehGFMXTUOLTmnq5aPDUcuVlIMBFm33LY+M9MRLjFCeg6B3Bvu20YbNz
7Xj2XU9kG09j2EH1DxrIoNtjll/6RUDkuELbU3LBtw/1QzlMzQfJu98MGEyvpdM4K+yn1ToPw3ab
tiI5h3OGNw9LRG/GTlBAQ4F5JVfLQHltqrbH2HTwTlYskI4gvxeeslbjVseE2I4boFs66aHGiHwR
mB3RI9Y17pV2m9DVWXEC6EwLP4Hr9oi6m5aA4i5paagAutalwvvFOcCVkTi0dI1WsoFRtAqPokq8
QyW66Pj5YMEL2TKzi891XzL37CbvOCW1d9SWj4Sc0cS1WrlhOddX9fg8gwk49Gj02DSN6DGv0Cyr
BdGa6OjHG+RrfB5mSz2TSXfnVtl0hFds+rpWUDcr6GHM1MxPnTt+RAL3TOiZuGYZyM8dF0iO8p7h
j9eJgAy0GX+QDd8nMS8oZmIMG1mAheMovRHtfqFdxeile3tCsY4YLb7LLCWnu+Mc9cabGDPale8a
o7ORHatWSyGwVloWTV2XxsGkem0U7vpSwC6IHNNgQim+6rI4psKIHqwUAZt0ciWYupiRf6hNG0Tg
FkRtfKZUsKA9CWqko6MlQVrKteVSAbLKdLeMs9Q+7sMvyL+5MuvSwUuofpsHh0gxxqqWCgNkVlvQ
UUXDsCKtxi1/0nejdU710LHVRtp30QEJTPNy3KlizQSK6ybRNbA7OK5U5zWLSuUI82rfRxgqxobb
msFRH/RFtNyLy3E05s2TAAXd1tzYIv5uqh0Us2pCjYBL6N8EP/wrhpvsTINZu6nblgPt8q/A8Umd
4EpYJWTmZS0aREHjOjaBYHugF6bud7Lwf/wl8kP8/T/5/INs2pYYiO6nT/++/V7dvRXfxX8u3/XP
//XX7/m7//B/Hn/5UbW/nB82jz//z798Iz/+j6f337q3v3wCbzXppnv5vZ1u34XMu88nib5Xy//8
n37xl++fP+Vxqr//7dePSpbd8tOipCp//eNL+29/+xXBnGoTZvInBPLyJH/8j+Xv/duvD29l9F9/
z/c30f3tV8f7DQb7Anv2LMzEcJF//WXgeuEr7m+u6zqmapF1Z6mcW3/9pazaLv7br4b2G99BbofJ
18jHXAIqBZvi71+iBDcIALdVoudV2Pb/eAGuvyd//P7W8IL88fkvpSyuVQLrjb/IW0DYf0oIMTXD
0FR+M0s3XI0ARZ7pz/xyugc00aeE+CLLuXea8FA7aH6MatIRPpgblMRPbQLQXLSDvY66+jK2dEAR
7vQ+BuMzCPrAHW1nO85gKzTjS4bxjSkcun/hqJlvt+Zb19TybgpldIfpZYEebnpLi/28OI9qQwvH
w8lQDvluwF2G5rvjiGKEMbKDj9HldE2uFGW3/h6O4descYeg7ca7RuuS51z9GPHzr4YqcQgZRhk0
mq9l4kQBoGsOLb1FzRejT3Md33WryI8THbNRlWlrgF6HxDUEZFqpbcouM8n+KQ/o2O/w/ebrJRk9
UfINYXS0tVo3DYpzXoT9+9g/tXUF1gg6XTsznqVj10BgCcM18tJlXJdE67FMARPoHV5FXGHb0koP
ksOH74budy/pkKWNvjJT9nda92hViXaO7exsK5Kqa+EQmoZGo1UCSxz7dVb35Pml2T4yBGfkPD+1
72GOnJtTsLsqBjpXcfsAwyZai1ruMHg+w4v6xtSVTTi04Ir2/Eh4herBSoZDmWJDiL0+qAWTVxm/
NU2DvlpJLF9n0trYIj9KJsa8P3NPF4YnIvSW00dS7UyTynqM6hv0CxOII29iz8rdKSRwd0VzDen7
rdsuStb1OBm7Vk1KKG2c1/vUIxEr9Yd2Zo7pXi13/mF7+mOVR5uatzcFaLNhHtWvQYScVAlOZEyd
e33wPpwwhd2rkExY1kZzbMyvTlwb6F5LezvZ9d7tQFtXRpauvW+ulSBSs2g4uDjxI6IdsjrpgjZz
aG1nnliFEj9ZKEkIUVZFlsQHg0xhpdGfyzjXgqqlxO3tPFwZVnacyYFIbOJS405NVjHqflz18cZV
HMauvXwxc979CkN9YPnelJS7UG9uBgSG7WjS1PxcVP5Xa+w5+WgrUf3ofl46/7Lk/j+6yJLd8B//
WMj+ZZE9vSFufcv/i3WWb/t9nXXV39CCeKppQ1j5YzX9Y531fvMIMCV+g+3QgdLHbviPdVZlCTYd
1meV9fZzMf3nOqv+xnABogAge4c+DwFn//j1/ifrrLEkLf1lnTV11TNcmwxIdcHi/xTZkDq9YDOo
le1QY+Ns7FHbOLZBadkEBIVWB2Q2xxog1iFrrh4sgb6Hso2EFsblFXtjt3Pr8UlT5BNVOQtsmH0f
RZ6urZJ1egh/dHm91oGNcKslyrE1zTPrtAr+Pup9QXjOqvDybmMIxdzOzjd7mNAnpKS0dVH/ZS46
aq6FuJG7zM5lNngrtHWc3vajLrRjb6TC7yNRrHqo2Co0/8tUQl4Mpzsxy6PhAiKvIu5yg7HWLMea
gN+sWAmz4WBTgyhtpxUTkCbIWBii6kTWU3jx9DLbFwW8dlTKTw4uCEbIU2BbHnKBJddoms2NzI9q
4xKdV+RHxm2RXxWwB0ASzmCbZ/Dj1IYHGYv7OB6/hrUbBq3WPZX1zDLCWYo0nhWpRV+nPO1gexBJ
mUxk18r2Ea3tsBmYyW86WkdGU3g454edIsxVHdF9S1AVb8AIM14zo7VX2q5v1lqy4/C5HfpC+r3h
uCuV0ftGjAVdNPD+d1ncr62CGUlTfAunBH+xwqHYVhs/ibR2J7G4EdTpT2hDylq9VkBG1pMhn8rB
8o7xgAWpw5hhmWCDdHriAeOZH4qV7BlLoStpULI4nFQvqrkDBcNZjrN/wZDt/y803fRZzf23ddzq
LW6/J38t//iG3xcXi3WC7KJlpdCtvxRxfAVfp2uywjCHd5h+/XNx0e3fqK00MtxtS7MJKmVJ+KOI
063fLNOy0YxaPHKyNP43i8tnjfantcVY1jSa2y7pM7rtqJ9xSH+KnlNFDx1Auo2vDTB7SZW65t4b
5627KGyNFVHAxNnX/SrTR9TkSb8ZX4Y0/UhbeitR+ZyXRxdtywqs8j7NC0TELUb0Hm+C1p/RQxzg
go99s9dBqXJ8cO6aBotNVHylYcEk2PRRwO5NEAdZfk0j676kw9oV4qzrZL+KYa0oNHqdYudYEgVb
/2KYNV4pZTqWHTMoJ/1h5pgzIqa0IGWkEM+2VtQcy6ztn7aM/6LW/Tmu5vNVYmfQVYPzo2P9FAnj
JfkQhoXd+KbI7ssROA1YtlWIiv+/fx7jp5L68+3QiVnULBMkJDHGfy2p+9FapOZIL5X0tY30YMiv
8RwHrEXkgupa4rP6b5z2R2cvqUE4EJvhrmo9zNXQOJnRvEbhO2EHewW6Ydj3TLWfY5GzVGQn03yv
PLGpmGti1c+0cOVo/X1f/5s/4V8ChpbXCh01V7bGC63qP4UZtuwiBVOIxq/06pwhvNS8m5yjOzMz
vy/tePxtjxmTAmmnp6ZK/01kpvlzhMzn0zuOxiK6HJE+g5/+dEEjkbddp5wav6kwxZjpD8d7T/Tq
Az/xvtHiclVXjrFuW6xnRhIHtVdASLIxSUezdhRZRBGa6gdgDeSmz1rKbL4OKhdpsrCg6INxIXtn
ZYrkueYeAZ64zg2PLIVtXUlK4f5it2c3bHcxzJMxnjh9QD9aNcOAHx8YWNPKi6GY+ymGyNNqovg3
kVK2+3NQEH8/KZLOsmxYHPScny5V2VW0h8qkgS3Gu2xwTMn6cgxSObDV9PHNTb0tvjFtrRf7VAFr
6NVA3nM1XpGb7iMVuURmCKg9EW/04M+Nmj3Nk/bQRuXW9vJ9UdVnL72EU5uvQzW9p/fuwnfEsD1q
X2aMRGVGmkldXxyr2JUTvN0kW4ejd+l09ymFqqDXEAVBnq1ckywExD3oVC7qXOp0YQoS18z0qrb5
SXrxvLL7HqK+tu+09smKrHOlYFlHzrqWcQOKwmPXSwj66L375OZNRJaQ6hUHmVNtVYVkn2EABwO+
gVNigOvxWfFuVFCICLqXcdQvPWefIJzNe0I5b2oCYGZ+kHjSR8ZyA/kISkKACBcMUNOLPqGmgCu6
Ehq+dtRklq0fkbn6uqEEiMNAlKVeCOOs2lDX7FGpYHqLg9Lqv03GVi0QBQ2ad5Eop3KHxqS7dh9N
/Fiz2V4gQfiOWd6pNlqyaNibTYESkOFTq7zGVneaoubBM5sNO8h967p3iazuzFgeprJ/1UaTvzU+
J1ODwK18jJsJXc34owc0ZZJgqrv1Y9lEW+orrlBKCqlQG9RBA/8g4rAbl85hFMomVrznMi/uLHRz
Zp8fCT49sl9sWhR+3qJx6xnTZ9NlSkRG9Zd/NS0PwW+kHzggvbTzaazXpneIGXrNMidNbCafSjR7
OHV3C8t6itNXTxgELRBzw1GeK2TbhZzHw6tOT3Ucgacn1mmMLOzY/XkO0RiAj13jp8hXxTQ8Z0Nv
BKigLiYG3TRGNJ0bfCkL652Th1fCZBjZW7TgQNwpTDJjaG0d17QObWWwYPPEjEwbYDMPfWn4Dnyw
QbmN+nvT3uhaUaeqT41h7UPG2LkIA8cql599aOWLFnJDc5Bn8KYbXiCbsvGHPrYCQz90cbwkSnnX
vBGbSImP/aDfyzb/Ojrfndi9zEX6QzFUxnjUxaFevWd59aBAOWdlAQPFPDyDRGLx5lrmulL6g2ye
HMEAR+OXXxd1MayrCbRWazORx7/ceFdmVnvLMLaGTAWz+Y1Os1mbWWjaUhx0zsRq5J5qUwDdE7Ti
p3vGH/s8E18cLrfInlUG0vNdPRs32sdYDHuXPqbe7hqykHOleM0n53EY03yrOPwKMNt5/dmwU5Uk
S9Vrj1WpvnQeIgArUu2V1zneWmn4VZZdWHFAR8EI8RT4aBW4aogVaroyB6PFvwoID0NlueIXY8aH
lb9V83YVJUSjVk54UJGg62CGsQBZZ3eSZ82RcDt4/4rOL9MaP2cC0lBtDzw7NgN62JyBcPkuCzlt
JRfpba26+3ywdpmw9yqzQEdHRlWg8VqpmbNPbAh6wC/ZmizrFA8GgmHzps3JUzUYX4SIAnJhT6Hq
ouBLilcHNJWfdeSs0hpIa/sC0qCz7jNvCkRTwflA5ZmRVL1iLvzRmQ4eCONJRYiYVGy8dX6XAtua
UC562kT2Rr8OLfuUgWxJhoIrs612fWx+ljcuEuNurLalhzrHk+fQqQ1UDg0hWnSoM0oaCRkzL6Db
OS9RyrI5ghSKS7pd1hwonTx4MebLPgUAxwB0YIwcBTBnDhWv86pJTHiE81EZ1FVpPuhQE7TJBZ0i
zykS+26q/dSTb0oONcy1DokOdi9zNlkc3yMe2mLVeSYAaleqAAYI89BN1Fw0XNSWKKcxQfdHgHJe
iQ8Hct3WiOiDq6lvOPY+Yg3uXcCwOjeJVbPdcLcw0SOagQSNFyO17qRt+akrWO/0bY+od2J9GvJ+
rYC2VgfSWoW1g4zj20TOGZXgDFjjSOyGU8H80yPIYWXTay+UfG1N9p7pwEP9bEbpU1XyJqGUdmjx
a9GeKdbKNp7KgrsfZXK5q2PYtyaB9cZ0qdNAKB4oJttZ6fidyGAxv8xO8ZLr5a4JYVFCRAO09TqZ
e1vy54VUvHZsUWRhB6cz5YLPynoUTa3KldUFtf3iuQ+V0QXCWmhU710ZI+Yz14ZGa7HpNtMAsr0M
D4ubYmalkSr4expJovO15t3DzmEYLibf+sEY69dEqZAxKw8mHbGtwe2Op5UTe8v7xDSP5Y+5CG/B
8gqrsfQBEm0HzYbDnp8MCb2nIZJ3CFGzPWIFekZ0QlYglaLdWneZRL9ap75jGFz3d0QfrjVWbtPR
VlNr+UpDwi/vUGQUr8vn1lyexsneIKRUfckQOxf6PfFzV91iOmD0ACKcjd2Wr2YVr0ruUMCsljT3
y+CLDgybJTerNYOqc0lQkrm9Is8U/bMkz6kL42+xXe3TyvgyyOi4LGN6BCvIcK9KYt8MkLCVbp26
GHWeFr8NivJeoVukzlg3y9IQ5+bOxTca8yJ78XLETocbndJt+UzFvZ5F+TCZeZCP+yrXvuWjtYEG
8RAtEaPueEmj7makNqw2bsEmP1XOmffhzeUeb0rzSzXxasSWn/Bi6vjPkUMcyu5jaSSwObD0S4gX
a6v6kSXqJYuqPcF3G9YG1kYRqDsUsf1ajE9VWu4Lqd9PqiAbr9nl9jEazACjxbMS33SU61YVb/Rx
BILv7qw5eZ88D4fyiEArBuhiVSHz0m4lgbYlHaionOI1mtBooKPUspb+gULgV01SxiomsWnjloCX
DABHnUaFhTD6TbjJj8z+pqrknaVQhCmU9NWQI8aBG0mb0iF97obUzgtsCU++hxbXy/lDFEoA9IOV
seygAIfuajAT1f+/7J3HctxaGt9fZcp73EI8ADZeNDqy2c3UDOIGxSAh54y38bP4xfw7rZkxRWmk
uq5yuezy4uoqNBvAwQlf+AcTulqWmAdYtquwxIdbazPP0VAtK2vzCUjpS16h7JLRzZxGTdnZRnYz
duq2gFOmz14h7GeAzDNqR4G1nKCC06wNL3TUVpehUi/QDcmJTThjAtmCipNmFdbsuAj3vsOZoqBa
b5JubrdD88/O1A+NqY/tjc99MNt0TRvHF7C6um0IVaaEH/IIJDWwdqgbtJ6i5GuWt2s9sDYmvVaT
zv7vsz6Z1P2Qg3MpR3M0m5QfRJAlU5oPl/KngJDFh4Da1K8cAZ4TiqVblLtITb0Ad/HfX0062/5w
NUtVddMgRXAoHgj9U4oZ2qMzly3oK5eeJvW3pQn3qVXVZZPHXqxvzMD/Q/b801B+uqK8ow/PJ2g3
6lFAqyOtrOME+CZusssJyJUeZ394OP2n9O98LQoZFE/omZ3Tow/Xwoe7cEawNZBQNPiRaJs6QgWq
AKLNZ6aKh0KdVlphABZsPEAFhy6yKaRuNGe87+/LQICeg88yJUsdmS7M5Vb1YPzhfcsW6k9vgGBA
Voc1W3U/tVhtt9GiISGMdLtHCYL0hf6HYfhpRslRoMlHiYj/cFX+ccQ7lW4EHqaMeDRf6/SfJ825
jY3TML9Fd7+fTr+8FBULmXSqjmt8SvfpcOedXnXVckzXBfhOGG3oXac1XRh//F5g/I9r8qcyjHys
/3kt81NuSwUNOUv66ksnrjchyN1ZnbZ9bPxh9H51GcN1cCjGnFllYf44epPp23ULTZ/aK2piRbpG
JNKzkvQPl/nFNKDyBpeD2qBmsdH8eJlEDcOUrlO1hIS9Kmh1cfSufv9yfnIzp1Sl0QimbWBhH0xF
4MdraP2U6zlI/CXu6i+1368oCi+xTkM5B/wqKIYw8kL8P/UyXdX2cB375XM4aBf/S7chTNtkkmAu
/ulRwTcXQSC4jUkLD1WWrudZeD0ixu50oxrtSwbtqpvA76fvhd7u3anZd+OfFsUvNj4NuS3DpKZ6
rnb+OBY6NPlWp9W4RMTzNE/GcVDGbZI7C0gu2z75k9O28Ytt74frfRp7UO3QlWS2qLYaVJaO3TZ7
p/KyJhRZ8lKetch6mIAWDVZ2WTACdVRt5KYMkh5B8IVi21tcI+6AYS2VFDJXOG7D3t0NOuIOwbQV
qbqy2+HO6qftVGv3qaY/0BD2egW13Ag5Tz/Kb7IUAeep2AFxXWlj9fd3drpbhitwideocX96r2VU
t3YJOWgpJVYJFIsGhtq80PM/nca/XCsfLiTH+sO27hgBCo2CC9kjRFTRQBfJlr+fpD8VziSSwdIF
JzFwBudcmv1wCb9HYDZKEX0OSRP9sT6iNQpUEYCiSa1Zm58y435Kgz/VK7nxT2eBJvAQo0vI2jA+
L1CYJ0GPYxzhV/tujo8a4OffP9avRu7jBT7tzxZi+cZofb9A2Vx2cL5/f4GzKfdvHuGzX7rDQ1E7
5QoAnfd9kS77PMCnXSlrCgvFpQjmU2AEhzBRsEgdtZWwL02fmrbyCv35aOYmjAd1OjXT9ITIXZ3g
29o8tZZ6pYUa1uYbp5hufn/LeHT9YthtXVMZdAusjPi0xeulhRAXorFLDYsyrQbyWJTzJfjmblFw
nkxp00K1MalGaaRpqnGvFAjPoVuLkAoxsIY6rHQZ15xL2noejgVHv6w3OXbWRoi2dn8LEP8SvvDb
LJDhQRl2n4X2odbVpZWMdxMpJ+6bG7maS3e4BmFz1RiouqAAiglCBAIQTZEQIYmC1T5tIdretjWf
N/Nd5xaUNvLn0bSObqNczhNlqJpCYeWlBOy54W78odhB81qR/W1qNlsEiz1RQJLg66wRl9bABrg4
PviafbQUd4MA6rVlFJe9rp7kjjxza5gkH0PoENDkIEfEhxrGMYyNh4x9BKZ9iLfatA0WaJBcIo16
1SThAWq4RMpuMM9ZB3wN5Mc1rNa1qWhXbcFEaNQlcNBL5uOtH5pHaTuOPMPSsslkivo5zWDw5e4G
t6gNdt4HTP9WOMMta/XdMCYkA5JNIXPdFiMmY9FhYWAHGt3UZFXZ9UsNH7QTSPDw8LPp7sxk3LbZ
dC31+l1UC6P8uU/Hm9g3kB/2nyYzevSD4ps7+k82+e0C7zKpTz9jB54PoFSdzQjHIwtMbyrB4Rur
oVaudUjVC6txvVKpkFDF3HARwrUc0gbMH20scLMLloLiWU2BV7RzSZHsfXbKx7bNtzlEyTSLlgBS
rjozuh9E+6w2shDPl7YF91Zu8jLbN5Sd0BFb5BGJXaJUqI1O4ZvbBZvGep4GNAo6sbRVLI+DEgae
aJKLEAg4RiNoIE3DgzCqr1AebvALVL6v9f8PJfkv9Ks+7CE/oUiei/zlH8evXYvDzD/ev/7jeA+S
7x8oJJf114/QkvPXfG/8GsZfruuS0dGYdw3wcewx31Elhv4XDoY28aWjm7qGec+/G7+G9ZdOdqa5
eL6qKg0ctut/ofdMvo9OrQoY0D2DUf5O49cw5Nn8YdvWLfAuoEp0gxzQ0YX+6UhtypS0V7gk4Vpz
o49mucyRF0S4Aif4oAkuqgbIeGyuS135lmbFi2j6fVHQlTEz8m1Xhdzh3kYDnQ0roUwjgi0WtfcG
NTkPeRnEpnpxQPIBY2RLOYEzZU0VX0oEPMq2/WbXw0IxB6kzVYKyxo6hStOjQma6bBxjN5TUNtPG
eWlz7ZD68bDM5/zQTPMJN2IE8gzqpYqFX65+mcOZPaRD9uY4lD9iuIqeNhSDpN3ARSvfmlF/EDra
y3F6N+KAttW18iIM7coDMePRcD0B1ro02MlR2KG2YyNrALZlfsS885jV+rLDmajJaGu38WVTkbjm
1n4yZ+yIgiM6MUv8fZYZquC1ww7cSNg2cqYT0s8BEs8xUH0zH8Gri52hrkXJEQhhFozfQulwjwaT
PeMyGqsTlAG8yMJnw/x6btoN1J5dvNULVUdbjH4aqk45ktTu3N84wqFG79PZSmBw23N/O8DIHjVE
KVwOXaPxmrl6tIIB67bZQ9LkzoB/jbyFSukPYN2+nO1XDS0a9GGilWaGl0l+h+rc3rfp4NlTWi5y
I7w0knE/Iu064XBIdXTyBB2SEjtPH6NnBMV6QAPDlooT5R/10OU+PRV/g3APZfsKN4lALBqVUwtc
s6NVXoDL3CIBDln4auZBeVUXgYuGQRJgjdhRrkUFPR7vy9xiE7XdlVryFuN+a05onWs2wHdrGmLs
0yNkw03MVlI6HqqirSt3vq1Ng+JX4jxVQ7gWaYItwlx9UUwXxyswok07vI1IZYEpJ44OQUE5KR55
huAVhA/9nCw7cOORBqlAcZeuOT5kCF8s7ITGSA4sxx3K91BqimFEecKj4bIRzjOM59sKGY5W0a01
6LEUJjGe6X3xXIPTLCobcGh63Vo4cufZch6ntSHCZpNFGsUyEKIkYmIn/Co4MFVgZQQUcf3pQskQ
DobYfuAQ2kVWfgDheIhN8TXQzINtlrcIg6wSg+Jme93H/vVkWN/csFMXmj3ehI3x2JjB12jId0HW
vBb+CE612quxj99opNwx3Z6px71hCn8z9j4+GOqTq6AYVmlfp55ScVhd65AWFlXZQ0TA1ZA0mG5d
iANXajvf1MnP92YEKw+3mrXedkurmqgsU/ozSwiZ9IucNIkWfTjhmGe++BmQKAOeFUqqQa7urHg8
RvV00Grn1JkCV5Maue+A2DD3m7uOvljLqR6O75aee4WJJvwQrAmivMEGl5XU9TrAkcgPncJTh/kx
KXHAihYONkPye9CGvKAWeKeF6Qtv9MossX5rNu5gPk3oAtYoAqrqdEwG52jrNianeCSWKMIgfDKk
8I2Af1U5MDGWE1zaey0Rm67GV8oXV0hOXyZzdKhhu3vosBJTNWh4xsEAElgyw7BOfCi06mWc7Hrv
YHsBAndZWeJFiQuwvrPyDXcXdEuc8tiYabuiLgObYqb+++Fkuv6+hf9QufyUeLKzAwySICHQFxpy
B3Ln/5DJRKK39F4bdK9VeXlcJARhhyA2XgElXlTOSsObdaziJyUfL2p33DoWcaffaR5uL4+o213g
P8cSCVDJUVHMmrN+6/tHP6cdSsE9Cp5cKpStRfQca3hlJwcVotuCrqHiOejKWkzvtt/1mjGhZISQ
7wBleMbZCOmqzlR22kQDuIueykhZpog+EAQC+UZkvBqBx7b+qgspFQw0HAIcGfqqfTDh0EQKJt7O
GprXEDgImr2NCIfXk+5TyAwu7SB7NAfttrbwZ+jyfaMYBz/D4Cvub38/vGfQ56eTE1QnZzH1O9ME
oSVLYh/Gt6060MlYnHoWjNzO+GKGiM3UwcnU2quieAk6dROqryqLwDanq5wuGF0k6Om3VdZdROZd
XoffXBeyZo/pDTxNIJMjMo1QBwFNY05dIIzQqMOhRe0BberhVopf2FULLD280ZLwEb+u1puEhcpV
sVKgfsGvRbupW49uhKpEjy5zgs7WcMj5c2ZRkhO6soszjhO47u9GlG5pHtYewlx3ae5cxK2763Ej
Tdz3KCtAeeIvVih7JTGzhUisHXBQj4j9ZnSRjnD0xdj3AaYY3XHuICDR0kdG6W0q2iuQ9deGXx50
24W5Cn2rVR8s6FcZliVWAfSynrR1oeA7Zrvf6PMuw6F7HO35CFYafSxjGYc11sl2v2y7FgwkEI3Q
okVGLzzAT3IM2YiH7UjepkJSdziSbIksC2dl03YoCjsVvQzJETOLTXDOhtpLwxhpMZnVlZnYwGOz
S2uI76YJoFvtfAF5e0ArcWe1ytdJiZ/dQTxH5bieav++7JBWJeUSKFGZkI7Da0SAtyEYqnbWVyDY
DM7ABhx++uamjax6YMlmNFi4NfE6pCE74MjZhO2xcVQbNZkIslxxQdUGvc1VU15OLA+BSyBLbMsY
POD3tvIhNevNhBRltB9T0KGggRF/FA5GQbYnVeMmWopFzRpppnd0Bm503FpCS8d0xrholDpBNJhu
oxql8zYcMGlKjMWQm4+2WlwMFhAaNOIq/9yG63ehYq1MYPdjoAFL16Gla/TxbzO1+tZX+vtUjNdo
KC2wXb7Pe3srkN1fmpi1oqp3BS9pw458OWv+TZIbdxEP7EziGg5HD1Xp6CsV2pMc03FnXbh+e+vO
87pDwh47F2MXsOLriR5dBc+9qUIvyKcQrxRtXhjmQL2lnS4QXANI47zmbcZwwq+dtVt9Du1F60ib
lERJN0h+v8E3kEieIJGIBByOzC81eZMVigMYbVSB/fwW3RN6kSXdq6k3btEC++ISedCOxHuqVi0J
ST7Nhn7bZM3SsfAaTbPndrCufL319KTf1DVVi0Lfjrp9DBLgHI64tZCwr2p9jZHauq1jBgy/Fz1d
Sw5G3XKshUh6GNg39VFxAQj5OsyVqyBO8RzR1rpvrWczX6mFka5629E91Hof0gojntpkDidGPSGC
RxSN9lxAOPVmO9HGtd77NlQ3ehbeN6a4aTqOajTGFoPrfmEP39RwhN0hRVdUUNRw6WCSTk9i2Bjj
o6U/hpBYjeeyfFUScU9ESuRYwBrVF5UeHdT0SrprIN6EyCHxsE5LVifHLdV7NVeeNdFfxRk22yJq
dsyVtTM316VQGq/tQ7RrATVlLc1Qd7yHdn095OmjVjUb5JcQDsJWxRC0uaU0uzZvSljpfbzXIwQV
2uhYKCUZenObVP4WljOyMtxaVIcXdtGue0BDaelQnrnA22PZhogKDVeg4ddKV141cf/4+91d/wS2
pw1NG4Pyn6apri2pVz9u7rYW40Yn3RbwEFuVLc4firuqEpXD0RdEA334rJSKZ1bmbTyaj5M5HqYA
NTottO/tBkboUHRbt1C83FLe7TnctTHQnskieYc3acz6pV0Z3/si/xvS8uNL336tPpNA5IXePtDz
/nlhmQX/n+LPycT3P5M6fk685ef/mXebf9H54u1Buj3n1/zLv/NunSYIyTXZrqTT8e7/xeaw/qIR
Z7mqTNgFhDbKqP8z77aEodELPiOxScz/Tt6taRLW/Sl8gMhLzq2RfsOMgx3yQ/jQR6FKhTQm0lyF
oj7RHei9eaCoNCogY3XE0sVwn6MlFM2xF5Z1vCgiNl2XSHoBtfZpbPSnPA4gcLi4rKudcsRb5NUf
4lcaTT3G38alEgPqsF7tvFyJaDo6c7yucxBoanWnx8HNaOlbJ26vBwWM90yqsbBL9MWVsrmize9U
HFd6zl3Zeu0sSSeptiOKHjad67mFuufYJVC8HrC9QFk3izxqnx4hNCVTq2+WbHA9JLgBoyhU3/gm
LiKy5MIVzYlCL/ZUQdYvUrg4KN+5p4xIdMELAzpW0/J3VnE98CU+lw2TfGNV/Ze490+iAppkViuH
59Sx6uVhJuACmh2vYt/fmCF/xVtsIGH0N5EDb4SmM2Nk1jkDNd+eb22CB488qZ4tog6OOF/VDHWz
RMOc+Cbn7ASM6mlVhE+qOa05oCFoD9/w4Ao2KgBH+WBxxij0gfJo91BiSZRQNLeHvUidDBibeac2
+sVo+ZGXgsXx8WPzLIdRbJSipHKC4pjqXlVWSslT58qWFny1SNwX5/t36gEgZYNtjBK9nsdFFR0Q
N0rOg8OdZ317M+jRdvR5ZdXYtysVqyNiRwqxT9YQAf7DVQmy85NgJJXYXJn0kZy+MhaxmqCL0/Re
ue4rWaftYq8k3ascP12MVr4qZ33XYVC1GsvSWWJLtwGsmmI3MJHZYbS9yGkhm12w6usSt2ArnVFL
O9oVPgHnN6FW3KDt0DhPRP2koq2yCAKjBoE5rNHIqReqY5wmIBdEj/a+qfV806f1rlZQVm5wyiW5
L25Trc83eotkIwZ8M5mjEnPvpU3apLnuc6CMAMqsfKNUaAJXQ20sHS2khICK0Xkus6VDYZ/xhQ5D
T0nk7K1yOftm3tlUf60xH3cUcXTUXYoJqDfOii7hrGjapkRzchG0vroPxnQbm2DwRt1iFSBhCmhR
A1ELPUrjXhLXurHNGXcS3NDSskHkD5yKigzQcpavXqQDBXLrOcUsgDSC9ob2MBTuJqvapVyrlSwt
CeNaKUcQZ8krEJgGsPOMlTL6qRMTbI55CX6mnIo2ek0iR2Le9jAQdnnsn5pMnHC+vQM6hNMaiNuG
G1QxIUhNh3auBskWVQYgq5otKMMhZDmY4yLyeaA0ZBPxd6mdvgQJQ5sqyas6ixMycJEHiwu6M7jM
tMMnpa1BqU8D+AmN4JXbCVRx7OZTQyjCykSkCJPoeNFaG8qIKnJnrPUZdQRJTEuhrqtwJvX8duQN
sBugKzXyF2j3NwtoCMZCMnHhixL2N51BcQ2xATf+RvrWriqU31WdGkiWjVeaQGjxvBs1Rnuf9d2p
UWHIJoX6NWtDhJgtnZ9kp8yipoGvxpzFfnXQv0AltT2/il+RxmRmGmoAgrvahyi5ko8fI8Geqgbq
V8VCzlQ+fqmZ+O1NOKd13ddctK4HHeAxD3AtkROjAzFynjyQesj4a5aKfHdF4JdeBhQ5TTAe6SMX
dUfBHhcpj4NmPVkGUtR6UxkXE1IKisPWllvzUrPxw7AxDN0oWvYwFtGmcVt9A8E3X2lB82h0RrhU
JgUVbSvA37oDLsyBtsITZmFb83hMcFsymqeiwq0XFSt/hyDdRT1axt76Pt2dFh1eQT4AeoqQH19D
lCfdTaRMePkJcaEjXTbNbGjnXY1VBUANQdocP+LJOEVCg8SDMYUXqtW+tsNX2IAcRA5jMNansReP
dKTDkcdpBNmhYm+6VO89vQruUUDa8I4AGOj8cxyJ49TF7yWw084Gy9x1RHlctwzmcoPyFFDZBKWd
zFmrtbPXw7ncymNhznlrVYk2hqPhs5fa4S5I49fvm7pc1LgDq+Qc5+MTH2HuS+6K7ClHvXkYTfMo
NwPEhOVOyZ2db12nqhGjVG8AAl5oKUjBOuDNU0S8Q8D4bZ5SNjunxEuSkiHqTFQ/F11oYMhtde3K
MZM7bPjWOK2sFIPprqINyUxgsrus2ahHasZ+MdBwHWKm0iS3gpFaMscBBEf3ZOTOyfALAKZxgbo1
h3enha9aMUUgBwvOiRh7Yiq7ffh6XlqmPzyKsCPdCq9U9Vp+OG64rCmPOST2d01gnYxBANqMsIo0
mI0GemQLq+KvhJyzs8EflRydF52Z1Nun8/d2wPsWSZbeqd1GLdRbTW7dms4PASOARAEQu0+wuq9i
yr2qBfXZEkcxaG/VVK5GnQ/L27QzZsgcXye84HzM9pkhvgi0i5cZW5SrGmiRTacJn2j5Yfn4M1kh
qlgnDSi20JrLhlywl8fa+abygCerOJEI6tAKQ7qPxx1b+F69ysNZyqqwe2ehiNhr4uhe9Dxe6nCg
nW+opmCH6ppGf22h29zE+RmHQoo1g5f0U4pcbp0vA5L+ZTjrS02ZHrVEPor8BTWdNTC4O5EakWcb
01uB2HlmphzXzkvoz/kGhx5z1dL+lY+bsf1tOPmgoy6DTn9pR8xkcmREeaEq5eHK9SY5NciT7nHn
fUkNNko7YYANuEWGTc1yzFbn1yQHBN0CCOJhf1QnZrCqqEQ+crUlLZV2ss2G5UccAqh8EEuk8N7n
nGGJXGTgMgFaNzJusrF4MjN+GjQGcVCcogowXJ9fHmLmPpWjACMF7uI81ikSH4uR1oF8NUgHEUeo
qNzNAaljz1FUOUQkEf2A873MswytVPPVVdlIeEO+yb3IM+x8H2WUYV6H4CKBNUtJPnevlsiY1rse
uzUrN4NVa8gBKvOrURjfPzem/I0ihnY1RbykDAvtyTAdIk2+W+n0B7WoDk7k77sA4lJtwjYJ8O4o
ubsk5CPnRzs/cTZxrs1Wf4FFscZi43vNKCD16g/nxW3IiV2p46IYh3csyhDXEwSh8Tch3+9oafnG
lgvm+++m2vV0AKqZUmeeNWIoUAYHdt6r83cl8loNBSPYJwwmLbIHM3S35+dwwvhEnePqfJhHtn/S
6q73DMKTagAjIIca7UXXQ1FwiWw0vSeLt1jLvakkCFrByDuhun7nqval3ynfzhc0G/cS7ihVFWap
JjpgvdR1w6p4nUaxohSLo2pzlaju16TunoyELMLpjYBm0gxEn5uV4j1Lq36Dw9B4593hPOsDXd/2
KbJiBUOBxoOyUDEalT9AwMwAxt1OmaxXwwTJe76R8wfPg27LISpDC7+d7liYSM7Jk5/5SeSG/mKg
W5suwVm5DatxMRGaK0myEXYfbIQMpNAEhr3Ezgjo+cUIHh2Vv5R7qNz2ylLZq2jMxlXO6TulKGhz
SpshQnOGDpmrIOSH6XjQHUowFoKnqH1ckJtDBHKZRa4bhwsRtcoWheTLGczCPsp8r8X4ZIdBgWch
/LQw+jlbIhVUX4Qm6EG1gIrmlJvzqvUp5C3NqMaGblwlZVYhrA8t1tcTZsV0bB0K6cEsZ6icuee0
TMxNsRyz7wsrdpkVAdKqOFhbcOIREtJSJMjOb0Er+1PQZWu5nNG1wmcwgICDfuo2KDsaPZWz1Ht0
t4Ps9vzP5/U6+/ld5uTX2C3Xu7KAzl6CPyntExp9R7lFIud/odV7+dtZngIFFaNFIa7jpn/1K3a7
SeZ3WW/t5M6lxekj2rnbPgNyOFneeS47ieWlerICarC1Iv9dC5mY5hgQePITrXOSkZ88XSZ5wo4F
V8HFaGC+LLNr2BC9d17D592gdULqX0Vwb+bqwp91BVhh3KIlD7g4tQZb6m6C8CmwYEDmdENOSxEQ
5MhiiIcrvyBZqCrQJYXsQtPmdbZlL5aRLmtUGep/M7v+GPgvZdyyJ0kPNVBvFxX0k2WiWt9mXEVa
ajfRwKyPdH6psdhUegxQ/xnoykey6/nez1NZZuPnYl9uCZ3GlXgZyve4OJyY0+e3WSecMd2U79Mx
WFkhGXrnHrvQXYXkaHXK+5ZbuE1SYbUFCjH8JraiV/n/wCYSl6QbdAjwA2Qm+xPkLU2cOs05Cggr
5+kdhsTEWGiPNSqXDWVL078/LxW/Y2mgXvmgoPw+xeGrL4MO+c24x73KF2PKQCiUgX2CobtcWoTW
shWAf3GWf1d2VQLz+t+LLG0eijGHBCCxNMFBhgSxO7qeSMTe4FaVEH/qrifaH3T2El2nYQz1hfp5
QJZPzH/OSnUfrg1LlpQlpdEHpY8/lLr2Dpu7ZdWqe7jweIDq9i3GB9fnA1x+BHkcdrHBQjHVJ+eQ
VY2hHPnFvaGOf0rhO3SkDnInqGgwWkYAdipPUZkeH6OwOV/z/IDff5RySRtVKcvTkMSmXOhHeVc6
dpawo0x6xnnghTK3Kh3WlYuz+MKKj/1w48qUWH6WM3le9469UwwiuHrgY3mBMYPDXYUxjq+WjDNk
4Dl+sebu+fz9Phsg0HIIlt6IkChFbIbqez4R6tspglep4pu+VkIUpeEL1f0jiuy8qIFdra4comRt
22IitdOHCB9jU1+FrGaRct9UjC6LULnEg7xF4XhVG8gOxySrsG3Z/Gyh3lvVlSYDBTnSc2JES0Mf
bqVMOZg7uU4Xjk4E27gD1hD9xTkBbowJjZvi5hwni4ZNPYUpthJEnJFivGHiWaIZB/+M1yj/A5Fg
U2SqmRnn7Leapq0S+OjwsGAUjXWFoUm5CClVBIEaeIhkEzwmExWgeNpb+Xhl2Viw9kNQbSeVoQzN
5EJO3IykOy9vpZ0JDY2Gnbc60tZB0453UBv1rTO2G/kYMnHLhIw9S0oy5+ReFkUqGlo83vsMm3F9
nvjnwsk5dftQUPxFF/UTWpg6MMQPAY8AXRig4GfU44cm3xCFmjmGrsVmph160/ymY99IXSIz3xKo
BNArvrdt/1YR9/9RKTQqoP+5lruuX/L4RYKqNi/zy0cwlabyg/8u6lKYFyaydJqhAouiPvvPoq75
l4RQOQ5Ya9dGs45u+L+Kuho4KzQIHNPUNAHak0rwv4q6Gj8FIt7lqwRavICz/o5Ez09dA8rKCPNw
C/wPNP9niZ42LC3kDoKOuiH4pCpDsFAgOsuBbpibJKbGhi4Wqrt5fAoThKRtbGGg2NFVmHTa3SFF
xzJfQwZmT98Yecz6G17nkZpd2bjzsz9Xw5XQo5URhPFCt9hg6habiRDzXePGt75UAmHqaU5PaRYc
y8yvvTY0aKq3IEyytNwFzp0yqw+GpayLqrwOp+oQVtap6JtgIQFR5kiFQVPSwtNn44gifwj9OXbY
I8ftZAbqRTJoz6KziXmDXUdjFqNNJBOIa31KmTrhEna9pViyYgMctK3LJpphdeWc7m2GZLOJ9hgi
IsV7B9qnT/q1CIJ152ee0Ep8pAO8i4jfFD0+KD70Zxph7n6k/4eA50Vm6I8d/pNEiQTcCz2u42e4
C3QQkbe1DqJIwuWEt/Rl67dr12lWwTiukxgqCnLnVrP2s+miKbCH7ie66ZgclZdte0n1C2okTeWh
fjWwe+pdd9vp1p2WJiHcWbu7F+4wbwMrLKGyO+500fopKBMglx2nuTHTOtVrtD/rwvG6qvMXZVNS
USmuaF93Oix3XPui2KSqXFnjTT/2GumyUMv1ebH8rW3j112dj02d//oYJVH59T16+b+g93NePv95
w9jV//2//Si2I5fb931CGH9R5Ed8APVFsN3nFs/3fcI0/1JN9gcVqKGJYKHOhv+vfcL9y7ZBgyO3
A41J/dj8QW2HNhL6H65KE8gVf0/K66x98gFzaWAjxxYm20wwcnRasj+2ftD/LhI8UZBDnaMbhP0R
IR0DoINzSBQj2q+dQVu6rbuDFQalDEJQsjZ0HLcdu16V/XBomuYSTmvuzSWHUUwQErZiUUJtWNI9
uTQFFOl8RlGh0JRXtae7VGqXvUIdGGEZd2kPCYX8GlDihx37F4el8em0RBWHE5K2qc0TQrBxZVf1
w2mZqrWb4HisAp0LyXVDvblqJyVctalfswiHbgs+A3qp0c17C1LnIShAZUzozj6YEFFHZMou4Lsg
y09w4eEeBq7ISu/a2ifbAcgM6ghwzODY2sb002xphVjM6EaVrtn6VU8NKOMj0bNz+jrb1aiXU2BZ
5spYXzf7sJ1xppnHDiyUQ8m7ryn2IHlIIZwO0B9GQvtpJCzT1QjZNEPo8MckrPjjSLRCICDJqONg
WVXrCOX+g4F8LGXEabhoDQpNiVGWHv5B9ZVpO7tc4DDNm5md+YD6rrHqSgMlwRT314jACBRkJLy2
we7696/sZ6EchEOhQ7kGN+zyyj7NRfAKdujmvrZ03UOTFG+an5urApTvVqi4fXVibVmMvq0E0abT
UanX9lZS4UEL95viMbdH3SedauyzG9/DC2S8iEZxEYo23E9uttWN3MWcAZFORSuvot760qTqPXXm
/GT3A3YFEPAXApbIu9tjd2S78z7tlQF9urS5Cu1oI0KXKoTm48IXGyjDOIHiCSc9/n4cfsEYhXEr
ZOMX6Rw5kX98YVFtg6ajjQsDZziGfWCfzDG+tJUKocequ6CYXDktMv61KNdBMDMOcyCtn6CbK0Z4
7MYQD7Qp3VVUicvghB73dHCNVl/l+a0a219/f7uaBO/9sIUgAggKnGgIyh4BDFvfx/lltcgvRwPr
HcczBORbv1iq5PlQIRvUoZK2wMLSKKk/KFehE4QbkIABhQ98uac8zI6xi/cLUJS9ExiG9/t70z+H
QSQnKJJBljZ0BKwc/fOcKhHLa50IIthog9Yby+yhLxGcyhNo864aX4seD7s4zLaVQ0cwj3uM00bz
PuHWpB08MLoyDbZj7zpIMpQFugXxWugZVoT6tCyjGSuEGdwulrnVvpFFFzdFIyIfGogTQAZNTFCR
mdLwnEoHmk/NgZF0V3OpORvT7YdNUCTJHiHZya0uMXdG1dWCToPk9BM6H7dnSxRSq6XMCPYGlk0e
OV90A7v1m9YL/V6oWJQ5YmsGBmr9LRJOncg8QMa6R/7dXRgufmHJeBMw48GwWwkxgcljIrc7JF/S
rC1uEBvFG36kwluXzm2b6TRGE+1loF+0pF6FOYeKfXGaRt8QnXJp4RXZsk9CdVsWAzKhfbQM8IkF
sAq81m3d6EmUlPhHV1nbRoSY9tTpGxDxFITDchWqQ4UWbj9IBSvDK8DVBEHZ3zU9jdl412HRuQun
rAWzbXod2J2b/0HYeS03zmRd9okQAW9u6b0kytcNouQSHkgkTAJPP4vqnuiZ748/+oahYqlKFAlk
njxn77WtLq/Q2rWACELINKS7t2Q/Y+RJlC2JXHXPysq8XXzj7fx+1bvqwEgnuO+J0CvCYW0xh9uT
BGFDrM24o6ctQvp+kxvzvtaDeyW+AZqbvh84W5qBKk6pEXev0rLkGkpNfOk300STrCSkgSxCSfBh
CNcHVlS15ZruaT/Z7gnH3MIiHPU49nSqx95ID+MQGYdiZnzlcQ39FV6wDZRrLru87NcQWqHfeJZt
7hwotXwsZvfqpfbuFpD61moXtA1JXZ5neLBbWxJUtYn4lIHBQKLVAUHzXZmEElympHPcimbzmMRG
ffKMmBU6so+d5RCq5jPelZl5kj3YJ1s92i7qUMaQq9DurQNpx7yGsC1QdhlYoXxeeukzloyYdT2i
zV6XowGyaqSHdvCm3r10FMuufcufzo19nAzFWwzgCts6U5oB7f9qiKvhsYkqNFV2ZyxB8t1GKq2/
Vnlm3gUcls4kdTC/6R9GrqJTFYb2A/Jx7zxLiBmo4gZ7NF8Kp6vORU0jJrEfDa92/UViPZjS9u4w
M9QXmX/Y8ZffSLyqtxub5g5z6g7UZmGhkZCjRUdwtOtdbCr/4IzCAWOcw7GJ7f+2xNyMef9Y/uC3
uZy0YCricf+HcS/3mhqKDHFTANy45ts0vtR+dyXLeFEV2npyghv9qA8PKkrAsoXVyOxzes3saNhX
XHeIz8iqI6nQWxe0sQnxWIREoSBOKZ7Shn5doifxX7ba/7EscjaNTDRJLqdDTpv/7CVU02zGeAvi
VWsTOGYGVyw04ANzdx+iNDvU4bq2nWCJ3k8/yCY/h8HwgHbgVrSY5uam/J2N+t4NpuwpmFl1zJn1
sYmmk5pRxA7zoxl0MDgqMt7+y4r+z93m9sqxxNoBNWsQYO///3ebpo0TcSsgVpagP9a3Yl+S+YH8
HrFkRHsLjX1GyiiANTWP9W1tSrmIrHglu3EzpRM5RJMyoVhwNprDQByzyX7WzkR+YO6U2y6dXlJ6
aFsjMRMS/bRcT4M7bKtS/qu78r+iA3i/b6/1/710QkAelk963K2DQDPgHwWP6zitayaiXoNL9aCg
jWgxWvcV52T+RMIw4855ePJijNNiNl4SDhk7T6qnytP2oxYcjxOF1Dj2CMWL7f0s1Xem5aLmZLvP
Q0+cxsqrSdgRoHNL8NZ+bw0bmGpM2UaHbBLJQmn2YuVU0yljNnQxBUy1VNqH2kqJKwriuzbXq0FL
F/vRcIupHR87fyA/i3zIxp2m1ZBw31vxS+1wtLXCCoRXViMBoXPXKa4E7fRXLnRFU94kzAT/DGko
OdGICVtlmcpbviXPyXcRlua2EFVAfOffLPbgy4zSVscuD+OD0qQ+EcO0qOzUPXBpOIfRieG2Ywpj
JJ3g3v2/D1FYRvQWbORaPGX10G0hQ96K8uygTLYurZpuETaOs2YgbiOM3oFVUQvPEOuZdEMoZrgw
CrBbhzlVH+Pk+DCmAv+Q96ie675den2f7M1Z7y38QWQPuc8Ne/gOWfVpqNMa4+meu8U9xLHpExVH
fhhEpmBhTETkleSIeolFAGjy4NQ6PKa6QL/lV+e+GUnzVmV1buZj1CTJeSIg89ihXkOS91VxItwW
CWxB+o043siTcM+6dm+9x0jxekkP7sPhHDUl1lenmVFCU4jMefCRTXNzpmX5PLlGds1pwBIoAl3d
hzPk1ChsaRx7O2ua/gwEql4N97NnqMx403iYRrN4FmN4zDGlLuLKb7b1YA/ryFY2gJxfn+8cgmhx
mGSxjscayFE1YtDIRE1kMaIoUruNZhUkXK2x+rRa5y+8jPfc2SVpOex5UxNMQ5CqWgkKseZU5rje
ySyNLyVNnE668bZtXHzD0WIiJI2GgYf94auJXkc2AygEBGfxXQuSmLeEDFe7iah2SaLHfgicI/+9
WmfRWRYwvuqEssOS0UVbJh6uBjXt3G4Hw4Y4SQbxpsmG5w5xFXqcLTNHe4m76bFKR7FyLaiSibeF
ArVvaEwtXLeUB0RhJ21LxUEycTa96F+zCOVahMLcdKqd3zjZ3RS1WAjc7A/LEEP/qnxKe8snEdF/
zDFTLJuiDQgVrPsHbg1iCgSANXkZ6sw/1vD1jmKYbjs5vGUGM4u5Mp/jsMRrlbjdcfRiZ+kNEiaA
t8k7qXdjkrzGc9YfQvxpSAQDJHJ+uuEaq2PbhfDgzxRQvUFq4PwQz7ugha3kMf46mUPjMrWYh60d
5ruiEGIntHxKdJZvRBcvVJjgsUKFSeAKiBxcHfoQoRWHMQX9qq2DDHPNipX1YbAQCVijAyJ/bLCd
9cdqsj+rXnjgIUZ5HxTzwHaNQke183RmCWNu0EeE+Ppuz1mNhypxf/LO+yRDlwga3/pjO4A5OfKY
bI/p3zw0VAWWibuDYy8/y96UcupPVJVvjQaHBoaXJXNMAAT3NRIID5z+ZIDON27sexIUv8i8nS/Z
rOeLJYp+h74Ew1cRr+NwGWGY7+pkZw10QOCTOM9xoLNlShIxvzZZ4bGqwUNNqpAHs1bQEVpFjHMv
xx+y35CFKLpslWGH+NcgsU2NtZ0at9yl5UpmQ8URGlAuR+Ad+eHtvdFJZzMPmjyvlNQ3STDfWPKW
Z0TUoVNEDCTKFxYh+4Gh0X42ile3Lsu7noJrNZESuiKzt2I435UnYsWKVavkTXfmsSUPRD3NgSTx
c1zJxm2emFX7T1nW3xkj/VWqAubUejz5VanPCpXbSXYuyg51jdNZ7nEMML5ObzmAqkoAztjzoSvr
JVnz414SQzv6hn1NHs1BPo6+bg52amF4qIZnD2zXtWnUX7MTzguv962d0ufSckfiODAFBhVHEGKM
ik2RReTGugryyuyWh6ma4oObYo6UdWNeh9wyr0U1nLKx+ltaFHOw5yaopgdb2uLIZF4cf7+ymxb1
B64ivCm5cwrb3jn9fhXACOW/CvfUlH9pixqb2Ohp2DI9z07TpN/Ltpm2o1d3nM3atFkmyyKFDOeI
pr05I1DwjCCL86I3z1HpmmfZE5cQF+k6Yl66olaA0stiAnyPXwwBmzB2iZyDpbdrhWr2jmM/er30
zlQnYueO/cfUBdZZHJXpzOPNy1mc2ZgJC5/iYp9obvreGI7zXI9HkYfETA7BvlPxw6g8sVJC3c00
1aUp5LYrvPjUK7JHfx/0XMSn3+fyjn4z8FxioXLMNFmeIw00BxafPN7Qf8KgETlERk4MtYzsJZGC
jvmA7opivln2JeGKTPEK0T+kI4nAta2tQ1pMt39fyXvOZ85ajVa5sCAZb7OSmF2g/iRxxhAPdevh
xtMg4QG/lbD/2uHs283bYM790vIQqUV6cpmwTsaWdlh/UWo6B5k3nXsvPqZqVKds+mjiwdpjzRoW
JlR/lmJDnPjfH33WoqCKy7OoMr02ueaWyHoYevrDsBapq9FvPYd0+e8sqx3uJTsOCYr3iRf7i7xR
8txCRxSYLrclsQPMNVXHkXi2F+F4cPzZvSjP/QMmPyMTzrL2xF5j/02IFy+0Y2590kXX0jPCXaKY
MY9RWl/s0NhVUOE+c0EXkyS/a5aP+c4tw89WAAqHCkEYYz3u/IH43Qjf+4JRTXrG+/UdVa3xNxiG
pzhtxVeNwI8ujZv68q3rS+7rWNrb0qVcTT1ypUQn8q2HRH9/05NM03RFO5QsOcURGNPk88Vx0LZo
5TY77Ql/UStlf5G74udx+s62SttTlnv4V/OiTJzXjJroMfaKu1Ex8r2xo0m0b5b4rKcnd3K/rWRi
RRrtn7kf3GN5i4WyuExcMusb1t3UHIOd1l82kadLRE43hbqptr1Lb84Jd5HZLXw0GbtoIt1ythjr
V3dNq36M4NBmE1w/+L1CMGlynOrKfCrbTXpEAtO0HNCmZGGAc92pJg+WY/PsJGh/Y+VtIi6eR6t1
2Y/dYt76Qx2ySomQkpJFrbL7C+EqWK4bu9hbWGbJboXJNaZXwZXOxDz27zH0utuEUk9mbbwZssE9
09d8M3tmOZPOpk/XqzccviGdVGQpUjUk3zqQrxG3aBEmbwPT7iW3dvxg4aTNixbIGOkpD0pHHLRL
cMdllMnlTC7VEnyqdeiowtPJPRaTL756D/N8nVg/Qes/uJ4U7+TcMq8JxuHggvOpbJx1kBWj/WQC
OiFsNgeHXJvPNBLgfUDG+26dZ8NVnE6ywTmYWj13vd+9zazFy0YP9T2UkoxagTC9EpXteeYXW9s5
1affwYpFT3FiM2r3Iy2LPRGexUnknI8GwMVLhCzt3cRwad3KNLymYWItZw8gVG4oBltFm/11/fja
NrBcezC+jy6Y1lrR5APOeoqCDJNfyXAvFcP4iar+0/CSYD80EUx9ovIWXlU3z4zmi5XrZ96DizWB
I089XwI/d7Y5ktuj7zfXAlbUxiVtdS/Ikj5Jinc4z2kLqdpouQG94cq5jvb7bFerJqTp5HVeg8cC
N4kyo+INxXmDjLqz/mBIfs/cHtK6cM5zKcRPccu1nzZ2RJ90YTkvNUl/GR2QvZ/P5ATool8RTGD9
hE56rO2gWtWRiM9G7z0FdeH9xUMsFl6qNccV2nlE2fWvQ8Sm7+aCtlE+IcyoaVxZfawf4WwNK8Mw
g4cuCmgcOjWaKZEWJG9P1sVQGBgSWvCcRdL6lpaEytvIjGN2y99lxOKS5uNXhzwV5n4MKPesyYXG
UMKbTAoTJPSkNjqAaolmG60JfagMTO0qUMHEvKUzV2Vaa8wSYbO0uh7OdtMQzO11Ba2f6YXakILY
ebLiuNoNvZhPJrXOsh6Zp4KTj08pzFY9l9bCtPHjM27sh22ZZd+sLoSFRzn65yrVezOtv8fC8jDW
t+FyTmW8RPbtEm+qEqqY8m4IrW4bZIw6WjGxrBGzp4nuxBzr6JWKou7iCYHgNu+7VRMDefb76jPi
19mQBegsm7bB6FvBXqh1oJfWcOnpAT2U+dGGY3Q/otxdilTAmvZIerLnoEIHbZ6q6UaTzCU5D7b7
p0XRA4jVeBx0753+88Bpc9oo7eSL/zyngpGCMVDDWnbaPXFy+/dDcPsK1QVq3tK0N40U5sm8H0Xs
nOrbd/5+9fsQ2BX/JlDjCQWjHwi5tlXr45dBrLzCyeqcfh8kdI7OmOODn8nHlNe6Ghv7tfZuKCRZ
O/aJyIJ/P/ixwQzJ9Q7z1PFUWOZrW8DvRmC27U3DgVgfAciIQrnvbahNvw9JEb1k47wxG7/aQDkK
T78PYiDucbAgiFlV3h5J5j36uR3sOpnOJzsGnN6ihV+kfHjrMiWqRgd3cZyx6M/iNmD/fRxn2BcN
SQXgFprsVHVeeVAuZ9Darw82N+CBw2uBGidk2UZCeqrMbh8WSfhg1wltPGO4n9MSxJAn7n7/lAxy
vPcrKnwav3Lz+xzMQ73sMz57bAfRhaWtudTJvonJnV6EeDNJs+Z5Pn6wI/RDe0StkEFc/ywhZZzN
sUVI6VdusM8YOXZZe/LMOrkjB7p4xiB1mLppuqd5Uj6XTv03mazg/Pt3WcAuaVmeOv7+ZRwZ5tLj
YL0vqCBvyj6E66Ew74qIdF4XeLCf2vPd70NBVPm5aRmAoORns799G7rMmUYyyi4VvLet2d+NmdHf
/X7V24gvVVExJqH5QyU4ZktjoDcjUI9sO7cKH8w8DAg7t56dSUfHiPvcNrrmQnhSvvQTK9tr0DQY
U+duSQAlBV0Vu7twoPVl9gWw38p8hLZhrRyrtC94Fvp94zXtbm4wAFeOxZyMcuXN6oyHYPDGHxMB
BQNp89NghLTA/yCeVJEmm6Hy25MNCvxIH1ctxdg+ghPx3o3oziOelvuPg5cjXTLfbAvAR1Z78J6J
JFH1F3aUpOP2E0PnATgfsjUNYoaMlDSxA4DMsAO5yafpy6CdtAmKWt8VafHNptEu+1FgP5x0cvzX
gwxGfxlpPzkSEhG3pXdQY9FvJLd50GMc9udK4QWzlyYZuhc9fKnJbM/MQO2draN12Hgl2O5WvOZB
7JKIAGSs16549YvmMAV1fcW5ZT/Zxc28wHfpOYm2nd8/B9gSlkEwH4ooMbbWxDAwL5I9Pfp8EU3H
yBrHM7Pc4pLXKEPBMUDnmG6/GvWyL2nUoAAld6LL5nAL7594YJr9D3kIiFzEfX/4fe5ffyGLo+gi
xYuu3vyWpLbAHfez6bT8yHSZ43ru7Wqt3PaRPMlTduP1qyh/NTRzoCpldu2V+O6STh9KJH7NODsf
5dy9+GWMb4N+oLI3JtiTRNGrEnO0sKVDQVHVGxqMNp0b1MODZR7gTOwt2hf7EapzfC1d5NqViK5N
NT53rMvMPWp/i+GGAtQ+Vg6qRXbyVVJXpEIF2Xc7Zm8qa5JFk7UHiZJnEZYXOroX163jFV1AXCd1
9tFYJOKloY/JikvBbXt7QTrfi6fTdGO0ps2QkNEQaJFkETtCb7HKasLZ/a1bZMTaxeUlNqmjki/l
ZUwvUirrgQEttGTsc2hr8sra2UP2HuQotLmLF1nV7qGgv+le+KtKkNzaerilG7qcm4LkIbp3CgJD
/2M1HSecgeAuLH2LLAH43pTqvfKTHWkEiyCOAJA471aOHB/EACLbOyb++0iTZe+o8JYstPKHKfjw
AVtg6ExW6Gi7ve9VH9CeDGD0nFpM5mhI051gouKIKrJtI/BtOQXQam7q7M5VXACImV7HJCufxiH9
VqN8jOgQ/s3mvlvIwCdUxe351NkQZlekd0wgyzUTh2Hlj568TJzdgC7FB20G9HpDH4NU7nqronOt
LRkI2RFdvbX1Sitlda+tY1En2ZYWn153yfxQ4kFez7K9VLJUB2YKdDIDJoN1CFqlfum8HlkDZ87F
PM5bIPcfRGuD8wdXQt7LNoKCsLQBCq19Pa2I2l6Z5a3HFe5zbThkkWmH9jMmVJYue6ESj0GtVd/J
4CiSWDzGlSTasD85gZNforbfVjPtIrIx59It7+zmHrzdDnoxkn9ospx1/5gl+UwqeKU99Dp6Bv0M
58utiofc6ffaN959tB6LuI5uyY/sdDW8G+ZtSRl8dkYOulwnJ3S952CwTq3w39thMM5GAsjCnday
qr1FM6TbIh8+0x65CKqapWfly7pwTiYzPm+EsOXiY5uzFHVZkUFUCfpo0XIUCwfCGTr/pStzikgm
gDdlfVWlP4nVfuFVbngl7DSFKz5puPU4nbkNrVVdendiyqCX2LySfN7HU7kB3/q3TDM2HcRcOA76
PXmruzbTDgAH3rKu6o6O0x1GSMh4DPWbX0bJgo7OuUgCeFwkoiyqrk5xuk2P5JuSH38LqRveIcxQ
CZDOYiPc69yX1FXwp2BcRaL9CGs8T0zQHobA2nAF1dpHaAskiuAr1LajKa72aF9rDp8Mw0pogHH3
TADL2RgKQpbibS3txyLBSumkMDT1XeJlWGXZnAQR6PvRqc8GIQKLWTCL7Ou/3Ax0/jYZoVZxEO3E
EB4Avm5HILndREM6681k2Uz2JlCI3YxqujiuSXymjXkkL9s/KE2uNMLS2r0gtz7iMBZ0bt97075y
qiI8PPVfmlmP65iA1ZE+MN4Xt6dwTvDaWRlYluQYVMG8Ncl1WMK3UruqCT6zKHjwJGPWAsIcIwNr
TUgMiqj0tfeGP73TvGd5dVeU5U6ZzHH1pJ6a2GXTArcroq034eiwy/lrmLFV9UPcQTkR1kNn4BBx
6+YSF4+h4QwkeQLfkA2KzN60fnqMgjp4qH3hUX64UMcESRsBkR3mQvVJA92hPQkLSaeIuXTiwifs
p24ebc4jmcKPUvrYlUaRw4FQ6Uureacc96+pLAuvFfQ3PfU3F+1A8h/7LtlmuPP9tzSf/S39sS2Y
R5xm2jyVJUF+C4zmZYG5Nu7B9SmJnlKNyEp9cfTC8uqBBqV/TAXYdLREveS7kVipitKbyTCMHoNN
3aTH2HQ6Emedw8B2itJoMWXA6nS6sYHmLYPcfWJ0RK5iOq8cMYOsi6PXAkRBWPkHLcVRCkCbcfsZ
GmQh9d0YM4YcN8TGIn8s4ZslPAdDfgBiE8wdh1NitpPw4lXPZWKR8mMY55lYJCNOX7k2SJ8toQaE
vk53cYLvJMP0ncUW+xJO4LEh8MCPT4ZuwGN73zDA+hVdmfXY4acKDUussd8vaBnaVXrG3t1A5+gR
rw4wvLiBVlM5/hDEiCxmzI5lPp07q38nM8oMcdF53ZsBXpWWSw1LSjLyFebOTex3XHeo7vwdvaVi
6buGXgk6OixTGB9aRfo3FuXXiPDdhRLfZD78oR3fnD3MYxYi/5tlZmvyLizTbsYxbhBDlUx0BIr4
WTKGqZX/NKfRS67yCwIqJPrD8GKTfBP55rCw8uxpjEldsKETOANqltzLnqWLKGbiENMCJV/eeqIF
IXpavraQRqJkTef2VBm3jGNC+DS/XFzgk6J5seHlH3yf6JOIcxEbdtugexioPhf50ZVOuUz65lHI
sjwl8HOsqpqXUJ4l4RMxlG4dH7FswstJcIIbZrG66fHHeW8jF1lJaV/jCuWKYUJ5yuG+0/VFjwES
IsveK9oF9S30rHXJXqnshxTomiXnVTPER5KdLPqVkkKlk/39aLuf5pxhxk/vc4vOm4e8g4RT3j7R
YLJ1NQMH/FM5c4uN545PkDXohUK/ddiNOay/ObN6rDK0jkwNase/yDG1gOaY+2wAU+HT7sKbCJzJ
z9oeiFm9YY1WmJDyD282vgAytLDIO7kZSmB2FPI47zn4W6SWeh0pQ+SjMUw5yk6dTRv3P/oIUXsP
oatNUOo/Y4mD3zc4K4PT+WjpqqFIpaxiepHFytwVyREV3HfcUozas413wv8wfftsW9LeIFsiJLSK
egQ38rUe8Ka1uV/sYzKqXDTTfSJeGWG+5CN9tkRgI9Xmq4VyqSFvbcMhxcFPXl1dSfYFgrP8WIbT
Ko2c5I7gkHEx+xgnfz9XYXZ3M3j1JePffOm6JZ9Aqt/1rdM7xV/57VhvZcY5ID0FXbN3S04x0MhU
YG5yWvpzQNyN8leMQW6pYrCiqDzrNHnL2/JuDMZTmsarYPLuO0vfR7gyFpCiMrpVQh5DPUnOHjM3
9H/+nAyNPGqyuTbN2DyNXvt3pOjamF7nSMqv3jrWb4HKg4NlCrGy9cCrrqb+mGVNfxxU8O+vAh/X
FO+YxqPBtUWUW3wUJg+0XXRBOYKgIFjqshTFgtqaqWmjEwTbhjxkji0Pw011So4MrSgTDpP0pHXo
VWgdfr/6fagCzSGAFEHD2ZUktyDrJoxkbJN223XONSnPtnBu4zGrvciaqNcJ8+UUxnKX13n5NE3u
oQiY4w1D8pb2DCxE9WHMZbNRrZVcy/FsDgoOJSnfYEjzHNJTk7IuWaSJKUjx9TyMR9L6TOy2brzo
hrI7y+88mLGlyrr+I4eOgSFgwiHOi7U5pVxqQftcRJPe1p58NEznB6v7vKnzgpmbSDeZRcsyU/V0
krR8d3X6Beq8uJ9AAzLDin6lSlCOKGCbZD63U81q0vXPuvXvYsN/jZOLEO4bQ3xOGu70yrVzsq1v
YRXveW48tH1IyaHOOsP95LOYBeRPmu1PmOUdr35Y2UXNrIWtCr8P7AvfiG874aYJUtRv3bIa/b/p
OFygSJwxyf8djODZzSgWO3HqmSf7LVxubLvtBpER8zoytNyw/GSBWna1/mnqpuc8MwVkni/90roV
TY6x8GJ9b2irWrvjIrayB79sjyS37XX5TabPoeqvM6rhqiYlseJwW5jbVDkHowpfgXa/Nruh1T+w
lSm6iyKjMlzjjn+pDSQjvXcPohLpUWLT4aSmQCrQfVcf4ci5mW3+x0liesAwABrnOWrs57jLzjIg
by+N7hlTfVYQHuKbpwOYFUlHx8ZOziSYvBax9xUEmKfGZodf9KfK5haJVXntYmdtVEwfigaVZ1np
T4ZsO1VjGcSkSJnZ5wvui0XutfeZpR+K2bzwIWLBUt3RMMrjkL/HnXs/VPQnpHrtTOfBwzNS02qe
78nMPPAZIAN0L9odN02NEm2O2O/L6qOmoB+IwYqto9/LR0rOEKMGjSXesZ8cIIsI4xcpJAGBt7dD
9erFCN/HMKRcRqjgiL9pSWRPJk+eXz1h9DCffCNlZEcgpMM8srtFPfuUX+qrNoz7dqTezEtja+vc
XpbweY3U2dDbZHTPyZxBFhb9pnsFUnE2U8BxbcfTlSjWiZYHnSUvaoLHqN/roV/nlbpXGkXYMPbP
nZndoSvZlFHHWxhz5XtF+xQm9daWXEkS3T0yEbmZy2gli+0UMPtpBwwrDmoy14SJooUMlpyKTdd9
UxFnRtaYmRVToEf5Apd+j6zl0pXOPaqBa1jNH5kfoTHyPwscQmUbEmzdHxSHCFxm5a7HRG1ifMPo
nG0FrNQKVF6deuG6ssnjMbmmfU3TSQLaM+992/2OSuPDql1IMOl7Y8c4seedNqw3twsk563u1TT6
Y+DKQxBt7GK+1LG6BlV3Jk4uTcNPko04L+F9ZAxmId8uwD6SmFoj/MSAH22E1f3Bn/9gG+K7oc1C
Xtx48rZ5Arj5Zqi2QcCKsf9TCQ3Rt+r+knh1CQgoBGf0kjT6lGX+VZvFaz+9ZaEBL4GmaUD2eDW5
T6HD6AKY8rMNWr+FT+zI6g8zz50unij4t37QPhRjddA5h3pPf3jo3SbrBbXtj4ro7Mx+8TdG7++Y
6Ez9/C11WUmY/8XEgJHv1sGfcaeow9I7vyUtbNggPjZjXS4xQYqVZ5fGMknewX0AHcSU9Pts4LTG
gvUWABW4UsVctZ4gBjgmBuOQ/cXyGKQ2Y/gz0XGdnUwvy4D8rTl4KkKYymZWJitrJjG2G6FBJ5SA
fVhV2L5H9haRoElxXma/dUB7VcuoSS+xG09Ix1hCfHtaysg8IqT/0KX3ON7SgKKYwW5KFz/xD64z
GyvkTZJb2FgOfh4teAtdzO7eFxvCMaMEia5dz9KH44AXrZp3cxpOhSpAQJX7IAlIsDNXQV4/W/Ym
T+37eRqQb84nye6qbArhLtz9+rU70ErciiB/Tt2Y7kbe4VmDvpoecz85WaVGxjWAqBr/pADA/Bwh
QEQSZ+fv4zq8a7gN16CKCJifNB32zFAnrzEOA8erG4zXLNMXu1avOT/St8a9ntol2Itt4kf7vnfP
4TxeRw6rPlkHgJSQqlHZbbouJ3nObhmC98DxiVBbk2z2qurnXDD1bGjg3syu17bTnF4dDLUV4o0+
gJzVeQAQHO+cEqdJbzqbyDeL8FrT3IM5WUP6xpPF0bcNpruy9a5z4N3HksTEKNl0NuKDKFF/UFw+
Keu7qZyTV3M+6BMaKHBuPufIugvlkwh3adXeh6xpXt6+5UqQbUfsKDE6Dwmqq37QO+ZSFy8dz0GL
swAVEMakP82Q/wU/yMHab7j46HOL0P8IbFTfREZRGTruvSvJx52YlXVT+tiF4XsdvFSN9xGS1UUP
LeiQ7QFqUIdgMJ4jqrHYtoALo7vhoLuZCIjJ6q8wV3fwwO6GibiCqF5J6xZHKKCQO+m5StjSeju6
Ct9/6SfxhPg8Ll4sBcv4dgnbGcxMbS0dZDdLJ+RTSH4mjWh5tEV5IzPwJj2De4VnPokHT6VHNfPa
LMNeVW0ueSsZb0wJXAI2pIjGQUQirOVzO01+9B3kwxPYESIQyIZO8V0HmqqdVtA9I3o6hlghERMk
l6geX+AH1VHwAotTEI1AuZXrxVDXT3JwmSv4L6NBc9g0uNYjgKjkMufyfuiHpyrwUXg71yEqf7iP
T1P7o/3wPHbFnznGRFX18S71BmPRR/aHYTdHzMqaOXq3szFiEKhXZ8tgqN76YSApI9nkZvlOtQRZ
K+8sOKP0HOrupUXOuPY8NhcvONVZtBt1RXfJw+Q4vHhOc8gM64Ba8mRIjf0zE495uHZhjbft66SD
eyJpgM1I9ZL645XVbCGm+D6YRtjhGe2Cac73PqkhxsQnYFfimnXmh5max1wAzOFH03bpl8g1CMLU
J3TojDgB84eqWFlD162G3f9h6zyWGweWLPpFiIAvYEvvSYnyG4RaBt4VbOHr50DvxcxmNgyRUktq
EajKyrz3XCsUKPvnhQrm7dWdol2YXAoDDKET66+2lkUr02BICqhz2UHoQh+nvQfiRQ+8T82qLqii
/mUtazg2rpEIyUJyUkP7NSKFrOecxQdNKzH09HRIQt6iKAE8NgXZm4jwmNIgXIdtdq1z67sYWapU
ioYjMMenCKGSp0awKrClARgWjEGGBlUzBLsu+NUm53uM5kPhpN2V3+2GuPzUUULQyZqhZtm/kRDF
cYKCWiZRtaBxQoMg87ZDyKUJgYDgz7j9tXr11FaK3x5uEktB+jjkyBRMlwaY6L7D+euaSBsYmAio
B5jvSiBJq3aqLpVfkwLaycX8k2MdMbbRfXsdNZsxoavrEbe0GXOZhhvXneSPqKmfoVXx+7HUpOI3
77gfK5jQefs1tWTRTqmsF2NLuGamuSCQqy/mektZ2OgF/QxTfCr3KCwZ8zCHIFap2BpW9a+QAPNl
gfcPqYA18N8gaGRc0m9cN5iCQHxkWyPtTqVDSYb3OV1EefGGhI/3ImLLsK9N7dGIDPPfgm3UmVgN
PP6fE2xmWotkFGft2cinx7xA2eraj/SiKWqhL2BnnoGIEuCST5+ha/0t3ojNEEz/0Fs9R357sGJ5
ZGy6JPDqnGDegjbHlDpDdyvzctG2ChqXt4gc79wH4juZ6OuN+euEdiCQZKa0MfI/uvMMwYl16TUE
THpd/eqg59Au/kOdugrd9hOQy2dgNs8mo1otTTZVz37XIsDjjD+tUydDNDjOUZZNTYxDO3cSmNY4
6qd1JZVNbr6IGGRB3uonlvfV6PdP5oDY0UqpbLV6z7ycrPLmhgvs6ooK1IgWNEscEtue5FQ3PqaS
OYdOsu6S8+qxFtHRFf6jivwrLZePbqtN5oNfa190779rIPumDqPYtI+qZ7fRBQzcnP2plgVR8g0d
I9Fqb0WWHpjhXk2/BnUd0H7NTdSV5Yc7Mn6MgvojKXzmWzgX21knEdyikRWhreydjPrPToP+6PbN
J1tG7unvrknPXhAuwBX64KOy5SrSfnqFS2gYj4AkEKhVYKyj6eCwj/d6+2LmzgtHKCD+Cs7gdO5a
54mb+aH0n1Vmfg81O1aWte80Ykaj+4RIh0QpoL0rg+knYN3ifeTUy67F7UVmQAlnvDYZrsahIl2c
P70xm83ssPiiwiWT90pH62tIGfdYqHs7j3RoihnNMJ+Gm26Jtz5j6hRU/fs0YYDR+4cg5C+G2IIm
qr62CDpdBInxrHSb0CC0SVF607TpiyD153oynjobb1Sg3+t5mdCJLFwwSubSrJ6h0N9l1nt0DYZn
j9FU0oy4R2myLmVWfCQEhGsiXGj5+NFY0RFRmzLVvWjrg2XQsq/7fxGnfstmbTLy/qoscVSx+SQy
d+1GjNT5CZqNLrNt7j2mJP5qxb420sec+YRHQnnLUuiX0Uc0it+sRjPTy7vXOJeeCYXV5tebrMWT
gsxP9+AyWXLlxReGu69BXl3xhd0av352sLfqYXoMSvGJ/Ok34djXqPCOpGbpDowaXCv8h1/keaTI
QO2HErKhqCbBcFyhyjqNWv9hZjnLl9Ef0mBaGoFxaKJ+k8UabDmbAkLv33G4njN9OBAkYd2zDNFl
uu7i6bOZr2TbpoIwJaMzpN2p730qs1Kz/YB0TW0H2DLRw02VZY9BzS1ZGcSnTzaSGvM8r8NTA2qI
NoeTp59hkB6wbINQgXNWViFvlTB2qgsOiUcLMYyPUL4xm0U0qDE4uBGAXH9Y+B1sghqyjCOY0M/p
zsJx1GK0CcGwXZu+mCOXcZr/SyX46ib8itOAsHsHZJ05Dd+FZSFsCB+AoL4PLQ6F0M+0Rebo+xyn
p95wB8UlRisS4Y693azV5KF5MZtL+oTW9y2XggZ/NDwHOoFn2S4sOyQF3sn3cIGqCR+Ye52kjWpt
WE+YvXv/rdNfy4ZoeS045DUSYudQOdZNOfopbsLjGLe4HcAFVO0x5pLpptUIjGfAOdYaAhMxKbdh
tIk9tR+nDuhrDdjSe2ub7NITb1XlKz9X7x36fmJacJ164hqm3a8vyY6KTCSgw120OcJSrrQ0CXEX
lzuNuauZuIz1M0MuSkyNov9SdfErZYqSPeC4nH3rKZgKir5m6U/6XvOoyppm9nH70BZyuvYiu80K
fH9kmqcZVFNQ3lFvw7kp45qlkqiBJSLrwbtO9rBNwhkXVunfdSGuGWu0ltsFb9asx6xJWnXrj0Fr
+oWfixe8BEcjgoKHkJfJfhYTiVjvfGRuCy9Bsd70zIJ7sdLGuOTKaZFbEpamA8scajwH9YeDP4ws
hFdTGd9p1z8DfEDr+86o8ElQQivTweScHJCUbA1mNTnzcq0qPoShfeea8+wFKfB+Yu4ZPaFLv1vj
KfdqLmTT26DnIlJE59YUaz+Kb5XtPrtIFWaTPTniyl0n48iIaHwkYfbH7vwf55FUk0+jyDZBV8lV
OSTE88RPFtbkedAOgr9BROho763DjmPL9JJ749F2uo8SDeyg9+HSl+zk0qqfEgblfmA8Jnb73avp
s5bGP3w0q8IYccG7OAidPt8OtrlXDe6JMBn+dbV+yHMgo9J4NQr9B/V4g9E6vWGqod5nZm244r21
O2TRAUnHNFML513Z/q/DkE2Ao8JeBIQEiUtTP5LH5vQdPY/Mhj3qnVJQdD6+7qVTk/bRjWQ926Rh
K5MKPa27S9W4W9dvfqFQPaUquE8u0jRHHkar/6UZNjeQkkcNLqabJo9GB9BACzh8GQW5DT1BDvWw
V8J+htnOlHj4LYz0d2AUpMvXUceBFRF04Zg+5ozyjqb/Xmrtfoaj8C041FVAB/wXxJpdS8+SecqC
9uytDZO7rfXULs5boUePOs6NBUsCMGBcULiUc4NFeMh/uoKcDqYNrHf4GsIBQorXOzWxQRQSfc+o
JkRdNGrUUbwwavF3h7puMfXVZzv/riFDlL9XE4a5wrzBLixXPkdzXcvqBUvoCtb/a4ZQYMlqhLqW
IOY2QwtpU6rPIC9iYdNDbKoPt9VWyIZ5d0OUWkK5J92cW6cuIeuBwZyptri8GktDV5gS0mfq4U6U
6gUHTQAxkCTk7t0I++ZQ/eKcDR8A0UK2RIxnFvcO1OfGovZ2HIj1BNd5twiyWdrkP2qoDXzKcmuW
PZ1vyn6EhJ5cjX2jsw5Hb0In6ENKGDF1DnVci7RLONDASkSO7kyvr8pGfKL5IwGEmW7t7XKgYUsa
qg3/ZctF0q8xJ/WrybNfR5kerEBAzkxtBmBieC/MTzPPkGTrwD8ZIl6NULuM2azLtu1nm2EGswmT
bndevObCW9OI++I2DhkpB/uwdvZOqnVrKZt/XfpGtMLOtmm5prZGHl8Ha22kBSTa4LP2x5MPbq0q
1DUzsr1UzmM0Nke/w+qBTIIKex+kXoqkA+Ku2aM6cGlWt/2DFPaHjpTEnrO3JiG6tUEuKnxzBg72
OPHDYnPca/J7GmMaRLKDAWucQde9+HUcLwlXU8+iYk4FctVZO7n2NnK9bc1h3pJKY9c5xaNMtSeN
fqdwBzznWvbeWvKuR9NvHJXNQkY5Av9w30xoiSLzkCv7LCPx3I3WhxOS5TJU67AP3odU/hNF+d4F
01WHYF7US6kLOuV0R2TI5pDJCUoZstQl7uK1Mm3m7ElMkk9Xnwo6v5FSVF5E1zJGmNaV678mNtuy
pkEzRRWA0Sq8SlO8O2lKVFp7l1rwlbvuxq2cXQo6aauCCI0Uk+9q5Ogxd5DJ8UiWfZ6+ZFRmloGW
xTEqGvtM4pJKcpvgFT2H8WMXBe3D1Pr8Rpn35t2lSn66OVtzMLHXWVO55qSTrnrldjjXxO9gtFz0
xo4Uste/L3GxS9D9ZX32ajQlwWQsm4FLIWlCrj/nidFW0/h0iFKA9lYP8hQsB8kyBjdc7X/RvigX
NfJFJBDg3wZU8Aet+vt1d7afv1qQWhfSZTpaBjTCYD5riUdSRE95WV79oriiBhuXqicTpsoFa6Re
d9quoXlvKb08ebH874MxPy0Nh7H5hE8kMLj1fGtFzt5kONVJdohiyzFvNj3HnBMpE9Yy7PQEfIWV
nv8eKPrCJc00EpcYF17pxRBUJ/GJNN4C+TPd/D4adhhrUGrQbdymkwfuSaLkTY3awCRawoFlxV39
vVZHp6RqnRMnyhfpkZlXuVF/MKXUjg43+3Gy3X6Hz/8/z/5e+nvQ56/4vy/7e82nR7dwJPQKLwlg
UMwPRBbDk09Szr3/+xr933A2IoWn/+81LCbJUuZGg9vWcY5N2CF2UhkyntnJZ/S045j58Jm/T9fG
4ByJXIhXmqV5oOqaBvB4JMH2x4A8Vdxc/h6Yj4/GoinAWUqrr9cDNuFtm9Hx6zlI0K1NTepXk/Q/
2xqWakQgjHx/T6GHRn5+0G1C3iwdudT8TGuAcqd9jHd7fmqxE3c9v17SxdHA6Q/4cY5FmJ7NFJ4F
ndjzkJIE9/dRN3/09zTIvTk7C1l5hPwy3HZMVnBP2RaYcBnRs/p7HvY9IPESzV0OETsxS+/QOepW
W2LWzWitvW4EG/J/nldyQ6UGjTPEW2pMeqpvHZMfEIYzvUGbyAIKaTt2k+vNoyePio1jP/lCPOTM
APcW1Cs6Y53c4NzTcCrlDETs2AhXsW30+8TL114BtgU4THURqd6dYn4/onsYlNXCEPv/PJWyuvhW
dZzdbVlhmBfpBuLmjpOg77UaDCY2SUiDw2nIJ4/MobnCxGm3QUAWLAyg5vr3MAbhdLD14lxWvjwN
yD22VSE+ei/DhBXZkzz950PftTa2CMOjqvz40k7DnYIlw5HEs7+Xknj670e+1xLH7V1bacptktTW
Fc++df37qKlr9EkmluKaFpmRZeIYGwT9RV02bCJdmK+1QwMKcXRzTuanqieAS8avbazLC8XQDHzl
5WLU062fZ8Wm7QsNuPb4VUYt0Dit17dpKvInu0/bPds9Mrb5qZa5Fd4hhBGpN+7szi2e406z72b8
RZuHwx4Ih2fhvTPDFve/TyOM3g12keMTJpp2sBpjQ82sV5r6lCbDUF2vp0MAtvfe+RV/sHb6RDlo
Uzwa5tXjlAg8JcE32nvTZxHhOWnbZjnGU3rpK6EvPT+y925CemIjB1bgwA+PU1YwEKXf0ScslF4V
pXuhtc6dppm+t3BHLQYrcu5qfnBR1WtjcZ/MCN0vzZzULlOCc+gGj1rknpImRxLvcXj/e2qacj66
8gk4VyHCjjTeOJWcRaDhrxGV+f7vmUUGwyZ0MH12JYLhDHMio7uoXI/Z9OjZXrknqTA/WpFEWpgD
eA8mfwfb4ClszPZiUcxdjKaIN500CGJWco1J3NqLAo2aCK0YrUjAYqI4V+VFla1dKzN82r6lOOBy
cQ+BMYqD1VvnJje6vSEk5Brss5fb34exisrL30f4nbvzaF3R+YS7am78gWut6nVulJuOyN+z3o7y
JrAMrFSKR5am1sLK2+Ed1W6+g3GfIjvmKSffs8e/vyt6X4ce5qmTOd4Sx175SULCrD52v+m4obZp
KuOJasTaxIU3LbgNWdxsVNbpNKiPVGcIQgfkcfIG5/T3esGRkihkpzyEbtg8xFBiqoJ8KYHU4SFV
HkMna2AwU2UW7zT0YT0LNk1unkkZFYeYeeYN+BW+qpb8qpxCNU5N+pJAh0+6JjCGOFm1BuIM3TR0
9EOWN+WOBWDThCnccZvS6++hRUF7dL2UWxYeg0tldXbHc2hP6vT3xC8ayaJZMyOVebJR87f++/5O
OJlH3/pXODZpM38vDXQeqCwDjrSpcfCtcbhWLYgr3cbUbDIhUULRw6u83569E7CyT5JWdMp0L+VM
279nAXGlNm1K+NgmPNywhkZmMwuR+HYt9oJ8DPOdhTwstJORS9//xGH9WdsoDxFm0vTWf3BY5MT9
EZeYEE775WONWJiKhiLZHQwDI3PpqvJxGMEzqPjcRNVvmJuoE0f7nbEk6WzYkusfdwg+zPEhHXkr
c/o7C7yGfJKNHjTFa5cz98rSYj+l5NP2if0yUk6h8PmncpqtmNOvpjbXQOxqUtdYrpr0ho/xVgga
W1PhwvcoH/IWtbyyWM30sPjOzPzRt6hyB4bXqn/yYqPgdFY/G4H7XdWHXAY/OTWzyIsPNogPhYi1
dL4K1//UkLYtlC9uQb+3fBrq+ngqpmDvNCjN8/EZLcnr0In3WA/OmVtvHNKD0vhsEC88NfFDn9Ub
NmiGPrX+5YeI24wbq6qbspZKWHfgbuXN1YN77Z+hbd4qBm4o2POVKLySzk56xwCyQju+a1OOpwTD
Rcxf7vrc1RjT3kGGnbxlCmpnG/5zczpb2RxqbMEo8OAsL0ucQauWmMpINz8qJ4KSWx3tFKZMMdKd
SILHsCXdLtFWXSk3WSk/gaocBrfctDpo77Z81erp3eyIg4yb8cnR/W0Jio9l4Spt7kwphjtnmWvv
5E9+blyQaeLjmtallW8Y2ly96WC1cufnBWfjBqluQM4hAXeFthaygAzf32wD1MKUHGlOXXC2r0h/
WcO/h9z+XFpvKttmtbUKlTwaVfBAFASyg+RlMKOj4p0dmG+3EeSb3GNNQmJSGsZLFIHxzIx7gM4G
mV/2XLrRNe4KuhU6+ouBwXWMqJXcG/9npNxKlXbTVfFT0/xjmTiFbY6dke5WUaySboIPP6lPgn2J
WgjblTNguqjSpzBJ9j6sJDH5NBv0tURqoGntDcrhnCSHnJxJgm/RMk+tKF0KfTiXSSL3uR1eYr/E
0tSbHyW7/6LsHW/Ro9Mu9fqeXemlMnvBZzGZH/rAhaKnSPK4EL9bTA3p1G5q/Ke0B4inTgX5vgMT
v5CgHJ3uU9uRGKEaf2uTPDsW1UdZxyM7l/caBs0Npe+1csdXW01PnFTIprsCVPw2feMRztU/kWPr
wvfgJhSOlaN+wwBs8lhetVBeshvI+Bcl+33cVZd4UM9dD+J6Uq95bny0jppITWamxdlId4YHOx84
Rw79hkthzz73E7rk0/rahylg8RmcDxMcFCtLhwDS9s+W01nMttG7Jw5MOkhJqzDhvFOhjTZoq9Ml
plVmhA6y2ovroOoLa+KeGWA9JR3UbR+VECwPXD0R3pW+p9dnVqh8O/O50OkFitpciTnZLiiaM9vr
RQTSOJi4J7YVsJPlEFQnQ2eK8liGHMCHmrmanZ0by3hMKbJ7n7biyOTL1bimEqjQiuVtMRQsbxl1
TReGD1h5f0XlfnsJJkMGpLFEKpZo1TfdXfMc4uzwpKHwLy/ivqhPmjfcJf46rJex0xZLUTjWiuEN
bLdA7IRRv2qqoLfF/sOIiahik9N+rhVL22EV7trSgF6ecmvI52rK7mlm0U/hvIDZJhpWpUnBqjOc
wOfd3Xtvw3g33tZeo5hXN+sa88akiLopw33Wpl91LuCBjzYtWuce4U49jBzwgkAbVnFTf1hZ8uo6
m6Lw3mI9Q+uTHLIx+snIhVj4Js3muQMiKVliuBKB9jVx/mfjpE8/2MxbciNd525+0uno5KkXbNo3
WF7vTVP/mINLyDHCMSLCgekwsF0kE3Rcw5Y7Gef/htG4VaZ8FyP7exilZzts34Vs5TpwQN4nKcMP
MW4sBwF8PJB1EpG2WwdzMmMGOy3uSNtkGgpnz7orfNPQ0FG9e58Eq6Bjb9WwTAf/VCBLxyy3I7MN
yI7PoPivN6APzTLx9FM2ALiIApCPTMvXOKGQS6pZfLlqfQwEgJp1WmiOh3CT7mlO4cXYFN1v7rCT
cTwNKoXxQ8PMFmTpMrdAFUDE4U5gXRiMslm7yaoTHm9xoVnrtEWbVsB15MY4CvBKlp99IoOLUBha
j0liW8toEmdiqeYmV/ukIL1hj+Rn1c4rPq+FJWrYQz4aw6QwPj3NZ9aYvueCda/FBB1Nav/3RMYR
Qn12FbRRCPno++Q6O0jupR9DkB2aJJuzsnNWTASQ1dRnsDeQJJWZWDIq28V1845UMioZf3auVgPQ
yt4aTy37Mvtxde6TJvunfKRhkEceawHPPp2//9RFB4bOdCyNbTB7lkbYWssIS8rC6KZ30kPi3v4Z
Qc3kJW5vpzuOGuPGSWou3aJhm/nTCSQRKrMcpaRmIzoMtPExqIY9p1N3z4+HrYO+U9rjs4fRDCXg
LUoG/9An7bgDcLpLZZoeOvpBVVxrt4E91JSZffHcdJsRBqM5sfyX0csOXATjmRm8YgZkuQS3vKw1
XFEdo5u7Z5FaZsQwC+e/N3Oncs0ll23wZ6lTNrZfdRdyA/S6vTZihN2xkctTmnG30PlFLWCTYe0Y
zN4rbzPqzHwmzA0gOyYCq71mvAbGjwFylouJsYTmay8pNI5jE/TXNNaLk90OGpQOhbk8DRg5I7GN
fM9YpoymGCIH7lVzNm1wSXSpcOR2OxW55JziZLDGADiUiwnXTwooU8p3UUS42a4U2XeROg/MmgiZ
yDJC3pvgrYkEXixRDdtKI2LKlA3zFrlLuxEJtFPOI0wMYMkvZia+rZaQRNgE9tad8HtEvgta0CbE
i/iXeqkSne75JLAlKVxByurf4wqjPE2K7AUy0ILM4gAqmJNZL1XVZdt4wOw0QrWjoQX2aBT5XKgS
0e2JdIdYWycvWxervK+XocWwvooKxCpUj+g0PnNT6Y+GqBZT8qqZRK7bwCybRP/IpqlmaeDobpXE
Oo/NATXlgv2EGQ1HfyzhxVFAvzJUN+3rOqdBrohTIazXR1XBltGJdM8E4jUe0o7jXBPeHLXWMQ4p
ph07+F7h1scnR9BSiZn/alAkM/TK1KrW1Zus8RBZzb9Y75wHdxZRVWOYccillskEUY0K6wOzYkWr
Y3AOASbDFSxU6tvnobFYGmApI5mBrdBzpkHDYZ16sIuPuP3Q3J1Tx+w+wA1d80zbMQHW3n05+Gsd
mDj8URz2BXlulsnujJfotTL8LxtW+BLqx8aVgIfjtv1hC1mGZniODNK/fBmNyymXcBFtovCqgbK8
9mDkmmRVmjSFnPAjnLpgBVx5xL4bnFjrb2GkWUeXI8iKPMFxFSj1M0zpR2Z23THwjbNpO8aKFAgK
ssCV91DaqIYA7kb2HGMGX3MK++9YD+8jAC9/cIe1hxgf21qzFkM8bAyFrmCsN34CUTSWzm4sa/iY
iDKakb87ph56u8+BVUZE8oXJNhXJW9Hob30TeMQiDawuifMYWsCmaI49tQ51Xt95wOz9ultGXv/T
Zu64wZbCX9UhmXAUe+HXwyHvw39dE+vLYZ9kCDdy8Y+U0WPdd7tYj34x8x9AKRBtpHR63hn4Z5nI
tRuwvTm+yB5sfUgAcuZzUtN73U36I4jXrY98pPe/LMmWPxQpInT3obXd6I7KCsAvjr+2eXYa/xjZ
zUfcCKRl/bUZbL6ahYclFx9Nk5H7iYgwW6ka30yC3eikM/zji0kTtW8S+qybC32PHDVbNiTqrYK0
fJVqshETWeTSuLgPOM/j03klGzXagaF8ctpEcLtWR52suyWLPuzj9B5RV19qBFRZpn2bWnS3HW3b
JdUrq9VjFLfmqg/zW9z2F8+aTauV81VOtN6tpr1kxXde12fng18ypAGwsExzWDl+bB01/jhclyJb
axjcV4lkK+4ZgmHwEQUaB/QPS0aO0Xoi7nqBlPcZZdwxM8UPOvd+Xcy5mEIGdFDCiPj50n4NsHwz
oXrJdWgx6Tjw/UyQMWWFDausI0LrXz12OfZffPDjnOVTw6OY9IWl6vgwtHFI6iICqJT6LTA1bcfU
UnuEs09txwaWOK65k9PI/UuxEGrTuJmwpnIecctrhPFk6VqRWFvYnuY4ppFVhpFzW5ggY2JMWS1y
hL1l1x9UeNPS06txHxUZJp98oJa3CpzWXvA4qpyDk51QZkBFevNKmlYGg/UOQMfWymsqDv84wZnp
EuCQafWUFsTPl/XFMbEwfeAz+mgidRyaKrmVY/KbGPW/2va23TgShGgiaRt6Bm2DZigYXuS1TPG1
ZaDwBB7EO1SVgSxuequMDsJVAI99GomB6D7rCdwLTYgzksi3wMVMLxllp/nZ4tBA2j09swKUSRvF
n63OkJMhP9AnHdZIWLKZoOFyO9kAHaEaiFoU85Z2zF0ZbYFYPVq4V9cyGH8bQtF4N6elPtXOKvXk
pW01QCpa9UiJyQBEi45jqn+hTUCkFbYz0QWmDm7cpuQo+tFn4bs55JzXIcYtsKSJzrgGNJmc2Puu
wMxwZmBKGNbZqldmvWmR9a6VUXU7cxgcZkPNh0tbayedPacUtbWzwHjrE7FV4a4I6/qdY5ZYalUW
EJ+mBSRwNi+5lkBWKkV905RZbFk3uPUcDPSh+xtXXrIWNDAWvUf/Ysip44ga9Led34DJMZI5wYzT
TOY+sRbt+pJzTpgIrH5NDDDK2QOIZohD0U+A8aToHTHzsvzUuehety07hM9sS6zbmr6ZzIpF0I0f
OJ0OKK0kbb7y6va+WuMzuxoye43Z+fcua8AGMjUuU2Y04MYSc5/nVrVhQvMali1UqLC3npyR+WEX
tZycSgs3UuA8Nc6oDsCZv0ZVDvuhac9lsw2K8D3ukoewap4cnLgJ1NpkTA6O5b1HU/iGZxiDrJPw
4wb55Dn9MHscF4OLLsKrscw16BD7kLpHZh1BwAko6NhAOYhjb4XsH9O6AtKH85bDExk9G4xjZ9At
28gytJUZxv8yXyPx7MEsgDeZQSRWgJlh23mEbEjcd17jbVvLrW5N0ZyY32CMd3oODhLxwTyiDybQ
aDT46kU7l5bOsNRNYt+yYVKbyrAutYV9UERPjvJeiJjymSE07Dz6HApGdJ++rfyhg1nNBRtOKl1P
ARWKnOMNHd/H6ObNqb3uV1gGL4WbntM5R64sYRk4rdh0k6oW2spNxC2h7Yg1HFOaE8wBkI7ktgLs
0KJcjYPu5GBQaQNODk0mtjDB2bZJU1zbETr8yU4vY4PbKvWN3TS7AVnFwbR+QYtywBmgi1Ra/tLy
vgYmsAEbt1ZorUsdMiTKHJKZmhw3KHxDui/wAbWDmYxoZ+O63aqsfkGtxtTQ8HP8BnBlDa/Dqep6
+5hVlUNSgdlgIq821R/zXMEYcfNkNRY6Gdnz9uWIqNplAedZvW0pjuS60IeZ0KaQLxXHgFDdW+aZ
B322OaSS7d/x0eTsQwR+OIyPju7RJ6ilotdIPigpdCcY1UtM2vrKayoOm2704OVwiC1jypYI8VZE
aBSnwjezBYPqgvOveO/qaCX9mVMazZl9Rnzs8zuLCEtBCA8H7RaupNme43u0/DIyqtlFPBBVWgKE
trU4WVZWdywjDg70w/GlhjfEUTsr/8JUXYWZ3JipvpGqvRWNUWNJTPdt4eEuLpyVIdyY4SE7XhfL
16TaJHmP8svneKX5wH6YLC+9gRZ1WmvkzzYo0psJOOdomXLTM+NaRIJZgOVUO8PXyo2icUs1FaBu
6dPp2A3pPsptWh6eH59MUAnREKysiGDxOGR4PHTGmVTNey8ifnEitd5xP/lgC7dhE0erqbuyzfiH
ULN3NikQC/fVS4tnPWleB3wCULJeotBYY9B7zjK3WYoAtFHRi0OeltVOo9Xq2dxpVIYho1zcD3mx
cXOYsx7/uJosTnsBbCgnHP1NrFKD9rBlACVSIHpc1d1wGCV7VeagaR0Hwiqe9bR03wtf/63qgrl1
3HM0mvcQ79F3YhACgvAdUcVfyfTQULFBZfooM5vDpj28OFYSr7wakUowepDDq+hrtM1X4oU4r7b5
Jpi5NcUqwhO2sK3wIy0V/mqjcjbKjGsuXtilejPDcdp6b8ev8UTANCa+TtwhZ7trPYGjJctEgAh0
Kbfo6feFH24Tr0IHENAgSDDUs/sUxoZ+HhcR/BuS3mkVsl5amaY/mvrwrSW+CfQltABlMIy1AxLJ
43hvq4GoU0/fouwwmV7lz1whcJX7xkWGTep1SZ74iktT7w3t7GMXvJRjJVAWO0e3kI8Y+TDX6xw+
lHWSRvIvcdlUi0arl8T9TKwpQ7GScfcofA7okRHDThfNc1oh52vSD+VQvGISOxX2RxXcjLh8p7Va
HIzc/REiB7HBKJDil+ux7tdMnW/0COqVy59Ln4S39AxOHJk3UjwM6PeQi1g5jbUMBc4scGf8VWsX
FLb2AgPB3tMDdBYALlZZ18CZDAivzVVxob2OTqh1v/XQuWCKME5xZZwLhe87CetgFVnnepgYhiAc
2OhcGHKY++H/w9R5NTWuhdv2F60qhaX06hzBNia+qIAGZWkph19/h9in7jkvbEzvpsGWl74w55jm
U61hcalB+XnjVJPtemiU2e/1tv/q+8wgXql5iQO1yv1uRJ6sj1t8ejqqQp3AdhtGkF3HOoJMq15x
E3wt7OzFsPOAfAf92hvDyarwfvj9/BL7I+ypkTIQPVht0o/ZnfORWoQwcagOuZOsXT29inE8d44H
L+W1DDqEr36Z4L13kF3Mx86T0eoUOzGmF9OIdmldHhsRunsWhWgCUei57pZj4AXQ4VpUCPK6tuJ9
H+pbvWTgJ4E/HVyufxV1/jqwh0sokg9spPi++vLLrxvKEM6GnUrilySIW352TrmI8J4JagkBVDWu
xQEnGHDz8xB0+8qx7NV7FWvJ3iqsHCcNOmwN5afuXdHi3fOyBfOaoP1WK52KaIUcNNtQu6Ps4cAd
7IrpI+95X5sWgQkRE7cq+Dt97HZTUJ4M7BQLq+bOXoe2tS6d8owmh1RunJOpxdIIDznbDg8BErPQ
r0yk3gmtz/dkRqehtD5VRHvrWV62MloQMm00NNiE0mflz8MexJHMbAG6JEcdkzIErumdo6MFUSko
zku17Ri36Q2SmyYmeIsf8AXh17RhF7nvy+EUBK25LTzYXbDIdpQQD5W4Yai8d/gunk3VwHD2uPos
X39JQzEuFRcToyaW/ShzCsc8N2w1PD3M9rJ2GI7AP3E7J6Dlsu4SVRe6PvR7nJ44eGeXvZc2R968
zCmj8AeeIyuRVkCyNOMN9eWjFoYbwtJy3itwUvoWNYzD02I6xgYOuLurKvc6VcM7Psynib0NPS2q
eeg+wlXDQ0F0u9F2/crrGd4HifXbuMnNi37cuPqc6rh78tWuR+C1kkqf89frG3O6d7xKxzFh2D64
Yp/LBw6sbitYf1CNsetACLeBxjus//oAbFeFV34KeAsbCCrHSDnho2ATTPAHOqRMvqjA+kFtSidp
uK+jHm+mAGxNBZdjX/eWvLLqKhicfSMOg+juo/etiESHBzp2xS9DjPEQmjkYfr+IqQsAKPbN02BL
tS4JldhZg5hWdgSpyTfxMMhch56tV906rGTGoX5r0qJYN60gLd7CSSDhYjiMCQK3PITTdInDSuwb
/eS1sJJ7N3sqHHRMFebH0g0e+8jHm2M7cIkxamYxwt7Wik9eofknIkEeGawxSDVhfFmkWOJLeR1E
b+4HYqHOEd9gSZbeS+Jb3gkzca0YCo25XyBvclnclIODqKv9NzoVXhgUZn4b37zQvSu4N4uhpzDx
KUyzalzqDkaKaTC/i8DYphND7KIytn0uH6uMIzGjiRymLKIahkk0kXTixemvnXIztpwHiuxi1dvt
i2IiAp1gJYMayXgIKa6pC7DJUIIXVe2dha2t7clwWDdN3CI1/8eXUXlL4eWBsH6zZaKvgY/itRHQ
pWALgoLKHUDqsfdIHite9npNMFi2NmKksXFBG6b7MYMR9otLTzZsSbJ85QuhrwytXLep3p06qDdc
Jfo6ArSEFhajmGoeGl9QZTcA7VtB0ZZ1+Uqv45eOan/pkYy946Jq8CZPT0Vv0j75JYElZXsL8vZo
Fg7xIWz2YdOt3ITlFk/YIuwz7n95+UqzPo8VvPfASHc9hnt6mU8zG+I1rM8M3hyz+jD7dAklVClL
VyTOHcVdBCzRh4PaoY1nIccZt6wLamLNBXCMuKTZCJ+5Dm1/DZDF+maDZ9fGdLSJ5jOV8rapnffL
QkLDygOWY4DH36LSa7fJd+QBqcesd28c1IE4iU9GR3U1MX/QzB1YLZ2yWeFQldZHmMF+n6ZTmExg
5cGd1D2u3MkZTn5Q7EG2h7vRnNDYabDQe62ay1GXcyE4CQH0ox9ZMGU4G5ctKp2IfcXSgN60iB2M
ZOGQ8e4mVwcOPBLxgs0X7ToiRXyF8UitFCctDsi83zpp9T3A18P+S34DOQGwDNonJwEUrhUBGuvw
uTHK7xDixSq3owNrX/KBewgH7HfFYnLTddL3OJYbj+TJ4rUIsGeTjhnitTS1VR14v9UQ3OosfC2d
2l13U36uCu/N9utgGTCYrVWNj6znmtONIt0qC58YNNRk1VbaOh3T88gkdYninju+x1IVAWkPqXZb
lRLSnde/FK16J/KiPCZGO669+JJE4pyl4GjGXCX7ssvcJboeKsiCz3xDJc9eUl8l+mKkP9x5h5kZ
jxnsEiFM3Uy05cyaRhQFWbCquqjcMxX3c7HJ9NGfOx4GqrDnlp1efrM7nw8Nnfa91ueJPFSPKDkE
bnwg9aPlKxfJT7Usquih72AaJKwHHavZTW0cnvvW+Q0kGa/Ckb/sBcAIhT5IYm+Nl4qeqhIkPhNg
tIK2zFFJ/1MJGD+lcZo0fChm+tWNc87DuuvECorNo5rXHSiSn7DLXYchPnehsYeNsXS87CKzipoX
9apeGp9iiDd96861wL3J8YFpG8lpVxOdFA39jtioR1Hb0LtTayXBAy/ZkO7yKWHlRmsctK9k1cK6
tQ5aw6+aiE2b3nGSr0Uotzk4iAyhA5zSQ81wnWnVIbbrHWEL+9wNmjV0STu5DyQAV25xnwL34vTO
K1lAL1AF6WvaQxqv41FBP2FZSCYEtbM8uK7/kBrlFTz9URvVvhvqr4SmsEGbRo35DZVQbguterJT
5rIGFqP8NP9/80/YZOGpdiD546lJtOifgxIudAgcpXjPFl7y0dr8Q/X4VirzDhgVDQeUiNYc7wOu
p5o5e5tQouTTi+XpdxLfy8WYlz9ke+xyfXxCYXjVvOCZVIKHbnpLzPLk6vljLd4r0zvZdnbT0vzX
NHQSozrexulSw+jlM15mdxz34UU449FWOOKktopRV6PDuw6T/wZqpcFJG7XJ37OYzsgzqya8xz5W
mNy1ZJOE8FGN6m4MMAuraMezcvbxz+eYJ0T+ih5ixZHyCK0aFOMNKtwur/qDxEHvFxiXSAAyvO4r
ccr9/HOgbDp7WCAG8kGQqQHaL97Ic2VUVu7CtPgeSHrW3QJhVANWAtfeyHp3Ks5ZVuwJmAL3HT66
BQMwGyto3rt3YK3XwTXXnR5BI8ddrMG664PvNKSzlsbSkdYx8GyAEdz2LX7YOrESMAuoEYSmbl5G
8h2vkOU1j6aNCDlx8ms2GSfkcqEdP6WBOPXSNsgTTBljx5esZHkNkeXBi9LLYBgQlPCl6yP+gfBQ
Roy1eYnChl+va3WAu/1TauBqVbG8z0iI3hyO4odT4Rja7qXnLYURJKFX8+DBgxNSpovvye1XXd4/
cKP5cAZxyFR+nphtRVOIIqZ5nzLzQbkXnpdjEtoPeu5daqP/7miW8qk79qAWGpxF7mztbm92xaDX
Chj5dksbGVQuuUqCAVXSqqSDUlpLXJ16NrrpIh2i06xoU2P2CBu1L+6pmd77oN5NUn9p5d7M1G8y
lxUjObMMTVl5eh6rpcTah2gWavfRz4dzaI4gCOSDr2favHFcUpqz8FQQG+c5Ogtx3L5U2tEoACuo
YVkyx16YuZ+zgmwYBqAiTQz41Nq+jFFxTns1+TgT0nBZ1mwAMj8lbfx9Spmd5V5CbHvfcUry1toP
3agf5iLELKL3Rn22bYc+zEXoDOSFWlr7Jorjw4rQp7ACTRJJgh+1Z+hou3b2NmZ+ebOKG4zmhyIm
cLcYL5VIT5mV3QIUpE28Ms2YzWrQ3YDNWpW5VS0QYcM6j6bOOt15jaRx6NzuMlj5Fa7Fh48EDTXK
gjiOLT3pDoY5YceMS4kVXGgS0wx7sJhmBHWJTeRLQHky/3Ouo94xyueeua8mfeuMxWUU5V165nmW
teJt8PbK9RbgcEYXJKBWf7fSegpEfzbdtcMvVJn1c5Uzl5TdcmjrS1cp1jgZ2iGDlFJdf031cteg
KG7rK6uzFe6gD6Phvuzn/q+a52tDBhS/mKhMaS9z88qgf9FX+UOT6pdI5HvBG2PsmrMU0cnnjQdd
jR4BwUVq3LIQSVQKu1lGm6jSz4mO8hqaSs554mQeO//iO2QByajfh+ZJ4xselbBeVG+Cwq12UJLO
9MxIs5Zuw9Ph95hOyNTwmNDOT0LcmbsUUPnIsoXWd4nokTu5DtkLLQTPQdIjqONHc81j72EgraIJ
o7rDjMj+ECR7Yemu4ndE8MgY8bMjL2RLwPPM1mwePj8H/H5aPGz72Hnk2H0yLH3vQurSDXsFPg81
4soaTc5a7BiJeSbabp914Eu16Fzlt0Jzf922pvMfkqUeahRR1K122m7JaRlj4+JW46khfWXP8I1Y
1bC6EiaEgbpK8m0SPcesBNeh1xnLWqYbM5kdHkZVbC3bpOxiLdV5lbNoWSEtJ698cwOFnYcUs5Wl
F692zLJaxYicmJL2Lyqzb8UgHiHiJQltRQKWcFGNA8jSNwYe587riTLiG9Xtj2HAmygz3v8MbGoH
aI1obwTRiiUkS+7sutMvoXL6zn4aH5O+0dZKVLh8WuO1mYxHTQc5QfGiyKduy4Xe0y0ULeT2um6f
Qn36HBWpXVqHqSDzqZ+H7GH+bwyYqy/Q52nZBosRtwbRWshVandpMInWXPO3dugC+OUE+APep5bp
WesuEm9hAvfMkuHRYMOQVidSMBGRpNfWtmyu3wnK8aT1ewRLvA5GRF5MO+HilSnr6+RTLzG4IHsF
vBA5EquP390Mo75pg9kuSSR1oHBvzLr7YWx9IxFLTKN5NtqnnitkpUzBxL5B2m0yBg/HaIFxLziM
BWOqwPnqQa4uohI+vFHCH3dqCzc5mNkiGo5tYcevTNG2nWyeK6c6Avjul9KkAyFjXGfxSdhHEbuf
IV6mhdVOs5S2CACsVZc0w95M2C7wVSD5Rs7WHXL9Qnt1lPXROPo7fSto2CQuD257SQnAXdiqvAxJ
qDaqLq6mN/NRXcitme69u2b3b6atXjVrrxHVRh3IZJX0gR8D19jZb7IHmEPPqNFueTnRftv+7wgk
Pp4U+DhFLznE/0j1wjtI0Cn6fmrX/m3yGw3/XncqYVTN/d7WV16+BcGKdLBxTpG8DM3sjWyhV6nA
3Zg6XWBZQVSFIEDAgl4thzgqTlnUHfwIsUDPsmZRYaHCpVUZh4aXdk1OEkvNEARDHLw6JWRdw4Zd
DT0K7unK9xDmUsIXevZr6dFPY/vB1pU5GKS2u9VWMh5IVfjt+U7LuCHluZbxOZg4BqTGFNwmv4T7
QvCRFdzFGGzf2Lfkyzqu/wVFin5Y2N9GLArkbPWDbUOp70vuvFWtSDxJLhF9yq6h2VhWTSDXAhPS
Bvd1xgVlH2rdSeCwJzdsD6eaJoLtpvnAri044AWFZhz9WkLaC/fDFUa9n2t1/I5gjktn3VG3Hko8
+IshRuqXM7u+aBFk/hTpFRuKW/snnGu1rV7DczMP/kR7GoBZ3Jko9E9Gqt97XGXMZfCoNiVHidsK
EhAyubZGbaN1fr8Oa564jPqxtvI1Is2WCICA3rGr9iRK0D8X/5jrLSHHfNaNHayaKC0oItmEYWVO
NyMbjTAzwepU2Qcv/LAG/fCoJi8m8dXHdI5FMECKgl4QobgJYQ6fGzFinN+UQpey9rcOXFQw+c+E
OOvbKFtaqX7tdXiKjeo3sAtg76A6WnMX516fTe7CEpx5kZ1cGu08lOHMqjQgBC4tWdw9u8qJh3Pq
LaSwBIrOgP+YA5nmNLeXhs5hI/VkY6Zdfq3bz4SmZdmGVbV2SpzZhc2ayOzFC+L+g2kO1k4aaOPz
5JvEhfATZd2RA2guwQMN8zexBkHLcoapLntW5HGoiUBxW7qNCppfFSZW9ghIBsROzpjet1mp2XY0
ruN2WKJbXKFnK0+h4gAifPzDSu1nt8tPRHyqF8NqX7CRca32bnzW8oxQRLbx7SiNFcO0fNE6UEYi
aT+a7AW3skF53ZbkjI+PY0xed5zIAM56z8wP7RCufm+sYYsj3mO0fzLb2tzkwSe3XnPVMUZ409Ls
TWoFeQR9tpMhyVGjYafrLDE+yrLB9+2tMb91p3Brhg1bhtB4s5v6NZNsiIMxOysB2KrtCoMlDi75
yIiNrabr4UqoZFOMvB3+LHmkJmvxP/IfjWWfeN3aUf5Jy4l0GRtdvAwOixm9Vc0p2StW0ctMOZe2
kvcMhuN4CztuWbVwWQf3qtxj31q3rZ3sBiG3ga6BCZJsbFE1W1YKe2OwHvl+1wBDAx3vM0iXr3LO
4CK4npFC46K6sscnxOiwGAKf2+4IJit1uccl97BzrwzAm6y5lTWbHDkNb7E2ouintnYaIsBo1x85
pO+QBa5+6ql1nnLxjOM1UVjC6yG7ACl6jTLiiuCI1rjrFkHmcFs34Bj5aBTsDnXfJB/piU+DLDbK
Fe+B58VLI0mhnjQDtB+bxtVWZ5Upsq7gfTeznr2UyTuOgp+520BntXUQXkat+5CjP1kMQ0R+RnVO
DffL1YffVHtzsprdR7+xPWaI3bnPc26JHfiCFmwS86pD26NeHPBsBANim3SW+lcdaioiGDP/wYKg
HZkjeP/wgkyF+eKHE5nPFY0CcxDxlM8htFH2jALtwsT/lFrlY9WdmoSRUR+ne9Basty5fb0h4e1h
nl6UbBLH9qaX1jmrObt9ksPQek5FcZ6/YekPq9ARhItWV8acpzK38fpihmgb7Th1wRrF1Evl6b+R
fcN+9RYJDnEFEZGq0XjqNPcV4Rm7HxXBCPBht3XoCxE9welOp6tjH7GP3XXN+2oz2I6mPANvOMfm
hPnkwxtxjhBB6DnapxbGn6VpbGTuP/shAtgCwi4l5DW21BchTqiPVPOD6ulJVO6qRi8xltVFEYRV
MkFDd8OCtWg/5JSdh9F+qGZ+TqKB78GXFP1Av5/dCPOwKs6/mra+ZZ57xQgSLFYo2r6ZpnElZukP
WP5sFUffLj+SUc9BPAPK+N5jlz/8S3B0cW8tb9mU7mBBLIwqPyFV2aN+g/VmrFoP37DXzrgSrs9G
S+IV8VKgHnK1J2fjRhgaEfZ9Ia4sZQFb2K8B0C0vnlagVp9gQDzjtzqx3mf5Nt7V2DKyEMtaIMW0
tVdNxzyhJdOHqH7Q+C3HqN1JPX0ZGYf5H3rAkDG36HkCI2YICNLOtivuCrJ6r0LYZE3EudNuu7nO
HOyTU6WPRshwyuEWptdkQH6MmnvJ4+zHTazvtsDqGiNhz+NjF3bVFsbSd98ySUuJIrXCgDQA6znI
1KsTsfZTHvv+TN6K2vrJkuQZxcVbXu7dJnktcP6wftU+81It086/o51zCcacfgpVP6QKOf9YBL+w
dHedJ+GnAKWo3OnZbGzSI+4pd4wF7UaBBpPhKcN+l8u5rHQ2Gt11QPppNckNd2C7GqPwuc9dPJoT
WoHxp4aWleUGOGUR7QLDeKy7GeeDSDukG+mo2hdII7d2Gj4XCSW1yvznMJE/Jqxl3fW3Lii/VkML
LTusQ0nUXjwDaAFP9lB4LUEZOk6Qynvzgvwd1FcUq/VIMBiiptcwRGkxf68QSrFHHV24HCCxtIdl
P7C6jDz/bAX/PIMtk/UHs7OH3QhnZA3AgLwhY6ZnePqifAUt/9RaCPZ0EP8ZU+kGeRAugJI3HOsa
H5Gg0uj38owTJKAtjegQZlUXjUfxCqr7NKS08U6Eel1wn8RySgZ8YT7JIHzOUKmkEe+2rHHbZeXV
LNf4m0Fyp/3QMW8hemhjiiIpEYzqZfDGG+Q2tMnZtFLJpcAzkNreTSBDjzR8V2FVHJ0i2QhIu53k
PQgi7iFKm3VWz0pLC2BcGPO8Uz1rDdMJYK63al6m6NLZdE7yAdl46Yb8i6YPx2SaxnVnQdZrY1ap
QfWZE8i5JDvwt3W8rR4b72NivMmifC6TcNXxCy7NHjNTGm+hXJyQKOtImqL3kHEbP1vPcyaMvRGw
F4w170RXeRvCFmmEyKExWc9DcLDi6D138h9HC7+bdDzotXoMnP5pVdazeoyKFicZz03uo+9va8Q4
DdIL4FOL3sEfWJtA1zw/QnsV7riZ4wkT6pqBfScEylroSoYsJ7hXAiIdbQysjskdoG8YV9gvnCsv
jJ4uQcBC1vNQ8MdcbF1f77K8fPaGehk5IEmNcnYsedQlnoAyY5oPcbALC+dVeNl71GUOk1F+1Z5n
l7W8XiIwbHXxpiVU7A0QQ5n/eNWMreAOz03uOS9HDIpogZ1qZ4u1rgsQ4Pm5j1qH3IWIYQFonVAb
XqfceHWG8hozWixJV9Bim2FLqfSFsOa8a3PJXeNNJYTZ2iO6lxSNl2HqvwhtaJbgq0l2hWSoG8cO
GWcXM/oci7eIHBiU9xc7sPCPVcEN1gWGBjZBXu8cRoWsJOppTRddVF+KQHyFo8aKRb841nTxrOQo
7LUsssdYxeehTh67XgObkW8UrKjRHG+NDhqkcb+mGAFcGAWHpK8eK4seu0qnkwwgM7R98RRowPGM
dVDY/6ag7UG5YZMMHXqwGrYVNAP0JjdYYOcus389aTwkuXwxgu7F7cUJYeUa+dVaKHW3WJYbsr93
EoIXI95UNReaLQRsffvZO3vZZ9dR62+aCHZsp7llctWW3I7IkG0NXrGRCz6SrMaOycSO10PhzKo0
ERnzu+lex+VeKyo0T93OKA4c9Devo+CvapYJbXVSsXosZ4xWFEHxr2FAF8Rx4M9Knw3P/W1i66OK
xN0rvpIQya9Mb0HRXcLI3/mDeWXOv8mGaYWSZ22Z7SqsZ05uTVVHjkH6o1fRD3iEANKk9cHmdSuN
ac2o+64I1JZHV2UXA5fQooeMZHWYIatiXJE2iHa4+wmFNzu17DflOkffyTcuskREmIfUKrY9fVOI
Qn+o1TVW42OZFRAX+pDbyNJnnV6KgHUHV/N0Thj42178FhLRvshqbT3hkOP6acBYsna58Y4vF5YB
itOSh6wYr6btHPuEqV5DDEI9uXc5yodUt++xrW3dUD4TzfIVmxITUffCoolCTUIE7IS1o6zeGk15
a/nlB8XRKV3twaaLM5rZ8uydKygp8JYyUv5E8tYCUGlMRLq8tTKVnZ2W2AnHoQefWMx4F1S+aN2a
khNKPI+dvJdF+OzHLFgdZYKN4IUauj3jKNTBzlUjyOkZRQ+miUqC+UXPCDmG8YffsNBLyycnbLZh
jqyLo02trKj9mSCa78RQv4SFaSxVh6DHKuHgtbHY2nF0nyroge3kks1kT9u69x8NJ6j2ZMrtyjxl
eu+n2YaN6i0eMVENbK6IxonNY4XIwlC9/iUL3V1IFe59rfFXrBAlP7Yot2W3NYWMV1FahncZtuEj
Ku3z3yMX9MFTdmHafDKtyTqb6rfvhuBu104Dpojsi7+HjY/TugZDxPGVBnenwcWRO4QsArPXIo8s
YymeEGxqdBBWc4j7modlPW6rELhwM73bQVse5P//4HGmrccMMqDw3vwM+c7//tnf/4r1FbVYN+dF
w5T4n78ajBFf/N/Hf3/chuBtBpj1MQ4DZsOVOliWywcWf0R+Oy9+lXNXEwrkM0o5Be5lhj/P/1/j
NzQKKdKN0hiKw98Hl8Cx/UCy7jwzYYgaQow5kMtWHXDY/8+H/74G3BgdSb/7+/rfl/77G3+PqQbS
FchjnpDBxZ7/f//o7/uaEVq6qQCuTzUySKq4nu3oUxqDV6pIfdF18x9D9I1T5GQpjIa70wAhwOv0
WMY+tl2F1LzEs9fRli07b+hAJ2GDsZvqBEUGKVbKgtn9rmm8jpURq2OKtn8J0xhU+ZMz8o5mbxlz
55unwdQeMUQtpktyz6Q5XjW5uGZuMK780EP8R37AymnR3Md1UW9apq03YjG+hRoPZt8niE6YUnkE
px0jYlVOWeixahZijVI2PvZklh6bWCGZ4y9H5PExbyTjZbI3vL8rHGGcq+X4So5htxrnQdPIWnEb
YUjbhm2N5XPinAwYxtSQ4NREQ2Swc0MDS3yRfjQ6hgva7DTUiI5L0Y9uVc9+Vjl2uQ6cWQLamhGE
KDSHTgDtJ7HyzagMJHgzdxWNw7hP26FfMaJBeeFh3hii7Cmqcec0ihGUXjvpquTQOVFRS66YyiiN
B9CwGKL08i1xdHVySGE4uSORhIKeIiBZ6IJYT38Y2LM61ui81SXTMut1AO97oYYSWw9NHR1x4Z7z
3Kbhr2GYzoHPZKjJepMMLLZdUw8ehib8B7+QLaQcdlyX5PpFLHvSptEu4L68tcLFjJlKAyrDMGNl
G3F+F291rkchpkfUTXC7eEUiYpJ4Cta1DN2lNdM8qpFs1N5yjlrT2VtBvOxBSd0/eoHjbsreSg8s
Q3YgPaJjbBrZyq3I+vZ6NyD5gA3WGCMEQ9JPeZva7meMWGNsTrxgJ+Xp6oW8ITqUsIj3NcESQs+4
VGbai52x+kBJ4SsrPcEcRI/UjzrGNqwxVjLlO5cy4s02PjP2zR1xYbdKVPa99tVqrIvw1tbCujsO
GsCGCKpM0x6pyprnwBcLTa21hLnJELGFLmQYYLrBBlAxxaEurCu0M6BZfd0udqFuZRehimfzH0x9
cdYL05sWTWLyaSTfbLrKkZG+ZbKUIxRHdQtT2fZp8BBeG17ibLU+BSEnlYvedBDLyEhyZAlsOvyi
TjZZxdLZmgIKNs2Nb7b5l2QS/2aOJNXZBXtAv06kiT5YT34xcT8yMx3hAA8nDNvbMJxzg0gmf2pl
alwmp1v//WHcRK9cW8EJju17lE/Wp8NmnsvajtnMMhJNdQLmfFaqVybXX4xXeGcRwXzugzh4JuUg
X9q1cvZ/D1lQCwxV0l6P3JNpPQpy19xkPJZu/+BOBaG0nF0LfEbjR0ihzpkx3jojfkWmz0vjDuNb
r8A+2gRjGQEBt66F+AU/R5Wqq98V2rE3tTPzgu6YiLg7/n3GFpyTDHm0imLzuSYX5zm2XzNqpGQy
TGosIkYpXf+lHUvmCN3GQ+JYBZE4pUWwnunsq542rvLHpTTS/Onvu8Rw9P4eCUUsmKAdWoseCI/A
d/X091leF+l/nwkh5MpxENGPVmFvRhuFqOmyNQPvmnIrzvsXhz7dC/urCLL43yxaHMnBeMWTjenC
1HadXhjnbl4Hj8WUcZwIQtitqUD8gGAGV8ZdwjQGLKXr72Kg+wOgaZGSYXgMcrwXu9KrayvD16qw
y6OwYLKEM5hlipP/vqSMylr1lPDgHFAbr6Qz6se/D5Y55kfZbd2gpw4I0Nh7eVs+oo3rdyIgTrgX
hloSiWU+58bIZ4EWXZhAtyyXgKgwycYEpD+HocMoPHXSjR6zIrKGWFv3Ic6hkLn0uhOoHKy0gXA+
heXsOWA3np96r4nvvtuFx7bColTNr57j0Dw3Le2biexmOaQS7hs20m/MA/6Sjr08el0634Cvfpgm
Z83qeWs0ToyZrpI7s57Rw7W9bjOkE73IEdzZ3Tlzau2azlHks/240+x7QcLZQnTMrBLSTi0RQbSl
XQi8qX40cOrsCovXImKAlAXRVZOGva0I6tibnf0gpRgudryPouHiVJPx1mZUiEFTd8u2BJCaSi8A
z0LCtUTTsdF89vOB1aW7SFnai2bi22KLMh3LQWrbmgwNgqAtbUNCqcYaUhOC313oFAzYlFzAt9e4
rNK15SakNFEpwqBs/WOdtXDJPYNBVuCF5Qb3IYZqz1fbkBr/1eubTeKY7ZPuEhmqBuy8f19GWk1s
scmQUJbpa9WP8XbKs2BTxhNvu5i4IPYPV9Gnw3deu/99Evzfr+S28ZB1fndtmznawccBgofuq+sG
G00vgpVFNhc/M/lrXeX5sEN5Oe3KbhCXoOG+X2Vq/EI4uywmlDno0H+bWlQPMjMPVpTL8+CyG+xI
Y1qW2CNWfVHCgiOUbIsNe1hVGgDyiP05DlOUyxJcTF2x7tNM24QGk7oHPxXlWjKg/iwoH3pPfQlg
x7ST89zJZlLrMqO9280gSTFiDBzPBK1CVYw7808sKpuMcKyDY8oJ8QaEuSVLZUIUu0zD/9U0u6Al
UHV+1IUx4alVwUhgtrsOadVvfKdDzqPK6qRHeE4t99TiuYXNa8IPZ+s9dRG5rllvriadIN1ObLCT
GFg23GkJ7QPBz5wXN3UsAdAirtwia/950fhvbEX2VrjMbHIRmDeqdJMjMRHneebMSNff5K4U69wX
TEhooOwq6L5aq9+Oswqr73B1lWZ/ZIOinTNd44NV6Oe/h6Nj4jzSA8SUU3xqfNYcXVE9WTWO1pEp
/d8jbUKvlSWCotjyGdEhFtHYJBBtmyUH1YTxUpn23bdLxJ5YCPC7wXD+ewjHIlyzGQPOxhapJukH
x7xQAHurOXGQ00Amzn4wfH8Ltz6dg2l6ssi0OzTVGV2QVOAwRb1RHo4KQ5Xh2o+BvP0/5s5sN3Ik
TbOvkojrYTZpXIxsdBUwvu+Su1xb3BCxKLjvO59+jimzO6tq0MD03dwIqZCHIuVyJ81++875RtRN
J9jTbMM6qjTHPbIoqqj5JSz93nA5smUJwdp64dk+uTyau1ZDb+d7MZf5ynYq9ythcYw2jXOXomqB
anRYIc+Odz3flfTDLhrj7sMXJoo/1xInqKvXcaj6o8htApqzqb2S+Vfd7kSyGD4GbyNSXqHzOjID
p7wS839ClBC8WX5W7YzRZU2qqusabu1IAkOdpyHcURdZ3ULO4W45dS6bxvLD1eeffX4AcOG4RbfS
Q6weEhAk2FuGy8yf4Vyl6GV27OGTIARBPgiamjV3dQwaTkPYvrIF5hSUFErQPjuY9s+xBW41VN6x
ChC5+3nGJVEwLsjnbF6lVmM+drk9MbUEa+Fd4nKzMwKLzen4aqK0X0tmo48CWcRjIhnlgYwurMFy
f7Iqa197vRBs/iPn7HTjSreRCIxxab5yKWUQyQ9x8QeteyHbOAVqNzoE38LW5ZhVsCito0bb2yak
1xigyZiIlKxjrU1PEzPv1SDpzSk9hhcDZzWbll7jDVZO+RiAQ/J/y3Edi4vKzjMUBK5xlMNMdW7W
1TSYI4HmLIAUbk8CuiaHvIkFjLI/zTqGB543L5fRpiVR/D0SYXBup+mXkcv0bNXsZkkDbWyX9E5c
xNOT35Am1qbsanYUWk+Z3EPwcQ2uZa9zxWHwGw4k+2KTgdmAY8WJTG3TB2Nx4eBh3jMNekJM1D4i
QzARyHC2MHfWm8dS8N3XpofQT1DvtOBNzdC1e6+VmBX6aVqxP6M4uZP5zpjNcsv++U4JZ4fUOM84
Qzawz2AuKi6f/xRONBzZMjQ3nwtP4XXf4w5+giVuemwrdj1tU0VvwsqOndmXV+kzWG7gbncVcSa9
msxHr+FuIjPzyFkNAxYHMWYbDj90Ofk7cg7fzDwbz9AANA5nYhOkFIyWpv6itUOwS3z/nIycb9Kx
eil/ZpiXfM6ybyaLI3rStcfQXmP6TT461EddDFTSDLgwJ1k3D6YX7ttw5buUAS4iPd5qrUuLHGU1
QQHqZHUslOy2dl+Cjg5Rjj2brT3jIp8G58SRUrbWaAHdDoa9Znf4LC1ZPJXjUKxhXPP9mKrJCEfx
E4sHYaZQ5TGyliHI7J1bjT3uC81ag5KwHx1888zOlq4rPHfL1KNGG838TotKXImdMZ2H2tnOdTU9
dsYBiS45a4Y4oqNONK3IchXpBMWjNiZYYphQ1eN9DAdCTqEVbuq63cxWT/WbzgrZ0RNFORfTRZ2y
5Lr5LFS0s+w5KgyR5GMKeSytiGEjyRqIda051jUx1ybN3dU8DcaO5QkDfDd6qMOaS5SuUN4EzkXW
XoQCmDCkZFZ7GmuqeHKTxrSoadaGZ0QrFOmMIlC9rKopkesxD8ezWSRoI+iY4V5iy6uXeOesYJks
ypLS7JmEaD6OWw7B45PpDw2hBxXVR3/yauJFE6VIz7JtUnJjnEdVMpWHxnYBBGbz4EXWrUXOcf78
IKWXHFGFW8eRrWnXsYGwSDMuHQ//vE7sZqUX8DRt5vJWpLwok+WpdKL6qeY116vcT1FrxBzwN624
q8brFBzkG3e2Pis2Q96zbWsBZdo8Hsh0pBu4I2M93H9SNm9e/O6lSRgRrQurCd9xRr4bCByWqJai
9VCF+d2cUaqIWMzbyaHRrnSr42S033sf/q1ouGFm6oPFpUPrE345Gg0cgR6C1CZOs+VIFkWBl+kv
kWzlmSNf9+zINFu2We+t8BPWJzYh9UkzM3cdOpSN0XWU30aPoxOdu4itrqpFD/Xx+T0/P1il+MoZ
cEnpCJdeJNcUYaTHNJ41AutsTYcxco704GxmogXrQGuGVd01vOl6fTwCr2IlKbfa4CTnXGyoLXqp
zeyFVU901wvpLmQBkD2QjOs8k+n63EVXbwjF1o7EcJyy4gDMjd28MiQcYDqTrTNZWRvuvI/j0T9j
EX0PenPEsNQ2e0Yg8jUU05kCDRUCnYmIGvmpgoFg5TRfPz+UVucwuw4v7WBF1wIem9Olx2jqskfT
XmWBY+7NLvjaT2Z2/vxAyAkkgU4xGHDS8dTujJs8ZhcNYpntnNZ/4VlMTqySUMKyRFkUxHCHucov
SVqM2xDT0XI2yvAxsvR579S86nrnavDqfomJBS8x3XCGBqezSXKQhmpErGxlLcp3N+Ofg17akkex
LiCLZIvpegwm6xgF5FFFMXK8SMz4ofpeMAg81w316o6JACmxzWBbSqPddyNtFjylTNKTdu21+lMH
ybYx/XHYmjRebsq8fstkFkKC1mQkw/hitxXrymThW0lwCQbrRaeFaG2MGuOr0aguZIOSQzhtE8MU
eytnIkt2ot7mUS/WhZP84DWWHSzmxMyQn32NYthuhOrV+5mro5UcrJl0dBOazpIeOCIasoq3EK72
QegiXqP4yFYI3ASHl970ZtbxM8bHfj+OmvJGDGCekAsd4peznc5vo5WUrGmmZuXLjBpMF4EB2fcK
XLY7MrczrrO0vcNQl7egp+JVTKOz9QL3DEUznLRRa/YU9QDNmb6GMZuLZ+n2wY48SbKsYLa1Qhuu
WVM9iwhDVwpav5Emt4BJEIaGLQGzNFBS5LF5mPqkxPCmjy9t7y16bterlkXNeuSe+qhZZbUsQ4+D
XVl/QGQNN9+ZSDJEUTk/NGO36WZWTHlqsTOEqmip11oLV747xGMfAMpoO+rWXYzNhPnPAb2oXMi6
rzcRKHRQhs2BYMXsRfsBM+lC184Y3o/ZwGpMDAVGQ+tN84FGCXmpSqYYXzFRliVZAP1aeZnqQ/Sb
h6hOGe8mBaacgfKTvnBvtKNQOsTZN24NQQjNkd6JUnZO8jiLIBhnhqeZNG49XfI8Nq4mR54YGNKT
QcuPWWnGya6KN+Si0Tboii0RMIpUe+Nc6Q1PETrSKyzfg908dAFi/KbFYT81/UPgPGQOAdgxtqA0
fKwnpCLbtabqdNHSaEeDaVKRnT4val7bHYdqRuerVghVrroX2K/t0J48tdmUnaT3E81jfPz8ZOxK
Gqh0a6OPWF3ZAx4jXs/7yG7kPs3MH70PLVa5xrpzyEPHHD8sB1cLt6xZqzOZX2+RZqT2VRVuWBst
ES4ECAYDln2eEckYsnheRKMZvWkWyyQt5hUOn5Hf+jxYsZTWflj6Mp9z75CiVf5jVqd5ubd35v4s
UHQRbMasSwqJ31PJiZbS3syidb7XWMtEZ55GJX8yE/Na9cNXp2KyUIRWsGYUTNrFZOgQ74uO1oFS
rdzoUF9yaDiv3L7KVxkBaNCElR9ruJTCMdxoA6/gjML6bsiXHB4OYOgeoc1mL+MpWueQt3F8ypjc
Xdl7hAhOZLEmosCdjdMYKu8n7zQUJW2KrQrqJe1h1OfsqHsk7z7vz1Rlbwdpmkwsam6uUTJu277E
zDgNw166HAg0vixJmTn5G3eOk8l5Nqd/6VFXN3WT0+ylI+lUjkRvHkkVcUSUkALQUpvUTC3sPYO5
RyOuu4vZapBZaRmwVaODEvy5WXtOS49phlU7FD04kbZKGL8diqxAe/Ys52CLvqt6bLs2YiSb3Ua2
VRj+KC+uEqbofp5spqwEhw3bifxWhSM19otg2fXJazsmTANr5HERgsq04OgmhSZjRgvdNmSk85gY
7YOa9V3EHhRQnlNJhEEPntZfOX8u9pEb3oOANHbj+4z9Kmvf+xFarIl5hZZmBZhS2CKbqo6khw1s
6MajK0r30JF03PSpa66qOI/XLQ3uB8IkYBV9ayHFpEuhs8mTjOF8YUgYPw6cno6CvdQYINtDpvNQ
5GO379X9ox37g1vWDNh9BMqVq9MUon6Fbjw7O+qVNnMatEcj+/a5hBnkfR6QSYsx29Lps+ucSW7k
kJtbDuGJf/vZz7hE1jvp3hOCDkx2stiXLO4MOYEmzBD6HKE0XI/pX/RzJcTfjZFLnRQ0/gateLi2
Ko8sNoGdlWMU3kPAyvdkRcGm7kV4GjCXAExONhsEDyGtGnhLj93QYKT+Wev3js52u4PxXZFUmI7T
aQxL71GfPnh/TDAY5dmVoXNkvAiBZlNq2iKVWHPkB3TFADpAwNLt45qj/885YlByUNPk3btJVtjx
x/wcCuo4/vhgyHE1tuSFZnu6ZLXX7R3PNc6Bp3/LBugMi6NxTFSt5DdT+HujRhEmOJx4KNmJc79l
aGuAvCOwoeT6c7nFCqzdxw6BFjegkjkKOMbhYKTda5zqLLSI0jq82+TNJBtkdZs25WtXldNJOONV
aLS5ko2vl7IqrQsHr9alM/GC0/DK5AM/y7aZKfdx0qF6zJXFaM5u5N7G0+e1DajONmW0+PLbv/39
P/7tx/jvwUeB8YFznbz5+3/w+Y+CnokoCNt/+fTv24/i8i37aD7/1n896p//zt9XT//7/tuvov7t
/LS5/+sj1T/3X3+Rb//nP7/61n77p0/WOc7U6dp91NPtoyG7+/mP8D+qHvn/+sXfPj6/y30qP/72
5UfR5WzIbx90YeRf/vzS/uffvgBLfD4TfzwR6vv/+UX1o/7ty76pv32k/9df+CBR/bcvpv2741om
eUQDVo3TPffLb8PH51es34UjLUMX0jWFbhrml98gvNuQv2T+DmfpetJ0+AuWdJwvvzVFp74kvN8t
z3AsXfd0zxKma375zx/8n35Df/3GfstZ0BYRy+K/fZE6P0n5x29S/WRSSJ2ovfQM2xLSdD3b4Os/
vt2iPODhxv+i9IlQEHOKpWY4JWBv1Xf3cNLETQsAT3xN78FlDNMtlsbAKcq6nnp56oMKx/YoWuhC
q6SvzBzGlowRJaBTgt7XKvXxu2tG2q4zDa6OERY1M0XMuYpjn0lbxcKW6Y4X7wWrzINeGvQOtpPl
MRXyi/LdMoYcHmAsG5YdtGrwxpr9X/pEEmvds5yOtwWOVaAd9rzaqoypEsK5KN0VOLRB8Jx6Hfzh
+WPJRH+FgBU9QExE0iEruefZib+Z5Nm/ZepEaG32WnBsvcQ6zFRAHBKB9YKQT8Z63ezJpG2mwZ/e
0cFgNPU50FhXzth/H7njU6DY53W2s3sbNwtNiI6/oSiBjLYZg/4QVB4K85dHi3O2Cg0nwikX4g0/
YUunCSiYMy5B1GLhfw4xC2FZn7BrbjK3jFrOYdogWzqzraXbkPJfe9+3Ws36Yp7itRHo81mnCGrF
DzPcAhJ7lGM6zQ/XNsiD+zi7i3qsd5yhpWxdjVC1OMEhupAHS2+c4qUZDjmrKySNwvEStm5oXeZw
FETbDUCPPA97fxV5rfdCYYv+kBLuoncblriAR2uVhWAQP7VkwhtZ00i8qCoDRLMt3VVdQhl0VBGD
PfRd/V4mvWksdJtDwmWaJOKWJ7GOlr8QB16sOa8qy1yJFAO2yxL4mcMpeztDPfCRBntWFlwsT3XI
qDByzIBQRtC0m34adyzD8QOGn3rNO9OWD2IAv9pMe8DphNgsDdCFsjNdGBP741hzbs0c3vDHYUrN
/Fdekh8kVE5VW8Tb3kPJFVva9zTjBEgI+L/QIb5Qx7gzCsZgwGcM3ed6bTIDxWYVyZ05MMD1OKzu
gqwnvi7BUQwUmXrTubd57LRtVcXJttGz6kqEVj7kZNj4PYDAUuMQkHLHnDWcCfCLK0euEXP5ksFG
q58cJi9Ppdve8syiLxjX8BXcvT85pvPRwBRQEtUFwDWiPZHGKI9TGnETCfuRUUHGeKHMABM1wXPr
tqrAzrN/JEXJIxJJ7bHJHdeMiRcEXfCaR1C8ZP1/ugWyxTg1hxXXMLgyK/nuj+WridN7g5f6xFkP
aefaysFLkF53+V3Pp4QUvmDA5EC+J6Pl7OOR/bnR6/ahCCRKS0YrC8ezBdAIHVBmT7CnIi3Hp1R6
yl5s7Exe9GZ89kkpxJLnPo0pqaf0wdd4mObV3xondFasNU9qvOywn6XWZX50c2pnc04zFkMqk9vg
UBUNV/0aWPZN6GWxCbnjblynpiZ5xNqc2BQBumNkcsgMTqV7TErSXDBYzf33Pkv3KTj80paGtrAj
53uW2N9yTkJXzBrJR8+scqix159sF+U0tpQX21clewYN0XBm6U6w1V2VCYzuTNPRYmhi7RSnYaDg
N3Orq2tEyf6MlaJHKRdJMSiVMTrrJIxZiPvljdoeiE/KAjYIkwze1ZW29EBQNqHZshOInAdR2Qx5
h6l+7dtifCjiqGHTnbzhAhvwBEDturysk7Uhxq9Yc+uN0TDFKd0oZAtictVyWYCxyg1o++2Zny0a
OHyI+YRG5Lgg6RqXVbVm/dEtokC+Z6LnaDudiY37jlxxBayOg18wbBf5zH2IXHIWZ8mZrl1MlzlF
xPzGcpi+3lhlcYTPiRJA4CQV3/jklbQJ+ZJsaDqtBId+VYUeMJ8t59wFUfZLal1+tJ3G+2lQ4ckr
jaMWIngoy+ijPLcZXcWamT/Fk6rnld1FdPgAmUrLm6bVaGsLi+o8mRnLsLDeyw5Fi1aGyDipAOGd
0Jkrr4qDfc5iF4jNwXmKRhSMuymcNZFKSXBY/IgmPNOpEqGQ4eo2SZWqJK/zxPqSWY7QRxqm2wfe
m7xyJMOCttO/0zEZEFUNWrEZkHRk1bRm0/XkA3O5bI6Y9e80+6FLH2Ydw9zF986zx+IWIrGmePw7
JferlH6X+AfdBKR+bDw/hdE8GJ7cVNavUnwr5ktXvnYFzm+7cjfQAdFStNvEkay0mxahWbGqU7kr
k+657JozRlKXYifYJe/s1k8jio2hO83eU82atHqZGHTXV5O+DH73QfGUdcF6pvycKf9Ftwz4NW6q
nNPGxE0I0mG8IIwf2vqS2oLKOYTBfYALOdkOYXe6l4u1PzLl1VqJzLL9hXnrV2Dnz0wlCPdCBjeF
dg58/ep41778wRBIZ+Vop6D76K769odrqKUYJA25TQp78Kck5zTv1XOiQXoibcXzt69y5kOARXlz
FNGTltBoOoy7xOS8eaoIzR3tWJEanI2Qh2+Cb6qNRZAWQrj+0OHdpd12a3vfg2o66VG2sWrChrn6
9uq9bUKN9lzFMzFvAjsj02Z+TcFpQkkbPAubzrw5A0xtfvFgmvi5tLZ6zHT3IoqrNxc72+y3wvgp
7CFaNiUfJgwZDYJlgyKJkSiuiUfbKZeEotqNW1tbUhO7ciShxxGI3lGxjMB3rw9cfsiObDTpw/UZ
L7n88AfqA36M+aGm53LidGBRSu+b2rgN7j7mcFx/tTtagshA98mtKbfG6K8LWCLDuE/Q21G5jSK5
bso9p/N299DFHCNHF+JQiwlQPyosehFe2urSc9TQ4is2ibQNF06bz0ZjfGVjjbbvq6UbSycVQBXV
a+BqXE/R7khhLfgzBJ0u60ItfUZeuNJFcTL6cq/FT4X7btHA5HPR8peNF3vnOBg5IA9DwN35OGTw
v0Qyw5fSPJEaXDiGtVTC1I6DPEbLc78LtSdhiR1A2orq9tI4UH9FdqeAzg2gX91LFFkPs9Gs5zHh
JZbfafw65ENztSdVmEv6fLKCU2BkbIESomKRvqZ64IF89HGU8km08SPrqbtrciNy/fS57tLbUGpP
solOzWyx5803ZpARByli+64hxOA6pgfr0XGfchG/tMKJtvrEe8RgqbrUTZ761lsnMuL/pvQPes00
RfjdLkiixwzAxtHKdcSek8T2pPpgfzIA5djagmtC+sK5d0ZnrqvJtTAiVk71ZHUrMqvKh0uYaRoo
ElxGmi6vdu6w+2ezHpmUkyA6QSGBo3My9JrlJX1TMOv4CoG9l7Dm1rVp9fpATVS7Csxa7L3Y6LU7
w0xbbCibftUqY66YN2JBR1g90OscShxvXt19aKg1qeb1cA3h/8/c9hHVWd7zVi+cGYWcN9CVk2fD
0+jiEgOo9A3dX+eDlQW7IEtDbiVTzQH11orod1+WnjkPTFcKjyo4z5dkxLPhOAyB262l72nhSxYy
baUTo7ZdOFrREVhbNvCXYkXLjwZKnabdnVvydJGFN8RrjS1Usvyf72Ev3/r2o/rXfek/bkv/223u
/4+bV8GWjm38f7d5rb9V/7R1VQ//Y+tqub87hufp0lT7Q930+MqfW1f3d48kr+m6umPYwrSsv7au
8ndTurql9rNS6FJnV/vX1pWHQ1iD/Huew/b1f7J1NdkM//Pelc2xRSbaFaZk1G6Yhvr6P+xdU+qb
B/Im+Qp+adlavv/YN+NG4xTgPLudrS3qFGUL3WET4iZt5NBEXtmolmuntpI7rgxKaQz3KLuweOip
StnoZmzuA1vYIAfIvVK7Y/kQ+5T9DpITND/fy9ZCG23p1c0DMGJMGFk/Gb9NJPw/LCgC3Gj9c80R
ObFV2SIXJ5o8T9340AS6s8zI6jy1U/GQZtNl9oPurRU1A1GDG5fhhJdgfohMwzhw03R2HlfDmebw
dVm48VG0FqfuOAgv9EZujcgkKJZAJ+QevLXdmNhSfa4INNtqG5qY4+cMsaImvfhnn3VIaXT7Na39
Y4GUmmley5EPgs2boYXBzSRNuSZrReOm1yQ4t6dnasr6g8ydel1jufrWN/sk8uyvGi3DK4j2ZyeI
ayXoSa92lz4ZYyKOHQf+W85T6iWYZXat1Bed+qcRGoLIcmcdhFPoQDbIwwMEyuhFnfeip1TS4q6J
UsY4hLys1olPvE3SVbAvm9whAWztcsclmKGZxpqT22Gd19LmuuyUGCn6EpEzsJRhb8Y6qB7D2aZX
JnEoGc+REpLJ5zJDpIqxS8ue+D8/xKFoD73BCDur82obhYS6Jv7XYZVkc6A1TGdLnhCa0ys+rebm
wP3vvY/TTrUTM9K1OFElyuhtuf4ZBzdPfopoHq6zBWEK3x/t8ccypVN/5vvilxYSAGI+ZIJzxwx9
jfFK2cET/ZX0dHcaMhC+zQ0+hYAbkr+d5lCAMKZpsh7k0C+4RNYXUpFPRoC7nxnWTDk7w9HUs06C
F5yiM6o1QXaywOoQhDGJuxyKuOFZhgD+/CASgPXcaUugQrU3D6L2XrmOf9PHH+5oNPcR+frsyOnJ
wAXDXIVtqWfXFJFrF9hz5wFeodt4RRGQlum982CSRpny2N8EYN/nKZaAVUm5gVsdjm4Q/PkBtxvv
l4mQQpQOW6PPIuWPmUlXE0a32Yfk5WutQupCxdU7FVyPVYSd1O4TlxFtyxaXLYUKujM2IfLOye9y
VjF4VNosG0nGuyoin6uwfKhi85UK0FcqSs8ZTc3OnHi9Qc7eVIH7QByZuBGOVFF8BD7aFsZpU5LS
LwUlLxqhiKkpQU/cNt06VjESHHL6lUMUy4NCpnSSbwQBYCoUIIYJKBQcQGvCaVS4gK7AgV4hBMhz
ViTNw5Ov8AJODnqsaiAHrEIPGgxCr2CERGEJrgIUuOGThVLQAlq0iRYi7xr4E4dNgcCUFpMOB6uN
WdsscNdjH+XpYfhlPJFMoqKVpadCJVoFTUTQE076o1cwxaCwCnaeas/ab6lFIHn3CV8oDCONyAOB
ZRjwGaECNVyFbFD9txEwHLqCOVBjrlCmZE+TAj3UQIVJ/JpRd7XKP2mQlPzbgcY7lrP1qHiRTqEj
uYJI/uFLkcJQPj8PPAWeQKD89Ueff56oR3z+2R/fbFIgiwuwsXeisjh8fkA21hNOr2iOVzhMrdCX
oIKJ+fyvLsGpD5FmvRhCemsj1UFp1ON6ybJh4c3XXgE3gyJzbMXzFArPCSdF5vz1+eeXxSfDI9WD
Pr/y+UFTsI8O9TND/xBJtdZ/fe3zod38jj6cI4BpnrY9hwxPlQjR17Fow+kBfBT6nfckGLKU+p48
ATIaBSy5DfcM28THz1Mb3M0iK7eTHnSrz09n+9fsefYZTPaMWakD3I0ozrv3ZX7GoUcnnvoMGAlV
kdgWBT3p+IUshGmAVDZEla3QKlNBVg20Vaqwq4lo5zJRKBah+1vA4dOmVphWCK+VhQxIcbg+aArl
orrIvdAZglUpulsK96J6ntgCBBjlNQi9p+ZFV3CYAyXWKFwsUuCYC0FmK5QshilTwYCFC2XWKNxM
V+CZoRC0UV4dgsY0UrOrAlFrJLAaYU0CfuHz3Fv3LKYsB6qtU3ibbLTHGt6NhcDChX/L4eDQrEDG
KDSu3+EvfVOH1Hwb0LkIhi5XMJ0sVjZsHbwnD4K2w/x9M6DvBii8JsLbKxIWpmn/kpiAeuQ0vvMG
f04g+DLDubOVwG7n3jsIvzEB9bNg/vJiurowgPAqJKSIV5XQgRElHIvuphU1kwnuUrrJEKHK3lxb
fxtjg7PeZSWhn/TmAirDPfnNoelvSTzyIW3rq9HLa8DQuQwr6rRKfLktvlzUpDCNKWxjpCBH4OUP
Ry1YoB/ZfpvA8tpPZoPJwoOQ1CElK9597d3m/E9CUdIj8pUuaoWLYtRRqCFIMNBlBH3pQGFiViJo
NXNIquII9jXttV2Qj48czt5SgpB+8b2B6VTfxlSMp0DHrKBPOMR1rDDQWgGhWN8ePKs80cmzAuml
WdrpbibEGiSpAVHaQpbatXFPIU1TTmNnyNMUAnU8EhXHVcfvReGpEk7Vglft4VZ1ZmxJFe3Imd1I
vVyD5ECh7DdfzNyUi/4xs+4zFolFp013By42qMo7BBLZUTq14WYZEr+kcLQ+PC3NHL9SZ2BJc2ug
bTHWHiKF33JcYeO/huIJYXNbsQZFXvcQu7ZCd4nC008GspRC9UbQvQyiGczA+3ZwvzP8r+RRbZNv
QCPvDHEe+hFWBU44kJTaJUcXiniGJqbYYlcG2vcBytjBiM68coY99mGQpQ6MTDDyI8BXJBWmbFs8
yJl3iN/eYm58TOJ3esfcyGlRaTUAS3TRL4Q3/RoR6zgcH2PHwfzOFP+NthSuK6hXDbCaxvxMhurr
3hPvOc+gDmMdwVprTIMbBV+PCsM2OXO3TQ/7LTOratdl5nIexmUHvd1MvLV8eO4CrtuB7zbgvPHS
vwkFfnsKAYeEUkA4p+/0OPow4rDi5Awtkm8KIA987kymgspjhZf7cOY5vDmGk10Cf+4rED1USHoa
0vs6py/ZAE1Gq4dC12cFsVPRMC4kVbEKby8U6I5zdllCvtcKgXfIDvgw8a2C40eFyXsKmC8VOt8z
6FAofaOg+rFVeL0C7SGvhycBe9/B4Luw+AVMPgDr+xQwb7afSfk8408eFyUMfwLLT/1psrCg+yOF
+WPh9TCQRO+WUgAIXABZzNoVNcCgJAE1M1Qba8CMPYBY33svsQlgFUBnSMUdnoEe38Bg84rXMRBY
SkXgKSmBjp1gwFJQKF1Bg7fAw19gKJFBgUxfiQ1GpTjIlewAFfUaA8IFz2XOHj374eJFiPAjxEqU
wKp6mWFOyEIUCpaNTGHqGOtgVxBYFmylW2AFi8NEKRh42UHXJ3dq3JnQIGkAZ++WmRI35BgcbEwO
E0YHIAa6fJXkwcX2MCntQ4H/gbEjOBV/tVJqCIEjosAVUSlpBL4gTmWwSCidRKfEEiwHTsIG0VHK
CXZFT/UrmAa/GYwUMHjgpEpS4WKrcJS2gkC8Wrj/jPFZjEpskSjFReky3PMBdyKWnREWjEjpMGZR
vaJ3WMfMo2vVgJi/69gz9IhnYFJCjaDkxYZhI8W0YSvlRq/kGx4WDoGNw8LKob5XhaWjVLoOPLDP
Gv6OQYk8IoacNMN/a3sUH6EQDybOj1zJP1osIB02EJxR2xE7yIwlJJjQhTh4QyYSwhl7hBqfiIdX
hLqnGm02dyKEI5lSjyTd3Wqdd3Men2elJhlwlLS4SmacJZmSl1hddYnC8aNUWhNImHuB58TDdxJQ
JbDQo+g1jvZRH79hhn+mMOGjj8WtpWbYVeKUwckwstvPDkaVjMzvqBQrhnKtKOlKjX1ldoOtz+TP
w8pCVAczgvNYvYWBtWNqvUMQxa8bl4vvWKchG5cGuEKN64Uc36LB/SKVBIYL/SIUaGEKJYgRShXj
886ed9z6X2Y8MoFkoS4/oN2/uqiSF0TC9Q7x0sibxbOGOzZ1ngZ5gRM7yVB/jvDVEERZaXW6cmb3
NYnjnyRlb5bW/pw37WDdPKPalz0Sa3su45VXE5QLCRoJ0YNHypXfkkRuCIeaOHRsXDpcV3ayQ3Wu
JDsdtp0QPhKSo1ghClwpRVAS/eD9ka1SPD2uEvb4mHsWUkl8OulcO6w+cKnfNR3ND5I9GiAx//BG
TNWChffghBfIxg9U2MPX1LfLRTVHy7ayf1VlSxDF3M+1tzIxDBmYhmqlHIrs8nuQXHOlIvKUlIid
73OJpWjGVqQUQXTh/Bjn6hq0HEEZlyFKz8PgnDOBRLQMkKKW9zw56Zlx7Wz2+6KaAgyp3FmovOSX
Qu9gHGqvjZozUHu+oLIHPDJO3thPUU/9y/fEi9mHaxGK4zxoDN95qgUpqCRur20a7iYX0qMLyewi
E8PqZGF3qnR3zyz3TD/5bcT+1ESXDheUhxOqTpod98Yx248Fh3CadbI5wKCE/FT3/aMzPc8jpY7q
G5qFiy6xtp8t46uFh8qW8SOczd7BTyXYpU74qpp+lyl9VTjqbMQwWvVKbdUWh16FdnwlvRqV/qqC
SZLevVWsFXasTH/zcGVlwv2O9fk84dAquNUsYqxaLhPx3KHHgutHMEcfTH7eucch35kQclWYuXAi
nnVMXY1SdplK3hUqjVeFz2vC62Un2kng+ZL4vvJP8ZdSgIW4wFolBaP/4hhjCZPYwlqsYanSh9l4
xJh8MhpHLObP+rWta0bU9UPuDdDukqgQZ2Y3GytZrfRkXdbepmQVYS1LkzvH9mw1sZnVSmsWfwrO
MJ1R5IbyTMnPmMhyM8CHNuJFK9TIVOrX3szsB3To79xfSh6yHtq+XZFK2XbuRFdIEaztT+2aErBF
SsU233K8bH1t3f3icx/YLvXDGMztiSQQvhARBa/NVJuchgfnIYmh7eZaLOcq+6kt8klaq1KJ4YIq
2bCq5giR+942DdDH9T0iOYpE83U4ZWcCUeVmsrtXA+sc8bpwEW1HX+9PwlxPbkZyDEvdrHR1gRnz
6ybtubPc7KzTr8pssn6rB2GusAEz2TY3qHxPUonwfIx4IWa8wGtWqCUuZhRSKa5TZqFp88P/4e48
thtXuiz9RFgLAY+pRCeSIilDuQmWUnkT3gQ88PT9BVR19Veu7kFNe3B5BUuTJBBxzt7fpgpwa0PV
sxReL4Gz1yvgnlTovX4CwucrHJ8o8kurAH25QvXR7X6R0qhefCh+DjS/TmH9Yvh+jQL9qQJKCvmP
zKdprSkY4KSwgLECBM4KFSjo2NLLcE65wgjqCihYuqAFIwUZDAtwg0KBBx2FIOxhEWYKSlimX9Qb
c9URBpgFt9DGmflSQTLEOxzd9ApumCnMoad9JHZSUMBMNh3bmFWBROxhI+YKkpgoXOJdo9CJgQNE
keLFM7fiFLaikMSzIKEXcZZdWiTjdULNTAtjnTJSltNv6UjHBKwT1um0ycAHS3nbKpxjNdRXrY3g
T0EXkA+ImOFHKQCkqd6qzXh/COrmBkosnkLEq3Qs0p1ey3MWtOO6dcsPUTlQhjFKkUwD8HOE3UCr
syTIiUAU2aefWgD0yfotGopasW3Wdw0RaCh6uk3jlGtDa9axQlwKBbt0oF5Gqp3sWjOE8bEnbI95
02AzDDIa87nuhHEsNUvHsuLi3xlt2oMvhiZ0TAf2Ooa5WSv4psByXioc56TAnLVCdA4K1mlB7ZwU
vjNEzqvbXXPXvGVAXXBRaf/0cb+idMZYMRCnVqFAkXke0bxDAwISKqCFVgobGgJr3jQKJUqThb6W
wovqXXpp4I2OCjzqKgRpCovUKNJqpRPfShGJQhO8UlCwxW2iCKYKZcqP+UNGAsmBx0QztDzGbkN2
r9mOvhoS4hRtM/jDZHFSJZhHXwFTO4VOdWCoVrBULQVV7fK9Xw+k7H4apZdttKQhZrqLX32FY7Xg
soI6nNexQrXKmipVr/CtvgK5ZnG/p+9UArAnolvBXoGkUMAYRiKrCn9jKyQshvX0JrIuFt2AI1UN
LlwLPzbqtpUiyvqiP05ByzfNH94GbyY8u8EkwTDGL/LfIeKx2xRArSObO9A73MomE3AHDFvCNPnq
5SdTwW0NKLdwX8DdKvCtsBFxAcL1IeIWkHF1hci1FCxXQs2dUvC5bkWXVgF1/e4SK8Cuo1C7nSve
yYH+EK+z4QHiNUgsmpMWlhVp2/T3iGlrL3bch5sW2Q2+bMsFGhh8WgZjllbhfiErVEwpQADjlDy4
4XBNx3JLthVQOgNwP9LrmxpyJeMtAhskSGGUvPDz5JcMY+umITpxT/Agd2pCKZwkugVOP6/GDkix
2cGLwpgsIc3BME4ydKxI5XT8MPMI5FgYzaOnsMehAiD34OUAoFCotv38U/kJmSfosCgcrg6pSFWp
ZbjzacevgQc7WOOLhwLiMgHWBLgSMcxQ2qcz6A7RO+J3e50oWDMqXO0GHI5cC0jOXVW9YCL2GK4h
wo2mjpfdOyh/HfmiC21fBJtMgaH5vzfis5NNmt+Iwvism+6p6IBJkwdI7S1njjD4cClmeo8qAO+c
dMZr6+Cjh3+o5qnnLiWO/pb3CltZ4avnEJB1CtG6duuHqgeoX6CdUshrLR3/MWFgd7CwSVC+D/M3
iVCxsbm8pr2cVkwhyj66+JX36PXTS2PuZXLjKtA27+61zYNklY6dvdJk+5YPOX0dq2dYoVDdFpN0
V8G7XRSExDyBCxsBHWt0ZjEYX8e2LrZwDSvI0O2D0wmUOjpx5UQJH+fE4GoCeggcIvxwRlRgARVS
3IctXsEYb8BSQxwvII8Dz7wrfOueu8QOP/smt6xVgE/OAGLt91jW8OYk/dOIaIx4zG0I39+APm06
U3nTEvlacyFoA//PlGkUQ2GlNvp9DRbB9T40gPA0Sr4GDZka1z/s4O29lQ6XdCBrxXycAwIx8vAU
I2pTf+dw2VP47OhW7wN47VkFtz3AKOBDcmd8NGbY13MHTi/B2q44SM1+GeC/d4y/oMEzMSbq0/6F
RB+yXuaeWrjxKdyvGNA6BpiNQy/BoA/hRLoqNd5ICc7XNM8M7I/qpbnA2WPen52aFyurTgL0uazs
B2qbNwk/yDYZuISUxNPHXByCbLRuOsD4WkOBynygjkEjo9k5kfWqxw6FVFF+YDc9TED0JTD9Bqh+
YzZkyOuMKNZ4m+57y36i+vY1g+I3xgdJXY9kmrvBo3miPoVZk88eCH/TM9Ah2ncIRXyXWBlA/64i
/uO0KFQCADk1yY2w0NHkxAOYxAQ4Ki+gBLCRYtiijs4d1rlghyN8j7s2QQOwivayJ5iZAIKAIAJJ
IIHD8GqewMP1j8SDDVAJkYoaZ/V0DXEGWTldKuINuDqBCHssCD3oVfpBzBsCPsoElWAEir0nh6AE
jSGSRnBCpRIU5tyb8K3h0a8+QSa959B3pn4StLMq864b1ExeJTKYPf1/w3pH+aCyQsmugPwO0ULb
uC5GlfoDGtpdAE/GJezBIvQBnComuZECRQBBAaytt4pVRsSo0iKIMmRC6N/l5HrdCAIlfJUsYVun
0GT2BL4d+9Ql65ONPjt3o0ju42nVMyPP+dgy4iosYit66w4t0gs6zx23kufhhVbhnW6Sw8AXqpT9
XdCJi0ZrShKIUSO6y53VGI73JXEZtCzXDohfixgNlziN2SdWYxi2o5XsUJMlxXioc4JJ6hlljXbB
1nDSCeeQ3kUnqsOOh3dmcOve4KoZVff4Iw+oW4HbYZ7FACDsqABsgmM+QvNqSQg4dAnOAAAuNLwP
aEQxKB4M0kNKUkRSBfiV5Ip0nbgLVdCICoUh0+9EiXPvzvMKKxlXVOuezPtLmA6nvELfaBA/xNV6
GxahScyydoSS85TDwyfrBIfRg6HCT4TTnyNzVny77WzWj9hdVOiCT23CggaFnwcXlbchs+qQk60S
hf3FSpOvfnLPgR0+zHb6NOC0HUPrISebRXcIaXFJaxlJbdFJb8GRwjRa3gd6BTxA3Nvl8BWZ8iSY
YnP5//Knepf67ntqy7dMiGPGa4r4wlVhd190yYUoJ5ju/S/SdblSE3rtKCjtuJ9ouzUye2RADP7i
TMLJquZu7EU3gTdx2e0AHyewDKIdP8hnlfOT1oiiwkM40qeX3d422o8gnvcxmVlR3a0QTPsRBtuM
pixFaX5aq0l3X5JBP6jX4XBpdRhD6jBrUCSFYthYZO8IMnhcsngaMnla7d0noScz5XGY37jwnoQf
XmtXPJSYyggD2SmKCEA9biAk/vQk/8B5pQY034o2PhjD8By64ZPj8NWXsXiGso3vF0a68d6NLXXJ
AHlZ0SZbz9e+eKOtCh+qRu2gcmgEqURRlR/JMJ28eWv11ZPlDqjESNjpVJoRWp5hbH6p/TpngLVU
PlCHPPnWPldhSEVOLFKq8pESWsXdfiY1Kcd66w3uq06aUuOVzxPpSi6VPqqiKnIpInsJC/FOfYrp
AG2iQkIdNLc1SW1zTTIv2U199ixIclKvUO/MPQXOMxPrV4ZKK9ePj17l7JgWN7f4sMmAapnxkBKV
kBbV5ORwkDRlmAxFvFPWuc+W7RzclpAea/4kaAlZfFw99Vp6gZlyi/nmDv/YvVG7D4ZwnnyizG9a
QSAp+nOYKFMEsDRNfvViuKA+Ojoq9qpWAVgCOq4KxKKb5a+BK5DFQlpWlvr+bQmWxY0MAgwYu5S6
9UdXEVuhR9hWJl/HHhF7VcOxzpCJieLS6G57a9UxUVNOsheed4OSUjBBF9iAkTZj3/pqXTxMnaBG
TshTAO0MpJu1bVQkGOqRcDVnwwfyM6iMi+wgTi4temwqYh6ytzavd0HaPIA5Sq+aih5rVQgZHmWP
aRHBZIWKKKNTeB8kl8wguqxUIWYVaWaIrF4ayTAe7AgAWrgrLclnAAWN/azC0CJZkPwg1qOLAlly
l0C9TnRaoULU2kr5uMlVc2nCwwn33waVuOYSvdaSwdaMIZHp/p9ZhbNhYVFS+5GiffnaMCBcpS51
BZ1Mt1wS7jYMPNgq8K0k+Q0h27iqovKrEs9pTOKn2VQqu6J78kiNC1R83KSC5NDIf0Gf2ZqJRJE7
84HkKnaOiGSLXgTTc6Bzs4qmi1VIXeqGiOJLNNiJirDrybJDewOgaSLeTvFriVY9Nir4btSJwAuw
ot1KjByg4mqaAR3Rd0U2HVMJ6Caw6UAP4nWgB3+Mc2bDjPr5QI7hDA9LmLsSQ/3OpDJdk8wHi79c
Z2T1JSq0L/tKJFS4mSy/UoX6hXxzt1hRGJqqyD/YHztXhQAa6W+XTECsHg15scQEpiowkKYqnO6S
poPDmCjHfUs2vQou57YHVaSsiWsRAeNp2igKt6wKfh+ZCim0sHevJ3ILETpcIpypGnmGea31JBE2
r77NpNxH9sMku6LvQgxiSR6iq3lHy+kPoh0eaxWYWA1EJ6bV/KSIlvg9iVUcVMCiQdJioyIXITxE
q0nFMHbkMUKSPYWafnBqrMRTPIl1UtYrBOT9sZsReQMnWE0lt73KbAA29APT99BG6wdEhfmBwx2P
aMghadYhJKsUree5Iz1S+MRI4n9jgKIU1Xw7xVoz4jc1CtEs4icHcigLFUjpzkRThq6+bhqfUCnm
Cx1f1f2MbZouBJGWgwq3lDRSne6FCMNyxZTvhPply+Dgj1l1+8CpzH2GXY0gEeThpi8hhjjnEsvo
Fpv0sWJcoZOyOVILpZnQ42ee1i3qmlUWBslNVQXP+Zg9lswJle3mqMXj7zgXsDBUoOe8RHvqTCxS
eaTG6x8l6Z+JigGdVCDopBGWl5IR2kOHWJPYcF87iihOjmigAkV7kkWLhNC0XIWNJqSOjip+NOAE
Z9IcMe7X29JKn6IwzQkiPqYR0aUxGaa1CjMNMEkydX2dSTkl9spcdSr4dBSPTMvgOesj3SfTBmdk
uehVuC6QaZrq1CnyctcaAZpT0T95wfykiQ7hkWi7NTK/aR9X9R8vmlchkuQTwRC7hpZNNRDYKsvb
NMnsB2hPAbfwnNgnm8CNWHutiL4mYtX+p86tl3Bi8BkG/iapiIbtyYgNTcJiK5UaS2+c9vfbEFnj
Wk7JxtJsAi2E8taq0NnSOk1k0M4qjHYglVYG4j30mkdbxdWOKrgWeJPeMAPySbQN4n868m3LgECo
DqBaZ+kD0HbqEFIf4f01p6HBSpwTahbgfr7VGlphCQp6xAjIUlrJNSZmhARWBg1FQv4vt/Ytcdj3
Zu7iyxfM9voK6PkEGcSk5yizcKWluE2qoDvHnn00ZLOYZzIIorRXfStBpUeDabQjZ9/14W8XZdPU
DF/CsOOL5yYfow8Jhn+htW+G1ooMky1N85Qx6lprKkru5IGPzNRuu6Z6Ql450++GMSJSwoPqTrMu
NWyPChnGYezEH6sZwWh5zX5iUJjquJ/HHGyHrbt3qSccpqCM1ysCvQlyqG5z3b8SBsF40ZBafm9P
2Z1n5CfS5PcaN+xCa/ZIp5sXrUqOg05KTient7yKMSFkPpRNymEFbMHGij8rPDTrInc+bWbnPrH3
NYqDgGocY2FUEybYiUyGGk8UnCJTReoOgdhML7ptP4YjUoN8bCFpODgmzKh7yM2W8YrphmsZ4bwp
ygLDtE6Z0xv+5CafWEDPJM1euQGkW8lRJHRJQjc698Q8vjxqQYrlWz7xf8RkSXhw4mBYZRqBmJSb
bwS9u1ufrv1daJnARqsv6OvxkRCwTxgGJnPE7Ar8IV0VM4SMAvBIyDtdecipLzV3puUPvkH0XfXK
2zaugNfgoJwsRMG1jVRom8HuLQbmGDO6c3Ix6NGr6qBkg1HibsgIzgG4JnN+MmUPpMKf24fIrOcd
aeirvABdVHbhr7rstDXWyD3DuN8z/yKi32V6Yz3YCJJolDDOZvTVC2rgfVSBZprowEVEu/GJcBoQ
z0EZbb3Cqjd0BDNce8MeOom4zXu+FoVG+o/HPGJllu3V8s5Dnb8ghWXQVFL+rtysof2YMiCenUPe
+Ne20lMKHPLY5ijMqcc9eVr+DwpaXEXjFB/80rtqs38r0lgQacB90Btu3PTNmWd7U/p0BF1StA++
HxwJTQoJpQkeqKKUMkKEF8RXe+z+saw2IjA7RyKi1efZIzo1aIvnwPhKuypiuiwPGFZENt/Osc31
367euHffQVx0NwZ4OaJsBL2oDpCsjpypDzrIfp2xdvy8XNM/e9NNU78zqjCirAa+ODPz7Wugj09+
WSDxYpImg/JoT8OTEC66K5szBT1f0DIw1lRjVdA6v7iei+Yh8tsHSgMgvjQazQVkzm2JJnTXN81b
aTvtjq4tMd9GyLeqwLAyACKwK258zL8Dqae7ximYD9CknKxj76O4qIxuzSxQseHjj6KP7ykgAaLI
xkfbaOYVIQtIG33Qm9J/0Q2eyqhogvAPpeL+ujdr6IpVl5ZEfzYO4oo6v+2ngMqbP50Djw5IxWRV
6vVpbFwJs6GAP9WhcPQrSeFL6492V1FJtitGq/IgBMwxqyKyTYOs0Yr4t+Y7RzsPkOCE2t1gM40s
G0z4SfilQ6DewoIvN35C0HeEZiQoulMOVmlN4DuFUiSuVmkF3B0Yvo5Mf20ZhacIsShduSuaKWdt
x+ajGL4I8eDiVaYXqsd/6ibdlnEz3/VN/yvX6aNmkl+VWxrjynG3sTccrNx4Cm2UlX7j7jQG12kB
8zOpJgjNYQEdlOH4VLggCikr1l3yrmlTuEqw662IMWlajTJ74g5YgiKYQkRQWPPG8CMsvePaI/5p
lYyKZWnBQjAYPEZVQuK1TjGgL7ajQVEQ/kJoAgXMDeqSpZF8DI23E32CYANv52GW/tZB4rBup+SX
jbZsNcyMTFJ/vAveYq5XpMZSPB4aaHC2E9xaQTzuGLFfNN0ilWiOVjAE9I3tT8FNFhEWXHtcfXXe
fWvHu7h35n0gDMzWerdKMeNuZE6gQ2w9RlZ5IsBarsL4NBUbDUXcbdVNmD0GvtlDqyErJHLS5IMy
jKNu09dsSz6A0RmZQJrDVk7iq/biJ8vuwbf06Pmm4M9QpijDUigTzhi/2mZzHzukxHlKqTWku9RI
V1HxazRt92aKKPPQ/RWMovyPKToQH2N8JSn+5QhzIMPOQXKVIC9xbrrp3NepzU2GcW5jos9yoHuY
nvsZ1Fznsn3D/1+zqgELb2aSiFhIYf6c6JdY75jDkY0K0gZJlIgQYuUMgBsNEWc/J9MxbNGAFYk2
vrvJ2N8EkYjWoS/8u15Ury05KYc0bs0NwR1DhVCOoUAj65fJnfqPzHSIHmBGg1EJ3h7BiTScuo5S
fkAxMH6cE9+7CpW3U03aPgsn55jJfDx4GY0XLyMcUQr87NakkEQUaTrdPMytHu66MSxXkaRJSQ++
x6OkX43ZK+6CXt1zKshPB/gPdDD5EVa9AdiiL+d13XdevHUK2zzKkKlsl997KJWtujm6Weu1KzPJ
8nsmRxQgcii3pWETHGWkUOp9+kaFV8yf8xD8xiI2PY5BF3MPSnFv98b86UtATkgYbsxw0CGFJNpm
AJq5S2Y0AE1CbW5ICos2z38/+DXyY9ij3k1nlDG+rfxZ6/Nqpw1TfL+sQpBp3QxQA9eJFCU/MU1C
F7NwtiZjgkvKjum9QnmagEUNaY5ju9okcdC9aoLqYhTrxS4VQ/faZdT//UT3Tx4831caJ63R/gOo
Lj0P5TCeynLE7NuX7aumM4mxbCzEfJDbSjrDndVo7cGcbBN2Zmm0h2XZUStDWbCyiwPvZhTVuM/z
gHRkOQRrLe/K1wwoSy4CuR0Y294V7fARBz2zcsuOtwQ7D+QLieoho7aGLwwRSK5zU0YrRWolD+UA
sSsYbEHkd148hP4uqCWVidK+5qlTI6zB+dDMcmXJdysqoiOc33mPLuHexUZ+H4zljNcvvPeMLCUP
3g/3FaNiDX8HvXDod+qt6bgaD1DE+NxC43uJhLX6sKwfoV9//6WVdrrXVVrFIPL9YNv5fvkL8XyC
Nl6PV72vI8xUD76TJViy5bYNMHcDKWke44sY2vxP2TCk9o3SvLqUg2wbN6+fFrTeFQohJNdyU5e1
t4a4wC2T8X5lX2VpFIRK0WcZ7rhdSWYKufdcm/uZoufVraeZPJFH1IHWdSwkRVOh9PT5R9cY5jWm
7dYzJrh1Avetj6LnKmeQxJ2RWX5ir0yPXNEi6SNkSrHNcAGThyyrJwMOIYYaxC2BobfU4Jz5CZaO
J/BHM6Y0XmLmyXuUAehRnO7ZhA/EdcbdSjfAuj3L9Jn4J8BPjEqwcgbJ8xhm8UM1Muu3GG0l6qEc
2ycsS/FpWSVabxU0kjmWlTjbfGjsZ0Y+q9E1pnXVFsCBysl5budyRLeOtdtXi1k7GCcoBU/LRlrg
m3Kwk4tVvKNsc59rI/WefV6kkfvlA9Vz7zlRqPOyHoLjMDBbBXjwEEjKUVFst3eOnQTPvh+3a2e0
po2Zmf5zlBcablYU+CXvr7Ps6KEreO/CxiGbmJX2nNhNe9Ii97oseaZRP+YSjyHPW6IzeZg0FNZj
+dsABvrUMw1lfBedEKQZ52WTOVir0eifchzkR4zZ8ZXKPrjNwtLvOuHGCLUMjw/CZ+KktkrKvqXD
rVgEDEBk26XXkZs6qY2g4gszSq+17+eHWqJPXRZbPsZCb+/tseK6pWfXEZDfZXT6/bLkSH986qgn
F3XoPzXeFQ9aTqDQl53yvehjpn/TONfXSXM2VZYbD5EMm2va2Sc3SQSizXzb6Xl7NYR8N7qcGBe1
JFuFSrM79zi6dnN1+YXc0D7UNo7Ir7AU6e4VTL9as2v3yyIpKjjnE/4ZfK3prnVf0uCESMCgAXlt
HrbDtR25+JcYHrfL4jhOBZQiLd5moIKvYzfb69q1LmDjxW1chdPVyftyk7TEw45JO129xCYMLVDW
ko2u9Xil6zHl35+HxrOf7KicDq2WpQ984Kwnxf6ml3l7t6xbdtP0JAPmHA7bn3VVH8lVYwwgGv89
nd5F5rqyQQb+nA9hbb3tKSTd/qwrs7okVYIOx8/5ZNW0B2OMrj+rqPra95XImEL99wsOIhSWWvj9
2r5fr3of1ZzfzkkQn39W6YDQG4TTx0mWIRjuXoLxJeOmGk5eFabn5SGFiHF28HQnMVq474fQ8wmo
5RLQB/+1ymTce6mzy7K9sqE9jg1MlQ5A1HmKU/x5HYn0FfFoaCBsFk1X4sWnmXGDk6XdLju6DkYv
pHQE6Ghh8dCW9lp6HaMstbQ8FBR9srAwjkx3Xi1NL1eNbYBVyjt+ckArfzGzfphrvbqaAO3ob+jZ
luoosaGy9Ymibs7S6K0vOM5fJbzk5zSL5i1pgfaumLjKeZQ81Nhpvq+oJQKhtZCbqsXlgVbmjKIt
JJJArSsrBNeNBoH2Z91f++lV+h7mTb77j5Oo45czLesySsx8oePDX+fQGDLcJ27tHNv49NfRP4tW
lRl3lcY/4L+v6mfjsi5N0miLzZHy88/7UDsnxNwzIBlMl0tAi/r+382GnCdm47lJCGcMJI4xMXsu
278PwvTziZSIFIziXuZ286pPgA3rtr42njVcfKe4LqsJ25juwgo71bJoc0tZMYXSdstiFcwf9OfN
c9yW1Yu0zuaUt69V2wMU6wr0m+rMeKmJ8COvdr1s1TKwRmgrwoOtdm4ba1/hFnzUQOM8VTa/YXUQ
mJz5ACYzu10OgvAWbmir5dvlIGyGTJvR+9xLbW5fDboXtZ13V0jy3SVpxfdrr9uCAOyKcsJykDvj
z+g6M7xbDqod7Z16oHN20zZ/aYvH5XnTsvTu/ZLu1HKMLjHugOcQRATzYmOFEi9bJvLLIuXNfU81
7jEai+ypqNPdcmbyYMYD0q0AMMIO8T8wgjb+ctjzISu07KlNLT6LpujXbW3mT21Zx49m8FhWWMOW
HRzDJHYJ/sJmWVdplXEG+IiWTB2tjknihLua1tS7ZQ/6w8N9XAQPuTrHskrzKojEaRTvl3UxGcaH
DK0cWiNOsjw0RvUbS3JwWJYColvvqhmRz7L4fabcO7me9mTJ0TuCu6NXFbZEjuFG/8zwLVV1k787
kUl6LtJoWNJzdyXB6zw5vf85xxLTfh64p3zkQ3WdkcqLOtL3tbuo0MSLzI2I9j8AXh2W32vb53Bg
2aERmBzyeNaOWdwy+81iWzXbvc8BQTmwavlsef2Amc1KN6nRdR+iIqqL7fNAVcSICqJCUuJDGSdT
hVcbENBRs2mS5JHvC55CL0SFpzbY7TmEPv7heSAdrU7X72p6INz1i5dlO6568yZyXO1szqF7rAgV
opzJa4wF7KwxTd5qp6xQqNOJNfA2vgSuQRqIepex7BGD1NHJRA12crwBYq36XCjjncI0ElevBBMO
sNnZ5A1pNx1RN44RT29QpTEDo33TzCm5b9Ie8qfLzxuNlPnLBzifjPP0zuiXxkBSNnuPlIoHer81
Kmr2GOrgobHb+RqWursFuRrugqpo1D/Mk1Q7RD6eHUc62sPUiIJQhRlLNqSdd7cbVhGqnV/MP+jh
pbV5SgHCwHo1uUgvz97vkil3gfQBdBS+gSLG5bNB6x18P7lDYZOUT+MVE7y5IXmwuMviqX0ydPnP
cmrCXn9NQ+eBOej93YQIG+iPkb3qqb9fdqhRv9y0CXzQBnjaQbOKdD12XvUZp8/LDiFpvyveN+30
qKaH3o3QtdWLmzAg4cF137lkmOvGD8Y9cPrxwWUig6iO96VzV0UT4V11JzS3Zm6lu8ko0yvD5u9z
565JZiM0r0dXDNHeAr2yQVQVvUMpXS+nKHlSwJ5lcModYZIaUUEOCjzjF4EifDLpr8oR9moKXY0J
VWSfdQ/3zXLk3KQ7LHioyeUwb4pJb9SFKCMhTSHL1Mvz/eoj8HyG1wY+bazx6TbB2/HCf4dlhz51
DSxrmn4JE77k1JFgxti99iGi38sOYAa1W6n7w70JdubUVFT2l88GEuyNBR73Q88d/DJlaO2JKZAP
JjCO7ycvp+Lc8zXAtZHYa+664OTtgnDx5U/s+Ui+otk3D+WyFg1xtE9qSuQ/O/3Hn8tBnptbh+Uv
amwiRH6BasWUjg/E/9/TJeqcy07L2b+3LMvfp6OylqppJHRbxwhXy5b/6+7f22OB3EpG7fT9FpY9
v599eaL/eInfz+R7XbVLfP37JSz7/P06vg9fziT41VDHTJI/TUaA5c/rWP4qbava/+8BGv9/QiAN
8BL/b44G9IDfn0X8+T9ZGhzyXxhIsI26ZQPScECNuo7Nln8xkISmuTrTGE+hHtWWHwykRSwP5AvC
jE3FiPxPlobwbI9QV9t0HAO85P+GpYEHmmcBDqiInv/NgQTlI6hs24bhG57j/0+WRuq1YLyY/WBk
q2gt19S72qr1V42fyl+o3EhIDT6Rn0K0x1d/YAYwPJR6wiVc7WBF9RvBFslzWWbFHXzWccN90Xmr
R/DWqVH9sszWvrXI6bn3NX86lQ5TyuVIm4GqLrrpNeuHfGupAbSPKIJegwB7p05tD+h+NZcLYRL4
h4YZI4XW4sYerfY0G3FzniLJGGCIqTHioYYVVbkPtSkK2HmoAxqYkJ+T3h9qoxTXcKx7mLGBS12Q
A0bn0YPd9247HQKdBHJNyuX7Tfbx93EM0pO1ZVNHQkQbP5d+8Nip8zkdDZJkmLt7Peu5TQZ0tNBc
IkHEy2Cg8gQfYon4K8hDkxax2vD9Z9QY9y33j9uJQTyEHwSY/3XIcpx6AOpL1EjZ3RE/wan+Xb+c
AGH5cEiyho+AXb+P/9lvgMux6XpKAT+HLX8txy5/tZhTSXyJMLaUVbo13UHf1XGDuVy615FvwbnI
hpeqMVnK0/bkuennsk0AEryfk/LPsi20qBLBhkjxY3OgzkgKEVhI41stNnYfwe9VUEe1aM92f6C6
z78ScsPbxPbFfpYCuelAwJEnivKFVhJswTFrNxhjypeeiseqCnETLFujgfZakSBHctTOUUeQSDHq
BdJ0FoM8+AysUT8th3piOoRWWT0s27TIouGVJJTJRud29LPhxNgO9lFgj6fRmsVG82P9FLUoSigh
GxDvk3kThIZ5GhOStfJQ2HB454GtDAwDbew3o1P6J6rR3SawJo12LOod0G/RueTOtWGX5BwkutyM
WZGdKQ1UTPeL4jzCm4MPWlTnMgctHyRTfQ5AJWxGq2jPI8akTT743Xn0cXgESTCcI9qw8EADIMQE
MPBsmn6m+0BoN6OBc+lpwTrQuGUHCViGsbWccz7o3hqYPyzlqHfXkNmCc2koSnNSRhcqnTaaPy2+
oLNANxkaqLBESLs0sfJL5LmCCutQXRTQj7N4knS+aUYBpDWXUTJp5Nn6S5QZtAWEPVzykPiHwIII
OEZQ/8Fti0uZpx3n60yeDbXZWOY2SnyyiUarci9jS3SW1rT+peRl8WyedgkS1DfY5KOHMaDXmjtt
grJ3znm2MXuI6iHjfG35ENnRBObABqIy1O3ZBVR613jZx7JkUAU+L3/1rozuhnj+/df6mZ8dlWfw
Z39tGLS8QApEk//nJMsuLXf+rUMcxt8b6Cp1tPTt6XuD9e9zl7pHiUok9t9HUD81NlWLtok3JtDP
qHcw9Um9SS0jv10Wfx4gg4Ybq9eIr1L7/TyYYSDWVN3Ef2xYXnSZKzhphar7Z+dlg5/p0ZrbP2Pz
f0+1bACFRubMbHd/bxBpSrBshONqOeLnMwFUl69su4zWf22QjkeDGKfS3xtyzwPJOBHr/dcRhYUJ
xDLohC+n//kAzcDJma8acvPzvMuxbkNcCrdD8fcGCLz2TWh2ERkZ//0VWI5IaZpjASciD9Y8+oA8
3pv0f69cVFa25k6vuZiDHWKoiDAXgHcOyhdNx/fWzLF2IgbKWcWWh6+/HvQjueCABHEyBphG3mtf
I8PNdb4cifspZ6DID9xa1RBMgC+mzk5vy3kbus3wnFv+l+MG1pdOxpNv0Z8SZmPdNjV6nVrq/Y7I
ckk5sn8wMRv+qr3R4G1G9WVIGJ8HFJxyVXlCU33MVUFqeahVfaqjULUsOap2pdlaujJUeStN5nbb
y2xA7Rxm53Gpg4m5hCXvkjig1i0Py85tg8BSqspZqgptTYbKUtXUyhBzd4iSJlVVt2Xb8uBSktPR
2pzTQKbfD5M/D6es3rlCyPWsanqtqu4JynyaKgEaqnipqxqgpBj4s6pTlc0wutOWyqHaM1LVRElZ
kQRR+/vgZSeT4uP/Ye9MkiNH0ix9lb4AQhQKKBTY2jxyHn0DobvTMc8z7tSn6Iv1B3pGZkR1VYnk
slt6Q3GSTjOjEYPq+9/7Xr2okF8//PUlmgnLVbmolV8P//W1YdEyrUXV/NfXABA2G3NRP79+9usZ
2kUbrRaV9F+PJxcNlaQOkc3llfx+vEVrNRbV9V+P53xpsoizSR/RJQ0wyLg6yLdwZF8BUFhMMBgQ
fIm9TaecXTXtospPt0tBxLMe1LQvbZ96YmM39U26+NnMnd14RBMorn1RrVFvgbfTwIVB9mVIZb5p
hAJ4WTjfminIX5ZatHVlTtapWz7l/omNvybONo5z9tK49Su0SDCF8WKLXO6N1IIdCJ8GhKf5LBsf
RVwumfGWwGXmXwJEbiBqktL2vjkMRYe1qRMvqRNOL7bd2GenZLgx+N30wpRmOKShQZFbML+KOhpu
sxz3vWXAQcDuM7+Ql5rWbPeLU0c55wsaD/nkoYouoV6Stnj6jaHYG4ZnPaioy57T/kPVqXypTIYk
weg8zjBczqRVknXY+fLMXJt0iddYL/BujH3U1hTomcYzAzhxWwZxu437hmM9HqOtCB1nD98FU7Zb
JqcgC4YXZ8aSbeLcICTEpxI/VCUF4no5fgysbW+G+BK7/GF6AJQPKHkkm/i902wGztYWP6esqp+6
nteQTe6JxUmx/vo9B7M0gdeaxdbOy/nFb3hdGu7AHn2kOE/M+qFP8kESUDwL7YkX+BlvQWVxBQhq
88WCFp6asn5qQTts8rofsDC4OCwN+WLRe0M6Z/z8+r3dsa9OXoxl8eubFYE6pw1Zm6ZFuDN7Yb9U
KVF4Kqa649enrq+ylUgsedVlGNxrUqlVFe1FUvoPg2P0TwupnKZs/VLPNssZzAD+IJ2XYcjcvVeW
Oych4Wu3VKDxl6vpdBinHZkp/RK2nEOMH2ia6IxLZFfOY1+jFmfq3q4UIKGxumqBA7pMy/CaD5E4
MwGiU8N3zh6c6aPIbtt8rm9aL8hOlhgeA5K6UsX2NcCKf6vuY6SDq8sElBL3HRFW+9GBvSH7xDqV
3Hkiu6v3sxPRGUuqcYycI9dvhRQ4Ouevf319KOxRkZ7CjioMtSd4qtaxRont7BPa17ivQ/HDZ5i9
IZYu18NU+edpCIKzuxi1szrkaR6pTVEXLEqCOEmyd1wQH2GMmX5gfLoWTG7WWBi6G0KNGovrNywq
RJWRmetIFTuiBf1DLJxb0hhvXZVHTyBY0mMdJo/EM3D5hCERCiO8s8t5ZnkJudBDnq3n+clGS8MA
me9qeNbHnmnWGl0Fixi86o2FjEoJ23RfJ8RO+spb5XgL9qEhvwUDNSWVFtM2y+X7EJTWvpjoxtZz
exNC6TQKJ3vnQnisygcyVVPusCxHock9CZrKtelCLmCAzvWx8ysA4MENg8B5Fzfur9IvuCC10H/r
am+FtHPaqSO3vl/spucktO29GmkDBDn+fSb6lSft1dP5I3XMH23eql3tu78gxZG9QQfy5Jb1Cylv
2/uGVfCnmq6ttu/BKVVbpp4fA23dY0J2ycgde1Mp96OukpOcvGwXVOO+sCpxZt5+NhtMlZIOZ99C
/CUpSwmb3HZZsFb1Qwi9B8B4vXKgU1kZs3iTpa4ZUCWiKMSwsTqsByfmAKi82zRuiOPXDkIPg+m0
JurtkuKsIgw3HXHHkVzLXgqmxt2S+VYchgW639GT1lHWE1zgGOMi6Q16CgSTeabrlHQN+8JzyKR7
Mr6m/fwzJnhUgXSv6D0rNHfJkN7RpJd3pcxuI5yGUH3Q+9LROpf1fCoTbPY+m2csQvVGVRQaxNFP
rBv5Ohmq52oeIfNDmBKapGUVYyDibdoM+azplSn3lkHkbqEtQG2dhoYYeX0zFxWp+C0t77ukiQ/D
gMOySI6eSUrR6+QDV9pDOmHBCDpnxFtKkyjdr6uhw0FC/7LXscIgcevhvo1ubvyKwylVJutKmJZW
Y+7Bq3AVF6+w7GbCZPqB3uVHZcTrzK7uei95HcNYbokj39gdNCM/BtetSnkGMkEAQJ2SlFLEXhYU
36MSum4A81CNu8mcm13Mr7eRHKBORFkSFtxoX94UdY7LEgIjgWEbY0KaI24HobMlrlMKO1jZXiKO
j4FLHml60pVNM11G1WSqMe5mcOxXAZY2w2IUE8TfTC9PsIykt3ZPdYDiNa7zEU5mALxpPSRL4Ri9
hluu5BqIUL3LMkHcPZgeZi/fTEwkQAXiyVHlZ9iLBlsvTZEtgCuY31gWGhjOADGivTHZ99Kv94ln
VMe5n2H1zjNDhWHcqKgOLoD0031kslwYK/NbJW2qtLUz7KyhXILAnOS2An4RFiZRNYNLLaVy0Y5h
LAtOWooDd7QAlpEenoabGWL0sUr65yA3uh0bjYXaHO8d8JrflAkSP+B3sErWkHqqckprcjZnU8GK
wPGe2dlwKHJlvc+9NQiemIaCbdaY1ikReYRv9N1oxxmZp6zoRgEFXjT1aXAnZCLVczmy5LnQS1ix
vE6e8wiMmyorp/plSZne2EHhrlqRV8duUkDWUAX8NlG0EXs/UvAkex2a6SZpgLdYhC1dhTsUSPvF
q26qxJVwEKx+rZveXB1alYe/4vCAJo+NonGtZ2piGjoB0hyx+MBFmRRqfRlMepnqIuIv7+b9ec6t
a2dP00FWkA60ep/TUyhuhT2YHxk8vfVs+KyJhX3lsURuJ5cQlrxZtQgUkrfK6Pmb2D4HIJHolLtp
M16tYLqdSNdnhfHiz0x2af+6miCMdkZv1Rv8/C194jU5HvT9jWOT4Mqlc/T6hzadi0th/aQNfcHJ
JnrjDRyNKqjcUz+0F+hD+dXImC2mbn5KIk11jyuf+9S7UwJiIC3nBHNCfe5jw1qXIneuijrP1dCO
4oCecnCG1l7ZZTJt8D1Fl0D9ihIxvHVJW+8tr8bKRBlAmf0wMiUOUdPVCAs1RB0nh5oQUGTFOV/t
+6xnWDXMDyA+AOq1zk6R7gHLVOyKBjSDskhw+kS1DqMPddxLgm+VoctjPrK4AaS7pqEy5C9e3Fb0
pO5VmST7Pq+eoLnUR5/Og3qezGMBgZxzlBigH1jfME+LW7eavZPXjLeOG4hbjfwFB2o0vsck8h60
y/w8HNvmynzfPY8G0Wv61eWLactnqFr5lay1AWlKqj3n62fVcSoz5rurEMmuPhETmhdobUtlYNCs
5xfrsIRia4bGYgd1pv3UlrhN7fBO92OzLyldXAUMsjmnZbjreNdigZeJiuz9UNvGrdtFfBCYVJd1
N3/ZeWN1NU4TNw22Je0PiJM+awBK8nYUNzwE+XTTBi1p9fyzTDBajUkWbdOyT3etYMlvwr2zSudS
TOT7O9vH9+eZb/RnnZsm15uqHp2N4XBZjgSIp8IYNtCXSLXO2AITyW6VpkpMueJj8PBHewajFWzK
i0yH9vOB8ACZxVhT/EOHAsgmE0JPwGbLq0WyCQr17PbmU3dH30EBP2QZTdoEIGqFfZLaa6h1q6CA
g9p4PJalf8Yd3SS8KavZnz/szNv1jfNsme1LPzn+URl0EM7WdJ7CtrwavuTisPyLFcw//uVbC/4v
b9LN728gzIDxWv7P1weAwsXZq31cA//8xl/+KRfOVl3Jbvf7R9yg+v1zX59+Pd9ItTQZS+ftX8/5
n72OuPAudTM3CLB/e33/+r8KQ96WNDgZoOVpSsdK/3yl/3xaKRA6A0p4v36Bf36Z3Zqz/f8jl+mr
d0up/27kcmzSj/9xLSi2+qzrj/Zvk5flJ39PXogb/WHa1GyRDfCkcD0XWPnv0cvyLWmb0gYUb9ta
/nX2Yjp/uBy0WihpCY09iYHIPzjmfMvRNiMSxWRGgWNw/q3Zi8MU5y+jF6Xo+TI9S5IuovBLC0/+
ffTSUEuLjSEZaW6qb2VIkHOsgH6zYMDlbpUthVYhorO3ofhyQ7EwMuIaiNM+heDSwtArb3N/VaRI
Y9zUNMbecnq1Pe9QD80t7Yc3mPkBF5YUZzZnbGgbAMakk7/P6bTudXMs4uLaky2h2Z0uCApTUvcI
QXRr07uMFx/Sk7uNd24+/UxVvW9ii26Z8XVq1CmFFzO32SFy3luSzbXbHCNZH8M5Z/vEJFyEp2am
SrYzQ+oF9Sq1D2RoVmJUV5kNd2Eg8VxBdJVn3w0e8jh4LHXwq9RcE9gFyCl44+oUK4bn/C/DOEvG
CHjEuQNjgmNlpYIzzneTns5pBslazjdVx04pvp1sOHOwbUI5n5qqOM7yIIaakfSVal3SjQuEiGiz
ER5NSrMpXRxioF1yuCF3s7UIBZAoOifzzwxRrWR/s2wMZqvfRYifpsguYcMYodHPSWa80qRJ1LwF
TAbvnNWONxpPg/SeQyB7bPEw7evbiLezoTGWDtVr0g8/6hjYWm1vWAuBsPUutv7lZvCNGHI7VXwf
pSzSYGf60qnhdL5ZILU6E8JLBIYhQRAevQeC0PdVa+zcrP6QeXY/FeNN7kYnp2nXqkT59Ego9NHD
iPjD/iwiIaE2ZtW86NB4siv2AxlVgu7w+O9fi67RD1pCil/tf1uh8H9dCeBSP/Bfz3/P3fAR/f0a
tPzAP5sUqADUdBX8WZjw5yXIdv5QSiuPtahN2YJp07Hw5/RX/EF3qmd7ppZLE6D1l+mv+4eStiNc
x5TCEcrW/84VSDlcHP9yBeKxPcUTCVdJYePVWl7EX4sUsjKvgqqV+M6qThzwwDDvnJodJkwW4aM/
nIaCgeq6cczhFJKXR41IWV3MUSbPDce5YEcHGrPqaS6YKA4Quj/969Oqm1lfWJxicTawkAkdGzD2
8r9/f+5nDtcyZi0GW69TPleEwLDCdSfLs2nDfEt6UrNTsgWuAX9l8syHfNRHgxa0lQu/detJ+8mr
wgGSFJjRIgm28FHZJLseQecog67Oing7U9+wnqqY2rYacInZpZ8qN5NTFnTuun8S5HO3SWVV+yBk
vGW4T5Nl5BsrKn46/hDsAHOyGQ+aaeMqTjeVtVeBZIpHOQW9xwujvvZlDLR4h3Y0q1qc+py4jFPW
/WIkN1dJzo6SbTPoiFrmFMPRaRCI9m6kyGntCoU0zxJMBs19SEr+GCyEbjVJdh7Cp86XTusxMZ4M
0yZVUVxNHFgv2Zz3N0llb8AXb6QZEPZqiVT3BnRjdjL6ruX6gl7n77OC+E/OBrhZtqUh3sNVkNRk
3TvfvrQVwUIV9CcnH8CUEc8XjduvoYi4q9Cbm9siPMZZ2T/IlhwEFq9lDYVE0Q3TjUxjzTUJHoAO
rOR+vjhB464yo4ig4lePRbv3mjq56PmaTqkF3dEYwK9O84l5G4jVqL8SAqk8sKF4E7ce9HP2qw9T
9qMLCGi5Jg1bRqUIbyVBjDbGPMada2Ih7Xsu3OSQIoSthwGdVyfU9NWMrlpmMhsm7jvC/Ne6Naht
FfS2FzvqRKHoOd2+aaADyJEdfUD1T0jaroI2zKoc9BhEh6UyfoZUhPCh42TjOk56mbR8o4nW3fnc
ILveJsLJTnOThJMLrLR5D4pi3wxY9oq5ncnD2Q4HWPaSlBCxBlUyuvr6TdiLIVO4xhZNodsK2iap
LkfBgn3eVvw02Hp6jYP0YMeMxuyegeXIlKGyxM5ke7pCwbo1Ary1WU1xtVKvExL3xp4BqRdVfbYi
JTezUxPIpyQT2h4wjL5o2AyMPltPMAnsZ51wBxvrktc2mmqBXNEXatzaQAJPwKiuJif13oj7u5x0
xc4vKN8C3TPCMu4N5FempOCnE5RIBH9w/pdo1k89Vq471TLcCpPCRYWqbnOqIu8pDIQnkLb9HofX
uJpjggruNIt9rYPP3ulOU5OZJxtQzsYxuWclNj3vrXf5+lBCULN1M9+45kwosCRpqzLn0FO0+khn
3g4zTbxXOpfnVOcvTL484hCUqNVReTvKTQhUijJB9LF248SBdcTO2nMYMTcyPDokwoIVi1vI+bAK
G0b+s0g4JuFdDF0qtuyoo32S/oiW9ojYsblbDhPc17Z+8jVaPWdeRx9Vlqy/joM2DoJdgCDsJfi4
2h6+utkxPVPyo+8pxTTNId3Pmq2iRGces4psqAtByW59KhkcXo6soEuLVNwBDXCvJc12pSQbrzM4
86G/k0iQdsWFyjck9cgNwhe7OIcwgpszhYihVahkaw9bjkgM1m11z3gXyGgMOK6bXBJBQtMSMVt6
h7WS0sqOlrLedvdEregoS2sT/I8Su0h5nxPNJAwGRuJN8ZbFsXUTRNSXsPv5ZS2FJowbx/t6KTnh
pgYKcvkaAtpP6pwg6wS9tw+wf1DlCAR5WCpTSid/hynXLAuuhkUjiypNlI5TjGKVLk+M6uB0zknm
JJT0VwFL3banYaln+cuHRcuI/PpBY9XZZQkFCp7J0LstzfKOX2VXsRrOBAyx1KcVZp6lYpEXDRxD
o7mtHQtQsIC3Znrq0mvmEUkcgniQHWleSG4nkjTrATbxrrRd9W773D9AuGwkE7JDM6T2STUDrh33
R2W36X1Hso1pqVutyRnj8QbjcDar+LFZvllpr9og9j/XwGqJYnTqW50ce+nKDyTsesuZQg+30T+7
YZxcYaHbG/J4NqqfNO6pvA8eErcitex7al9K99ynuXqNu+Y6z138s7Pkh9JljK94XGqjTZgPC3YY
2764n8OaHgHReUeqXvZla6U3GRW+NLbPmIiBVNHJCF8aZM9hgoJ9oiKv6QaaCQVQxxBpmkBi+8ak
7yZEm84ypiFJ0YMZxcBwazSUkRSNaPeGSSaylO1zMReAem2RfBqsVN0JHatH0HOMonqwKIbZG4HM
j4Ouwey1PLuyTBj2Su+LsVbca7Q86oDGolzJ/FYE+ty2wAodo06e+EE6Qyt1X3NKeYziLjFiTgsH
c64vTkKKPNMOJRTLpxOw1VUagHiciEheOKRIy3798+uD6UEKE6O394XdrllRlZs5iga5Y/3VXPwB
4SC3MxfmV9te4lm2l8DqPwvLh823fImi3u6SlJZzSLQ6B7Nltyhqc3fpeX1wRlmd+EvTpfAhs+Gi
3pWu25Hvo0VmJb4+2jkZl8Qe770U+rvZwpnweyu6CCAIevK/Ua974ykO0bxI3o1SO6Tvo/YcVh19
PVTUHkEemuuYiNI17qnekBqOSGw4L37OZSyMJmqOs6zbJ/3C7jZkf2XseVfyl8/q8is/kNwkdngq
a2nvXXERvIGXVjX4yCK2gW3f+WfRQKFs47nb5M4oSFbTsTqXxZ3wbW6ouWmeM3hLk9Pe+MOg70dv
QYX7Bqf3HZQRcxumSmNyCqCJ5qNxx2rFAD1kOr8Npr/rye5+WxL/Wllti/9jseqwWoXFx3JVO+C6
/r5YFQkn85zyMsvGgQfi0BBuZPftTLjZiItLzQm0izJF8n+qNlomPR0MGh5vaky7LPU/uCj8KIxu
vMigPdBTR+a2haTd6/HEsw4HIFxvYdh8M6YcIuiUJWTzACKmbXaKSbZSA2Jcy3YO9m1TQdEKu603
GPDEiasEwqMjp75jzUNNEk4fCOg0xrTxxvDQsv6yv/hP3ghz0TT+w7LdcQW2UNvyNO70ZYPw12U7
5kpFjVPUbajWai+UUIBaKsgoj/hT7NLnbgrRDm6FAe3X9fPD4DDAsiVUCb/ifM5S4wZvXLUZRyu6
bQNAgCwyDkYmjPeQ6i+pJywxdezvkQYGOKrTara7bh9H1jfapewDGXcGWWbx8bWCURYrotyqk50x
wm/SsZMfQzv3ttKNf7EQ0zc0U78I0aWghcQv5VggPlxIVoXcBYll7fveVKfASm9llRTv0dAcaFF6
6hqaId2oy2/MKnzVIEA2dkRJKDmf/nYSHbtcMzqXLvI8NKiOeZId3TXeRwtuxQ9b57uNbYZmxXJh
cHGoJ7DOCoj+WdGpnTkU7rbkPaIBdQWKI9/Tg7DylKCXiVBuZCXwKKG/H6xpYR2BxMIQh8lKqpum
CXZMhAhnIuuKSYTrSNd7Fxv7zkuYC9BJfnBiNvCGYX2n96FZOX0G0iwDOmtCZh8rC++Gxiha2Eso
zXDWodetZSviU9QxaGVHcorlc1475dEhDA1IvHqEp6P2OHD9rVP07WqovWYHn2ngclLdIVxOmzpJ
Xv3lvWVyggzA4HLTMqBcw1rBziNl/Zjr8bUyyu8lVMc6y709CuxbrbgmBTYMPUfZT6kRP9s+r3lI
je+GfRN7VIWbOnwIF5tUoBnBxEFswaZzb3KVhPDpWe740buetP2UA88ltgQTKH3HrotpCd1iNms8
Cqx6Ey0ek+kzM5Czbb9OXqY4u/73p8bimf4PZ4arTdfGbI30Rx5+OXP+2gzolInVA0HbTK1ZrGqf
t0ro8M4keDbZ4ZPM6CnKAncGJsLhwCqhZ3AWuTO7BfLOZ6oiXuhQWs2NtulOHf0dNsaHEsopo1oP
E9xRLXOvBNpDlx4loCxu4MUqtIIncF5nY7mjaCQ9BgvNdFqcOrLI3r1RfaQtq0CvdwHYDZQsyHHl
SOJ2k7RYDGZnQT59NZQsiE2F97ryIMpV4qfJJWAVS9h3qQMpnGAxk6ya2wwc+45CcSux7K0vAesG
1GD8+4rO/5uGfgtJ978WdC7/639+/8iLv6nKy0/8w8+PBiwll1/HsQWW/j/1HEv9YQprkXTYFzqe
JxFz/9Rz7D8cT1J/icqjkXWWb/1DUbasP1gro0JLy+KOprT77+g5pjIXt/7vW+dvNz9PwuJHsjrH
X8S/3b8f/2zirULDgV5jUD6FIXmVjA7tyCuusO5oktO0WBv+rY4USkiMCRTPYfLJvtD7yWYuP9dO
YJ7DLm92LFHHi4Az1fgjPibBPrmy3Xt3qfLWIGvbDbbEeds6dXpho5hhCqD+WxrCZBnh/6IHl1EX
fmJozkyt4fOGAc/hi4dZzrgWGBetgXP84mbvbfFnMqJqJ4plJ8M7FFZyA1LjOHS4Dts+eiOgcAJW
cHC9dgfkB3qiBjvgZjGoTlWeNOcMBpq0Tu+TzjEwm8/PtHCXCEcxvEI36Y48drNxjSDdgtIHysBN
2bSt8K7vgGJkTjetIUAJUMYLjboAEpvEdNAmFptXF1okANCzL4GQL4Cj8BYCavkyzSEuS/p2Hhsr
wK8Mp4O1wDBvfMf4JmacIY7IzxF3ok05qCcRtf6LGbbykGWj+9qElOKEmcR2Qb/oIvuUd8TMP2Vd
vekq5znsPF22m1dlQnImGcEFwcaKMlTrQYzBPQfUp0sb1CE33a2odbZiVjhDg0IJB0rIPTcZiKNR
QpWX9xLtdxIGIME8s1EFYI+HQ/aJQfLHaOGJmcucLlM3uG+r/jJYBPVF+BxX3BRiDDRRGXsgTme6
o6AiYKUJ4bXF7WNI/dZKmPJXUxok4cZy3qZpVXKXozdES8oObesEJ3hRemp7K2HKDuCk6EeOG9qW
0/QIAftHH83jEzzLJ2qagoNKzfjQZfP3IkczKBhox2n0PKHDrJJSTZehmKtDYJKSCOTw4eLGROAL
MpjajAqa1gGJHnH99uvorlVxvIW9UlynhNWx7wRsJdzeXrH6/5lPpXHJxAgAyTPcLcIS5FbK16jD
Vu2mMGeUAmb2xygQuKKaC4mw4yAEDAZpvwvUxaeMEs2PFBveqoi6SWxzLd1L580UlyQBfoeyc9W1
K4Z8I7B7rJvKJfso4aQqXSR4nYXapn4c7ZSZFfu40O46iImPxmFXnhqTwa3DNnlfd/1S4wjiWNSN
ta8nlW26oXpy0vTMweqyqRzmvRG59tliI7QZe+YjxCa7k6vgdcdV8kZSIN6GChHEokw80OZtLwPC
pECDB8ysIAtxpDSB/73tXDivs/XZNdibBUxyVkRYGbPZytaaSoZjOQ6sBIC1z5mFi2DWCyRdMS4y
0EaklUZHi6aTk67lZ2pNR/4Wm1ZouMYKmNksk/axILy8sqyqg6XK43gw0g4+hpeSsnV47v0Oah25
0YFSC3gL2btVterdsKqANXj0AGUCL0QRgckzvXStFKRlK3ce2At+G5vkR9fnZ4xOJDBSer5N2i0M
HA8R68DQYqrb7fJ8vi29cbHkOqvaXupeJt0D43LuRJ18NKG/8crmtsNFYkn3WYI0PYwD3Cwz8iWr
Lvdek5+FUIYtzaD4O2S0eOjVpKk3AEQp8xzxFpD5qhsBnQXFczfYxnHsEroZE+xF7TDdSxBA6K51
Q0IVk8LgdOE2VVNxQ7fYIWsXoioNZis8oDEiC1U8Tdu9jk0DKauZ4oO0zKd6zt/GUaOndGDSStMo
CKrH26x2XpJqOLlDw5Kv1MfREU/xPNDgBCa2qyBh2ykCfhXIe28AzpaEFkYsC9/LlJc/S9AOdAbR
clEYByEn1iAieYnr9qhk9EB67LnU3kvX6HHTFEgPq6yxb8tp6lcF3q9dVmRYuHHys2eyAoC69Zsr
ite6d247Z/A2mWi+B3nxXFXxxUxY4Hfxd3eknR5SD132yw7Wd43LxGmD3/HSdkCOhoLC0554/LpN
2+ewt6aLA8EJKxU7PwyyoJnZ6RQ118uu/ZYX4PQrP6ZVkYQTOX0kt4R11YROXNc8ftLau3hQj6Nr
4VYwqg+K9FisjcO1yPTjPHFYNjGAj6FhUR6BWAbaB44Nu+++CLpo5zr4Kqo+P5aQdLdIyfw35b2W
dceJxTR31ZsAtavJPnXJQEth5mxzrJCbhlkf5sMbKwm5YoYodiHvVyS+1aN4M6P6IUL9XueJ/exW
zfeJW5TfeYcZx8AsFO9i/eq16iNLHXLqnbLYw5Rnsv4cvOm7DRsI94QP4SsoD1XV3gMYUhuv1w9N
wlDHD9EHJ9adY/w5uslnOdh3aVB+2nC/cX2IE5eM7EFhwEq6PAQD38EjseSzSUDq0EajfHBsI2LT
3RGeGnbVmG+jkT7kSuybUWA0L5JNkRDvmhz3YdQ1RfGBm2DlEPd9HBBQL58gMp6ondmNkUYs0Xdk
vg5jH36LJX/iJhzuTSdgBB0+5RrzsrLdOxvhCQzeAOY0SteNYM7dhNu58fS2mEnTOEmGdc3+laSC
9uIsuyZ5vleQe0tnxtdqgpwc4vHakb5ewc5D48IpqrLwLZ/8ozvQ9UTJMmV5yT5jskNvxNqmXaQW
ry07OAoLtkWIBliQ1cm907I5qheyurMNs2NmFg8OsxKTei+tUmzXzZQxfci6QzSzmrCLngIMyGn9
5B1ttuBOZ6OnzwS4o/ulImRil951T079OuE+l9NajHcMThCZf6as4q2OFwS+ZPDTj6SN77qWhE+o
D7liszfQAAH93cTaBWJ4Yy01Dga8qiUXJz+VEaxEHZwR9hjsrQOq2oDE7BP8353C0WjT0Z2GW+wp
G8rX4uGq+w/QNKsR6W7M7wricnX2GvswTnENIGsbVbwuk9eWnhWgVAAmXaBY/apn59sZ9MBREenR
C2Y03wtiOulUbrz2l1s8usBXJXDNIqY2Fgtnaj+Bs0y5Mbor36It1KQbcWmorU7tEBzdKN3WmJN0
8j5LifkRGpV9n7IR6/0XzYytXCY0pO26TFGBXu90Xq/70V1NRrxrU3ejsk+R4jMwiM9ch+raYadz
YrkjvLaZ8XSp6tymlyB5Zua6GDsvpHWOcnph9rKumvsAYkky3E3VsVVgGKuVW87HIcjWHURQf8wf
EjUfli7RzsKKK/YmzMGiuhiokiVvg3CXYUqBEvuTUP+mKJLzvJTdiHBfmDVO0UjvvJSrUW69983b
V1F3A6t13KTu94JAaU00xEjpNmHUw3F0mmvujMW7yoGVGyUgJLXpKCyiN3gZBuwdylGNs5/RG8k+
sFcNW8DsMIJa5nax1dUPE1ZMiLDRhd/pD3E7d1uYLPzRAXJ6XoaJ0jhLrV39GbB8Klk6CrApYURP
VfbqTt9RP/BmBCtU13UP7j4t9ZZOH6IPXIvjjgeIOYh5u+PgYif2uhqZrTZ4yNJUrkT8g/IUyi5j
HJ/d1YLACG+TF+QnOdW5NhxSijF9/d3oYGW0OLM9cDEha/roF9AJWNTs20GpttWPIoKiw3g3M821
HhdIiMbuTMEr/hVK71oe2SmtR2cs30ZuqV1KRIYrnwu+MhUc0eayJub2uZTSQHLJnJVZsUxp5ZEx
4SGru5Psf/X5S5gA4Hxpp3fPyO9tbzh7UFUwcK+CMPuhe79foVCv1PQRaYCD8EM9t7lHToOT+DJ5
9r6nSCzELRIMININHxSC9YNY41trtruppWlpSEz6MZGuApocAcrCHubIXVXACVlMrwa99EXcyUps
Qnu4qYvv0SJwL8PNGFYOZXONS1eDGFZZ2a4d8Oe0V6+T7i2CpD9goQ3K4Z095qqY4C3H53I2IAzi
/eHQmgqmqTCwJ8r4RMWbfci92zjk1Ew19JNs45TMn/BE8hILrrkGen6Bxj+KdYp4umQ8y8zdATL8
pimYbursMyweurk+xNVyT2n3WfoQev56APMFGIdWBqraUGFH3a/RuzELfC5prTnn3fK3U/mUkr+Y
pmsQp9s0I5LHVmwuTk2ADcb8kUB/CJxkvyjYlH4RL0Xc0/s+WDrn6yevpCTqf1N2Zs2RI9mV/itj
846WY3eYafQQiH0jI0gmk3yBkZlM7HDs26+fD1k9UldrWi2ZlbGSVcklEID79XvP+c5IlkL82ubi
0dWfp8T0lzhD4ehbdwB+N4B9f5i8nlFrT3cmOdRognLSQGekyLkvkFulU/1ZW1CssIJhFNtP07hJ
KObU4GxHs3xX7R2T35tRq22UPsYR+fRa9arP+tE02p2Yzl3BJsfwzmF3qeSzaxprc3hvq8CPRySS
BClE4pcYx7Or1M0V8Yam6SZosaNn82Pa9eTnOftqLp9aVLXmcpln85cem+almDSsJta0CXuGAvY8
+W7nbtrM2eCt3zpVMR/GMPw1ugX0NvCUM7EJIbZ2epDOrzoLj1WH0XXK3B3n0TtD5J7y/pg1vqvn
WydHH1o39k+b5vWq1fp38v/2HFVx/7TnprTfJujgVbQRDNc5rpwMR3tCFfXdcWn0sS6xt1yhId+8
puWO4GCDsFkpDc4MiDgt/GwH7cWrinXVN2f21JdJ9psukpSsBu0/dARu8dxIsUHWxRLQu4xEo2Fn
k4oYKePRqMN2S172Ju+zTavwHwUc9WbxRLMz2HNyg6Tvtee0G14FEDpPaidRDqew7K4T4/agNbAa
cDuMtrHJzeaFQ9inmdivJHEdVeUcaFL81DqcSbXxkTNZLwi3a1toml3wHcr+kW8OQD5bOGj7ok/9
oiVmrulghJUnz6jWST1enIAQPKLKIg51CbE39KjXHsK5NeScl9EM2Eq8LRFSJV5PJ8Ww3Qc8tIIc
2JTMAiqZEpCsw2a1FNoL8iffGnX26JDdyPoc33sxXDzGG4BbnrT8vYfd7CY2R7tPNpEVidBUjdMu
ra0tRZ4fp9lxdJZIAewwQrsbA6N996uXgjJtgGgeAWeErkzzgIE+s3umAFgwIDmuCvHLhf5Lm3hl
e+M6rwIU/VBag9T9QHW/iQmJcqL6HmITY9fgZ8notS/JSTIbWvAh/0a2AFU5B7SbAsLJ9cjXlPt9
kOF+jqbgoXU4W4KX93XqXc1QP+yO9aNUDN/GlQlmcpIFapS2uwVts7PGnyUZIbVyORo3ftTivgxt
Btn1pqsjZjqcfsSH20EbN4yPobV3nb7gEpdXVvmw7R+8IflZ0Z5oaazM6jUa36QS97wMdjUZ6r7y
QtCRFXBFSTJAEvuBbd2txnmE47/KQR+OF30EVI6wZa0n5U9cNnsO655w1mHwKzc/ljpEMxagQ9s+
5Sngz12p29s82VY5U3lVkACsPXixxamhf4yTlzAIt3pIQdczmRl3hIYcvfnFrN4951VE9zF8su1T
N98tdOVBQ9yRwUJjkhB5r0cQPs9m8yXtVyfY2rVGxffdZcuwnWuf78ZuU+Nvld5LwqoXqX0wverl
LmkfSJpw6gd+RqJM+uvBkQC1jZmyTKWPMtT28LANcunGFr9US7QtOW9y4wT7TJMnwe5REoqLmYhw
hMQnzgoq7U4vIdGigbKaeQuX6uJ6RAOobt1o0cqyGL4UwdHODewEZxeVCEbNVUmpanXDw1ye3fbT
6n5Jawkw6beDAOVWS/kaNjr8oZ7xa7ky3EU+Y7+6ofwWaDmeRJrb82MIwxtK7ijeCidnbL74sMGJ
OwAmZA7Y1miuHE6eqsLeecU3aQx0pzYCnBLETiwc6SEKCB9mI7BpBBrGOmAfoI0i4y2JYLoizq8W
XJoHB2ZC8uYFpMNDzI6y56boTnKJAyfZOs6I8An8moaRTrKqQ2wnPQ67WDUkmoZLFFaS0SLMDpUZ
8MBNOkTwGQUBFHUEOoOGq2QMalbIQCPXccg3ZZ1u8ImgyzgRuAggF4K03BRM4Dvk8MlIEciwKVHk
LRVxyDEk3jTGYa6iHVZqKnh2KkddYBGSG8+gPy6BbyfW66wT/tBohyxNznC6njwbhPtcb2Go0IX9
blTPCXQ5gKgrO/VWQ47jq/2edZSI8ixMsYLsKdx9b2yQTPuj5uAdJipV5kBKe33dsXhWe5fBRHir
R20FPiIS2cpU9lFJb9sECL3SifBPe/GQ4D7B4OkEb6KVeyILo6VsRG0yJx9ltw3BhWNyw72BngXb
LsmI6zn/IaBb+YwuFzdel22qAjGdcTOS73H44rnNkaHUyeLp1nqyuCn1q0a7IT+70S0isXZiLZUD
6gsh+JPSB7KwdKTNRZTtgXugCGFAWOm0hAVYVNO0P/SaFldh034rtPfUGYn8dKIXfCjYDG1ZrdI0
+VYZ6WEoTJbd/gCP+dFN54sk0btuU+6ssf1pCVbT1kyfLZeokoZXFRNCdSj6XHzIiZQFNydz19QQ
bTUj0jCkv4YfoDM8gkP+2QTw1CACtOU+ctgQQREfmgBLVlCXjPbjyI8SJzhXmtXRsI+3aSBuCDnH
22jp4ITj9O6N4Eig80RZ63dJ/d2qtBdsXXj7XHlJlwCWiZY3vojkgd7b3Z0HVGaNcjZENhET6CQj
uqLR+mJwwQkZwfChd+hxB3H45sZkuLhLR1lCEtJzge0hPahMoJPJtnZanseCVu6srJDvUUNzsRTo
NYtDRJcU7orWsru2BqSag0sz638+mrp+9O1X9V8qjf/R9Opf0Bz8UBDG4jBqm3/7/T3CL7X+aD/+
9MmmaON2uqEjmO5fTZe1//avf6gVlr/53/2f/+vr93d5nsqv//O/f6iuaJfvFsaq+NsJ0+JN+Mcj
qW39Ufz4M2Jq+YI/JlLeX2xE/ZaH1dDzHIE84v/NpDRmUqYrERFzQnQllDeEAn8dStn6XyBPCQTI
NmMkExvuvw+lLP0vJoQpop8cUzchU/3PbA5/FivYlmtZ0hUm40xrESzLvxtJpVTYNdozscqQ0u2R
zAKl+T2c7Y2FFdRGZ+wFC6PY7eGyw50v3s1kIOtQYvNjmoopf5zK4azm8q/30T+UlOj/6Xdj/m7o
pm0gKBFcRffP4zKRa2XbKDoaxSLFDDsiF+ygfayAXpHjTSRIPBHOkRCttMN17eJF7LV9UYOu8ybZ
rXtWOHKV7PTMTFxf/81b/P+ReSzv29/M8rhUtmVL3bJ5e5d/3L9TeaDkjFUg0o5IB+p2q+HILua+
viL9gQL7Rn8muiZLClNajuSFlBqaLbT+hf3Slz2ckPqjJDdzq8lcJ+3qGCC8eFFBrNZYkauDWSUg
zREzHMayRuLN0HxDmplclrBmB0zCd7XBOcLgqHcasT3U+1QKoFDESi+9swl18OH3B88LvW2MXJAO
d2X/k4ugL+/Afww0l4vg6ci0hGFb1sJD+zvRj6k6J2hDFBN//GgRigOIx5HUhdfIVe61ZmPJaC8Z
XmgCVkaNB/Qa1no2H36/GlIs4wuhqfUtTdhv7Ui//9dvk82D8uff0MFKhHSe8a0nPIRJf76H4o61
m+wmRTFv04cf4g4hZKguYWmB7TUo1UtXEmQF0D8mPOmaZ1jhe1sfsUKnA6MKUINVZqhrQsD6em4g
qo5jN52KdLKfojj/9GrnIbPGR6tmHlV7k3uxteyRwHr9jh18Fw75dIoSWP/Ak5uHIaDF6CF0TppM
+BHiyjMy15T8ycR8EVA05xIp7NzRBfktodNpKqG90T+raH5poqJ/aDF9Iz8iV8k05nWJPO0O+zPa
W2FWr8rEWDdmlz+b3Tw//JNL+Z/u+IWRx5V0LBYtVqvlUv+NesMaLbSkDt7wKKp/9iJr740NBX1J
dlLYRI9TaT8G5PI81jW7vpWq8AER/S9RwczqnGafpS0T45zYkl1Qe+TuqvqSO947X+vsummqL6kb
faq5aKj1G5MAdIZ14ZA6GDUt7aIUQJ9/fzsGk0vkJVmxyaoxehoNeF5O3Z0t/J5ZMJxNBgSPISHt
cKWvQOlWrgyeC5SBb7M7mZRxBK7PY5BukXW0qIoqdvCCPFOtQcpa3/p+LB7qPH+KZ0FBPcYlASrF
Ty8bX8gX14+h3YXnf3J9Pfnnm5WZq4NszBCug0rGNoWzaOz+5gqTCuegRmFGoQ/JDE/dMXFceNdx
NG4VWpKVps+AjSbbQKGFZdaIvI02X4OUcUnYnmNlCfq2jnmeSv1d5p5vAwa8lPaP2rViKKccAyzl
Iosc5k0Se+4lawxg3Do6oL7UP+uQetgeJ7I5I+MXs6f1OBvBG8XIxnXnjvQDDg8RTXlSX+gGCwz4
Remh+qwQo0cckYOE5ix/C+N0bZxIknjG0blya6FRidh3mciXPqGaTbX3iqSjfakWZH2dvNStwNVf
Hc1uk+ZOtLFthDeE7V67cmMPULEjRE0x511XpJc4kgyxLZd0CYOQJBP1W3OP8uFWenOGd786Gw5m
VUpSzg/yM0sS3rLsKY3CVw39MMLcSMvKFXqQclWH+kuT1k+u/jTjrEdJ4AZAYAB/z0tP0khuudN/
qOne5HDJZ5bdJtWR6EW/KJkt/MxgTnOdKTuJrrOnP0pNSw6eiD2/xLu38M4wrSm7vdQF6qAoM0nL
UQ2Z38XFEDK52+nDKLV2hsomXZzgtleu8t4pNzrCzhWrAKlrWuz6tUNaHD1OA2TGoB4NgYlNah8D
uWLbpp4e0nRCZVQWf/1AHYp2Ft2nQq6O9zCfvxseSoyqi9ajZVhHayYbxwut8N5EybDpvKh8cKcw
2ZmVbp911dCIrAoGw9AAh44QDrsrg0cpTWzJZCC96tH8K8qk/Dkwo9WpOHPHuDaaHj38/uC1gbUb
J64yp2zf1HsC93K847jXmdLwDXKfk3/IZV6W3EUnV46p9WWlr6UKI4YTeXlIxyn8WQbZW+J16j1G
540FUllgBePRl+AnnyRhpEYRO2cmgM1VkLo1Fnr+3NQafunSM85uQKQsCQ+R6N+srhyv5KQbL7kt
V9lsnlxv7B9bre2e4z7dGE5lvaZViXQbq0gV4ziqtLB50ZipNtPg7qwaWXuJvuRxZr/3mPjdanw9
D31LNzwcFSbHwvJbm5BOqvQNy6cEJDCjaJQ23aNYMWKXJvb0qTSe6nbi/MA9hJwv/CC+Qr0HlXFT
k548cv5Zkit776iKTt9A/fn1+7MmkSUn0+V/wPsJisE6MsOgDa0aUzv+8cHQrhVRCxisRhv/0fKM
V3FJhqpb3DoVPxppXjyERledK4seLkoW79ULrtmYcjgvaYZj0z8q22sf2sZx8KEr4jVH4rrNxui5
scew9ON+WDRGQp7/+GA70o9Mn1lU19MfaquuvfzHh4ZAi32vooZRFG9O3wQ7+IYDbnnCKBJ+FT8m
9e0Iwyg4I4U2GcVY/ck1dCIXmVEmghdo0EQ8GJiiDgi4vsX6TYvbLzcPa0aW6a0YIDa6eeXAebE4
/Ub6Wa9048Ppt2qM+s+4IjLGaGdyqxjPRPSbRAqA27KPVsLkcPmswIy1Lq1pfOxMe4vNprmRBccM
rrcvim+P8AYAcdy2ByANEdG3U7hl6FTBsFPGXvfA+OaGsRQ4xFpV9quKo6dyEqNfWNb0vZzFoqqZ
bD8LHAo0tLbNLl/MFP1iptDJpdqLPF+TApjgd52He5OMkgBfS9BLYvTklRzWhy+9bj5jA/dwZFKt
6HZB9WiI7FhJbrygzI1b2IDhHuv2nsZOtXPqnTcazT3V1gK2452x8r0wMeMgOGsf+8XlRpIvlzcw
aOB6jFJjHDPbMpQb10owjXBK8mdMX4pN+DwmAdgnAnuEOgqatQpEDXPaPo6/26i2oBUN/mgtXUuE
QtF3msHT+7Y2SZSz+1ZsZlNpm3b5NM1pB6tZuncIS189KVkP+Tzv9BxNmYysJ9GX0+n3h851jZ2u
quyb2dK3IdlBncea03TdYSYjzq3aWd5UrHu44ugIrJ4kzzgC8SqDDyFNRWp8S6UH351VtLA2zGYI
nCcLwZ9qa+l3T+pYW225suac4ABSlc74Bl972+nuSNG7u5tTusf4KGhs0N7rrQhCTCDs05RyaiYd
MmPpN63TUPfjborYrr2uSE6xZoE2JLkgOf3+/PefZFF0+M2AkJM3+AjmNl7/fmlBk2bn2nqtzar/
0JOm3RC9uG14S4ewNs54JPN1GSPXyyle1oHUjb1ZUW/ydHi7KGVyWOs4TkoTGOrIZkTLExxGkBHN
U09pvQsdUm1/154zE0aZMYvmOabnNkMjc2rgXTjiqqBwb7i7XZwQkubtbP38/TpFSMA1MLZHl40E
vEstCLt169vcp0snMtrpxpI+OpTmS6RopGcFSaZB1tDuPRq6XW3jDOJh5cri3E8ti/7cH7Uqp80J
aQZJxIAPr4rQ4mA68vWY9GGwGwFdqBA1d4RNMnfM6ikcAYya+l2zCTiaNiRKk/CBoIdHO3qea3Vm
S4PuBc0FgL5XM2STpAgF0SoRA2J3wp9X1Wx2u8Gbr3Upylsrw1PjdB3DKDQcSVi+5X16RCllGv0L
Wht5tEZZb4Hy5lulcImi5s2u7uzaTJTLYgsW/MnjuHDhaVTgQr6wOzmvxDEUa2Mcs8faIOpxRlHz
pNlw4Yox/Cnsod7+/ut5bcTHEGcdw57hs8PZd64qo3qCCPmuprg/e21cP8HN2pqSeSnHG7XtpLoJ
SlLEZcmXnIXyO+shSebxoWqdFXkBZCIaLDl582NOjJ8wYKJn00afAQvMD6vOPjZTf637ulq5ekmI
QpZiyUjZujiAZEzatuHgvsVJy8jcGEigK3Aa0s04zaXQGQAysjXru8VGeqREGa4GeR5oP9Oz8Bgs
2jJZRWVsrMbU9I34KbH8JLLerTFBJWrQrnNjSsRyJm68lw/mAA9VuRy1RgKbEtxMF+FRmmb1ZUDW
+jK1/aXp1a0hcZR+Q8OAeja3Y0DAi6oQPOmhjeaKiK02JnLUbownJzG/mdz1J65dP2dbZ4QIh8Hx
VFlTTH4uybNbty/FLmCyiTZWbSSyvtU4958e3ycMe5xMRKuFzBJnIMCLMHOL1tLvEZWVgXaZHG3j
Cc6Ebpf3pJ1D+4nbEW1jOQHAoWC2kKgXInH2xMRsO7clrwPoGFywYDtCZDA9uvFeR0OwC+9xp+Mc
9OiY6wXjXOZcp9KUKNbUA07DZTgV3jI3x/1QoR3QOcOY3ROjQsW99UtLBOl52TEQ0Vk3l/B4irv1
RLgw0kZ2gbTXkAtM7yIVyZ3ATQ34k6XuNAHcIyBzLEqKX6WLhhvyxe1YMjxr03JLKLE8OvFSs4md
t2RKRgNoZNthN6zJf6xPVSwQEtrrmuP8ujBgesZj8OQUCII1cM1hSRSm43XvduG5DPOzL0iYV8tR
8XWkMKvHrtgaFnNi0FxxWZM32IqZVvTP2SuRKkfiXJjzcxTaal8p2SOUZA1rx3EfT/hS8Fw3Obel
O3G3ywhTXJAMzzoA2Y3tvaGJRJQQl4YfwQfZB7p6TTKECb2nxWjoKGPSGlpm/V6bZEHHdpCwH75x
smaVHLRVHzf5FurGlzelI65lQVqv/s3O0T8mSVyfwOtdOiFvxiA0VJRBuc9wRoQpwXG1/uK2Jp4i
ZSPwapKHBNrAJjacX6TWQA81+omfS7U26W/kobVIcWiZTxrkJ2VDxCnnowkuGmzVCD3dmo+Vw2yC
s2l/nrLhEcnk4NTX2MuYmaefxErJHXXd+JQX4l28dNz3e29AuAPawy8gcm4FQUxDWc3nS4DkYgwQ
VHRugzaqQOVnj+osJ0acVjJ/SjkRiloFG+ATmKXjEE0AmOepzFByZByh0hZlCRnTEFmZd7XkhU4c
0NIIBx8ib5bygoB5oz0Mkc4wtlyshFkhroTEXxq9fCY9q2Iibl7tsquOGQ3DbpHCmPXYcDaaNlmh
02ksgIKHLZN4lnrhkOln0fkepukridMdE8bxYLVW4AvoRdg361Nj4jyvKCYTU1MHunwvcW49Tmib
t31nijWj0K8EAU03YbQWTR7uimfXyEwmlgAZiRBGph05a7DbNxHim+oaKFuTLo/lNBOy0rvM2weP
8UjIXJEjZjaXzyFitjwgwKo0G3n2crxHs57UazRwDaU+UYZ9t8txfhZa4D15fbxyEtHctTRE3+Eg
XJD55zCDRGxCafpORNtuJP1WYEc6LGeiRKvUahAub37CQ5ICW7J1AiElOu6ZuHsfM7q2MnVGYDqb
txMG9wRV9smpqmBll+MeCScpn50g+c3TPooQGFrhzoiDq/yUoX6n5YJMiO7pr5jeAsnUtjq1o+a7
mA2Vls3sBuYpCK3gVpTOjaJKGJr6kNgJYIKBzM5eZ+XekgbpsjkiTrNdJDyTpBqRZrGeE6u4NBmN
2LzJKr8YOEyRi76bK0kzsNXPUY9WCHramuhrOjjBxPShU36xzFHcUSWII7oUXK8cNpRBpvJaAqdw
WmVBNu6jdvxRQcdgQagOqRs2iOEZBzfyaido5cO++Cl0gq0nZa8KUACEhQPQliqnL8RvjpiH4g7T
w2jiE+AOaRh0clmjwABQA+ENqrSfFmmyJmXgQGYl8YLM1deLIh2qDN8JOTXiuwpqHFrjOU1PaZ9a
h2ngPbPrSd+bwibjyTYIvWIkarb2G00B1DzzO5iwdJdpWbdtyfDNDBf9k+0dwibImRTO3QbB1p70
t/ReMPMpu9fUCRnYDwqT22zfZECZDAlh8kejQDZlMHsaMQ4yBNZZG3XYbUPYAeJqCNxaGhEGwZp+
IbgGpIzR+NZjfOI53iTFWlpE+M4z1BuFNkz+IMe93sfZLsoXgYpVrGsJsqcTNe/BFH+HjRb1ffnZ
BgXPrWZsnV5njB+hniip0Beq8UEzm4P0hrdeA9Npf6G5J8SRCOgkWjlMXFVNXFXgPLlztLDMmWXp
vX6wzHwC3SOxhQ/GobNfMyONfQCevBrZ7BJB/dqB9QNPjDRmAtTnJNbOoLFwd8vpBlyYEjbVU3je
LAkGQYDrOWAtG+JN1CWX0KowBqRBy7iRFrtdsRUhct6EJB35rTJBtTbs3Y7WHtChF36pLPYxSzTc
2B3+P4j8oqil70xBtDcC+6DTBXSciA4k44ZYVlj/UG6VdpS9DLq7BUdGxG9mljtgpNhmIgbvc7vS
xVBe6mZn6HqzHXKu+ph7aw4FzYnWkHOhLVz3LKRoJch7AKC2tkR5bCXTZECYr8ijsmNZcO3QVmDf
5ogWq3g9lW68lkhRVqCBz7OVDGthdu2m1qmMUjSmG5uydiBPL5SlhHgLgd0gcYENru/X2XJXOkVO
0LLVvxt5f7KM7L2I0Qrh5eA3sBW3SmVdIkut856Zg3Se2km3mMeTdtxIv56DyDeaGbPCsqDRNLeM
Zj2YMEnqHFFI8urY0acgEmQdx+1zPrlPbVd9i4ouWBU9rnEOSWvyzvStPbv6PsTECjWBrSG4WOwP
WxmMe9kO7t5iQruabDKJElt84vYK1lWth5vGWco6QZs7tNInwuG2FKdAXB1Pu6QtZ4eZOmhVZNJc
4Sra1EM7+zapzwCapkUqN7H4h5y1xpHWKSbDxgUR344F2L2iOktMnVoUoJtcBHopc9FLLmCBwmdZ
6xrKlsp1tWMfscbhcOQZmrpTM0ap74ToKove1QDfsqcS2L6RCdnJ3Kdimwq+BqaA6SXtESMy/dNZ
3ww6btMm56hLPjP1rOO7fP2+ianlU0TEg5H0RxVgE5gpq89Nrq6NaCkh7YV2ZfLTZ6XNG3uE/ynC
K5U+7UA8BOXgojZe9MA5C98wsxMimS1NGjhlOZb0dRt+Qotbuo/WVjm9VXJ4FCXdlZCeLp0Y+9ZM
40Mk02Nsi47DDlna1JtToO0yAzBDCQvEgSHGkMBmSUubnSS4CrFDjGOSydRWR+B9pY2/4Tj77Oly
pp/GXsKtVFW4c2yrXlcuXZLfkAnNRDY710nJ8hM6R0g8JNyl4cLhl8UJ9Ehxsl3kzmSLU3gOHnIz
q94PXVtTwsDygBG5jYwA0YWScp2Kmmi7cERjnWRHq63eKt4fHEOo4e3oQHqD2sVaZFxG3Cv9lCfH
uinXIXmk7VhPR70lNaV0ch56gbBC048cIyfI35a9dkvd9G2Ol8Q4D6umD/HRE60JNg3gtwVwApv6
xtVC/WoUjOE9PBe1g/uKWdLj6Dym6MqRy7e/QgeuTOtEV5sEqs4ePjW7vnI4WIsSIba84hls11Gv
PhqhIyKS5pVCY4U6dOu1l6izvjdV+eECE1mNW2cIoLM2G3gZ6Ef5T2aW76UzHWQ3QPRkpXbUc1fZ
P6jG7ilnTzb2PnO+gmYfMRl4K7nBG/ypUH2/NTagX5tcuipHdwRimTM7DhlGPPrKhWjrQOT2RzHr
bMruWzKlLkIizsd28tXlyX2qjDOScScormVgb/opo63sJUwyEaOX9CadH9gaPpteZ2wZJqQ+BIp+
LZKsH+7I85Rn46ueTw6qRvHcNhxb7An9d6b7nOInbPT5OqEuWzk5LzP1dDLKRvqJ+jMtMO471vE+
BzEzQJIatIiANbLbkoSIiaFZMhMrZz1NhHP07gLU9HZVKl5aRdqxLZYHI36wHntVlEfw2cQgwylZ
Ee393LoQ3fJbQvCj7w51vcLQYm/ROdqHoBJPWQrn39VoJY/ltV7c68S3o3hOOFZ0pPquBJx+tGnt
j7Rqv7nx4rDK+2Xzs1hX+qcAVuXFNrR9pHfO1iRPio0EonxAEMWWoAMUW7Y6DksQBBqfX17s6EvD
BU87YKeh2aYM1Br8KYy/8JM2SFzofocsHX24AdZhr+LR+qTWGbd19Mk4aWMO0npwfzTYz0GLttYh
oi2P+D3dKMYvflhTl2qAXFcyuXZUsYdkYAZXsLusRg+TDNEV2SrzxuAa5+qrnYMDshykTuNi2fnW
0j/n9ymBQJmDgz4nkCzVQY0Bp0VLr8JrEAGSFixgt7IKwMM+TkJ1FxAeJHXytXitt7za/FwofS3i
ChS5tp4G2TyIBrH7aGVfg6CdINKPgOMpxfn4veR8ioAW0mrBnH4TNFa+H2iQr7049xPMMZeaXvhi
tLC2ypwZyxsTmORAew3MdOuawJ4KgoGPtjO8WkN/8twJDBGiLoTFtIArs73jCim3GFZCgIeIMQnm
KM5N/8JeHmI5kNCrVikiuraJX5zRSu+i4HwVhum3qhmGHcjbQiZAjElboVat2SQbrkkWIZIepjHe
LvljrBLdt6ji+Br00wPd7Hg3Rx9WTT+1gxrgTxEMF6YQblFxJgpQUTMw5iYzmuoMng6vWr5Byesg
a/sUieGT5cQbFSJ3KuroKTB4cJoSLxbXWz6hGfrZSLQEVTZ/T7Lg5KSzpGN7kupo0FZciZYsZoRd
I2EWRDs8EfohUGulWxVX2qM1o/9vOspwawrujdGR34W0UhkMALxGgkIH9spT6iOdhUmHrtLSYWHi
jaRFoFS+1UrINMU8cBJMcVLMU4LGmxvLdC1SSFR09BziXHId5qMrjk73gkZ72Oog5PD3SBbP0KOz
ICmW+nbd1gj/WbHQeNJSkR2qC0bG64rl1wrKj2XOGFjfzbCM94ZlB6spBJ5naa+Vi7E0NbKlTDTW
6HZ+tZGn9vmkvQDcvmZdH54YusPYLDgiFJn5UGsXs+uQb4tt2MtVhQB/3dTupgwkkaXwdZn5rRyY
OevcDZ8DJMuZCxsKEMuvkLbMYLDP9y3ic42VxaZSFfot7+3vysJ7yoFixF9dr/FcwJVJEyp12mdw
hkCtoxeXN4TgxiZBFIdadb5PiuYzdeybg+OQItgFJ0YcSl7dVWrisLOD71ZD39K56DEkEKdCadaa
dLFmuN1VOayxmGDu0Iet0crXVLQ/sqr+luKqwUbW7LClJf4ojWY3xOVjgeAW5g3K5SDhZNFTnYxD
eur75NkJmjs1qQ/3uV1Vwg4gogbZti83BA7wlqYwzQwDmT94IfpJg4EJvSgoR2S+8mrkD4aJudNI
0D/nVqc2ysuAZrfW4phATNSl5vAQlgXdsQQImQH1ZJb0ZAoW3XFO0rPZJFdVVLEvMHhiaDBxSuHy
Zti7SmmtwqPGj6BW1oC+OIRQss1EtZ681yhyb27g6XtFS4K2BOAqY1AUmQkEZW8ITrVuPCGACI+5
xqTSysJnj8PY2rbBhsxTvfEgv6z1NjL8GAZQTHrawmcmg7y3/F407pqXma0Fy/xFp7GnRbRx04ZO
4yDV+EiG6i4cA0wMJRepyrdJmaKSoV3t6fH8ioa8QWlCz09vlqj2Wt4bzX13jPYXSwP+qCbK8DPx
oHm5/j2jr+zbLdmmOEt0l7nyqGNLBbBaiefJ1UmioBXgTKSYyax7y2ZghFkVPAzT4lDzzjRCkbxb
kCAV25WVruIgmI/xp1Fm+q60FaYfA6ufJoJNNYa3jiWxyZivem5mrdp2Obo44hBJqlcmoivEbBKa
fcy6mR91kr0yO/4VLsnFAoE86RIDxj9WJ8wU/oj3fj+XcPCMkYcfmTYhzXPZcepglhI8DkbwCfiW
OA9FG61wkAQQcTPtwmZ4T0SxWby7K2gq7TGb01MzZTnwlaI6jt14VLNlHBMrxu0DH1tNpG64IUUK
Guo5Mj5wx/Ggiexb4AS6T8dvILzE6f8vU+exHDmSNtsnghlUBIBtas2kJmsDI0tABDQQUE9/D9j2
29zF5JA9NU0WmYj4hPtxojgATq2n7jcKuJ65RCAY++rXmCcDgjfnpD3ZV4zUlxhPpfiVsZl+i3O4
5W2O78oy3X3K4HILxQfWuIMLMTLlXo0JK0JsJEJ59i0qwZ6hQhFgLI/9HcZ+up+YcSH6BmLXRghS
B4kXqZXNWqI9P1au57BgGvmXFcYtMsl9EkDPnfni0UsSGBAguYr/lWyWWhuzVuQY+IA697lw67OH
ePvnv0coQpQNpG41zbsB6XxDxmi36lgfGX3encTUSITapMjG6aMi/5CSie0oW5bt4BNbbQWYG+bz
zEgemyFLsZJQpillla6R5TQBsEwZlWhow0Sd2vydCqqAzdqfchcIpmSJysOb7ubBOOJN/hIlvvnI
pGiHxAsCI8rd/EO17IGVfaOjr/vgmtE84jz9HVctd6ABNkgiP0i49za6IWGBLXZIxi6K8bByeUfm
FCruX1ruTWsxwWcUUhqPtfxIIzAZjFm4y/QsHsYo20sYhZOZhDv49AzN5HOcMxCSXlVuFx1f0BXt
wdTc5BNykNY3XrqQ+Ac/KPvt5A+4UelnN1XW/K2AFHdjrVcJ/HnIdwu/z/+wOr/cWsqY99rvDZjR
iCDSZNjAbVfH5qVScXW1q+CosqbZZAtCmHcTh8kXSLm7P7rDuujRAiP8IyVR8rQxwtwGgidFYcfd
arJ19iKur+jCDOT2H3VbRxdbNcw+wgjrWa0fsgEdRyD/5G3hYfhvv6LgOS6BzCEr9YH9SfMqzPxt
bnhfJsIf0GfE/c0NIuK+Fm+aqc2P1M7fDAGcr6rw83RsfKs7vG5m5OUwr6iW/6hiAyD2vTWQpHRU
HjD6TnY1n00l0oumT4/1dyQiCrkQAVwS81EbJn/yaZ0GTYqVDOQbP8sz988lA423IbCS565tQKy6
/5qYbII4m6MtWw+8g9XaEEkP2EgcxroksEYP9wbG7crDOrXzRoMU7CY8V3poji4pGUGGAsARQC8n
42tSjMj8iHpKAVUFkwZXiOOeBbF5Uk3Sn+ImCrfOOG51551tLzjl2kJebyOMcNt3YheQ5ZVE/5He
gwhuV+UlaeU6cTYw5IEmxgU4voKJsEWa6s508Swr3ywe0WYHK0sS7uPIAU9Haewag7ZDZQ7O7zgg
a4ej3DEifAk5VsLWAypdGMmx8D9rVoznbvKwNNBeVTamZ6jgWwK0/mVpcremeD/wxt6ZNbACSCir
cqh5NmYE+gm3YTda8QrgYn1kX7+eB6AZNZlm5B9Eu645V2r8xXEFZTezSRSpuQeUUrusFM5G1b59
bVvodER/Lv/Rgnwagd+ikZQBjsm4V4Zc7Sk1bdtl8Xoa1SXN7RFmWBFu2tcplS9TgDHKimBXaXF1
mORtkDmhlmJGvO6XqaxBngjD/dXo+d0xFtOrSYBRw2pORZBFDD8AObBtCySHWWp8F1Yar6tYsoml
pYvB067U5LfMowiRSlBEEFHBgz4+xkZ3Z29s7+06/Upm/yFg7MSIJmJaa7N71uVT6eprq1Wyccwa
8UnG5FSa3+OY3qcSL8hAx4ewmHbQdFD7p/ibQlNfZ5c6NAqam2mYZzPVJy92WV8Fdn4xRHhDKfVE
TPq+VJKyS84fml90GZsASD+8pZfFLVXjSHYNx7sWYMA3iDYa/Ey0ql2r3roOVDogtbJkJmUPDSbC
U6vjN46JdqFSbTtWiKeiRcUvOgiZo8lhlYAfHZqr6wanbGRt26YN19h07azqMzGcS5LlFTa/4WXu
0+LkwqPVUwq+RHl/8GOhh7ModHNm5as+98w1ApEWZZh+lyQ3XEEe447DXAbEYUSSh//TBsJ4LEzG
4gk8x1Usgz3SSuTFBkwuccm8EGvyTGZHWOlDucQIq8UOi2zrQP+7hpwAGXF0Wuw6SHvMKW9AQnZ4
X5PyLszs4DfBF8XZvBp+vK9BjtiIomsV1dwD1mxWu9z1WOsZOwME1KYpJmwyLkQTmRgwpNEXNsHn
QAAbY1Ampyi/QbHSPWlEeQU6GC4j3CterrmnPOPeSJx0IzJI0rqpG7nHkBCcgGSuGDca59ZtcCgG
vGmDiDLV84/TLBmfoINJxJQhBQqB0AybImLLNkXUZ3nQxWgtBRTGg58hVSSn9XcZeyMYjmo/Yhdk
uBPSCXCj1ajqV8NQPliMPcOkCNbER1a7lOHAOfGTN375BdMvskLt3n0agKJY5OuumZK7a4H0gfZj
QyKajagww+83ZvGe5Wi4YRm+TkdIveNAACwpsud8uAqNHEDOf/PEunIeT5sacSbPwC/Veu+dmNfQ
/p1jrOktO4skorYmqH3IqQDjZ9+Nqo1fFb99cmOTynU3hIigH5sQIinnVhvpY9/N1S4YYOGjAiL9
ypjVnhEP1MJ/YVvIOxNZq/b2OevSzKCQ7pgIW33Jdmo9t6G4+SbomRz/b5Nzc3Rxl6+MNGz2U0HQ
64geyg7xfFNCXVIxpBuCBnZ0cC9W7n/NCzQcsSamWfi/UQeZKbNO9FHuuhwc8BtR8adu5IsH1Hvl
ObwBWXru4/grcJEikKzIJj8DCjp6kT6k0tn6FmO5Oa8eGIP3k6j3TZaj7XFChK4KIPZf7dhQDlp3
30mLbYWv3bX28TbZTBHZ/TCMCADW4DYrtunyuLrg4gBJFPRM1Rb5OXdoH0JS4Ht2k/ZVRkOz9WJO
75rtujGEj6ltobZailPX/26c8RIv7WqAgnrr6flQmg1BCNm/BPv1DsL1bu7O0HFucYVkGonLn0KX
UEf7TwozJErDsOndAovpErMg68cxTb+jZVbAdZRBSYVgEDY1m5fgZif0rch+2Psown6DMUmZ/Ffv
ijEjyNFiJxrG41Gkt9oJSH/ucKNaYPTgc76DdQq36LVB8JUDd1BQHIB3n8eEsjRngdR5JtT1qO5W
ubYvSg5PpenpbdU1EyiX+pNIObyNk4EBFScxbM5tazD3NOB8AZt/q1mSsyL7UPE/uxsj8tK40vv4
e2pnTK4e5grHC3/zIJIqlAQMCGEak3uokGJN6l9decYmLuU+d3t8cJj+uvlsZGa+G4V+4srgoFPL
r8u1NrJyfk9ejKrF54HuUaCPWPvm6mj0y+5Zz695FwPYqMEDiDj+mFy3WldNR1VmbdnSP3Z2/FfH
xnnGw4ISxfuH50o0vBF0pxEYk6yL9p92fuRyAIVBaJW7DJHN4rdbPDZvufsXMdPrEnErB2YcYwF7
3/OjL1Z6AxZ+xoz619QFlKpjhtS+Vgni96DFX6/YaBA+FweO2qRAyFxWloygYKr7PDSN+ApiSk3s
SOCNJIZN8mDzZSDeFZhVh043/JbGf6qHluOG6oOEJHnYeTPfsBgboO4gQsqg/vZd8xOaqrEvnJHy
ogowrSFZK6X8ViyPdr2c3+cancDIlIsMqwkJSAolpLC+9Ng9hEgRrcZrjqJCdcUYqGIKFr+FutlZ
KJ+IgGUOEbJ+0dP4pnvWaFhL2u0TEuePwgqDFVBbhYsa7Z5HKDWzLffELD65JSk+6zHZCB7o1Rzo
8P1nH94a07PVjb8yDerCSr1sa+oGkFb7xk8t23TobzCEN2DnUigrwizBQiRwYtfjW+UEDwHUpdhT
3q4IGN8VlTiWjgXQgaUaNksTiLikoWXFW204doHpsOSibrUpZkrWASYH29zHRxvXYkE4CURRcBNA
wYCTUJnsW74fikPg3JP8CDJDrUdOv7I3X4qm/NNzgW+iyH9sbNp0HQxvy1G7mq6+o5ZlhOBWZLfj
eN277VYkoeCFJHux9csnu2O+pvPi0yg1kuFe/5kbmq7Zzsp9zVFzLevyPM8e1BHDhcUHllzFs41p
G4Ntr2+pH/2Dy/bNtPBp0CbIjUVb3DhzuDJyxzjUV/IjltFwCFFISPyKMt16I7Ik1ZlcI6X7LayX
oZTc3F77yEZLr3M9PCX+Xrgyuvi+3IX05Eixae8UBHQQOq+eN97tVsR7f/H2NsmZwMMlOSvmUTGz
TebNW2W850Xx7JeWx9QZmyrq2o0T1ud0ntDIOFvX429Q5xyrdX0pomgRW2Yx/VNHNoQir4qiuHLs
g13VA7IyesqWvAOyMAmjKMUdfIADijs8mfzs4USdTIkhlsBUpuwWM1+nrl/bxvlGBcbRGgfc/U3B
/hVufirZRYQB51pCvDerIEanBkDRsS2NdU6OQY9aDmyiPhrBsKyIWME01uOoVLwO8jjdm/QhVpro
fUT5v9aRfIqLkblFSA9BYOe9QHvvujb5srjfOSnrVwbwzExnHuteftddTT8xNsjyausFpwBVRprC
n02fsGQ9JbyLqN8bpojzS2g7275a8Kkj0xNcSteBHTJYH+qLuWTUUKvoo55juRvG+ZZU6VupyEGb
syN+nv3M1u3c+PaJiKcMOjgTHh1xuUq/Pi9w5cnAWpyOGNoxUIG513NFFnbWnMsCeaw2+ocKWf8O
0TjHn3Fqa6onYU4vNr8X0xsR8461tS6jIroteugSy7/TEA86+wZFDPcgmUruFCPo59puXQeckmId
ZNNQBoX+tghU2g++KtbjhCy+pwrlagdb1IF+JV/Z9X/VUMPWJHgy9lalWBsecoDU0kefOdNJCvPq
RhsG1uzu6yDfDGn8LR3kLdXSWDV2d+8smi6f9SQcFUKh85atVVddPGf8tL1xOGh8bn3UTcdC1B91
mN9kFkTbWRfUzTuKPW+yrpXb651vAO7hlNmmUwZEDN0xJpXmV7Uo+9H4rnUcwZ0TbbUrU72Ofb3J
gmlrz/l0mos31ymGXZ/yg8ZqcJeN7PfK69uNU/xpcfdgX8pfhT8/t0ONANDnC89ms65o4hA0esd+
Gg500C+daz/PcxOtyWThcOu6924K9mAWHwjLhqMTV9twsN5gFb73dc3aziTDLzKqYy3ZL/V9tPFi
782z83+xO38yI4e9rLpbVg4PS7weJ0W+w0IUrskjxSpOYB+EtANiJwvXNVsCc6CQrZtT2Oh34Yn+
iioiWM8dcw9/wdW45aHMZ2drB+6AMqqFH9gmTz3aYf73iegPkzoVj6hPCQH9Xm8kJz2cgHmR44zv
VFIYxrjIqojbtDcRb6cY5/bFOCGTtP6xeOOYSmABtu77aEGIJp0AkdTwZCUMOxkXFZfcCQ5DcDMa
dlwS1HlgfsdZ8SjVkm06MGXs8fA3UzOtDVaG2xD8yqrJjHeJu2kH0u07iCmvnYVI5NfHunTcS8Aw
5SBGVv8EGkLEG9E6+gFExzqgyHcBjSGz7xqNSDCXa6KsqDRIhFmBFrC8FOwUfPiVBgHIUBgeZyGl
xSQLa2CHlIhyda4OBUKCyBjYPqExWSOD+e10/i3VvKUlIBSXbUeBKhSJJUI0pKcbr6ZQLtuIAKDl
1sZVuGR/Y4Kv/IHqHcgpdw8zd4hvi/j4zvaGAENmd2s/CHaBYdug9nJmr/o3ZMRoV4C1dvKeS/4f
EW5qbbbgSJowdjHPJsY29WLNXJ/SaSmfc4NeyRjZZOg0OflVwB4sm5j7ur+xsRjXnGDPif79gF7/
lcUNiyUYPJ1CnJjd46G9xZ2gCjTXVT7eMKeAnZ2Tx6lI3ZNTpc+9cRuD8ckj9JIOKDnHsOQ3E4A+
egbvSL7bB3ma/nEkSjBvFHDSmbdpE5s79BYe0bhw1ye3BeG0SHoM513ZcbGn3NxXRbfFYHiZ2Cln
LS1vJW4ZwsYtIO7XXgJ2gDZDtvibwBW2z4ADoaWP1n404NGH+54g7eQwqr57FJpdxOMo500TIqwU
Mj2QKNFvXGyKKzevF/J6/pTHgl1wipUt9n6lxPi4JKIzCELuNfnzdRzAgetx/PaqfSj9Hux3dBoY
pi/v/Sc3ieDdlRHPn08c6CUhgSfz0mYXBgxsdPo2zkm79Qf41i7sU0AUzoi4KvPLY98js2FpuY3j
Xl/8vAXwT9i8h5MNoam39tuED6wseo7Qk09y2phhvPEZ9TN8j/PTVL4mszZY9cmNX8T1ZUIEaOmY
rLvmx7D9UIVWsQe4wM/BPKPvKbZSph1zPrVN2pAKdF7SeKv8CBT5wJ+hiUx7yFiew5xmURcT1efu
MovLPvX9a021vshi3FO1rAWqXj+qGMUsy9RlW1qvSEaYVr2BUcIBOz7hxUFcYVO7Wg6ZLOEv8I/l
2jXkJ6aXANH4GPzzRO68dazXHJKW6mEShDYhH0jm6Wro5J6bLtOdJjFXPIYPoxar0clTKHmduSOi
8znPlCQ9gvqmdL4IYWXcYJnGDmx6jeQoOeZ4RbdpvbXHrtzsG2wG26GA++Q7uiYyGo6GSUp5ejK6
5J7NQcLtmC77Sn5hvuQHjR3MupXVlzmIP5mDaTllRGqEpEzxPaGtJNjjIJng0+RjSAFO1o4EqthV
f0Z5si+C4neNW/04Ng654NbPBPM3zomnjgpv13K1rk0KbGHor8rbEJrMbr3xWmTNpLr0gYF2eKRA
tpiRrCZgvEaLT3/ZZdYL3CsvEYMGaEucmurEyeFJJWm1tqZv36bpSvBGrWpUCWwTpk9RNQWirqZm
gKdOoQZ9w818EFzaZYezo2QIDlUmaNbpzJ4xLSnPSJgJzyCxBiz5SIBjA2QwsDMBVXWNmNDZF4BX
AA7A4m0rpIOWa+6WbPWZCKpV1dXYlVoglHKC6Fl6fDGHkspGb2qb5RdfzY1S6hJA2WE0HsygxaEz
kQ4e89VWlpNc8bZkFZpGW9l/jAg0fxueCg4d3mvz3nTuJdM+5ks62aChGHaVjl91I//Fqr4jwDDH
FJG80RMQHkMP4FQwBgSmwXiuB3qIpMGI5JIYw1pDxspkr0PoWWt/Vj1vHvBN5znVFyvUl8mwm4fM
ALZnATsFr9p8WKXvbJsguTJSJky31BN3OsrG8YWkqWiNnD8mlKJ+slk37EPXQ3mh3BfceX9Tx42P
Lr4pemF7P9kM1xmm4j4cBv8hVc4ZzJV/wPHwaSAdQ07k2+lNMQYhux1+jqlidYssVrajiu8WXGL3
YBRYW5rFNTq7PlxayVRFtdBiC7mALaNgL/qS32ugisehxyvS9eZ3T6PJ8IgMy6YijkGHCHjd+nEI
fZ/qST2WbncNx6k+V2HXEhBSTS8EUBls95mPsKo9ccXWB4g/eErQCU1WB6k5Lk9BYbBBikDh4dDr
goiGFVJc0aV/c+UlRxHM49JRqoMjkBcUXf9E19MgCwD4h2s++VUr0m1mGEAPEnP6TXXOL5e1eJFd
eC9nR181v9EFRsdJjBcRBsadHQaUpRFLzfJZL/r1JOzgXKrKvLZJEO16Jtshi5VDh6EdZBiiSVEh
zWoY44DcIk9scFEoqnTa9iSOnbqybKHViSg7IIkPdmwxprWl6hKyLS8/H/WWGZ2aPrz+7583BuHK
GPGzQ3qly2qfa4nFZ0bBv9YIXyxEOE9gbEfEjAsnC9zsqrOjPfPkFhRAEB7J34r3dUD1gAodiypI
iE1u2fqOoBAKW8Kfw3nExkWlX20g7C0lv7U1GJKusNv4uBST8GB21NyjT3bDKDY8z/k3qn/OOgRw
yigkhNIZvbyz9N+tJ17sIvjVJMlS/xB5Blw7Yc6lkhsw4Pmt4HQbkrx7SgZPvtr+/kfKx3ozeXTA
cvz8X0rf8i/DFBAUZMOEgWmwtytRnDyBChEuqPP6/33KtXczau+t0Xb/mDdHJ7KKJ7G8IOgg0R0j
l4lQwpm0S2iTX56daQCLOCJTs4KzNgDo6rwjasVxgGIQXAEGXZ7DgiRFZZsvuZodED+5fxriAi3+
7GXXoHPXSW2JszWH4swTzw925NxNMs87/+9l7BVRVKmPqMtL5i2eCWaUvtsdMeW5T4XS8mZ58hDU
OfS0vBkOiSyy1wp3uwpH52kkCOQVoMrNVYPzEPhZfJN2/1ZP/OKlqa1D0xnjk4DE8liE72qax6d2
EtnazUcSTuzUu8KOw9KLmaPt/adK5GFFpR/+sXh6fTfLTy54maOa4WB6tZ/tZul1Wyhv4UEsUiYP
3QgpBX5/SDNVf1YpF6EP5RaD2akElLxXGD02eZxYnwlm8VVZ5JxS2ExXBE4G6OtadldJ+5g5/u8f
hgYCvcXm+5qoEqMqkAIPIzGj/ylAcqlsURzqeGHYd655+XnpeBP999HPpxYrANKiqoPFMOxgDEGA
FAolcpD3r8EEWc8P2HYJpA8b7bYC+Z6pdlgjTMQ0cnizazjjA5f0UbrdNtaVPueOqK//e/FC3tRF
vfx9ITf5joVG5P9eokWeOgTmtUE3fCx+LPIoY1taI2gGkkiENUaqiVYAi2U2LBlYk7HVSEtuKtHL
X7c6ExHBOWaWGIlEgGIcaVQWX2TeHrCkRwfXqaE9tzFguZ8P+6RYw1pt1m0AMILgHeKEIpsLQoBj
aav2ccqQ3xXVlJ+GhdNiyPAbilC1t1zfOvvDbJ1T48OuICdsg34IX7nYjRXPcvdIw4aOJV1gQUiq
qouYzlNI9JppMJw1R5K4S1GoB89hdjazc7C4bX42CXXSnQj3qnbkxl0Q1uu/tiOuXu7Kx9KcP0p7
qtaMdMwnn/MNeToRYeNs7G1x8/APvfGX01gyxuEimOXm8NcspU08qxl2CUO3J7p5+LpF8DUOcXIW
2MZZLkysCkN71xfJdOyxEFA2xLQxeVUuLpYjqB/kdqMFUr0qYGbmVOI5tr61V+To75afw89LZCLB
0fW4a12T8mMxC/e2vKKot4/u4gEH2agQyGPPs6B5rGGxuzvVff53WGS4B+ZRccGn2RsbGOYEwPMv
NYqCDZEZ/frnNw8TVAOohD/uOg4Cf6xE9ZndFcx6u7He1ELnxmuU31k0utuCR5KKSNYbNTp4xFVx
TY003vpjPJ5NfDfrYZm4tqxnkZoEZ7S+4dmycb3OKXmtqW1iEVb6CQF5jMhMRE8o5o7jGHGBB3N+
LWPDWgeGl5wNVBWD9pJV1OwreZON1Tz+9zKU1UPilciHiwEJQH0fmIHc02Y2mWcnwb6d509ZSefQ
ibDY25R+TMq8e96SiDKYGiR1CK1wHoiJDerxmFZO9sYvKj5FBPPt8ATkh6y2ToPjmG8bN++Ig0uI
WfLLML0QHUQ21eR+qmpgQCidgb2TfCFLpX+tvCbdyJm6snOdd9jVeAW5Ut1C9HuQAuWzJVgbsVlI
OkMTV8q4d+hzNC9Z/uGMDvErbZUdRZe+Jc4MAmKynxtrSG4Zb6II3gtp3u49ZVx7jCy2O74a1LtL
jbU1prbYIZNbR/OcnR0YhTSiPrZeCDsozfnUr/36MA/dwR2ddQls5TjM9EDI3Tm1SzwyGsxtEU72
RnmeuJc1rEZiVJqFuNnsNUrwW4bI84aJhO9Fm39AWM0QWNkWSlqEDSvz/NLEFbokD2jyD45JZX50
Z6yHo5RB134Wk3hpklGufR/bVr6ErtVGHuybxKNUysezC4Bry+PIUivtppvy3zAvDtfChGeeDchE
c2VYF57CNojfOrM0rhSi/YtjaJrq6rGffHvLwIjaRMYCU880qMMIYnH987a3iJNjudZ9CaMTz276
Z9AUv4LBdIXoAroPXjkbISTnBJHsQZ7S6JbptV6QDvhQ7fN/h48Cv6AXXBGDwxeGrowSw6FFjROX
D2RVAVwFsYgCbPolkXzYTgDufGklRg0naqa0I8NcZiF/RFvsY4ZjnCvzXhjdHytDllVFjnVpyGyl
YmzEMylp1xjnNcIssA0u1lWvFrg9glGdwAYU9zmNs62BwgalP0YDAmT+eZWDFou/5RUsYX7VECMO
Te489Ta2o7Yp8AuVfXiOB+eYSDJwsCEzyOuBmUif6J+mFJTxRYCJViYg+bH+l2hMVljICJ5dqGGh
3z855oAPvs7ncygnZ495MqdK85wtB3aIgYiQnj7WxiV2pmI5HBiDws6/jC4VGKRDJBNt9bu1ueQj
moCfE0pzFu6ogP/ZVhJs4tQHVzJ7eA06PzxacWGscRzNFMUDBoipxYgdJ58RhIvnMmKATfHnHT36
k7XZOxbMB16MPF1WwpzQ6VOPKOnBbwMaLo4+I3AynOIWeelZRi5CxoS8gqo2xoAryOFd/Rz+UzyT
8dHyHPgZUoso0Nb552Vc8uX7IC8YwgSUycpK2NM3htjH7vCBhgNzWBNzhgQCOhKEW/Q7tnWKWSUS
XznOl2F5GTuAzR2jThFCZ6CP9qZTuoz0lJPeJLM7aVATRWyGHrjo29VoyuZUpflHBqPsirukOBVo
fVatI00eUvi70qt7LlkUFAK33z5rydadyqWMHqI7sB+C6CKLKNKl92n5Xb4WwC8WU+MbcANx7S3Z
PhbzoZFUfz9Hzhi3J6G7Gmxp9hBOYXcUzsBgMG7Gmzmk6Ik5ivZd5/t7A92rSUTLsGMcxiomhPhN
PNV00FF1qdEDPCEBN9YVf2ofOejQm6KQ+6KWq2wJ4Gz7tLsEoxzoxbLnnINng6FpeKOgqXdZM8dM
pyQsnX66YHYx9lXYih0GEO+p9zkgZrX09CKh2ZTxRko72duZ3HRhf3CbPn4qQuqHFndxSdrTXCfN
pW3ceOcs9Iv/vvMxGX6NywmIfPc+C5sac6LBAR0RA9pZSjwDeXCdYnIrmmrcmMsjY2HkOGTLp07W
x6Dek3qN1CQ880GNZl1tmrpIwV6garZEq6n4SthlbYh2k7AHckFsZBrRvJcVom+cz+rC2jM9RnXx
XroMKsfYd8hQl+mFfyPtb125N2J2yALNuhEzUP7m45Q74BbMaP3B4PiwlqGrztE1heAVyOzSD5/D
rL0HUTK/WPD/EUa9h59nzrMra5N6nXclIRUIr2m/Nql9Anhuvg8Iqnaddp8x0TYPLpNqW0owX1Sl
K7618S6zPNvUdbmoePGK5CiQrTz6lc8TDKcgmw++WfOk8sAyEEzHy89HbQyb/XvxAs0ySmCVtvJu
UZbepULVVxfnMQstZD7/94+RxwFmAruWjTlt/Ci2qWryk856tRocUW7IutqbiXRusmMxRqfgHNI+
cO5WW+8mmrMrU7R9W6cVqa8w87AghGev0QeXMN2tC9tiU/SNAq8XqauBRpDjbDM7k3wxy94/Y/qR
ZAdm9PY9ORO+3OZBIR+JX7X3usMsQHJjxb4yCS+T0PXZnpv+Djg2P/rU8iurj/r7z0ttOdfIXLIr
5kc399h5U1wG1njPwjk891MLh0qgtAmm6pzI7lymojg3qQ4ehRx2P5fBMNf15r/3qi7dD9hmD7bB
28HqlHqphccvI7L9DVpgd9+WWh2dQIjNCAAKXfMEnajRa598srOtM8g6I0/1jPfpXFYWK/OgpfiD
nodc0i6e0nI2Ppl+srMQMtpLUmnXYY6Zqm7SxUkFHf7nRTpWdOsidzo1qjmydDU3ZdVAd0kHQhkT
Z0SsYafGI08etYQKnwILiZ6l0fqW3lyzMMQznYLr3RhRYGxB/qonx33JlrCiIZTch9CCCFfgaS59
hikVsaFHR7nWWVusfIheSJj9D6spjctwF0+GBJI9q1W8vKfxwAJuAIGxlZQdpI60pzkZs8u4vEid
fXIojFw5iTpXXlnvgmrG3I0O42WiatCC2HY5EkVSDTo4YLt5lK0VnrVNB+givT61eE9XyfKVnEWE
V3v1rwLQ3Fk4On4mDQ6JJMziQ98Ticmp2e+RDKHMNT187Iyadh4IIKSvTnYfpHsjE15sRRxMO4Df
2T2w5O0HBKX6Ue+S3pzOiUa0VSaut+8UOwGZtTDWmuKt1jXJKkJUPrqKvlznXVaeEYlFG9JbhrVB
77SqdEdmMZPTorTzW56L/hHbU7Vf0DBIh+xrmIhHRjztszMzy0jS7C+l7/Cp8CYNRpYBxCP3dqEp
EQxN72Vn9Ynksn/p5DSXLq4J6wnYW7HfnY9FiNIsb6x4Y01+fXdb09ub+DNPjYyBXUyRw+TdWBtp
kT8UofA3RmoD7AIWvvr51jUDbcaUWbz5+RSDDSdaETPn7ZBWIEAiSqKgMdQSWxPf0xXPMeN2O9iU
g3DPyiJ1jb4ZKaw00E6HDtxUL3RuHLugH2pgi32OzTYdjZboMIhiToTTo+qCN8elrOjo9jbW7KNO
WBT1a8du5IVyTV6EEybHMc6fZV0eVBgk97mwohdniLmA2hSAeoZkkES55mzGXb2LY8E+3pcbbdrJ
BypSwBQING/TaHylsiUzQIjiPniExywHqgF2UllyYADxWEVgw6U3q4sRyytS92WeuvwtE0wngjtl
Y1gIQ2bttC8/dKU6Ow7B6N4gJbkXtGBwJjw3urp2wm4/YFuMKrWrp7srlfOg/M9QGFQvpM94Ngzw
LNE3y8qZWHV8DQyELF3oXhipkMc4tecqTyXoSFNjsng0NUFC9jLVomuBXd4aN0t3z0EVKg5M8dHK
aT6KGNcx/8aeRfmRvjbc/Ndo2eT5zAwKcL8E0b7xs0WzGeTDwWJveR5tn0uNc5phMrhGZ/41zWA1
fjBQ2g7ulWNG5zwU8UlmlOpRK492lP2tCdqIRIpOGoRsu/1/xJ3ZctxYup1fpaOujTY29sZ00Y4w
c56TyUnUDUIUSczzjLc5z+IX8wfquKuq26d86ZuMIiWVUslM4N/rX+tbZhJ3LGxz92J4YXRyQx0A
B0ffyugAMygKflxcORjj82XP0WX/xW2zpP1aThWbQtLYKzr8miPE0eeAAOSZyhCOoLVFCWSV7Ut4
ItLvN9JOzAsfgB7E0CxkkuNL92VtITmW1ntt5OAW4j54GN9a4hzrJON3ano7HYTVruyOe0wBh3Ns
hPZcSjQymE8+e1DxTH+IfwWSFL4sJHrzoayMZG1gOlin9GgtvqLI2ZgFp5brWpL9oNgTyQNv5aIW
oXP5/cu0VN1egWb6RT6L9c7dFKxxSfIk3iawFlnbFE/CwHtratq4aoG08ANVNdXEjbMxXG6+dYwt
OZ8Hii4ufVAEEanXsHjS/WmvBRGusORhdqyeCfjTxDg/xCMDgRUX8kAmWXvCHHRHhYvW2MEbwFZW
sH79YcRkEzstNrcipwtQAY/vffQjGFdQBIj9Lb2MbKalueUq1zra3toCwX0a227vfZR93u2rsmm+
saHms+p8s2uCp0XipQ+uUxwtmtfY/WfT2otdhfO7rLam3lX3SbYcbDGfU0b9NdclPy83vDkpS367
7h7juNtmkwbMrsQS4ARmvW+d0ue+Y44njl3+2lfg4Tyr9faYwgnj2FANpVZ9q/y223n4qy4hh2Ma
PlzoaYOaDnHofaJU4Rl3XUhrXDS5GOM/E13g4B2i9Fob9mavl2BZAC1rWsJuiGlYu9OUcVQaTI9U
WD8yu5xuZijPYFbVReDsF1Bxf32VEJCVIqFvAzrBtym7IaHar5mpI6YOSb+WQ22/tmhDsCfNJ/Q0
YqrqBQxet8pHWz6kEVRDjfX5AYoBGFh2nm2YvEptLHcVIZ5lxvU9g/LzoJGDWn79VxixKPz6rx7J
j3xuv1INNuXIDI37rwcVVjgGbVxM87fawUnO8162shyWlGVzYFhMb0066deQO3Yb1QBNuYMzLVcj
wIFOxyc2P0wugAG06GbBTHHfW6m+VjH7fzh2ORYdIvkOnoEjFiP7LlIgGqw+cHdpMNFS5HMiaHrJ
/lej+M8ZjmLC0KkMxiGK7TicRgdqrQTLMI49bhU/WhCPXmGQvJAzpim6BFERiqQ5xSPTd89+fpuA
nV6bJQ52CSWFKIT9URKxuXaM0oX/jvQY3n89sLZV22B+QnYm3atOlQ+Rz1Dzu3t6Zji+otjf41rm
dDlPZfEAXyUX1Dr5UfozxguLxl7Hl5IwwZJz7c8+t4rHTmtpvJnh04nnQg+zrDXZxquJ88xOOloe
4nw56e7HUKfZUdp+8bJULcMUhlXnZjW8iMUA0iGfPyR5XN5zvPLfuo55rIIDhT+h3thmkT6VEZt7
HAcCG3WIqRBchT41q2Gg/tWvbUegMyoIMJPJ+9QHX9CM2D+SDtxgh3NwBXnVPA4F/vPYLr/FpNsW
MviocDMfKiYEs67uM53879cc3OX1GRoyBwCtdRXmLYrYdcGBS3d+EFvGtmvjOkV781bdoEeHcnAj
3PQ2RuOeq3RXpAdmjgMroTWMWHcXzGqZmGhL+bpx1CEWF4/Je5Vo+b5L+vGb0rNmUacu6w6Gi1iD
1FxP+si9H5/eRLEzP3rP3BPBMvj7P/QSUEg/uNWjiVsSskl6MESqweJeWaXf3yU6foBxzMWjTTiJ
hqlarL++7IwMhlolHsBwwUN02KabweC8lUV3CWWXP/d1UW1qzcGGXTXRY+CMP2QtqJ6PTbr/RK3O
6Ui6KcNTs6UqkM45ujITGq/0E7tgkiGzLlrmdX0/g2Q4N/I9zfTr+8Gwkj1sIsBkoc1v8Rtt26X8
OFOtPRruMAIWRAtNE9om9Wh8Yz4tbw2uZneqL1zuii0AzxQrcVFfapsLjDaFxSY10MYRokgsz5Bx
VXMgA4ZMCnFEee4n5znS5KmdrPRnDTXLV8YaJJB+Y24XN8wU2Px1nNfKZaNgwxi4r/LZBlm68Q+R
t5uuZGjUJdsHp4qnY6doEJnmlzW1h0NHd+BGYqHDDtsa60KWb8RCSAbm/o5Lj7MPWPMu/cnuHnR0
m4oQ7wtLXAwsgoi8X0fGAYklXU2kca9D8eGwAlvACelfGAJgU9t2qTbOwA+YcrN23Rp5eAJwFJ4c
L2dT+vvXso0eKkSL7de3fv/+13/lQcNORQOr5M4dmsBsTNJN+nT+/cGuAW3blvceaX6z/fp+YHUD
SwLxoRtNrG1HROjDgHv5MFp0wnitEjcYpN1T+6MycAiSICCpWTXjlVeabZ1DRQtXteriZSCT3MYN
v3XgkZZ+oOKdmHn5VVNvCX1t9YHRAiKKefM878TNYfzWsQhlzhDAx3L3IY+w8hjyPZfkKny9VU9G
xA0+7OutJeaGwPm8iiVf7drBXufsbfm44ZqrXSTDL1Gi1OF+jGRibqXUmvvY24hn+NTtz2IU3cKI
UBOElScHrBS8HSy4kB1a3ddDrw9wNjDY8oI/IQvs3Lx16fDmQev0gnKl2vjkfanA7hu5vvz1KySk
N3WvEwT/5+8G9zWBC5gYQ7q6uA729I7gYey+vvp6KEFGb7kdFtxpclEQh8LLVVnDwRJUnSlJ6rIj
+Yt9oJJ7ZPP7OvbU5etbXw9JHgg+/OB2/uUXbK95ElZ5qQrQ204TBCdtkj7EleTFmcp23+mdWvHq
TgxaxmcfjeUr6SXU/8m3dqWZpq/jksbS8jVXltjZVXFlWEUZtg11q2XH6XsS6hnHDO8wTS+eQju7
TZWzztti/N5bbr0iqs1iG17fDjbdeq4we5j6nHu0N8r113QdZQdc0os89OW+SUr8jk0yl3pWniAp
yiUdrepdOQEnMCNrtv6ITQKO3Cccqzl4V+XQbWT1ouv6TvOBZ9Uif4DIUi9kwVcgR1l6A2pihT4R
GbuLKnWN5zYyXX4O1gvSP0dTuqA2SUMKkPkSa7KKJIb5LtpLA+u0pld7e04fs9KixChJ5msqHlUb
GaEKXjlWUKQ1mMjBqrVxBUicIN4yhYdGEJQyJC16k2yCtzJ0AN2xGce0sgxsSKpWRPrcZdx08Myx
3CbQUQBTBM2SH3RZX72+wdJUB8UiH/FWN3xA8t6biYFYgk1N3o2lO9yxRJbUYHES1do5noZKh+29
ube8kmX4/AczkJ9IFPGKzvGf2ax+qhZTPiv+RSsquB0cDFdlzcwWBJyRe/99QP82mTMX5IPZ0gAp
rrqsPJO4gmmMvOe5l1FqEUBMx9nptJqGCmQJC9Bin5hy48BUWThVCaJkoDvd6y4p4TXqCMu7spga
gqm2gY+QMuPJ5GjdYkdzRQ0Qk8CLFTFAcSf74XvINlTpUMdKa/uqVOOrh/2NDjlRnMYCq7Kvmm7b
EEdOemKhCJD7oVbp/dRwuQjZ5xYKKWyOwNMfv+u8lE7O7Fj6NbXOzOl3k5RQMELukehvy5FCHoqg
d8zUAHZz/9pq0j3qFIwUTgtQpeOUHxYktZlmUCz14S5sifEGNrbzNt9FQt/kNNqCFau1dW5Sm2mF
A/2RMGqWJjT6RZOW33UdgETSlYBejMJbeargdyBtauIc2nGxCHw8rBYu6cGS6rumdwvPrekvnSLg
waLepTg5tnlIQrOT14Dd7ZMTWOQuxhatDeu6tDEtmo13xSuM+D0TRSdvrucduKNxCFrrce/uys64
oMEkG5aRdxpI/p2Xh+GuK7VlxZlm6dAzQNAL/NqUAAEZPec1qNJFo2Sz6idlb0May4IPj9z4jbbx
u74twt3UwgpQDv/khnjgPmvIKPgR7ayz7ZusjElrLxmRdNlldnzsITJWPrWWIaGjcmzBvfj2ALiV
9fN4V+VDhXsivkE3YHOVdu9g7L4D4RhBKMpmXZTDZSgIyREQTWaOpcCZtRxtyvdUABkxtp3Z5UwZ
ffyEYU+tIJ5xLeoYXHvzg0PUyjDMdwtPxNK1JkaaYa2mWKxlVzfzkjReWhyC74y2UETJ0rUuO2/v
lZgmE4BxbPrALYIgZNVHh2gn06dYY3WcSf+VhCpSY/5BH4ta273RXiQ+UltBS5yK5oPEuflccKHM
XbmZJu8lSgmLViOLSpMg5n4IjVfNJkaXW+bVD0VKaI4Athaoj9C2eaUD7buLULrOhnZrB919AVWY
sThZxxU5i72w3fjickIqJvcoOPZ/l0GziZrIXgmuvaCieL+p8qN2ug8vZgtJZ0i76Hw6MYqx3IAW
+BHY2dtgJjMIZAYjQV1fBLi5Tvn8UXB0KVYmPFlML121Awb8MnFb7iiZWLX2Y4F+cJERBH7fALUA
xX5tBLk6hqGHcZp+wSymsYYbAJcqo4BsI+F9lfi0rZFEhN7RT1nndEb0iiaDblFbxRvVMOdQWsUV
sjqacQTgCFUDUGQVv9cz2Mdij4iKK8qlqGws2Oau0bV23/YWLdrqWAhs8OyIro4Bp1y5U7hrDCuc
7d1zXpmRAygoToPu1NJNdRdHWL/1Lr3RoEPm3Su+dyU+jJHa1LU3deUyoO5zqjK1h36I6Tk6ZKDH
ZzfPmXbUq9s24aqw/ENcik8N6WeV9cU27hNtX42Ot7f46CHqTNOSAH+PslMxduQ9xu8WNzLg9U8N
+CPoL/dQNk6IJ11/4Z30UlJ6hv3YXTsWHBRVC5uPWp+BZ+UVq0W1zA1cfCrHkaaZ8ETa9B3mGqzC
cEElN2FqYYDbfa4LgLJJ2j7EpebuG+9SViStyYkUC1yluJBMNhhuDHJw6O1LUkKkGf0eDxzXnbW8
ajX3DjQm/1a5eCUNFvLMe8ZO1lqyI2RIij+ojnqSuWcKn8KV51DWoG6tTwMEZPXTZPBZE9UYnbRB
+xyS5lKQPtsUOvURYy8+iyx7QXnBF+XFn0XbPWXV9K2ajLMMyLIT0SkU9mcmwpl0KuHeuByyY0jG
Vfk6NKBpWr3/Vo6WvRc12bSe7xOshWubMDFOgs9OkI/7e3fKWcQ3erZNbT4fdrNlw76ixlcc+Gg9
APThlJHUHLJGAgUQ4jDPb6JR6/cRljAnyqwd+OmjZfdnC/f/Hp8CXHAv3KfuQEOFT9Kk0cps34Zh
u04z3ksxadRh5Jzhlek5pu+XIMP75OvXpisuws+Nk1PH+7Lyt1aYiRdntodg00mwS4ffXTfkSYXa
MuLXHnrPzxCtuKzjmTOQcO9yLYwoEPb0szE+jWLEXBocTVvHnJhzDTYkESVD4ReBn67pN3J4ZNdJ
Q2+HMHtz4fhEGmW/ZkNLsU6JKaHXZuMYTB6l1usLb/TxlzXmqiXdfFIF5/cMHJRVGdhFsIx0efqB
RNidO0rNC0WHAgLWwp3j+JgsqUJU95NF/cVkR/cdITBvOE7NW1ZQIpFaal2n+qZI/O+eXrxn5oCb
CSwC0jtcCBGdM13FWxYKd7G20bQWgZdiwZVB/mLDpuW+04xnKHWRk78ZUfE9HLqfxWDirCGSs0as
7TEzj6e+AhFrJ8UnibzPSGb3pKFIIrAT2DoDE2HXuKz33bDYi6Eq9sxMrJBPJfmXu8KF8CMr+gUw
Ipprh13FYzEYLwK6MFHurFqiLice4O0szj0iz9MNcy0J6jjbxiFg0qBz7qMEU7SbuyCZgFGsDKfH
BGbiIDNVu2iKYZd2qLO2oB/GYxC8VYrdgdDhWdIZHRErZ3V1HwpwCC3y6cI0/UNT1WrXa93Gqu2F
VTnTsUpj3FWVa13MAvV2ugSYZN+7XrsnAL7qqaN5arhyVTOA0rAeeVvX5xKb/ZRA+bU6Z91/Nr5o
VoYC6tDgIqG4dtF0brErDMIqagiOUZ3zUPobm3jsRF7r5DJc3TVxR79FYa0rMwXQqNFB6RfiUqSe
fgHf3Tiav3VhSO5FFq9xUzH6jNNzMEEYrVT8nciP9qBE3ex8zC53g2e9NKztlrEnbggIFmY0M9ni
NDG3Y+2AU6ASx+ZTsmVRC924gEziyaG/pKRa07SRe47L/y3oWQypeEaoNNkarGW/K8miRj6tPqOO
CgZjLiTUriGImD1GdWpiUr84E/WTj1ZeHDobGtYgl7h7DImddxCXIQuibRbaO87S6zxxWa6wytz6
NJi3+XSzYo+DvEJzHNd/3Z8lLNqx8mT0abh8/8dv6EOONCxISq6wDRPy3fzrf2jPwnhlg98joF1N
NM04LeCcIFb2yqFRh+0XvhKbOyKmQT9b1bzUuJtxCGSt82CM5ptPE7sRSpZmOE/icDj/9bMz/q3b
y5Gmzl8gJHFIixXsn58dqBjOPmPDs6M8fBFHA7R+P/HuW3NNuJCXsrapO6XJM43VeBOywdkQvpgi
OHHb0dZ1AVUP9e1IdECAZuFKkhkoy6m2pf5Df5nI8ZBFLv4fpWRKzAV5f3pVXUe3HMO2LanrNjLa
n593VVugf5IW9N7XwgQObXwm743/zB2tIz6t9MbF6QdR0mw7MWH98sTAy4EPpimag0jPsbg2e3S4
alxrY2Xte8et99XQrXAjUc9qxI++O6ZrH98wS6t2zVW8xe+Y6jcijvqtJdil1TDoJsLatFhARtBL
B0hj8tzpZkfhe9STJa4N2A9msDQbkKCElYBBKuoM8hy8gOeERwzf6cHPp2FJdWzIoCRXrVfm16YV
9QMvgALcRQOEVgD6qqOCXbhAoUz0LDyEcA8X+OdMopN9yCV7gEnTRCFXRWht2xosFww5sk9l4Tj8
dE2obCUxdM5azaHLIBPFoZgXvHA3c7ddgWDj2mDE7t4nEAhxFqQt/w+DnBO157RD16fJyoONCkZ/
ESSqWeOnL/dmocHgnx++vgSj/hzhY1z//q0kyII12tkzrAb2Yk2MjMZNgj6q+U99/fmvP2oHFj0G
9MYobwou1vxQZkSADaM9TlVBBCPnaCrAdC+dMWO9yZqJa4Dxs+xr54rh/66cxcTK750H1CHKPQSw
c4PTT9w1I5B0HpIa7kRr4swnwHb+kr4KIced6LCS+AgZq0HLEkbwliqS0EBVyMnmfj1YwnrCj6w2
ZKWiFWmeHNJKaW/dWvtZR11KDhnSB6WX+f7rSxWHl5F1jFPrw35K01vbmOUWrRYdVTtPDb1YkzRO
nYsVFILYN8EsuBsDCbFdFBGNBmD2h3q07o2qwLrh0PQAdsI7fj1kZQKkwq7BmqpAO6Z6zkysNzTH
MGfdV30hn0KAiq4WTQ9TlhkYCidj6TNLicC3v/uu0ZPbAoEifTp6jIFVU1P2CyukuSZB8WbHicN/
5GfhTupqFKfYcZ1LY+TqWo9nO1ba2mwbd+8MGAr6qgFcK62BI7Up97TRQHkvqvF4HXhXHskoV7ic
TR9+QF01a1YgXns32aE6NpzLtHlZStQr2X/5MLnZosBMh0HzszOFYiXrw+oD6ChdpnbakMkoFkbZ
i/0gXbKkxqjdUEtYi6KGLpAoI4Rq6hSyUgyLeP6cNPOnI1u5vpVsafLLX7oii+981luySoubAisI
J2OiSmEGCbBRco8mAYhVz+WcRq0SMj4dY4B19W+OAHyhOoN4Fhzra+KTFsiz3F4G1nyGCRNofbWN
kW1K64VtD9XeIG57R/NCndbQZSuHIHWEv4J1bEibvf9ec4fAnTIep0nh5IVVbxglRRlWTn90VO0M
t2A0R/3aamNYn0OvJkua4yTzSpeNyfy9iOsN/WVET6ra4ajCCI0D1ClLfq6aPNiae6ZoLubZFsER
D8VPz4wHltknhgZ19JSJfTXJXtnDmwfb631oRxWBwLhOV5UiEjly9vTmRlhZKI4nelavQlq4NkOa
YcDQxAduivFbMOPS3TxVsAWpMu9gBNfmQNQYN3iKlQqfp+MGn6R2jS17y2KXQpFc9lxuFvWowfTs
9eIaycnfEpk92IlbX2RYmQyrRfzUBnxEtGafqzQ5Yi6M1l3t6GfNRuZwKjfZSxsXr8r7kyQFTiRV
UuqSR5Btxn3sRNFrOwOcx7i1qTEQqBr4HYij4+UwvPbtKwdE4et0F2kv1A0MMKr2zogpCH6s2T7j
9j0guLlbNx3sTag3n13QpfdhMpTnTOj2XSNle8bBqFZjI8Oj2cfjtjO617xD+eh6wsKDPSxTgpmj
Z9UvdfYtVFh2fckZo+qTnPkEAmbSnRuznbcrWr4hrtFdHMvde4E4hVSoXDxPabsxcyoKRYI73ZPM
DlCzzsxSbOQmTh2izzTyb1W3TvN2fkHnVaUkmKZRpoD+b70XsIWOUQ81qvH9fl/NDwoFbdF2hrmC
ZsId1C7FlmVb+jhB597aHDjoBmJUlB5opsSAMQQacxfSj7HUkAvetG4LYic7oNWUm9T0poU/4lZC
48dpnaYnxavwkvYeQFPPG/Ysao1fjb///U+lzJRu8/XPP3Rw//HL//FfFXf/6TctH/7n498+8+pv
p4f147/2gM9/3R//9//51///rPgWFoPPf93xfUn/13/8qRL86/f/qvg23b+zrXaYOx3d1R1qlH77
W/9RN//4zTT+jp5OhEKnqcud67//2fBtWH+XjmlYeMJMXULq4A/h8GuCf/wmrL9btnQN1yDui3df
ur/9n2rz66/J7NcPiFL0//z6b1mbXvMwa+p//Kb0f5k8YYfblrJ5agZPhmbMf5vgJmoAQywuxiSh
pgUJQipcPT+gsKSlywrfug7OUpRqW5cDlDlg1k5oUnMaAodttRKAtabeK62UP4htbPo42aamjFlh
RMPasYNzExkp9tkEUnTHbbzJwvs+qVo6Y066es00S3/LVZneFVa5U5EId34z3qY2qu7ZsoFKD12F
V8bEr+iC1uFvXOrlAEbSaF8KlxK5vIa9B87MLMwGgSJiWHa6o4iNDz8P+pOfjUte/4lUhQ9bKnPC
HwGqY9oYoHhUd+ZS1twlFbewlOP/qa0RjuH6wfYIOlYCfZssQ4UC5Ae01sXJo821+K5kqbdIB4du
FHfCAz3Ji6dhT+K0vyIBy8wX/RxyhDViCKfBT+OnMUja5ZAlV5aNb7URvEMIXanS+4lRDCJRg15e
WGFBPI+bd1ZcG50NO+1HnP3CWzTW1bK4VVmfkdM279tw9BGYsVp6DArbjEgqTS0DtMQSCGMjIbAV
7UsC19cq+4tWK21h+sweUzb7JGoW3Fk+Le34dQygEzaFuXRZbO3q5p2VngAIUCCFF+oT6RbAcwWV
Q++dvYvxdV1HZbtsp5Q+t2+emWHZrI5jmB0oQtlDierWk8PtkxOyt8zsQl/I3MMEmxFv8cJy6ROQ
gwZ55DQesdktwytCbbfSXGtBerY81D6eWz8yvhtGmq493gQbnFobBSjyODoWQjtM81g17sF0BnT9
0n6sepp5uYMu7XaPhYqTaume4ozZG2BxhE0E9bcgTROv4sG693XWJw4VnAsAlmLvMhAtfMweoZ7D
r4rb9wrL34IfKSKkP6MO5bKoPZe2dcmuYwhulVV0DEK4ACYYijqf4QtFL9smdDuqOMKDq0t1j0Bz
AVlH+AKIyL7HFNbWiN8ue/GtpxsHfCbqYnr1I7dEWHNGCgVdVksndO4z1MSrnWIdiTv3rc0L/yil
+BlqA0OJh/TXNRgRK8g+x063PLIwFBEl3lBtxyTYuj7jU0KUHl2Uysl4pen5ifLFNcu9UEn6zPUe
s76uYRTruy2YH7aqRvCTbYh9JxuHmu6ME0oq8XBq2jmLxTPVMOG+a9VO9uzEVKNF30w2zWDK1MbS
1i3GItol8tdeYxknc9NAWjY8FBbeb60AbDE0LCEnx9TvJgPod+T5EYb7AS4y7T4u1XY9hO6vnTZ0
eRDwmKW8Tj45Nexzh3SKi13LxDNSUVG/8QNYRXfojnAj4HCgiVYy2TtcKJnBSm9ezxS8BYmZDPxt
q1h3d3auqcOUUqaj81SbNtaOWZOIO09aUBBqzK75muf51HTyqz8d92e8aCqX9LBNAEqa4bpNkTv8
xJKL+LGt+hBRh6bXNhk+BpvcOFetU2KKQzg47nEiYXcHbBFyU68/+jkRnDZ5TgN0urKHDKyFFcnj
OZjTVZ9a4X8a5XCoKq1Gh0JKCaR5dWU/rQHJbQiYopC07vOApLSf+nNMi8ymywYmpKIhmyebRWaD
ngGTDjhzZDRvm3ozNJCJkVlXwnLlnuJrUpu9C4SjNYBSCqjy7DEmClOY6kZ6A/z4CcppukscQAuJ
MnIcAOYlyGkOb9pM3ihsWIR+9Uq4ZGki5ktgqa4fAA0bMRVmDWs84fvZLkpJYMFAjFZR3+6IceHR
7wWsP1JsmaJdT+Q9uZbmXFjIt+AmKVnrnfTUFT19Oviljik1K1JDJrfDYA1ohjeISJYRfWJn5RTy
mqW4C4WPa91hsUcPRjHxt1XmaD2YafjAHq072c+tY7fH2jQezAD/OPKv2lO/aCzzAXoaZVPmSJEq
eW9IKWVhbo2cpWftVw4LB7xfGjOr48T2QfPCH3jy/zAZ/F/uuAa37j9KJtIxiJo4whCzaCINZ5ZU
/iBERcpKFAqs+eWLQP6ikYKM6bQffDwGVoZFp9Yz88g0ScVObTeHof4sR3hRPlelOI6SbUtjFoWY
Ddvary8rgwhIckvsPHzsy1WREluM7Cg9T2MX7P/66Uvx56evDEvpyppFH566Ie35n/eHp++bQTqp
0g6WxcBnKAwN9iyA7ggT92Tl3Xsnbz5GM9jRJfGN+YGdiJzfHvFAu17y5sbTa9Ff7KQkyFhG3UJm
3ilN4Qby1s9GogQ93UvcqtjW44+9M2Xw2hDD5ba/aGjidOi1UtG9omlw89f/MGX++z9MCMEMJKR0
GbDmX//DP4xJrZUJFqFlr4stseg3CbcwqDONAsfAX3pJ5CzqMiGWzEdH0sUZMIOvKDeCWyXHW2uk
AvpcCLLEEUvIQvo2SwY8XU2xBNSFiSsoGYWmAPnTa7Z5D/RmYGGI62ShsebFh4PCzdoAIpeAsxHL
+JhopnWqev+FywELB2pLBv0zrIS9ageKENjFNJw80k0bAQ0wDfEYI9jeJSTN7qS9+uvXx0At/ddX
yHFsywbS5DpKuEDp//wKVQoSgTkhTZLPcogkpecuyMx9EVeUFMWZwz6AO+T219eV+mlVCINxYkLQ
QknDcjEk+TZge3TXptpwHSrc61kbjytQlkV1zD3tcZrRHAPYGj721uMUIVcUYTccfABqukDyZHNs
A1z6zrUXNG8cxZu8NMbvZMGMSe/2BUI7P6WKM+sg8kuwq4rwBVBsuoNtqEO9w8Z/jtGHdoVfPeFi
gEBmpBVhwwg/+xwzkjj311o9wcbwKIHMMls/ApPGVhGDsdJ97QYtURwa33au1HJgQXPHezsHu81R
ju+NC/Ck9lXnkrbHX//IzzLB0EqNagGknBbByKJlxq+XLPgwh3taw7xTtAd2o8RH42pba55/bFKY
ZpMzwlAtp3of6iOZ2DT2JloVffBrGG8IL3QQzvN2CwOvxTkK5ZRztB9APtCLkA9oVviXMrGXQk1w
2s1BAzpRZVT+eHjpNQq324ze7LIc1/Bv6gM8bAsQSrQ3cHHfp5r1BN893FpDEiHBQewz83j/9ZUL
3g4RYYp3Xz+mzr2Edd1slE+kpJS6d+tky3K2yrp1Rt6HS60Rbe2SMTJ2WbO4XdRzr7DfjAbmM5WC
5nPOteDOavKfY0c/6eBPVBCGVKhrQX8rDW5wiQDIRfEmtQIWTVu8JoVpm1sUFHiYjJALL5TGMpm0
cmdHVBexFsoeczakdx7Vuvcua4JoNkJ+2R/TGZDoBLm5SjPzwN3b3OSa9pjqqK25U7Y78FTmYoC+
LEbvEYX2gY9sehAjPR9pmehzLqndhQWVBlNcd+y1pHUUJvmU3uif02iV1sQ7yB12W7ZJh8w3BQY4
MRDTyH8UTde/13WtPQwepmETZf/EGZ2nXbrHOppcrqwivqdLhXJZturIeebKdup0F7ba95aR4FYi
3hzsgKKkwcOKb7GY2ic1HZY5EO+iNaddaYAd7fuAaFjBexFqY+xUD27P/sO3ZPUYT8H3QqM0l2E9
2I2uk0MF483cwM7fJyEqoiWy/NkVVKqJxhyZ+Jvs2Q1jbJp6563SAK+hac4lPIGHaStCD6yg+1S8
Mqdf30M9vAu8oN9ZIFn0rd9hBF7q/wwcBbn+qhUArxx1qOLCvtkyC2bm5IvMjJqtWGlAyAutxa/0
T1lZ+tbK5JEN0nBiBhhOX//ltLG+UUn8GiANhxj0wSkPRnJidlBncBhwSEIY+zWKyimosnsqr9nS
ZuqcpLGzxo9l41dpviVNbf0UonnIizx/jiXtDoOoL79+p9PEu7GkdHyIvzsq0n9YJLVXUVXo+wge
2ANuZLoS4+h7gDIs2cW6s0E3HdL6vjcbl1gyfDr4arukALSK5pafq/mhHIQLfpQK64RapbTuz03q
Vg+CWPw60wf6Y1m4bjWC7gTwHf1IZpzaPVKKS9FaTEUgAZcxHSXrdiQ/vs1F2K/jbKK+3Y/icxQ1
FniARO1SSXDbK6mTJEvjY59nyweO1n3xGu/d1qviu92Uy4lkoxOMzS13wvBqF82ntEbE8JQW9Kxm
7OgnX36LY4iOGIoeIaYD/XQHsjzzb8sgw62E4l1qkh5gMDTMHchydaIBbUVis78K+pWv3Hr7a9Wx
d6hU2O++fiH+3+ydx3LkypZlf6Wt5ygDHHoaWgsGRZITWCZvJrQWDuDrewGsd3nrWZeV9bwnkQlE
BEIwAHc/Z++1BUCaulR/lOqk9XIz7hVcTxZRSkglOuABr9MwXEwfgwY/XyeFL6dz9Z92dtPdMBVJ
CnEGdc1AahyxykM5n6bONWYEoA7hgExI3NqUSXmYk3lrcu4e5htwaiwKStHnh6//znvn7UorxJph
8DMfWOYOeWLucM/Kq0Bdv1CQultcY46xjkul77u9QQQWhThDrH23O7Zkl/GNLUyw16vSS9D/CDda
iFLAUxQ+jP7KPjdDM57rND1ONX6whSLekKBdqHixgIogDm9eoi47qHpGaqZQx22pjtGVvn59qZPj
vNH2UX802/CAiSG7BaCRCEEgZroMmVeDp1y3VW+fLdSlZz9w/kgjZM3DX2ErZJpuQeKN75nxsy9Q
F2p+8xHrg38GguCfM2zHhJiVT5Hr6MdguiEcrtk7TnqIpGG90omGZ2bpR8sNVmVDubonTmRVKN5n
TRlya1hpuZVahC+ka+CoFyd6p1DZB49CNsLsNij8DRWwq1eJ8sP1GLhbG7dPU0ADMsKEpQwy2mlR
g4kKR7WGk3d4rfSSDorMH15oZI9BqL9ZRdrHeSulwLvXyPNZ9GWUncIMnCTBQ/wo2vZSTTc6K/CN
ShTEYt6c7zBBilllCwZK1vZuvnFrrpMUxJUzzTjKOi+OtLXn2n04PaijsCSksGYtvihgwm/BSVWb
wml2juwYbML8VwPCIcVJmsZITJPQZigskxsRy90LP0rwHmFSXawgw4sTkUCXxki8azuOHprtBIe8
6ZCjNgqlNJadu9LtULgn6pONvZ6awL/6ZwRThZsK5wZsk7PvWsZLRYT0yoevNdXxQQ/WaneUMKIW
eknoc1j5xc3yHLl3s6ymNOznW7StcuNZ3YeIDVrPUTtw+UILoXp3Yj2sc8nIsoEqiUYvsMyj2e17
ap2vDjk/2HeqD9s0lDVon9YovKPsquREZamOQYeiLs/Pptlm59GkXlQEov0ZgwCkvlWaU1BRv2nx
7b21tb/UbY1QPycxV5laIRmxGVo6DBsRFqplOCoE0PeFuGLh/c1Ss/uBbQP0iVGdREVFaRgL4umU
nnESk64+QqzpI6y5gsnnXRNE5NZudB9DO9ibBHm0mmmt3fiEI8Dmz66g76HV8VN0UIGUsFj2qpRn
GcftpQYXe7EBFU7ixWUd9DSQbUWczNQlEb4qbJC8qrgXDAPAmIgXygn3VvsgeR2ADRygZaaTpDR5
xTEUgHMu0LcEmtxLQRRP3bbuQTNLNKPFxaiFd8uiyqOKqwCkdvuz0WqsPTz/03f7fefUzS+gMlP1
srBfBJFCq3zwqg1DKnTchvxOjOzlhY5JvaWX7sCG8yHxIVKC7B/In0P7FPsQDdTwJpvaoNUhGfMJ
OAo6/C64iyigdd4FSJlNT1UxYGjhkh8tI7g1/A52RKlqO4Q6xc10JEw5EWcfKk36BBXlEhKfecWX
+2oUifxhkNHLmr0ybyN2x3Xsd/vQrDJYMp6+qwu1xtRTdfsm0oYDZpPs4HW5hfg5xQWaqgTboNw4
Is+qd47SyjVMV8B3CVG8TIOznyaiV8hY/YuhV5BWVEL2GGuzn5F6qwtiVUakgAfgTulTZ1kTAt4j
Bhl3KTmJFatJgHPBgeYXxO4hqrmokHStx8NjqkunXpP9FMB518ngTos1opkmFILSTlPRot6lGiq/
bGKNMQMlX61IHgG0r5Pw+BMxzifbqq+du0DDikh0BxpXXOJO2w5t2T3qkhRlCJPlNtf582v8uP40
ozLcZf4HclP1I8+0O1/Rh8el/0PhRFhIqzLejD4MyfbBHh3gnqmF/pJ77g5MzxoIR/iuaYyII+rO
1z5kDkzkCkuckVRfM9HddR6l3i60jU/ddsFe0N7FEeK/1rkZXBO9DteOqJTVyGg2JmbxAyG0dlDz
4gURzy/YVNmPKJoMNVgEFno1+KcMy9VCH7t2VRMav1eyethgsh6W1Pt+MI9xni2spDQctkUkk7e6
1G5mSyZKGg63+YYO93gwZP9UjaNzmm8GtJdJwYDl9yahX4ZHcc7WVsKs3KvfUKDxm2LrOBkj2nig
aeceh755TicDIgDnfEI1Fii7qfEH0h63UW3Wq7h0zENW0QBz9KY+AlPe1c7QHCMhcUIV6aqBZQHS
ZMSHM9iXFt86ZH7DxsBB6gPIXfNWBbDmVApdiArU6kSwxDN/D6rcGSLxmijWj76srlEum630JXo0
G8urb2XiGLdadEqBAYeVJ4issjJk2lp08LOIfmvqkH/Yts2CHIjyCg20xbboWe+VQJdrD1BBpV6Q
FJGp7TLUveKXApZpdDfkO1tPJDUrL3Alwv69oqf9lsuOFMLWVado599GCRA5BTt5FX097tGS9Ehr
F1Qw3IfhkwVrmwi3fKFFq1rr3Jexwr1Awv1zQJFIaKbcmCEjhuKqPQ48SrMWV3RsD2m+DXAovFpF
yFJr1MlPkdmwlYFg4YOM9A3jOwYw2LKap/oQCDVYkJ0Da5NUFLoYDhk2APzrsHjrMzdfeYMTwYXI
c+S2GpR0GClbWuMFcAwzAhaMiyOtAF4NfnRrJ/MxJgMPuS1V1LzYRgHoSnzwFo7aXjuMHTBy1RrH
nSp6qgeEmzYl2UrZxBQywwxOWjRlkg3d1sR8v0VgihuFzC90CUrsLaj6POuErH126pOSdfqhK1Ti
+xzyktLpJkL5pupgmlQlbY/gy8idsUXGNxKQml6jK4TmkR69qoMBrhnpOnfwGkC1gSyIMY/VXVHf
O7O453oU3crS2Zl2SDBlXF8jPXHQ65NeSMkw+qKfUs+VyNcDLvlJN0XF07aSIiIRbTSNvZjkfuTc
9c/lkNZY4eHDU5RZDDFNCLzy2E84B/Z+JPOjLWCZC4J9NbV61NrgPlpd4fPCqeCLZKniZiS9xcI+
RAq+Kz838AGx3ui3TptBprODg1l2CN0tY9zqStKslUJXV0kJ2DgYXYksGYVrMj75caA/5SFW3IU7
pQR2RDab7lBtSdTah51S72c6VZ/SMYoZtdZVFsuLb/jpOpqksZZlIns1qLkWZabv8fqUZyevXzJa
RI80j4ZHWthvfZj651pBIO/oBlAxQhRv1h6vpXZrp5v5f2NPj71I9PAfd6RKGWzKjlSm+SHmoGq3
3O/rU4+qxia/hFaVH+9meiE60+hiujp8kKG6tzrtRMOg0daZJZVIW8gnINBUjkgp2rb81F4LstFq
uy8/qykmQW3xU9uS8QLp58LHGbA14ii/GEpEPEwfZ4/cy/JlReTdj16O71oSyt8CYcY4mtkbE/8O
3f7SKkf7MytzSM8V1JDMIGmU1rHFMtUNXoY0+6TpWf3Vk0wmi8L6ERgA46h9owheFJk73GIBzxp5
mP7eK5NRRCbRcWSUfSX4fF0WhflEDYHKreFfetzUb5mOqqLRvHhyXamXxhA9agtl4+pl8LMuBJ3h
qCEvyDaug9RDZoZo442iaT5NzVv3ali/J63XrL0GgxSLBRcKnsDMEZVYkHVOqSxykxejp6MaD9pI
yQY3co8qZYDIusqMxtiGSZG9hjXlFN8sBwLKohxkApIqtanHo2+q1X4syIXPi0YBcZMVq4EeZrAE
xRAThQMAgHlqUCXQaBQXqTxcNpDDWqdsrQb0c5YnS5Ten3pAO8lXYKa3Q7ngG8IR29372vNWhQkB
E0ddTMOOBq6hYNqWG/hTzcIoSZxKFf2jyf/UjYMXltogYA6yQIz2FHNRGdVhWNDSTVE3Gr8Cxd23
+7Kp33SPdGV/kJ+GkdYrCcDfKKrXWPUfXZzue2tEANeTMeWY/nsa9AScikbARn8EXXmiTXy18GYt
WGt9ZvHDxzDDwYx1r7M+6GOA79hjWvJ1sy3TM5x6OfUne0oEdvdJ60OyGt4V0dnLumpZzTATHkr1
VfNxLXXOj6x+TVUY38S0BctAgfE9PSILKfUx8tKO7xaFnxKMYiIY6yFi6rJAh4y7koteuujNCv5B
io6dJKRVGja/Dfd3ricGgCpLXTop5pMSI0oT6as+dWgPjKvYHEA2xAcjBpNVxiBpAan4bnKtQRLQ
CMLqR9jxmtgwIlQKcXP4fhJPPtcZKnnApb/hHy9NMpUNjdfxWoLf/QaRD56vBQ0v+C/pjygFpEJD
3V4lzcOugBSZb3SZ6Yc66qtplxeLQpXjteO6Siz0/4xcQmOV1rShToxJ+sdDJ41FQK7MCEI7l0Ik
98Dj4Ck1yMFwJf8q0rsVvxoVDVNZWz22OY3vRdJylyj/Yhi4jRrTpG6SD9RnF4qKPbbSHOhmrYHr
tc+Y7c11kJKtWNU5LEyfRk5B/tMySH1v5YbZh8kZHPUfctDaZemWLxra1EWBw4CPxrvuahIyQsaw
tTOEzSKMzFc9v9EjJ+MWW9hKy5pTArp3BfijW5DWvgzD2lm5EFoKj9+I1AdU3HctS1GO6iT9pcFv
ZOdYftFckAJlMVgrBDhYmzqwD0lG3ZtcG+iSSjJ56ggPCC3YPZy/9Fz50wX+m6Er0A2s4g8l6qNw
CCUJ/YbhJn32Ggh+BYjfJRemM/yldZzCistkCRDE+xVWTAD1ijyqZPQ+tHp8WJqBpE2NL2bYY02J
XaZ2KgtWs//QYgZYlIsM26OxQNTyIwSq5erhhqSkaAEkbQSSgynAGC1ibPSLl9l3rUaqkWHWxasH
ka3mx1v0QNcdUh/D0IB3GFHT9Nf05d571byalROslIxsXDyMuPvJ3ojE8IobF28+dtFaawVOBeAR
IgA/NWoUtU2UrQpTJq/V23Wl9a8UD0Kyv4995/vrxnDLRXcJaupB5NsCyjPGAO+XWCmJT7eb2c+y
xWJtG6j8g6LdRyZYAWga/tKML71SVivUF1LqRCgZXAZdYRFD1frQmXzSCqVirQOFckTnl8+2HP8q
ZfXqsD5uwD0j5qEJY7A+WyzTon7ORePvgLuQ2IXXeGlYNvkh0n7RXeXDaFnB0j/3N7LyDjVnVBZS
qaLTy/DXQDPFk8O1sVthalwYRuxvhyr0ibjR9qRNACtkJb1Ed5cC/mbmbhU0lGtkLZJugVLt0Ot9
GlU+UtzD1tfbRA2jN1zYtl3RvHFZB3gjUGW1ZTqYbWrbuCdYIUK8xzJJwY6hX1yKwVmPcYCZLcDS
pf9pya8NIOXbvXseMy68Nkl99ENBW6WkNQw1opjQdrdqi2kkBk0thY2agZhEZLhcJCpCshpqp4re
ltil5aopOK+TBg9yq+l/4jpb1qH2CwS+4I2Ow+pNN6r2qjg4+KwANIs9PjottC/9dIOTNjrFfsDy
ywqZlNMo7CbVSxRGwc5vaTHVnEtU0CIyqcZHj8hlSjMnswWbOKCcbF0CYmp4QydVhyxm4OVgPKa5
gXSPhkVB+jQHyXOPIk2cbStwUktjAA3l0brpB0CfRcQfCZhZeBTqRhvzfFeEzbrA4gF0B3u1aJqP
HKv7NsLStJAkWvppcjA7RsaOIhJQtf6uoR+OhhaZj5BcKQjELZ3gFdyuu3Oy/qdfUZp3puGo76wn
6WM1MwSrq7Z7RKL7Q3QYHD7lrudkClogFtf9wO+YtCWfRps0sxPeLZIAPTSOagUGiQIzPd1lOAzN
Tvhps85FeaqZhsF2Ix5ritHDIJZi1ir8NbZShllixSJ660ttWmKkSLemxErm038E7pFN2rVn+Dvt
Ojbig61i5+MJYhGY2V8WJML3qiYayx4Ld9EkNAliPAr8rlDgZOgBTIKE+2jv2QS3gd8zNgHQmpDz
W44SxhzxxxUKzdYISKj3fXM7YCJIKEDvRhfUkhKEtB6aXWy3+FCDZh1Z1bDTq2o7tn1GInzIaZ72
OKVQTzQ5F/3e8anQjSODGevzRsHS5aviryQB9deWibbCq7+huUXWiqOGGxZP9YFYW7ubHKdehNJM
9CTMxLDoGOXcCeROFX3dNum70o7ughxPhUfHBNQ4uLoshMULOtxTvJE0OXdD5UqqOSDUgaGKgiow
OfPVtzBCNbJX96kdLMuU9B0SPSduY3CirUifZeqJmdGZ2C1iL9CR+FkSTzkDv5PpeuOTGcl3JVde
KCfjSXKHqcsvrKa8ogJFpGVw9PTQPTu6fI5JJ9+pWgCsJU7eRkt1dk3UYfz9o6hUy+hyNZR11pFe
Xts8IusByLs2WS4CmynI5GUXXUR9fILDNL9t04F5XecxU5v8T0plfl2aGuHixviX3qGL0RP3l216
v32U1ItWL1+Hznuz+wj8Txn/0dx1hwttKTPkWkX3uyTkA0thsezcaMAWahwdIB1dP6zS3HKW+eBf
dS9n2ZurIcJi5ZfNBWLpjv6zWUoKaYVIiRl1XTxU/OjMMLwMjl3uZK69KzHCeDg0lyLAFNw0obww
NJRDuGbRUS4la5WlCHAA9Vn/lDpx/AgItkQs7pVLPGzKOy7WZuHT/LwiCKpuRpcl0AsphWbC9a+M
bcgXHSpmDo959qVxKh3pvY81E5LE6NO9ZijaD6hEnrnFqeh/yDQWW21yVs6bvu4iwrDCt36Io0NM
o29l1KM4+xo5Ub2TP4lQSx6lrxIzLsbq6z3pImbKCqXwKgcFdnWh3oFZoQ9xGki5PRBvRjl1yQym
OmVReCXoSL+EVXoOU8eG4j9Coe79cE8IYfwOrR8s9E+V6vO9Typn21S5IEa2jj5aBCSu0SbnNsv/
OFO/rQWOJan1neetmQ027RpD1aQJRS9u3lX/61Hz1ryfvvzXE793URnc0gm1/nGs6VEqRSOS0bvq
LgAh7F2JmhKX3DZWI/c8sCDmx6nReBV+u0yQoJlKBacvjaGUuTFLIHKhXXAe+QA9JpmIjZjnJRVk
EPjaR++O6kXVlPzeE05wJxpzFeeJ849ddZBsZW83K3OAnvv9mcj32ra+bX+9tXn/tMu2JQxLT4Ui
N71JokIhaE7f1PwJpkdkCW2heWveb9G6nHd9H/rvJwYeZ2TmTLDs/cwfisj941oSXubnk91a3X2W
IsyxaQDPH1miyVTthtkvx43Lzjm7gQcyw/jX5td70+iOzvfO72E+tqqiCpy+069HUOul88Xm1/On
e+fN7w8zPaKfWq1fT/Aj0JzT5vchPVoCkDndc5g45bJq02obWvA9Ct9ZY4ptLvOW6rv+njDaYzHQ
4pbtlo5hvXRJRbqlxXNaBdUd8Um6YfIYrebNeNpHJabYSGESbDJtJhMMi3Ihs2sz8PANjzWhEGMB
9h9mB9UtHlO4WnkvrVyjv1LD2Zqe8nVANTRJBqWw/30sQImseuBdfe2bX5Nzwt/WKTEC8+PmGxZG
MKJHApa+94UiLrZxUyMwml5jfl3Pi1FrQEH6x2vkMu23Honb/9gXlwX1axp9y/lp80GH2DG3rGDo
W02fY75xwFJtyVslzm4oSSpllhfuvC4FjDd9zPmFwUilO/ByeFH/fp5U8mqXtAY0wb/36W7V7bBY
iK/nznfoTabuxqgmWOzv78kUqrHjsgd5fnrufIdT2DTM7I78u+l15zvKiM6PTb/lH6/RVGq6l9Oy
+Pt1peaV+wLXyj9eIxot0swFBJXv19DGToXAxILs6+8ao7fYM6Gmg/D9GarW24u0jv6xj+pWdEC3
Sud7/o6aHtFG7Xt/vg+tiqQ50C35/X0kTrDhkEn383sXTEn9wNzy1/d3gdDcObSj/vG9SyeP4TgG
zfv34QtZpcfc8t6+j5XRaDm2lAW+d1VD0h8VK3+ZjzV/j5SFxFE1vMf34WuPnBkrNZ6+Dz8GNlJl
T/362ucnCoLUTrpb374P75d1fUqr/Pp9rAwg7imyyCHiKrJkUswqHUU+p/JzoiXKs4bFjCwJBrhi
UKA4k6QdG92IJIg787jrllAL6v18r8dUa21VKgm7070FInDiud1uNd9r2JZ2YLyCUD7dOzZufAkU
8Tbf2ZVO9KSxBGi1hnAjnzwZA0bJY36oKMkratzsOj+U/gzsIJxyx/nORBge+Yp6v5vvDUKqVHT/
/K/3kOlZTxc6VJbzvZXHCpmaxRTuynuYDFxXN1Nv85ZrldWDSvHi6z3ErLrUVomfxPTJzXR4q7w+
uczHkYWEHRx54jA/swryblW4kbmd7+0Sn68AR+N6vldD5bG3Aiz88yb1MnxuBXrDeVNnfXqT5NjO
W44wxmdH/c+3QPt9BzlX+Xp/mRf9aUQWgzDgDUWNnhE3qln7+YmlGIK1y4pvO296vlEhEKetO2+q
RQKMlpiwr7fA320kvVL5Od8ZBaW812G5mT/ovMsuTg2iA2Z6ow5UTAnh5OWQJiyajaCjl33K8rV3
WQ10mWA1W4mTlGmw1ye4L7E0yP45SQ506DUK5LV/xH5tPZPNBh/dTNstLB/ref6f0uRQoqfN+XHz
M+bNps/rq9bQGNUC67lUVflcZpT52ZgPZrvJKbct5zo/Gh9Kh77QbI/jfOjRq1eNNpjb+Qm4MyOq
kSCN502tsCBsY835OtwYavZF0XyyO3gbiqIiNUD4O22YXfM/KJA19d+FnLpm2IYhVBNfEsYkQ/2v
Qk638StlSOgIDzpSn8Fpzdc+Omn+z66t+Nl71rGyG9BQzEO2ch15JoSCCKl5Y+XDX4Jc1Skl+9Np
qubk17kgzzAl1kVLEe/aCNcLA3MoRvqFKfvyza7FX+TuJdfAr2z8wi3Cjg5brQPP1WndD7N1vLUi
HH2vNXnwnKbDK2lozs8Go/NCYpO6KozN8AkSYLIWScSqjO1r6JHD2PSDcejlHzeIFIKDcqizoqL0
lBUxLnEYdiO9vw0O73ivaryxzh5Pjh0iT4g6c91r7XWwm+Hk6cVaJUqdNKDAhGEEEWVUplOaMDQm
qiHEJbO66OD372Pm0bZgxZa1ntiWGO0XeM+dUwIwd612csosr509QeI92ZaVOp1S8FfzjFpKYGxp
MqOyF5bE0EmUEnp5uQm0Chu1Uplnmr1kM1Lavlmmo/AxKDIlthC7Eo0pTlVFeXNRbNVR1sIeFurK
ifwCHaBRoG3whAJg7ZCVafQXPqzfs/r3/zv7hMHJ8d87+14+q59Z+PN//y+kJVRUJ5TE/Iwvb5+h
/gezDAtPn6Wh5NcmzfiXt0+I/9DQrViOg0je5rKGyj8D+ImBD9sfpjvGMlWYls6QA+vhP719hjHb
/gS0Cl1H+sR7+3/w9v0b8QK/PVYjsABYCw0Xj5D9X89y0FKem9ZDRg4aUh8Fd35eYexFbq2Lz398
Kf8XUwNavX83BggT5Tw2G1PTXEuzVPXffA0GWgSKFiGc7jlyjeReuhnO3SZf7e4ECDoy4oVgXw3+
1EEf7S0q8lc87d4xs4d20zs0PKvMqO6V/peZIE1VbBdASYBd25tuEt0j0hI4sESsBlKgIV4xUa4C
L801K0iPzopO7NpMS1/VCFkJWQ6qpOYtc2EQIvuvGxaiCwF1aMfSVLwWkxTKUaN9Rud0FeWac/DS
gY53HLmr2vS4CimIWq3oplUk8YzoXUZZxVvL0vzd4AOU0qX6YthpTguR2CWtVYtzG9tcuQj2PUQo
8zcUlpHOddpzUKFt8Vxiq4OBWOfSBjbRKVozVe4SJhCl9gTRHqVXs+0Kh6hoo6u5cEU1PbfkzCJ+
PI0dkSyIseWuBOd+Vw3jRhdNgFk3Ibj6wFCzUYpbbVF2cE2SLyhEwzxwkuGgTTdB18tDs4oTdGy6
sp9pugYplHsBaJJ82l5uzapoDzHUAy8+2aPKOlIoD3LTjVOmEZtQmdlLT6F4HzN4YhbK9ylTxq0m
xXPWx+ojrQxzpTxcGOQvtDe0R7vWGGGBQ790dl4vnF4iVve8gSo34jXilcGzW5tO681HNlqw6v2x
2SoqyvmKGbm6LlvXP2k9MvxaVXXoBi6xarHfrkUaAnEIxlshKvxmhpA7B9Huc5SfmsLqHornHZmc
k08kQVhZpdq+1nX2Hrl6h0rDaY+aSvm5dK2d7KR8gv1YPMmos3aKcUA1AcSo9EiQs4GhqSAHclw6
pzpUMxQ9pn3BOHRAgVkQpmnpTMTG7rlgTXYD4r0V2VG6ZXqtfde+NtFgXwsUZQvLlAGl9UQ9osGm
FIDhYRdXxr5ODHmbb9q6BHiVDafvXWGnYyfpMoNibQL4S2TDSxH5SAvsIvzBK0xI/3znJTGG0/Ck
Q8LGiV7tnKbZp2asrZTIJKE3cB51mH8aMc0Nd0KqzTR9E/rHDso0p14cNatWJ4CyRba36Ubnw8TK
bxbF8MMrld9RGdIYI68ARCtkUaVM81MXZ7iYWB2TMWWYpy6Jz9GIPMmpe+vYtM9k4IYnORnxjVan
Gt1HL4HjPWh6yNcwEgBuy2YFephJbpjDVhEDOFPOD7pDualR+mPhpZPidw/rYbjD/17nNgInFpri
DKqjRHIEPquR6iHLO6yOPpFOgdP1h67zbpYs+4OXheOypBLjjD06CT3amz3s20DiAUus9wFj74J5
6pY42mFBTVEuA6KHqHd1O6BZfypCHo0EOljaxs3NdwlzDCDOAHVBMdGvAnT6i7oBrZMBJQ1zhJcR
veS0FccqqH+VShqu81g+VM0aFq4A+NQ544YMxZccquU7Mbec9VMmfF+a400v6+fUJhtJCIRmIw6Z
x0gybQhk4UfsrAw6NKsR6vMh1HQcIX/fzPuiysRcGzT+NlYM9IhqQ6FVTfMn0szvCqCqRRy2CdIq
Iu/yNvzN570nnRof0TKHqwhChVXG44owlgRVoUtHbJJAwBQ7QqMgIiPWHhG5Sc9NQGKMkcPIxPdA
313XbxWYJGEB7C3QbQdcHOm3583JjrWauqBXn4wxt4+FCtGXfzN8JV83ejQi3KqRRsA4XovOEi8U
OZFDGW9dByWKpvMPP3eiI7xLi7mVY//MnKFfl4kHVIO4u4XiFCzZZfkEWSsiyo60trzx/EkJMDyZ
ZHAhKenWVK7co2/L8qEZ0RXdLgxbxfbXWNBPOE/dZVT3P40xNVGsCILtSxepVAnmcJg0pqguX1sn
ZxbsRy4a07I7NnZorkrLRtRcm9kiiETwknfNXg9qF9J8wcA3GhsMhPkur7M3x9RQghs6EZldVp08
wsqaxiaEretH0iPiu0e83d5tsvHsh+bzELTyoKA2ubk2RZZ4FPU2n67pAbi7G0L6eBvp5ialg0ew
9meimt2r2aJBoqkV0lMfMaCwcNmJQcUXTHYxatdEQyvJUkuI5BkfJ7IWThoSL9T2hSSmZ+Rs4aeT
0pNMZZ4/crOSa5pphxZMxKkUFG49I0qfqwGNlxEaxmdPjcf0+v4PnYZtSeWcwPH+E17HB+Oa+ZyM
FtKXZNTQTGbhQ52AwmQvLVwvcV6dyEDOXSTKYxjGmM6Eq1xwMjCaZjYR7DVN8ozIUqqE4j21w/it
y/toQf22vCD4it7KPqdCM5WbM5ZanhNke6UhOqRJhvynbImqS7WPrtEHuJPlKRDchWOvfUl7mBwh
q4L1vAmmx9nKiChpzKXrFsrkfb6RyCjWkuXd0nZI5IlF0S/itiWjdbpBVzKiiwMVGRLyuy2a9D6I
szD7pQBac+4pfGF7couzxeUt1YCOaBSyuSxgXLK04dM2I/usWTtTDMaZEBfzPP8Ph1tyFuFe5QIT
Q0k9CkiWl5IEeCRTothLi9ThJK0hepf89kbXalelVis3F2ORamfmQ8ccWBNIvw4NdYJDt9o5irJb
ndOZLN3wyUrUeG+61ZudBvFfNMoPnhZbuJKhAtYKkmoFt02d5GcjgqMfhTGGHVYja8ZJcqdrfd8b
TbL24i7cJH0GxC+zMNuxtINRCqu1B+CY52GycjU9QQEKei7p6+Kam+lhxGy58muzWg5826LvN0He
AJGJGzJS6z1KTtAHJtRxq7QCDCvBuOVI40Lpau2hEqS1KWpNPepV2ZyEhNhWIWTd0lMQq1IZEKDU
sfk73+vF1E7002sbqP1tvrGj+LVDUwO4E4IM8evuuWuFc276qj7H/TH0GB5xeVQHy+rKtylDKzNS
/T1J5UduZz/CjAALg0F0ww8yn+zA0c2dbsI2g91gyEkEEZPXELUlZ16Z3PUmbw+BhZVo2gJAcB+x
Zp76EZmuamj2hwj7Wx0ES6hZ5ivWapijQ1peIhdMgFnicaNFdkgKt30YWDwhHGXiF6CftZcW2h/M
J1CC7GQbNC2OtRI+L4kb5TPwYZ+0piC7Bk5Mlotjw2pwQOK2DW3oXPrJvRRkqfEV6b9q0rsjEq+Z
tpF+xzrXuox+9lOvOsLnuw4y2ZgbZ69W9TP5E/na1jWCAUe8NFInpdOlHmmZiJ9YVMsnzYn3lqZ2
q9y09auhZxAm1bQ5jLGlnnTVyXFSFth3gvRHW1tnytrdU5byRIAW2Ro7drOqCmo8/EafrVq3DwhU
uJpYAfTx6leY+Qn8VJFv+4Rfmc53OuWkJNe+zAq0vUXM5BCsFWBf1G/V8MFZXGxH28n3BE2eEh/w
TZj1ci2ncUpG6tk2BqABk4Nsvhn03mdWYI3roIx3qWzIv3HlVVOsEa5yvAZbimLEMJH7DPxIu1Qe
/FxrN+6IMSXVcC27g1mdC8YrEjazDqdXEBxdXMRr4oo/NNNx6eBV0RVywcVx02E1EKp1NXVSpDIa
xPwxwz21qFybJvQO+XWDr1d7Q2t+dY4+XHs/+z9EnVlznMi6RX8REZCQJLxSBTWqSrNkvxCSbTHP
M7/+Lvo83BeFj093u7sKMr9h77WJUpHui+ify5KyvO3ICpvb7DLIevnhL0HC3ybfxsij6wBgfwb3
hDtxTJZLLKF5xwbCM90uySSvu/HsJqjuw6ioEIi5bDgwF+w6KTeIXFN81KIzg6jAV5DmRfIA8/jH
Go3yTkPkhQbXk5NF5R1KSwlDnx8FEBiAucv5/38LQXzLmTuT3dRa5xJXznltMd/CuEPcxmDuvx+1
QG4DQE3bJ601XYotuqPK8+iztDud5f7fKB6K57gwHrNSSz7NrR7qY76dITqQgW0+tGk006KRxdhX
EElwiwdLVTMOHakP+jaWz+jcg4UgKfSF6Olq2NgeaObp32fSrd9t3OdwNsL4XJjplrubtJ/Y/gCH
D2t0LfINxVAXy66zGDGiPcqeI76yIKkbFGohWxhrbrr3Fp/EgOTtV7Ug85vNXhxLUCx1styd0Zzv
3DWA7gviJCdEPxSVhELiThuf47kbn1vWSTHKZq11ORAxSN6yoQaTatUQErp63Ufi1U5wJWFIsR/q
KWYspyNp97KmwbMxwiVpSkoBfc5eF5LNvG4pCDYk/vFUWjbagCV0L3UGU0str+PWOoccZAytz7aB
aarI44Nh5dO3VeFkl6T2+SiWjKAkrQlSS689xyXag7oRK7AeWeNZsoZ7RGKCfhw2HQK66+SOyFgx
sBpXNC3E7RjYtW/pYhA9RBnit53BKDiEV+0sT7xT1h05r2eltWJNkOKhT6zPmgQeL1l4kyUymkuX
Gtohd+OzC7XxMgiDQeTyAipwPOgrLHHCfMyzQqgoU9161DEZPTMWsA5aZqKYcyx4YlF80FaisdWI
k6PryxsiSbToreSKUIQDJGjzH4eEKBgAtXgDRUxtGv4iqrH4WpEUcrj95bLin+kM5zWy5pMYykDg
P6OuwkeVVaSmxE5MrJbRmL7OrtpITEqdOhkIZ2pBUOL/YxRnN2+WYx/pbtEsDC0cmTonkAuDLGzY
eHlrJmgdRl6uJ0MVOVlLwH9sq5mO1SxInf5igbjuSl2+o4R6KVt73tOj44fLh0u6Ghtfu3UQBlWA
TPCPQjPWPpGrnki/1XESOIjLUhLhe9L9vOpnhv/iNOBikCFbXgWuPB10ktur6K+GT4oWBjkXMe/k
cmryWnTw66yHPuuRyHUx2UQuIvqxSML9NDWaJ9IhkC04tBrEDspew6+F9WFY8mwyAjpYMY1Na4sB
WVYDwzd13+pwVhdib4Wtr56dv4seCZtWY65qQub7Eb+we/VmI/r2yrprD3pvPGFWI95py5bOCuJQ
sulQ2dgFOau8ynhdDZtjgxh3w0VDlyKKzeLlFx4/JKP47R4KTCWF497dbPknYC4ELtw9TkRtH+k9
rpQhmshyjeCwWF/JlsTc6Cwn5t5C70eCsGnGRAsI9Hd2TQzPJq6FA94sMFHqAntOl3soL8Y9TP+a
Nd+6SyfyGdOJGBCzT7nos72ZaOtxab87qfMJroo/fMGwZmMQx0T+Wa/5SwJIaddFaGyI9PKcjTcD
V7AnbAzntrjbczXvVxCYZkSQLXncyAKFucDvZbqeTyHBMVR3u4KbxkMMDnhy+y5cwjy6ug36jKQX
PmW7Ov/3w9rwzNCs3ZNsfbXKGY8jIFPiMgq/U/V17tw3gmo4gkf1RbbAs+MKRER8mfUYB4XlXrFi
zrucKI8CUqJPHPtjMot3MbonA/0jJMHRz0J9OEOlmj1LNCRUahC6SodYV/SruwrhVP+37ZMvfUGa
uhrtW5pMd2dWr242vEwGkCCWUS8oJXJv3NP2fNmYz1G1Jjvqew78VRIuD4/TApy0KxrzlEZ6ejR7
I/Km+bjQH3mt7CDrZyTIMU6B2vPTN05JbS2ZQLzkUxMwIjvV8/Q8Nc3vlXi9Mk2f4qV+cSnurm1v
Xaco5XjQLhnsjojYQBATrMBD7UUOCAs69SXr6a9YxbsF1Hps439zH/0reWIIPZsIbFxQABHNM4SR
P9GgIPAuQFGZUKJDGP7KWC2/bSsYyZxYMfEKOxESgqVX3RzotfkWj/Z6difoyYbOF2jnTrITVrdN
OEAcAFvFZpheIlPc8xoStMOpoC/osTVWYvyvYdxNffWSLd/owlEU5ey5uYt4gZe4OczoCNBSri8T
iCg7rcNdu8Vxhl27gqToYHg03yjNkC206qfS4ge3yc9AQV6ZUegeoQDQl/SU5HWwoh53kbWHT01m
4hcoiGJv5PGf/xL9hjL6mWYEhWURszhKQASwYOkaEgrijAlNm/8CkcTJEscfhB09AW1AjaVnRPvN
PaI392mM3S8iOYeg6+Aimpp1WJbshyAoECwr+6M0cT7X1X5Zk+Eh1irclYv1exowe2DNGWpkUFlq
fNVlUt2m0nrVdEtcwauKXQ5zVmsUsuJOAhTDzDsSFejlpt1w/7aPGaN7Hs3E9K3MelEkTqK0J9BO
JM3Gxeu7Xcs61xe59Wu0xKdVFuV+TREA2DCa0xKXDetK6bV4BvNaDITaexXyVhBcJCZko/KaITnm
ZX2sSA3cKWSH+6gdnkOje2jKJfFGDb+CtN/khFSYCIt/4Aj+teZjnvECzphfzegiF/G3Voo4kZ54
AbVI/GzF1cQa7omhGZ70bmH9tti6bylESkaLMn1WnPoj+bGZxTAuSYad5hgHnWmgV+Zaf0AwOwXa
rE5loTccCMVyxJb5lKNhJtF7wCNH1iJT5OreOCFK9BCNg96ISzE2JPk0sD+iRccSNr4OYyzOK+sJ
ryoJUc1SEvoQCuriXLnjQ9Uhmk3KQaAwhA6mNTVpHCtIkpC1mjbEXOl8UEoncQugEJwga3JONkRR
QjUA2HeWVyNqRrpM4UrEye/BBG1J22STLsr4RrdRSQPfL9BXu6NUnjYRNzgxaIP/5DDLw6W2T/Sc
tqm3+D7ilVQBQlWz4h0BtRuErfOkxVJ640AE2hpPICSMXD9q5LfJaPyDDEdcnaXBJJh8mOxxTrxE
x8SdkIab7npxQa/kHTmbswxt9h1IqStr+hWaOi06/9Uo2VECVUQ0AvqVN3OQ5o5U9vHe6mOP1yg3
/JyJ2QHJQ2BEstw8sIXfR9lNX5ygdlS3Ax5xH9ugSPNz0hGRY40BYkvSus2W9fz4ijjwFiluFqr8
f3E+/XOyHt1pLcCnRMnLEBfnGrc4GN8WAWHHEIBiOCAVEboWPkBl81a3c5EdrE4D0SW+WkgR12Z6
Xlz9n9tbP7ZjPdXz8iMSsGOaraTXmP21VbVxJYWWedG6gNOZtdV3ZlKB3EVc7LaoKMiGp05LSMXK
B3TrsNMKBl87R58NbhM4BBCqUZXZ+0lAYZzXEsfeQAtWMlCebc0I2PbkXqyRrd3W9aGzEQKbDpJ+
vZzELsxAIRlgdCRTYjphfLZRpPxohXfjLiZRQu6BhBos3xkJwiu+fW8oyCisRAqdJy99PHBfYaq3
e8C+X1j5yd1JuqPV4dXuXWJta4bDcYqErW8Y5sK1xN4zkqCgUHBNLb5Fpl9HG/v/HgqtW0OlFpzm
MzkKZWwjUjbUK48ivlWEoxHRLvqqceRkkuVwWxx5qEOg0D0RylnPS43Y9dGcUIfHMEeC//1mVETi
JqaUUx0oCLqWWJR5MEFM2XdrMV/WwewOItTce2NpOjaF+EIrzz4nFJEfqe7aE2YUOgSuG6mrduFk
cgmI6WOMJuOxMcdfupMd9EZaHwQEg/kXjC0jY0CqTyNzJ2vnGNvdZkNBk2Ot/QKnRT/NQ1Q9UMNG
FxE3lZd27T13IHgVovtmU4NsuOxxaEAjdML4OwVrb8+IaVM9ee+X8kI4yhl6dftrKsw/2NwJB9i+
dMZf+HOEC7oRo/USn4hUZ+DR1fGTHaZ+ohvvMm3U1aIq8uX0Y+gfGTzolsHs3o7osMfNujfbX0UG
/gOY/6nvw9yvYn3Yt8CahoY0F2ZJ3pCMz4ms3f1qdBWBdMj4EF3EhKkh7QaxmPrd4rqgiK4ZAuMz
W97+bGFExBmyp3FjBJYLx88zLl9bFaeIquVSILWKGwkCG62+XxEk6JU9VLYIH8EgBELzRNxNPI2x
EMm/JrNxWy3LsTfy7Ggy4/VCzLiXXJGR1Jo4wybsUa/dZJgIk6FD9tNDkroEkyMtkos1HVAk5Yee
1mtnD2ryKYkf+jBWO6lQYJF7BdzbainJrPk9jWna8i0dDVeaQ3+LypbykiDqgkXRlIXlGSqlhyno
YTWamTUbgb0DwUXeapa+rRSqRnfYl3JU944pN/JxmssN+pd0bXiajbehJodWQPZ70kICvcfYZK1j
KALlnPVLGYypcReYePBpokUOQbtwvwT5AYcJBhJsx8Y4tNiSEBv3wWjxVcpS6ndDqIOQRffyv1Dz
hVXhkswE6m0Z5xURkF6aTmQ+tn7dK7mV9tRvs/NEDxeoRfuCw6E/dbr1mTEMmkNGtqrMH2KItLUt
bo7Naig0DhgWH5x8sM+GjjmVMVK7p/2TKH/PkcY553S5ue+wpu00oecnWfQg3Aw8KQJ7p1jQNCnW
Y4yOWVC0NyJ49j0OhpPd4kNsyLPcd5Uprn8Qyw23JhF7kj2Er0sywawIMH85WgcxOto1TwhWd+ri
bPM9esp1jAfJoDbOVzwa5EPAxanLJ5NYK+DoyalqU90bZUzUVdqvewuDduY26iVGB7gXJv5zx4KT
BMTpMm2BVXBegEmE+P9QpGPpob8eG4sDkNwYZq7ORSfWkw+0ZkrHcv0AuuBzkPYA1VenZphYGEbE
yGozWBCQa+t9zKYa8jbhpFbzVNZljh9kont0E+3goNnbtSWRg8VEMDXXefw4z3P8aETdpztWCkZ9
lOy2VBrDnMdfKl4eExpjjuGWFCJN7DRehEBXjzHGPP657/0Aul3TxD0p8t+4lKFkNaG6ySbTToWu
+wtiVi/tb73GQlrnPbD/EEZn+8PULq9x13beYOvlTrPT9T6pjO23DhbBNmkmMab29dgd+5ix5nyW
cwewlixw0AHkSzAUXeEKlAQmBDo8gHVqgEUg0dubMZdVXcsX7FIgxkHVqrUKsZsAqRyd39hoNVcZ
544dSrE5XXWdWVcdwbscjXYNkjl8baylvgyGmE68yZyqC8NYKxHnsQrvbSJHnGXoGeYoO/Wy7/al
AxolrN4ys2UNmbCrmdn3PuuuPAGR9WK7qACWk3uQzOXiz/14j9xBAMwnXAVbQ3rr0FQFsCh7KtLy
RKDTbXUXAuvVN2EvJju22doTPDCvrK2dafiJmrJAyjGGR9Iu8XbOpNCbKKE5oqzkkFOx7eFnoPdj
zjCRZnLhad0vUEkCBOHFbq5ixrSKUOe4635XCzcbkze109NquVULrAFKH8nc0tN0IuPsbQWXpNlT
o7XRbYQjNIgVC4VzdOeQpnL8XkJ1tpcRXIYkjlxzbpZyq/tg6T7+EkUSrOH1BE4FsVORpwebp3Tu
NREcBwXLty6yL7fmEYXmY/hDJ24lMyDPkTRD7fYdC2fJ9mnqXgq0XrANcO2QKNX7MZA3u7xFbeXC
5bF4tmxMzkmPfXsB0xZkif3BzQeot+NSctrlEM50hmOm/ZXkLxCB4WKOSQC4Lfab2pi5iiRB8KgH
G83cIV6sfgd/6thM6BSIvJ3vGL/ne8+om00UQJwIV4SQdGzW4OkV2XH5vWLwvZ9sFgtZqp3hh+r7
gsjskevmh4SJoJjYLY4W7Fd9CUbR7vEvm49WugRF5uuYGGkW6gIpCWoJeCnaCyEW1GGavZsaSqxW
EpU2hFMWGGWhPOpIAuSzCM0oz0441/kriJbuycSKnaiQ2QmrJG9NFudmyxBCdN0WeDgZI2tIRf5W
DJrWnKMKSlF+RdRAdIBcnIcU/ua1nsLCHwFJ+2nMOn+txSaa004cin/wf33GQqdn4NLaZ8IGn2ks
BD21LOlIbv0ySGkyJmFh/ZkpY8G8+nDR8ScbimIMkpbrNnzpG7pBJH+dyUK5E8YnxBFvTJXWU8bK
eJml9Wgpm7pP4NafCJQI/vtRFQIladmOlyWZSJfP8ZXFwyhAWlUPZmkZgWrifzavDoOfuDwqyFOz
jvfZyWYc8gu22Hoj9C0GuGtjeQQeEkjagXCah4dpgCEycQmncKUIqdumZPAPA0kqAuatPtDsGT5W
B2GhTxEbRch9d02HiWzW00NSu/2TnPLJY+cRHqHT6OSdARJFXvWoFdrvJjL7s1kjf7DL+dz9iWeh
wJBRBccF6hUzTJxj5ZbXEqoQe0Ci4ZJiNM7//SijsAyqZfjdKJd1FQ0ulvR2OKfb2IFZxqnhb1yt
vKc7Qn+0/Ee/HFnMceUTaermg0Z7MYq9NbDzaefeZoYJ3YpNinYPFW22Myi5Yy+KZAW5DXJ6iYvv
sTLLHwDMrxZ5YZ9kcC+TbJ/s3qYnrkKdmaDR+JD+BgxlSHwZV2VXGitqMHvFq8lnYFYTVDZj/lX3
tW92VRmY2vCYRo6GTijyE1LY5boyG5m6gczQrLhCDrKDP+CTox9M5ReMGctFhmYwMLB9dfuM2MfS
asg7r8WL8TuR2nKsKv1tASPzbpbGgVtpIpSo/w2YKL+6TTx75CEGWRW70PqEDGIzAja31r9T6AWr
bZuPxvaDpU27k8aY7QmiWqgsCtdvl9W+ZR2zsCKvDtow2jDFDmXdFAyk9d8tA6Q9Bu50N6Y5B+zW
DhCfhnwCx3+Ws9q1tm9Rg+0SVwUmLN3s90TMvEV8A95c2sbVrlrNB+tQehRg0S5tNGNPleBcK3YJ
u8rQFYXOSE5SaLzIkTXqyJu+n2Y1XViMzpf/fjWwPw0KV/u2VG2fh+GYVGuHpGMcWEhxsMKnJFek
n4N1oFIuKIzIifmWZhsscR9vU7Y9rFOycNFlvDtLWPtAWHPP6SOTAkXKZ7cvrhn+gTOR6v9MZYtg
UmC+CxFd9YatsaUlb0ML5ENPESB3ju/YTElDIc0/Fga9QeueTT5phITuPeadIsfzw52xcCfpQosS
0U9CxB6uA9oBWrcUAUGWBI0+pXeNCyApFu3W68vojZdxqszPRSbI3VkELGltHlgs269lFC0IedyL
TcsB8RT1QqrKZlfOGkm2bYncok13amTwxhyegz+7GmiVoxxP/SCRQ0xb7G0F+LjJ5/Y1CmfU9417
1BVPid5j5EeOdVVimC8Wzmt8JTrXFkQjUkCA8fSogYeZ4MFOq0gDrRD6Yw8vKqJChnILVIp/LZVd
HNus1h/cyHgnYqQIapW+aNoEIEhtzyRKqZ1eFdnNEh+FIcQLeaBZgdMQkuxXZWb8oim64wxoKC9q
k7LNZlDlBJmatCNxUO+L3efnMeGPnooKsl1B5DFU2VN6z9N1epIjGKWsALkdJ+Up2YJlOu4xC4xa
CEmYkAFKt3ZDOUx29cdG48MzTS3Ghyn3Uu8rnj5TP6nRehj/uDTWLKPOSJZK36wZzPQO/7nDApzJ
ZRCGRKxkb2MqCA+ZW4P+MTkA0vpss/OTNVnI1ZkEZ5wNNugP4Ra0DMSWGmeZDQAdOi/rm/LGYJaY
GChPybDADFjSoyC0IFnKJ9j5JCJYqoJHjQlVxDOjhi0EaUjhAK1VOdwAXDxGaOwDpSd8ry5fnajz
g6zXTeEYRtsAI2A3/cV1dQbrZu5iV2s9e+DvX4h4nIv4R6LrNiQFf9zp6M8t9Q93f3bX32yOeWge
XLJlzPikZ7/uSQM5JEAsbAbRmJg0+UyLZrubrtg3fKzU/dEojmGSOFerbR5KIgrVFJ0dkxe5q3dR
1raXjrTWGdbgZdVn7coJTTdSZv2vxTJ0YmntQ7lypBENAosMWLtVIvuyjeILUKVzYfw9+Sx6MZ5z
Rrf6FLFUm37Aq4B7S9b2BmjIW8d2ftDjjhTjkdwyPRwg40oq/Jy9uk8mJumGs6kd8wmPNAjPoC+9
lERbf0AzvdOyFJGuHPflEK97I4qfiQ4mIW+1H8uecM6GvZ+oOHBaw6q5MAjsNo0MHJ0T+8TDcyUV
4RjY7O3zcTSvQ/w2sEwdI5aO6cx+xgbCsq9z9Yw1jr7Pmd7zjjkTy5nuua44gaXJIspxnQfi1X8l
q24RROn49VJmH2TWOkRjY7PPo0ddfIBFck6J1lLxI56Dl/Zc9KgN00pF2C4Ivp9jdZrXzDzkFYns
S7rNofvu7hgVpp1Rw5JgZePHbMxfsAorRmpT6zt8QRrvE6xG/kC0c+0MbmkiRAEfNANayUU2V84x
AoiHg30+m2mR7q3RbHf91L0Mafpu6xgn2FaPh9qKPFfi3k9xaVNkju9ROH4Cshv3NL8dA9YMoXP2
Hz3DDcblZqBCpSpsUKlo6529HSM69TN1/UDw+NTsSxuuQtjYxc0Z7Xd8Wh/aNKmnbYlWcz3sQ4Dq
0jIrVLk475LVuSDm+iAoLgKuS9RRQ1c7I9xK7UNegCfKCrXN5CLGOY0/1RY7MTnRt1otCkcQU0+5
ZgY064k/NVZ7WnqK60hbAmqsisUn9G7W+CDFNp3Vfz94USVpGM4/c+6LIJdTe27VSXqia7Nb3xle
pVJ5oyQy0PlY76qrtpgAeRMEvR7CqLkjGDPPqEn6UyZYtrH+P1dp/wZCJL3VfXse0ho3t3N09JG0
vjJ+yFNkMfSEdSk51Lpfbmn7ddfEeITR+bhL79tZ3R/c1K121LCcHFxCMPVxRp4TTf4kTeGcOnN2
b6Lq/g5O+ygbMTJQY4sL5JfjDuMcDlPM5xRaBaK4me78SS4wF5ZmyTxlUSLkTXafyeqyQ3bMmQGC
wyUndGNhdMwzVyrYqHhIi/FjhJTuwR9jmAZ0H32hs0soO7rqyXa1U6ZasiUK8Xt1rdFXy/TQ9CXt
UNNwljgJyQsst5KB3IzVZScKg9XXOBkCGCgvkmCXoE2JMLCKCVLinDFkE+E5cSAWlp8GHrq7Y1bP
FcCskM1xlA5/ZxO3Me9GK/PQW9qKwkYPv1eDbwVV6u+FS9ajZPgnu/ZYOYV5p9sILCxhfkpG7NZx
QEZKHnWzkw96TjAWxSUykFTjCBsofZdOI/inJNsv746qW/d6r7lHLatZkZQ8q4o73cf8uJH2odsV
Ag7ui9bN0MjSICw1bU9sLQlbvA2Jn8yUHWnhLI/dos5DNyXcrEXns1EqPXvB/qenTUcsbsXUWRHj
bhTVyywjQeHCmh2fPHPh5ND1dg3IZdPLrJbpN/ER/yDnN06hPTaIFLq+OCw1/RibuJkCT0sByOQx
gfAVKEihqMlldB5NM/dH4Fc8JZXX2iDcicEMd3nmkMZjTDUuVJsZJmpqMm5OU6izeLNgf7OBe14d
/UkMFpfCOrOK62OOcwQFhBcjn2BO+YZm5S5TdP4kTxGxaxa/BAXlbjQ2iqwMMgFfOpc+ZUS91wum
mTK2N3wQUQU5oPlMH3WfC+QyR5F7EqlOURBqzxZK8TPteedPpAzsBjO5xxaLGaC7nQ8/ND+IGhkM
KPwRGVb6Aa6bhDl4B7t++7fDWeW4/F+5FR+cuQj3vTBXTqroy10HzBSGzg42HEnMGaq/BZv4Xac6
ijEHRGhDAwIJi2jp0tWvDnqu3WqAYG3iyOVw2ahtypW3woLEN3Wc2056KiomSCWZtp1gjeXaMOJ4
7bfl4Ij1ssKwwdQlVtrvDmEWe7MeClEcf6owe7Qd42XUUJGK8Le+gUpDYzT2UxObr3W57qiMpmDd
evwiScjkat0/mh4bBxjLYi/a2hNg0CNwvglVOfo00meyhP4ZtYnuEnUY5ZX5olY80ybPISftsF/z
aMOkdQzQl/XTJn2cCtNTaccxWFI/dcxddkhaybowFUhQkIzO+lG25Kmz71p2a/0o5suIYJ45JZb+
VIhfdpPXngXiwNfIZ99LWTHrnfKv3u5HPoXyD/mdkATj4TAmBvGYQjASoSwmpHkik5nMpRjtG/GG
n/NCkRPhSnyzXT76vp0JfwkNNPgq9eO5pseDRv+Suuxf2qXfiyZz9/2qokeVtP5qyOLQdZZv8Grv
4D/V/syYcTaceheK9AkYdUjHU/4Gej95S+ow6ras9BiJ8q1VE2GqLosCzARnRPMIIvsTzOHQF3r6
bDvfdSeMvZWwEc1/t8uCsJqUhiOLCW4LBgd07Vw7vYKYM6l3HglgldXmhm/QHgzIqY6au6ATrDBN
zon4WQWwkDFkqCKob4OqsQ2vbJAhGlEN5bNcg2WGzpa3rJvzg72EDGG3PJ3c7g5qqlnWZzf66EeD
HBL7Bc+BGXRDDJClQbilybLYp9bnagPcTBGYe7P1SppGtLMXeRWcJBg0tpSO8gRBEYH3rA/HBmcH
0Z/kcnE7EPcQrY+p6tAK6hQ+LWr1jnjvBrH4YSBaldzNN8pR8n9Q+eyyxfqJSmbkuRg3N8x+hR9+
SNctFzEVXyuL8GB1V7Y6dXYY4/xhEaV8MNdaBtjfSvAw7RsTas3DEdrAFMnMo3LSF2y9cp+EehdQ
GmFDzdf0FsftBaTXk5RdeScB53Fdq99VnTFjzhnHFPN56qOYiRzcSxkqtI8MUA/Axzv5EuNcOmP2
EYewwqSAGpNor7iXzPdZ4VUS5p/RU1EvaXQley0Ybcw7zImqM/O/J4My2XA75MYDq/KcA507Gi3n
ipW4pfY6dwwnrxtZG/qXcxTxpF2wBaZEYJndHgGTvDAisS94kj8hC5K1JjM/Bfp4lpX8Xvum2KvS
eQMrOL3WDpdTtEbU5MPFdpWOn8v6IN3LY/Avb+CmqDEN9z7If+VA87NIP5ERM0pFxNM8mndoq7r9
kkL9Za63cTNa45XcFHI6e1qrkpWn05pPs+bMOzREsMQSjVhVkyhRXrEnq58NAD/GTo4TmNh2QbBj
J9WjjAkkUAz2Y3NvoW/Z1SmGDqM6U/ZR4KzrvsBEHiSDjp+myMWt7QtfCWZNDbTIa/MpARVfkhxo
AParP1Omi8AecLuipI4DS9O+W3ze+7ZiRpCJcPV7G0exy9yjZAmrido6EDGO3Gt5N5yJ05gRyc4x
2iPOsuGpxj5EOxQHMgoZS4dcHtooub/tsOITwiTUOjbhbAt3cExSXlImr+YY48C3oreFxO1dQwBs
0Z+69I/Q2YA4afkFMc5bhonuDg7nwQqdzyyWvwwDIiQeKt2Ph3fSpJjuLbQomZXvXDd2vL4APVYr
thlTxSqCLC7SiyIQ76O69m3kQ/2N9nHDcTk0JJECsk93dvzoCmYesZF+C4u/MCxGiuBYu4XD9D0v
BL+5tvL1PvpjJ8CVDQSvHuwCOLV2CrsZSLlyDnRRD0VEfYjOmtA45hVuKM/5JpEA0WbrCd9HU/mk
pz6yW4KQMXTjTphwuxZJCdY2gP7c/ugo8eXCK1Um7h1qI8CXr9My0ZswBPOKYqVQml9Nfd2oC+Ti
GVTxg1WCyR4+Gj0H1WXDiAnjud9/LTPheqRvvCL2R+fdQgikw/Ef+6aeLyx6PWQACHBqEyr2gAS7
uZLxG/pj3E9B3j6ObD43MeAj6sm7PuM2FEP/o8+5r3iKCxgAXUFDguxg+gnHdyG2qOD1UjXDb/Dd
oTeQ7DvN+IQkBlMWROrHSMPjWFcfNjMLyXvpreiK8QfqpbUDRK2xL7f/ZeQEDyuXl8FuPsWlrxu1
j9/oPGVmzpKKNS9bxEPZKJ9C51rzzAdY397VsgRzPuHAZozHh4u6xTwSdYHnAVDnrquI84YaN69u
6G2hGCvCBT9N+FQj/pvtrWwuv3EmPNYyfbPT9m8X181+Fuj4JhhqCDbr8IBF/MC+TRxBR54Wi3VC
/ZSp8a8Y7MEv2EWJ6DfS2HuzLCi4mpJRR9E3KHCR3xStfI85BUw3ZZ9jdB9qZMKRs3SxHSCHCB9Y
22BTxGuT7oiPD5FlMtVdGqdAdwdyfJ3Vi+yqakfRreBfoRmaVprFAT5H8d2bbc/bpn3T3TIo70kw
LFDDIzxgyLVtUExn3Cn3OWNzu+/C/lE52sv2jazxqi6rOb70P2B5+oBGnfHFgibXhtdPN3TJU8pH
CYjvkMnsMrNYI+yeoquc+J7C8knpK3PFCRNRtrJ4C2c0/JnDeyCfWUnO/i97HZG2NxWxTZj76/EP
A3ZmDiQaHQuyWeI2DPAc3CanhiLaJ5dw2VinmfBbvD9cZZg63HFE4zvuI2PZIOj0L2yjiEjpTv2w
Ql6b6ysDbZQoitUJu8MHdy15yeXDOEXv1UrB7zLEmKePQq5OAPfRV1bcBeGInsFgZ9DMbMNN60ZS
FOr5/tB32qnsuJDNNJ79phuZwGXxD40fExE0NB5sc8W+Lf3Sy+Jl6A3rjX1K7YUnU9PkK75JSMB5
FeTQgrltklts9vWvJb3AJUCo186C7CcGnKTmqLvTIC2LWRqbsg0915V/TdVSm81kLTK9s/ithC00
Yu69gQ9+VxrJyxaggAt85kLgGaXF/K5NJlKDCyOzES8YRoOixT08cFRbtWPt43jFbJdaBg9qvBxb
GwmwOUzpxYJueIBf/YAGsPw/js5iSXYjCqJfpAgxbFstNcMwbBRDT6wSlejrfeSFF4YXnukW1M2b
eXKPiTks7ak/pw7Bp/ipihZ3b7OYDROlRpnhAp4HHAcNJjGpDjCM5umX8W/cexkabF6Nh8XmyNUY
DB5FKXiGGeOroegGHRjavG8UbnmXOzKVsXETZUqtoTtDsUsK6NO4EOOkan1RUradlReDMlyWWtKF
adcz183atjEpYFehU/cWPy6u209ysLRMcgAYXBmwFIsu+tq5lMY8hvUSsS+zMZAAemcxgcK/wTnU
EOxMd2xPX1BZPwxD8Y6CmV4tMcPFmCZ0aqE2vd41557rrUFwJpSYmFvH0F8BFiP7K7TusZr8N1h2
emx7ujkXoip7zkIufXmqYu26avxNm0jHvuAdkrLH3KP2AZXxXKrt88xDeTAtiRkYZ32e07hhwbnY
2o57QO81fcMz42M0P0ys5M6QQD/cZaUwjnV6J1LJfCUOkHLZAtJtj22mLwCxxyOVD6Enc/eAD/MT
Mc73qKG9TfCYjUJXN5R+8hHBF9oAjjsQI+P3VhJeUFH61Kq8ASryfbixHxF5cLbl/QJWX3nhHApU
FHFUmQacmCrwOwuPtOtGp2xKL0nUZGdd2M+6jYvBRqLl7uhOthoTziuN1f7jL7hPLsUCBbDcWo62
Jo8q+1IUb/RxfIFDMT6T2KW0pXFYBVdUkthSEb4iMQsQCiQ6211GDVnLdrqdyvS/5mogvc9OOObk
yCNUiKBlZ7yZsvxlpr0CV41z9ViRXVeQyGxgf1dq80l06mvi9fpOGcvmqEoevc6a02IyIqA6fbjF
Z8Mn8d5EFsMPDOOt0iY4bWvzRS1ueWyXYUoJ+obDJRwWUmI3sw3SsdF9Z4pWkp1Ns2CawrHqZecT
9E8DGhUOVFk5WwNgIApEsist7VwtOByUolFQ2tUxUCb6i1yJVGimdMOkGYcqTktHPeIbm+L+0HNn
PmJnILvjplzN0oUNispgWxIaMdYkIybcN6AINPbYhvk0U/rFTKB5BAz17tuozatKg2CY10wcydLG
vKZsvxrtIszc7BUHx/rhQQG1VD3eNbQ4+XmSQ90s48eSYNiJ1pC9ueDRNBLvoV+jfBxunA2zH6BK
U/s260GEyPmZr65xYrqOLoKVn4LZfOPxCrLSEk9ptlsrhi50mT2PEvEtzcd7B/TtKhEHlpxiec4a
PxG7gk3rOTUNQLgRBvLYGx1g+r4oMOfpSQzZovnlNUQctXBYyyYpbTVwQvzR8myWINjX3Zrm7Irl
wWQCAXX5QHXiEa03c1TWaGh0NP65Fylc1rjtp2IZT631Ts8xQlPObR+pXgbBQXdB16HXrfs0Agtv
mmH/ma4dc9yocZmRMpdOZgQdHlgUS44ayzWuLZ15mM2OXnV7bZlplZNaHPZL88+I209jBHY+aMtX
qkJOjdarx3OQ0vUh/kBkUY62AnNHmHhWXZLt1DsgL7f0FBDtqa9Ri/5niSqQtWNe5Gfpmd0RvZkM
dFw3XJSDsyNSlvidyTxMEYY4TISnApuVeBU7DOH8gR0Cx0NRCTewJvPoCO/NI/qZglotx6Q5zSVk
YoCVbIrmm8diBfVfyS+wi2D7UlPblu7HkLrR2aSBVs3ncBVy4DMzmT7iEou2McvP1XVYBTHWQ/h+
THPQfmd3QtrOcxIJxL23NWTepKCWooptLywnx++FCmi9oUxycixSuB7NQOANgl4HcyqzrvOxQDMy
WWslQmOho4irpxGoBaOBV8xSg9qaj5ysuSZkyeFiUk6twXDutVEAc3XcGogJ2EnYg6+FBcPI3keN
bfO+xPo+aj5zOtseHGV+LLBAb/GgA0XLt0luPRVR8qn2iL4dbGUzHjmh1drRVc2fRlt+PZiBy0Tf
hvWNM8BFRTSWndvnEH67+hBV89Nsuuvz/TDPJduPxjgVJd60CQVtzODJ0j1Y7BcDg47wpBEswN7B
JWRnklBbfcrZty3OXdYNLQ+ZcI9V8e9/5yd9e9UFRf2XK8DxjYauszGD5uq2eBI9Kb8cW5yA46B7
4F722yRlS2DSR6Bw1ZnMuMT0mZaz6LIAFqg8fIqcO6aLQbMf9tcXU/R2oKdMSLY6/SreyApK0VI/
LtSXqeVeGjTuIEFDZUyz2jk/osVNa1E4OKq6PZT64gR2obwD5zePnHQJUDe8iVSKnf1aHy2W7o1C
Ekv5jdxKIfMDw5tJFU+Zt6QYtYdhQwUfX4SG4GlXLFrlPh/UfVsMmDVN+Qv3xg6m1HldsLhYQwLV
VTEeMeaiqbKx2xY4kRsoKy+6ZsHr7ZuNYCkUdAOqfUvUH542WZyx4GwP8fmvQWxi9Hsm36fypMvs
QBPK+GY7yc373/oLBja0GLUIG2WhkeevXZ49Y8zDniOyBPi+U/hlRuRkKihkKRINfEvsniLh/nCa
xlALijJAm+ZGotqd4bi4Z0qandz0u0Li21a4MregxfULDn42tNCQ9eYnwzdzQ/yQCJ4M7Q6WAeq9
p42jl+LKRcxZizabDCWHz6JpfY3FLabgFJxK1L7B/Q6tdLRofdAifCZ45PQG+HlhdiJUsW04Mv5i
/6f69DsQR1kmxB+JcJfEuNwmV/1ii+Vsm9VPVEp13texeWkFAY8avHWBAzBxi2HnTJyc3ZJUcvWC
/mCe43pSt6NSUO1Q1jei6EnI4vSFwLoBnK6JA2tpnnm80NDOALqtnA9XZ6WaMCzs6WjHLxVdsfYs
gsrtWufE5a2o+MWtfN2bQG5wKfnGtBJT0oOEzMqZicEPe65RYc5vi0PtCnC7lbJsIxbtSMDjLjeh
gjYdDRXECjdEmppwFOZJKlXAQjTad4BCqHQMOPQVG2TVeYudBrO2Eb1WbJH3owNJesDanap0FmEh
zEOZ1+dRMAcQxM+IQe/IvSN7sKlHQIIKkBcisBWFsFDEgcsjaonz5Ri3JA7itPybxoyQ7uztZzNd
K9uKz9TETO8l9XjUWSDNaj3BW4x+ZL9gfLzX0excVMfBjKm7ezOKnW0Prh+AkHIftGQ5TKL+YGU0
I+/+mxLcyKVVYAEhN04pieUPndjNkN0PGlYwKBonVT5oDRQcj2SBb8Uw350sqrYiISSdDh1GZxyD
S07xmo0GLGKU7aY5dNGC6K7B1E5SaQYc4y0uqAk0kLSyE0MCknjNhP5qjwvt7CmEaz1BQGOtzY4J
1n2F+7/JY/fYCmO4NaO+49KWh1nh+y04Ct0lNWNzNFmnGVzIxqhec1ezTxwotklR0ZbbzzpgpW4O
UokJM0vi6VwBRmFjJ3jFDw9QI5Rj1RnKEa4NC2YRia0hMf+1S9Zw7aHtRO3s6/h36XvkOaErlhdO
A0ycBEn0hBJ6n0mx7Kc5kf4CSXbf1S6SReJN+25GQVvHs2BgdeT3Ui2x5RkYqoX8xxF8ORFHVU+k
TL5zLaNbcsFKtCnWPkUXIWqrtq1yYt/EBtsDNQER59Pua+eEsfMnjWaLwQwaOh2V7s6wYSQyuYLD
7xfAWhkZQ82MrFuXOscvwuz5YSBU3RdM3YZWN7tBI2ehogYHdSltPMLmdCOESX42odWucUY2Kuzb
3OKZZiDjMTXbfaan8dtcxfo5p0558//fRq3m7jyvFmwc+LcWoyYnqrw49Dx2sFkr4pLUg7UhsTKc
UsM+JjjjjjJxL4qS4HigV/hciig+isjYDoSKaQlQvpTE+Af/Ig1762Bo0RLWkXifMI5RAdB9pYqZ
bhEGefkOVE7eZi2+9ggoR71lbNEX2YdavWv6Xn1x2HT65WIco44HKUY5cv2+Z5jiRIHwin/EkTXP
8+DXHKAIvmkQbJ3UC0oTA5pMacJOpL0dhlh9oC6puqky2VJcrZympoCLzgqkN0lASYdn9SQZ13Ll
QsjLYUI6LUPRv7q0XUys2mxWIGLEeFR6UXmhMxLcfUJUT86tfuyYseepgkFOgtWt17yZVcVXXW0x
CnwCV+9uqlAinIX2S968pe7HnMRh6T7H6BIL2ohTcUIQBPAYFE37IW7L8+C4l65N96aWhrX4mES5
V4cFu0554jyyi7HkNu7zGEVYHqhfYQniNySpOs6DDt9mmoOTubM525UTBOMSuhXmiLHzNgSjXmpM
AMvkbu0ET4h+7Hn2qpr3rLHi6yTUgKk5TNSq5gZRnqkl/c2OYHrTOorFu9533Zj2oJM1YJmKD8ri
4NSmH7W4aj39DixcnYZYZMnGYuqNUwfi1cEqgABF8yLE8wUOJL+Rntm+27x5KGANAA6M5scGE/c0
bVGXjAy/U30d02+3p7FGV/ZNxQjI+lMBaaVRvEMNEmhp1krdfrLoP7BFiH68H9UFobD9SCzuxDmp
A1E+l7bOgpi9hGSEwjynwlGR8C6qtjvXnndi9CCW8aU09iPf/dbqnWAw39RpOaqUhhSjJD8131nY
A7HrXzQF17MZ8zvfFMrP9CcZv1hWtYOLFdjlJlK+a6h7e6IHVfqmz+8xeB+H2k6LogapMC807PqZ
qYzmPDWsCUVNs9O/kqgmLmcwCNRSjbiqpi1NwLiDBWbNb8d9KhpgDQRzqLgY4Hd5youj4d7KL4AO
iowofvbpstsw83oT93gbFtdnvI/xVOE99hrKN0UdLsghEM8j3KV8x34/1Izc0ylrWyo06GBzgLRg
0xmwbytqu+sNnATVnW0Oie0r9towJxvPCWhSP8i50YzBUZmTnuc91cQnahq8kdLgS7BPQnpfW4bH
TQWMszHOhL7ozSZmK1BBWMj2FAXfSrO8TMsnJam4EH3FwuQ+aT5llZvFDpWyPmSOdZzQwpyIozLB
VASwCwbL3QKQYcGCvjSFn3U/EVKLx2t4qJ4Kk68HW2CJ28+Mdk7efuLgCEiVhckUvdT6sBtAefXj
RokYOE16v3gzaF8mq+caPTRf/lJhn3QKHGILgK5PAw8miXKr090CGJz7np9lHp8kGyCXpiazXiU7
P3fjzRTpgVFF5wQWWmZA/UBDzm0zrJNjnZ5Ime1tyoyX6R3X+T7m9A88g7OOcRBYNgb7O26ecu2r
t5ZdXz6qiLy596z3f52V/hpcs1X2Q83HRq2PwN4sRjS7/6rVkzIW+InaveSjsp8YfregMPziMuEo
EQBmIHZtNIIjbBjZLdAWh/MpulYNWIRzyrWU27T1atmOblM9pjmQjKnuPchOfhR0g06IBKyz9/M4
H4z0tS9+cHxvSPiqLITT+qaWl7ofePIRiNDZ6qfXfAUiDNzo1mdXPZd4VhSK3iD9Fu0r+LA9ro+r
ah1VLKpRdXdFvdOKmVXLpVGO3CB+np+JQPgDNWnls1mzW5/bYKCOIio0v7MPbnGr4n21CqOUkefy
fV2Dx/lZYUOJe1O1Ll20Y5OM5fWYTxSU4IQvPd53VOW4/GwJYemGiGVK8Wn2hQ01TfvLiAWhHMOB
lfawqL6mnHH/7Sjy3egS8yxaX/OmF4pf7EpsDhW5So3vY+9i+8x4LCoEjaVObL3bZ61HxdbPug7s
h4+ml689CSSqDLYauqgjt+Qe9woeYcybWwKdIcvNbZ8seyt7I4vc0EhmoJlPknJnfQgmySRVgfVo
/1K2ER6ibOxdpYszB7a7O+Zb1Topa/MvTL2JbgjTvIyts9YAbzp2FigPSMaEQe2gGAlzYnzOr8BL
jo68tRE3XZFQqHJQ8nNPmlafb3B5yCqA3+YESXttCw3JojelQEykQVr0ui+oXpL0BYFjWPvfJRBN
UpU84MNuoPwdo2iVB9UfJyBwwnA0EnXD650VD993Fxaqc+KMA3lrddhA3YogSgAcwbLYjP1jlYiH
FOwfb2p/THESUErU5Tc58SSJuiPHXN8jERMbLVIlQwmL1blIDg/TnD2QZt6pDDdYEDDqtxDPbjXG
VswkWwu/Uuyh1BGEpg50pneV8OsmZlsPKYmuOqjqzLNDRHMMCUus2TrnKwIT7Bt6v03/tOl5RU9k
+LJZrrEBoayBVFDL6c8JuNImlkw1ltJC+1Ej/j/VW0MpSkX5lkk5Qd4T+G3YgZJbzyK6mfMHoD4b
Cp3gbzNCJA8wDBhKKImPwqKLaBgC2litHhj0ixnNXmzgomw6U4ObooDF+l2zCQTDL8LoDi5u5z7X
Di72kVF7U0nJLPppiJ8UJ/OVtiaJb18894keOdLa3e5xDYfb872teDcYygskCbZSvEToktFIQBIM
XX1Zx6S0gsxMLu261VptVnLcT3h9sOyNQPdEigukLPdASDZI9LsWYFeem2tx3VNcyCMzsp/pl5LY
ASMxX/HNuFvioq6r+wxMQ8gmgxHcehh4jE/c1HN3ZGkry45MVLFVdIFLZeDcyoCm4zeDFM0W+k1V
3jFrOUShZbWjzrCo2I8BjmX/jwL2HPdX2fxE3Y8xvqUt+t2LM6lPmNXCJGb3wtje07QiBWH4ZP42
KSPuk33r/bMo4DC5TcXQEqUan1v7e1SxOAq0D/Wx4Hc0uVOTDj39pC/iSbPu1XgcOxRnqzx1xg3P
3EqjCsro3tbZg1ulGxGdUjcNIH7RTV2f88jZcbQ/Vum+ttT31P5NbdPv/ch9cLurjSGpcjzcaxOs
z9F39eaYadw1rFhyChWrhMO+bPZGj0BN3ZsBIU680AyFq3IfuwWmeiQzGJvuj1ldtEoeHOgrdlGE
Gj17gN84B2QbUAatee1qIqhpBhG2D2Jut9yJ7jqP+6R0rhDDPhIdOkfuEV/5lgU69Eo1nTHdXEoE
Z6LoipuEeT4/dKZ+VBBwrOnYTocIZbg28FZF187MMWr/UxbDZ7d0Ktp3vfszQfvE6JtDomDeeC/0
KpyM8eFekqcCCuvodEPGa96XhLC4Whn2ckKiM6/x7tHx7K02OAfDigPHRRDBAsBT3R2T3QwDXs8Z
f96blnMT9gMEtv5GEffkThjmprc45zmFH2zdTkIPuTBsBprLQ7jsyqDJCCO2oehbjfeYOIjMDLie
frwWHENsHJh/QnX+xyh+qqR40Bs46Z7Xh9W4hko87hDzlHNzWtE/V31JUZ6azDi2y/toPxfmL0Vc
gaEA24F7B+5NwFB1loeqch9Gr9pMrhLEkfJrxs2pXNitKi941J9HpBAWK78KXQq5VaL9YAIeEdQA
J7xQAEkTAShCthFEsJhzeEfOl1Jx6D0mjWun2rlJqIkxyYlPp8QxPxemMU5M8Il4rtvqWQidpOG4
gQrDeZgjPucuQn950t6Anp+mOX/HTcXpFGKnyZnfdJ7NxxnL4jxz3gHth31EyV65K7a625wFfijD
bh+WJEb8LLB1oyRE2tZzmL+b7ilacmQh8QQKF1uogbsAs56u+MqYnF1zOTZ2uyORaVnn1koOYpoP
xH56gwjEQsW6fmZQ2c1C2ysQC7NbmxRhsW+gq861dYZjGsQlB8LIjb/TTL05KAWsqA7AR3et+d57
Vy/pKAOLNw7TvuCI4dUK70BWOINrhQXlq5L/0sppkcDE5zX7ngVl03nbJF630x2AO+VnWY1SGZqx
ZDF30upoWxjJzpr3i9UFtY4qvB4slI59u3i1XeFnAg1ICyN8GFwslLMUgwGJ81shBV2b+nNRVU+g
TgOV4a80SVhyuatQjewBdJl+nMyDKjz8nvwsWZ7unXnvWjCRFBl4IK4M5zkbhucIKNA6b6rQXylc
pwJLNlBOTExrqMkrCFQeTD25IeRzCBy3Y3UbHCO0zGXTY6zui/ds/VH7Ozgz1soJ9L4G2FtNM6J8
MVTiFS1FjdK+LfJxdYRow5ftGCdr3S3Gn9QbIEhO29p5sBay2jNZNXzO71WZ8SyffRcFL7UxgTAu
dZeaqC09ekeDTkNibUt/LcA85vZ9mCHVstr3lLcaVgbxmpDHzyJOniJ2utu+dSyiTJJ8HbAmogZV
XR6Q3INItfY69OCM5/CsXBZleBqn6jHNI+YMUOhLFZrgcpOm2wtnDGVMZgoVO40+W2IkTinpZMU9
7/BdA9/4baEAQ8jZjmC9uyY9Th3oqJGCqzbUiP+46QfAynOMvkf9t6QdxDHvXffYtg8r/gXCsGLe
HeO6MCDhWiigsE8ckxM7yCbIcTFJIBb9jarcbAFj3Q2qiAkYIFO+Alt1FlG4sNVsefVM/DcSS1YB
1ljFpauaAiQRBrqM+h2e0BTobluOcRUn6Trq/XklxbHLS9eWNroiZ22TcA/UPBsQg0Jdj7dj9io0
axcbmPGTl8jiUK5BGHlgUvfbXWa/DdrOjauL0wNlJbXvnnOOKl79QIR1lF+8R7M1W0DikWxnjA+1
4SnH59nj1onlX1tbHJRYCyY2Ac9fVZkIdoEAZVbXEKLlFMR5WLU/JX7nQSYbLa+Drn7AfnuggoQF
IK62ESTCBmjxpoCagDFrzI5MjIGHICvFLe1rYG044OetNZWY8io/btu7pu5ZV0KlPxJrOTW8ybq0
DDniAKXz2cK8c+DHr6wZeM1CCKUHOzqna+5VHa9YDIBGuEdOXqkVQacgkk15fWd+2IjDqnLVSCxM
seBI6N3Z7LIS1gTWrJNBz9jg6BzyOKfS0K0dDYhTKpucFGEFmTDskzuLN3PTdkEH1lhPlK3Db4Z7
jUVzFbbRfoQGHAOunPtHxgS9sQF7HWbd3qTq7Ld1/qzHdyARecu25SrARET2J9kNbIKQLor6TU44
QB6liE82GyhWPX7VnDqX6CGp+iIPm5QsxFtk9Azrjm9aXViuBxkTkG8ctthfy778AhH7OZknm4mu
qKK9TvLHacz9GEP2RvqshfO1MOoNVbX32MPScufl6CziKEhO1WhpsHd6++5BVeN6SyjKLgZulLni
3X111H81fatKCSj0gAemKrWQ1slbyzPXtR/j7ikvSWLXiMtOyA4yK/9sBRjKT558Cu8w0mEETGUb
Ifi3CwLViMojb4PGQz+o3a9YUw/AhTYlUM+iI2uxFRRgK9LX2nXd5vqIUyCXDjk9rf3eSc8ax8kB
rKAQE45XYHDsM6GsJPY+YUnAaiq0hna7dBqI+WHXSBeMq/dVpPPzovehJHNX55G85NVwNhXOYLbV
ngUQT380ByBKUn0y2l9rGLIQMsCRuhAO0/SzBJ6qDSGFLM3GG63uCmphw9a+D/NVZrGOKVAJChO8
l9yi7hoQ9Ez6hFV3H+XxwarH/dDzBduzYTLIJGAVO/IS0sjUbb1GsuiPzM/wrFD3r4PX4VNMjHw3
xeZTXjfpoSESnWLACCgxrTZp7pr7LtGfprYbb/guqwA/V4wGCdsqM2OeqHg4MfKM+Dg2XiXUoCvL
X7gKA8/y8ittBMqQgcRisEHL2N5G2BVucZNdXSO7xsNk7jSJQlcOLnokTbebcVvDAN1LDKsHyl2o
fDLcrefNbwW/4AXZ7rVb/QQ0l5a5kh5zFjEs8ddZkEQ13cw/UmDjSUldmzRGXSBgvVYj4cXebeRJ
yRCNYbseTLsLnYWxzylS9yVDpdxJMwMFJLqtbTMzeL0RECu/Tak97cHJkFkfhmqfcuVYnUe4wXtj
3/A4VEB9VE19Qc5/pXACKxRtEJC1pMAk2pfPms04ztctFpcww4T3rXL677oZUd+iGk6+88KUIAMg
1WGNBBqk6aD5dRdNOwcbjakOO71P5W1NM9QFXaQSsjpcBPuRB/ljPg3AngXwYKnyTKTk+5+GKf0K
NN6wI9j4PPsjYBE9TblXFvlatoCOHac//N/yiH8x8avIkLtpIqClFZrxgMT9HVHf1ttO/VOAcIaw
dbCkVh6GgrPNkCXsk6wkmHmHi18BUHc/egy25ZzdXWBeo2bomy76aC2ARbu54adqR1Rusa5r7Cje
2yDjN912TpM/zVFYTC3EafVkqQOIFN6o/GkRqYeK3xRULnYAvTx6yK8CQqJ5yyyoyYtSMb1mEHxa
mSHS6rQQpXG2/UoMDi+jyXjuDABeaThZbHEvczy3C1iLH5F33l4blD+s3synbGs2ThS912PGOwnu
DMB1+121Zl6QBLl4NDzYVsxDx0iRYzCTjbo6+vXCdqPLu78k8daDD8Vk7UTNr6orW1Y87H/mNMxp
C6o7Y+ASos29WZ5cvGzrddEMnrlfTAB1peY1u9aOXkYFFpcVF0c3sU9prICqRpbQrPQVT7hzNMn0
ypTl8tKkP47+rk0c+f2Kl5DSXrSZvnNjKfTNjI1qwM8JlhooZpsfTIEEHa0n4gkwl2FRteWN5XXW
nEtRd0fdy3n6kccVtYZuCIV8M6S4ckAhYtTtcxlmtbaQx+e9OSW2huSQDxu7IviHE2Hsky9w4Dyw
plGc9f59gCAeGeN3YTR7N+XN1+gxb3blhPd0Y+TtYUFU9DonpBTvojTNzgAmYljFcab5nV1gUNhY
YI2bkTSIpg9l3m2J3h1F+tJn7lHTqQ7G9BoPRdg6BvyK79Y2IE1qmJqyQMO2BTvA0RX+t38WwNlW
r49uRayU0S27VvBl/ESAKOQFvSd2FHBeD00E3yx+QrohJT2HNe+1ppjx3/PaFi8ER0IM5KBwKZhh
La6o1aOVPorU+2Y+LsGU2Kogj/U9mT+0P6CiflaresGF5WUjuZpdjk97qYkvfDnuTWuxrnpHGh5Y
StAxXck3O8l3kKTI9TRbZ3iLl3mvdyCTox/UtOc8EvsmdU6tRnFIMLeNT5AoTLuIj5bNFkzQPCd/
ZRunNFF3XpeHAyUBtne3+36n6y/N8i/Xvyb8niNYqpohMkI/jhCstWb2CTxftY+y5vRwVTw3MLRX
SnL7Cdz7+jFV6Cy1+9qpHMrkpd1ZhCCNnSq/cnQXaIzI4Oxbc2oZ8oG2t+y+IDIYCZMFyMGsDRIe
fgvhf9X4BxoCOzpvpwkrF/NFyuCXtviO8+6omc95AggHO9XIx03sjoSf9zisBV8520FM4rKaNtA2
j0a20d1Pp9xV2cG2gsLz0+jBaF8n92xzUSUrdvu3cpdDDUmMLhuGlWztANsoDG5pGcScGirojW46
UZx3XuQNJIsf15Vfj40/G0Dq5YNuWvfReHG9beo+/6/6OntYGWgxrJhbDpurn8KV9NxGjwM5FSs3
cHRgJp2nS14u2zSOfMd+csVVLxtMEcvR7KHe5NWlAnc/a/BfuKIm40nSuwnXIGmAQ2G8MzBOV/qh
wdzBaFZEIzG0tUX0oVSzC4M2Iw9geO5LRBQ8ZPQNJSkih+PXiXJYPNw32MBMw+Fqx36uHIB53Gaq
zonHsHkqt7nJaMIRv/zJzDeqRZgFwZz18E9Ce/SwSATcTNLq/CH/zPApFcYbafmdwYjRYVLetPQD
9/i1vQXIKPri0O8E24tlJtdpIbNyDCgZbrTzJMWGQ3YQm2c5o2i42uOSu/QDy7+aIb7CzFSQDDhK
mL0DehIUTn9i15xjkJxOXfkBY2EZcSS5RywXhOpWhx42eB9tipCILwSGOuifnkT8Ds2CRGf9Baxm
lY7kI+1xArfn2AMnod5lxOGV1VuXxV1JK7H8ci3yBQn3SLw1xX6J7lSDW/yOCSThqBvZFe3oXIHi
i8hzFe5DatMRQQqLSoENn1Ya7zhDO9NFU1Bdlqcr+4FHQZ1e/ahjswRC6SvGRwveqzWIP2EwcyNM
1Acl686A79n8vmZs6gBVBayqIQb/ZjxApw6CdModhdlV/VI44RWy50X5qeB36gtenNg3p4FkPssM
Dye70K629tUUnyW3yFqn3FJKrQuqTzS/AfJBA4sy8rNfZPHRaFbocX6ZBEgRRKFMx9XVAJ0pOHG5
P2pM1gVNQs2TgPXtJipaaMTcThZBGGgRbbaWWGhPuavy5QimkPbUJN1tmU3GAe/SZ861Z15a1Phs
lk9w/0LeM+jOIIxS8nK1ir/1ZdCHX61p7sCCky4/ps703BbaLoPtxHSxafvofcgqCumnq10nv4Oe
vDnZ2jaDvsOHOHocqRIDP9HsyH8TOOK0pLEILEl0ciZAvJHT8BYztI09dVu6gx4iArbqch86I5CV
+QnZ/KFfqZic6JKrE7uhowUszh9dSYIu8vyq0zGpkLbLNjb6/NBM59nLOOuM1f+roqFVyCPxGnRr
zqbkCIr+RWJuBPTylmPM0fSvQRPfA1zkoi+uVcmEyDu1pHOaxRr7pfSYGJ+69mbX8d3+0vqHlvBZ
1P0WCp3rybfZqcdOT4kcux+jMoX6sj4q849souyHT4YH+EcnEZs40zpczWvMl3XIAFQ+KlvMb/m9
IsXN/hbRv2WgGRKXmJA4xikdnTGGHQ8xva49LmH7EHvmTgL79NT6QI/6lg4LFiUfFNDjMJ7fxiJ/
lp14VEZnr3LXVcZXB43C0iUTi3tapi9NguoxoEaJ8ZDC3a7AE9juwollo27E73jubDi9fhHogy8j
KijLeqM5Lrvl9LBQNjrUjy3xPL3FwS+TW+kl/In+UCegopqTsmbnyN7q2fSMJ4/Kd+k35+fRZHZk
yFEH5W5rC3k5w6/VgI9AcagNu5UsDNlpEbg4idp6jmZ2RPM3B0ON+Zhayg/kE0Iqis0KnD7JjceG
1W2vrTJQlZRyYO03XENw55KVzFjjHOIvk+e5jR9e422vkm6JzT9cBBVRehx42nJLPN+Igri5GNlR
7T4Kz31Q0503P2IB5zybaqelteHpavsMGL84J3gJEh6zi/i5c7+Fc/JC79AWJ/FJ2s5OKf/1lbZf
b4ohfUvqJ4vETgXUKi7/4+g8liM3tiD6RYiAN9s2aLT3ZJMbBM0Q3qPgvl4HWkhPTzGjIdlA1TWZ
JzWO+zNCVfgWxrgGbGRAUTxm2bmuXBYgyNgsxbMSyM8rzONmhdcJTqTg7iRJr5Wx2qxg82IlsrhI
NJejESQq6yzcrOQWaABorvEbhzeOdQnIOlYYg9klCkhusaVFWDhAVNTCZBXcWQybBx6B2lhIb+qv
U7nADdYEQchiqVLnJXcHEegiOiA4YSOtbpFD1H+xpj5T1QC0xdBfhTviYIS3wZIIhb1yeYnN3DO5
7awaUF6dsaRsrGub6cuflE1gaMtbVeGTwXS7xrcuV1s7LJekB2zTAjOV6BmCcteLdJslyCkhvRpK
sFIYlTgsfrhRGBT0pUe8X9pGqwg/usfPQznSKqAJHZ4J6vkVatK0Xvr+Irtof/nXiB7/XKDGBDAi
7aLtuG0ewxPD6ZSsbErhclV9MBVwkDN3y4/gVRAdvJoVxxdnW11A7y6wtIyYFG/IifFk6+kjQLfQ
c5PzOZ5TOANdhoSoG88gPpid4Flim0gtObI4G5TvyC8YnVvdn9SttM+e5W21mpbODqGAeOgHhVtI
xfJM0NnS+UfD4UBoR2LK5IPlCBCS3+yCpA7zHI1fLr3DPme1q4xrvTqa9wIjjL3hY2uT3VBysy7q
dYlFFGc56oDpOCAHHoG2L/K/8QWVAJ0yvgvK0Ak7fL52tI9sdq54zH3RDgdkb4M/tBG/8exSBC2o
FXju+dK6iWAevkC+FDznYnIrVoTpjoy6NuVrQnWI8c71y5VU3PHUIA/Aw9kHh1ReO4pHS7ruu50e
7CV7n4V7br9y3FIUBy1zY08q96iE0MEI+Ea7AlodHyBkeK7NV+G2R0wSqr9orF9MvtY/8uBQzBZQ
xnqPzQljFPZ7kPCq6aSwTg+OlfVd20xOh70p4BGtKng4W9SuinEatSdb5SB9yM1dK12jetbcXTSj
wb38LHTPsA/COCfFNkjOTcWXMKBZh5kjzn7D7XF8GgFvwrscu5nhtagCAGNQtfl8o+Zd8E+FepOG
Ywat3kQGrPz4qSv9la07p8oa6yZYhDdOIgTSjNkw8FEMRksU66jY2LYkPwpKRSBA9vqJsqDRnzQD
LZNp60jhh+KkMTiwNgZU5Q3bAzs76ujx8SBDa5qW+G90xmBINZWNT1BvTYfqJqmLe7tSDwZbzuip
ELObeGg69XZTpa7abKHa9NWDg4LH28cQwXNGUhCLCyZmwTeYbD9EwcNjT5qKm2sPWyzbeGspm/He
Z8tx2vfvKiP5EGXKyZDWvU5iU4cQe+V8Jpy1eA3woGkPHpG83PPpNi2/+eh3m7qAY8myi5PWM8vj
xOsS+EcDBfUmq7c8xKjQGIdf0/cQdUK8rev5W9JIQHyfiLqzl8amMjhVwy9DPprD3ir2TePJ0s4m
EjXdcaor9jJeUfuMs7ZxnkvkpLGMd74hOaSNO03kZmVA9vVNFfxM1lIpuCzK60Sacok7a2WOmF42
KvFAyTYv/lJtp6k7MDs+FNPpXLVrHWTJHz8KPkPuyWptJ8vBWGnmCW4LH0+7HU5of0sUSeFGd6jM
wMGGG2aIuXru1ctwWspgDeoV7RdrXCnfKNO6rH+ZZFsQ5NptHQCGXMegMDiFYlYB6w6jN0q5IyUn
C1kfW3++1Pi82Bw07wR+xJShIFAQ6xVsI5dld28oZ5xfykG9Ye3GSnsFLNepFjLVUIIzalGdMR4G
5xQ+dnfEvsXCmyfA/+k+J/I/EihYSxKzRL4oUempkNJYXCDQxRW3nBlHOixP5iq7DqE6YWqKC+qt
ph1CzGDkRHhhwz4nd3xVarPn9/mILSnoF7XJPGWF+sZ8l/4ibpRpCyqCAn7ddgBZNik3YnHnreFb
J5em2zDXz+GGpnyCb6Xmxp8zxu+lQZJzdsj1ZKqUdoneLuMfoF/GC+Jg+ZgBD/LTJeemxgvLxgql
wqPtzW3LCI/DjpQvo0LddB8G+kKZtpupEAB99ToLSjrpZhEIgX4IHwtsgY3VeWp9rBAdYT6SUTA/
c3XDyi0SO5szmBckhVNA7CbJlataOY6M0iL51HLI6ONdZ5lJPDYjeR3TjRcXm7rh+FgBPkgu/epD
oytcJME+4If1ygaXg1j1t1mwSpEYDhcwZ2xTKhkcwHViK8PWqt4xT3SqJfMB4ksddWOa8LWhHIS8
3QeCZnkPR2S4w8qa1lWGQ4zBxKI/zJ6taa0A3CXOqZChs3Jiu3jn0vAa0kIAxEFis1JRTHWb6GNw
lqNz7CMqPA8pp09Kp75CqdLKS63E/bkKLA8kTwl+hACLxFXFIngwX6t+FKLrnrxjFHD8ZEEoVjYn
6UqrD1p4bnhwGGxnN+crH5eiRCKDW+5MplQynwdLs2bET7qdh1pNir0QWbxzakEuYwgko372UnwR
5WgSdKbuStnjWyvCdaKvC1gE7PL/9cqKr2+EAceq5jNAJnmX6pN+MbCPgUNhUUnMpMHdvqq/kojV
xJYWCjErLh79RfQM9RJ3JrigVn/lxY9crbr6RtRMxy+p1/1vQ+YN9cma14nXgo+t2fLwEEWSfoWn
CfkZmwiy/pr5tIVrIvf7hI96ukCLGHWGUKQQLsRBSu4m36ZYslhhHVfU28Tfscgw6SF49H37rDs7
oPLMbdt1Znkc1AbBBdI7A/uBsPbAjdngl4sWv+yCXd1w4jQYGLoIbN034IIsQbF2HVQkA+3OgCwl
+e+j5SHE00e30f5NpBVEWLrP3R++POgBP0W9stvN6HzZ1rYBza5DeKi9piIYqb9r+T5sD4yxYpnJ
JQglpGVegqCgtu5M3rQnx0V/5mbO8H1EXnHW3grjJ7O+x9rrcQQ3JSNu/qMC9BfyDyAuEFHtbYGi
y0J779awcWrP9HeVvelYcFOro9SYjtgxWXr2XAtZutSRj2PfWKiMM9a8Q1yx2MsaaAzYmdCFTwt6
gYJ3BQWMMVeJ6rTHj8WRhj61Ar7CEYn1lfpYXSYvSmpxLk/WdcZAbs2XtmuJVYr7ZTohjITRcJMs
Hvg1JDA6KOoSC4DXJbCpP9D/rVL5TIEqOuY/WMIXzIrz8h9FSWT9YK3g1uHNl7IVWWeJs03K89SA
vqVhcC2TzCmwKuueHaL/hfV2KcjkOBN1wfac6yth0E7GuMu9TUWPuLF17kn8hAEVLtUXJDizZyq4
B+9Rc98pR+wKAQOTblWnKyPf1YgX8v6gk6WBkIM4tb49luFZGW5SjO635FwnRgTXqEWNpB5iNCmP
CRn8BLM3sFweM+qqghYSCHMx7LH2EGPLe8Fxx0tXnnj8rJ7O0gMdBqAGnRjcq01QH0OZjMqZJ8FD
Zz15snbFkLMKgCY1l688VmG+oaClAoguJtP/l+4sul1yIDmSg4O/M26hlOElVzVWac++35GlwUJm
a2IWxLltrbV5fch8eanh4QmgMJG3y+lzgCkK1EdJ1gULgejHESvwAqQiBb/DiduhukzZfexhzsoX
qSQuAVkNHFqaW1bMsrSIyGSq/WEbOvI2KKOdmIQXQKcdSkKVaU7RBiKxRTdSrU3WqmYr3+Y0j9H4
x6Xdxz1SBUJhxIuUcKoyi7jwR2SjwerPUo8ML93qjF2YkmiKt5wn2mA6aSWjI7SVGZTGYEtiJEoG
HuMw5IQDubs8c4VcLSZdQlb9aEriMQwcwU6+ki1CuyU02nQIorvA+FxVl7E6j4OgzzjmxTeBNBzv
6OzCa83JXuSfWj2t8/Erxb6N1jP/bDh5R/KnYlIeJMVG/YJARvk0mhacdenaBT/nTlnLyAv6rcFQ
rASVkIiYjz6lzoC9hv0osThWeFmq08Tpr3ev1mohE+nbhvgoo2KX1SvHIR2xsyDcMK4BsYDxxKRJ
w/VYGxc7hRrEg2ANzJxTa9ELAgynQ8rEhxVv3THJlgCiB67QUcCt9OocCXZZv/yQ24SzfHpG6k9e
kzoREG5dfekQXJoyWWZdz+wLGh91HJ9dw+wzuDTyu6Zixfp+5ulFN4AVsGD8afQjE3u/++xKY9E6
jPYuA7CptHrJ2ifZWOjdb1P4hujDJRDxlqI6hjhpekP3nuoV487AAAYyx4TrtDshFapoCR8byVIw
isnYiooEKcMmQkHvb0IZzA0Lt1rB8WPrDvU+XvouFG6g0xioMaezYude4LBxkYYmY/fV5+SbDdSB
NmdiK5CyDLjZZWclJQPHDLY+RFck1bNrWVcVm7uaAS27x78mZzfUdqpnZZxK5gTmitoDlVsisZ2C
86FVkAIqVpTVMlBqyjjfZiyG+p1A7kmKua58iWZ8ZDlKgPYyMTahmSY7CSIqq//yMJg8esEhssVb
BNUlcAwfFYhx9Uf8CoZ/J+EiQAgssZ034axVqLtNx0ZfpVrvzf8MntuIJEn65+vasTATz7f5DAK5
x+RICxE17wVSikJkrGRtBZaWctHzFqOhtvYHxlut2a2zqHwanErEJ+Fj3opC/8D11tENda6hOdt0
rE+l0H9qKbiSBLt2TH+jtAwMoonuZzZYTaMWrgGhYPV4K1rc6H7R7mU7eGRKEi/1G4W2XkHBnSRy
eBuLwdgoOxfhZH9mY313ZJrGueZ2Y7rHjL1VqvZf6xuYyWkjSlZfeW4t+zHEnqDSaqq7Jo0/SjnQ
WL3MoYLFwe80VDalTZDvcFAVSAL178CZaZTFhFIogTqpOr9VJn3HJYP7ghQv9Bv4e5y2ANcVoHax
TcL+inbnk13LfmGOabsN1ngwcOyu0mM+JDfZ72MW4PEezAaez4aioSVhQC0Z+IFM193OklwhAQ9T
DN1k3srAhiBotPFzLTRwOqeaqIFI4Q+vwlnjvamTep9ATsupXfHas4bEr7tC4iijPx+JM9NJueq6
AUgQP0dFfch6eE0L6z0ZoAgKfAQgH/Yiy26aLPazOpgiubIVEtTjAIt7vXdk1hGV4g1B+IsmHVY5
gEBGhBDWaiJvcNYc2ACeyCbBbM3hAlaUdGRb67ZhfzQYslXEUBk+P/3CMnn6s72UmyfVEf/Mmvff
kl6Df6vGuc5tL2oMVjxg1A/nfDLiHSn1u9RGuj0Ivr90bTAGzWPzb6iNfQvnV7L6awPFeWEPnCp5
t1dI3EiQEyd8eILVbc5od5rOJcuhWNE2TW19AxTEwkJgDaQuFE5Fgp2GsX7ip9/C8t8TTt1FiICL
L9GF4voAnH9UJon3xsy3EAHYHxY7rQlcQ4m2pUNKSwiSlsFgcDMEMlbxx8jz6OvDUYz2HR+p1rZX
wOlkXUgg3nx6S5Uen8fIW2s0dJQens12UwZ+qzFm1tIV7cfknKHZ3m2F8XWtb+qWK3aejkXkG5TM
GdubKHdVwVbTyo51aGySbl+PnZdkzVnTcFIazjNS/GMVv7QZBTmv/TXUxpi/sjbyIu1Ra9iwWyYU
Ge1ax6AsPiTIJm1ocSPFmEkg+RxyG6M/EyQ+khVVUM5cuyxj5piiEHoN8XfSf05xB2/8kGs/cDfh
RE2LhpUvlCevbwlKmphrsSHEp4UiNWedng3GuqQAiRpEo1TiHXYptRwIJ7Lxl/jLGENaNcsSuFL0
6qtEO9bwc1EiaVUOIZ4ltjspa0ZAaMRkotOKmY9PjbkUcrz0pXwpjzuFNLfo1wo+6gbbE50yh5kr
ITWDOshWpgFkgrxaKZaCYzZIivXQv2r7U7M/QZ8RNb62w3uZfBB6wKinp89Ckdllh6aJEBrqq0YE
hzrigGnTbQpeO2jP6hxrqQMn8ptNnBluDoKsEMwqZZLMahNiLGQAkh2UzmEVTEobwa2EorkqFGsd
aA8vQFvCQRl/YHItjGcj2lOhBW5kfOY5auTGYfT7BwaTzJ1wA9dwTdQJGk5trfolrxpCdtBYA4Cg
ZjyUw0u2naOSslxOlziHD/Hk7xJt2qlDRyyKIO0tp6tjJ6fu9N7/UoBLs4I4FO3E7jQnLmxEtyGD
mJMG9pSAzEOfOGXlwDplExMjG+Al7AWL+L5njATWUGjGS6cWw0hAIos+1HeZE5jd8KoPRhwUYAdy
a00TyaAFBMoycJqlSr1b4A9cxinTVUNeVfxuIr/KbDx1vg4mx7qoLNrbFmt2zxikb+g1BDJ0X2w5
NS+IkLwgCTdlnrORoJMFNXXRGW5GNv91ZstjPlyi6mQAmFs4kbwJBPYPXz7VhGlzRl/UiRxKQ9pX
rD+MzP5XIQmSJvtGAeJj3JdVC8gX2LUjjmiC+goPwXFa+n+S2b8TRrRXJvVuhtMOC+rBQmlJ3AlU
d1JaJADwlnLJYZCqBWRhe/AC+bsJj34VuL0vnfKN03ELFx7E0qs6ZCcn0zbJVJ8nk5E2OxtHcW5j
VMM/hffdmYcQs/8wAOmB5PnMMa4ESHMiZMoaSTeA1bYWNO2cpndwMPsXB21KQL/kJ9HXaJDvzgRV
ou2/sfoxxVD42WJtwFGYtOFW623myr+Cqa7Zu+yHT2rYbqVcXxl+8Se3yIaj4DG2qUtVeqbHa+lE
WgmdPnM605KfmqmAd9E9/kwGUvKf3NinMRqXbaUBUZM9A0CJAWotbtT3ui9fQjQno6/25GESEvwa
EjTMqnqAdkmges8VKR6mYRFnBTIrRFmN/KueuheLIkrzjWndmlDzokEifSI5TmygIfuAobPuGcvJ
qvNvNXNZI0O1ZOE+dspX2X203Xickuqed9NLVqOjII0J/z2szeRHDJeWhNNgeJNo4+KKKRJefnDM
2VGdeILie8wPdwio0rNoZYXlDZ4Za5ygY3/UHOBeAdElT75N1ikQska58r66qKGOArdDymtohNqP
PfiMHEt4MdG33DaLKmrcIIiureqQS0vSo2H25xTxOmtkmqEe2xt5wk+VKAaUgqdBSu/t5LzlcnA3
GIMrDOqg/WwzxfqTBR5SK6GqyoEIM0KCzl1iUZYhBjn3TGgPFbQSLGEoGu2pKVj0x2QhspcvUhNI
fnTskBVnvvixIh55OK4rVjwW/QR/6jwUAjRgDLdhFjJPd2jLt7623pw6eq/tyi0D7bduUObERfEK
kQwQTu4OdX2EcEk+semcDKe+jIa6jNjByyXaKmvaV/MSweIO9+sPRBCybHmGoXyErX2mCeNEtw91
URwsfdZZ1AEmvPZs626LJTlLTWdhCPw1iEm2IesLwrwS3AVt0bxBl33j8tqkGDb04QkD6r0klq4Q
6VM6DH19sqvk2ZSKlxU9Tylqslr5KdNlGA5eUuiIQdrmXvo33xe/FEgoGru1Pn/cpKhjnh7QthV3
lE3fo35ElHjpi2pnKMlL5YcEphUh4aaaOzboVJ4/+ftk5GEb5V/wsZ4UROj7Tz2pIxVgp6RjhxZH
e3VOiTBQypadQlsQ3qtUORVCWSa92PT1cAqb9t8o8rOeSm5uVv9LKZGOMR8NWmbP6aCRprQyfdr/
2vqC4HLR5tmCQxi1MXwoVnPOlfyoj4g34fiNI8r14oOoubMK0sGdErxTdnagrghU7d2cSmKvbGaW
Urexi7nq8PdFIA7wkeBApMvWOZCu6BZMNnuJAwgiQ5AqXo3ypWafWkbJbCPizZvtTclnFsMFUv8K
7H5QeOBh/YrObaR9TxXRlO/g5oFGviUpkxpccQFSjAbBAK+skn4TvkBYNwSITcstOLOWMzDkNICL
vmzcGnuNzDg1Q8XQRGyo7LeKyZSEnW7UOqw2MExglpjpKpjxLS2UxuaPYFhKhS97YAZLETb6HXgw
mActSggDtGUJQRO7I3MJCYhLMg7kiyEjk0OvB7EUEt43YDDHW+OVMCNVBT1CgUT3PUqQLPDF2cEH
VEHyZcdNFpckGQWe6H7Lelz1TMtLQGQt+qzOIXa+YhvItklz7OU0phD0SYbUL8nZj6ka+3oP1mPb
NwE9mQ/brcJiwrrZytG36esJcUyFgk5B8GCRB5cU1lYqrgIrVtI9h+IsQeWpY4C20qfFVK9GH2s0
BsoovKRzSMiAZXtsNzHXy4jzt9URg7NWRmLma2CIYQhgm+wGGXkqofBzbimEKzvCa0aDKOdvemMt
JZZjldquyKpgGzig5LTXZhCc47jzpIoRWt/uKHvX/kmg9Uw4VuY3wIeF3MBJlTFSco2sJjP71YIn
cyqkeWuq82Fk/81cNy6vVncvy2FHPojb1h5nHH0VP4SOKeMsUSRYoMbiH5NrWzaMh9V2bVaIyuBG
ROw1LFieyr8Rd+5EyBVHom5ckUtojsm+xNiU7HAwkNWUufxPL960ahup5iHQux26bvUDZ5urF7/z
H9PP41JsJTUC/uw8wARSwSD6DHAJ4F6EzKFyZDnwDusfrsRF3xzQNy4ybM3194jgSQ4YHhs/IqfQ
61I2IFc/4wF5T5w7ao2pPII+gPA4bGe0q5rsOvOnkS6t2PArtfgJ+d/p3vXcU7t/2EUq5Rt/bBJ9
CGxwSXwmL1dtAH3dgDNxJrpFSU4dN1zWREfCyo4hpgrsnPXWCVhFVuKU2MMTgBMylvLI8JjpYmAp
e/KSUe0gUbjJUuOBNaeG/WqK3wZxUrazmIsZ4t0W58me/i+70/SLd1wX2WtEQqvotyrqAK47SL4s
XAlrSyzN6WzySjroPE3kB0wgKaZ7BBR5NK5kJPv1+N6wf6JWYFn0LGaad/oHOp2l0LMEEoWwllRZ
ZuP0qkiWIShAMqW4UZiFGpUHMIXxq4IoWzvBv0vgpKmzIko4K4GUDHcnokqvS1HKlm8OBrvIeEmo
9rE9s36HWMNVUqNJSqZDiMNkwskvILg1WK6bUAGNwUODJwCuC7/UWAWh7c4HCjGraw2dRyX3Gxtx
CfNVAWlAk8+h7zAdZevHgRbWeMp7y6MNJ4uoph89+IgUu97fdaDZBRPsAovfBE1BAPcxUIRK4Ui5
hdJcPdD56LK5bSoGCIy7G0B49jAsZSZNAg3eVLD1CaBaVrivkHmOqpfChDFR5+j8eTkBWgX7jr5K
djYsNFsAvMAOGzAZBZW1LELMOJiSfemtQhY6sKS+mjBfo5EGEhct5yNjMEBtiTvJLEUR5SoIKBzu
6pAxIXJb5JxuGAJTiBgLYoog2quAZzCCyepwpZgxutwEsFzJeiB46gn+Xx8KehMxaXO8qGFqkHhN
Q2RUT8RJhIKgVz5GOz1yY6xpGjc5xhJfz111zwCNNRnNiFuyjJmCaQXonRjhEj6ufpLIrYVZoeG7
GUdofYBq+jDZpom2KfkWEoPdGOIlLq0rKaBHUroqthB+CJ0s7VezpjQq4z20Jtdw5n83EzzhaJXa
psc25fT6fnbskn69axXMiAFRFkVGbkgPBUUmOwt5LJJimJjE1LJrgyeJqWU9gZxWvByNq1C6FTnn
Kx1tA/oIj/AUvNbVgl9kjPK6DSsYo9KKdnIDPvQGGcQNW/RF3PRhH21hZc+r3th6a8S/NGFn0F2t
WQrMGaqbnw0zZt78In00WLrqbMY/L5n/IeofV3qG/z36E2Ay+0q4kvyvSui+rMfI2AgwoJv/1DBy
eMla0gyM/KOrrqAM/3ceoY4xAV3KOn04tSgx5MjzscnAd8b/IuXsYl8xwzp00m3zKdFjhdMjkK7y
hNiXGxjB0n7EMBQk19x+S9qLIf0GPhBTJDCGRT7Zm8j4dcBHJHblLbu9Cbepes2atyi69uFLrf8R
GZ7WH1b7KrW3iYGtxtq1lohSit5BQdryR0FP3qGpGlipZMi/e3ExxFGJNgP1lBN9j2i0gTfqFh6O
jTycA/8CdhwD+SJCD22iNlQXgN77O8IqLb3I4j6przT+Z+pQwzPYeTBKr4LOb3iEIemyLknFo/JU
CJPtYZNYSE9LyA8KG9vO/kfTpmdekBVY4dqlE/MEIYyNun9tsOOU83QS8Yhj4xZ+xUr2a1DtZziA
W5ZGNrwPq3tEHRSZsXK1UUUAAAAvzTY+uRwj+4YRYUE2ceVhDQtBwVgJ5hGtPDqXgVwXQwLo40CU
5lEKChMRcUIJ1i+fsl8vsRC6ssPKNmGTyKSDTlrwMTiMGNXkqk/fs0IYYDgYB94r1VjU0Vs3vroG
oB1MloxuzsLCmXdMutNHZtPInidmYcoTw5wt7Z3CNat11f9F5icD5a5hUTvXdxbTGxthL6IZkNlI
MVGXIzqcRInuVCyzguqjM5C+GqvZbB0npwl0Ua+uAUTak5vIzNspTjJCiLgyfCJV+yNQTb6YQx48
hvKbK1cy30lw41H/TAMgEDcl+p20u4wiXu/+GRpkeP3Ox6lNj6y5dsVfOUIUP9v2NrVXDeMX/zl0
gZsYmIm5ehuPbyQdr6I+BHN8auiAmQHUz6xCehWs0Br5EYdvxTqI73b7lSGOAVDUY95s+wQkFNXF
zrJ0PqhjaXql8mawuG+La05NklKCOuK9oB4ItWUhjWhXvm2W2CZSbAKMFqZx5XXsmwtRn+goQOLE
9wQYySS/FQWlNgom3D9Bj5rbuRT9Z6+wx872Tn02iuuEos0O4H8wC28ySk6VLS4OBbAhQTFLGXlL
LonJqrpCaGN+GIjDC6cjlxaZpPFNJP0SWETLu5umzCPDh9188QVhDDf9Vy5tnOyrQoVWa++D8xuB
oihYiYTRDxOpVRtf9PZUz91jcRDiIqxroG8d7RTGF/6ehG5Q7BL9jDZ/kBDgSIDCkRXqdOkYrnl4
0MRbsy1KL1nsUTXGSD3jYYsRiBnftG7kcasL/2wLWtG292K0plaPa7KQTrPJb2q2g5U95/8riWQ/
hRU7btSTdKL06l4f1py64xEIA5B0sifCW1/ykk5YXiEtKfF4UCN7p8ZoM3RzNySHYCB2bvw0VWVT
gYQgGMsVPa2WohEzqpCcqBxAPAP/kwknUMCAgWkBqG4oIBQTfWP7gk0x3U5hI8+ML1DzT4DCfwI0
oH7IpNtqb1GkXNn1fOlpvRlmSxZ+WNGaLjdsmYptxGxTZuBkC2BvTrGPTk2tQ16KzlZPCkfYoBgd
PtRauSHVxwUxvMuBSmbJ6ML/9brkGWkqa0qIQkXMgDPfaH18I6pzN/bSTpvDRYNhn1BW5Xa3TmZA
e10cxnRu1jhu5ryYwf4ouNTMCNOdGA+WqMhVwq7Rx69GDx6km1478qt7bGaNiU5M9TdkfHoZ46tU
/ZEQsvWk8cJFmOdrymR4lt/jtjJ3OcAsP842U2JsfUocE+YkgAz06NYO8L0U2tu4brcaU0tLDb3A
J8UF7GBIyacSNVIw1AaRo7U4LCWd1VM/ebHt3w0TJ56WPVV1kBaq0VlYn7dBy4I07/vnVLGZDNj6
kyJ27TT+SDVXn+bMgw1LBnc+TwDCI/ad7HBnMReH47Dul2MvkIrUyGyJbKIuU35LkjgNde5RqlfT
Q8lSr4XWdvs51zXzmaqkQXXXJP1ginajRBVbOAkyinbii9zGKGUKVobLTobBPhVHPSu/GrnzJrDp
s+MymxdGM1+rN2iHR+dbQNQbiZJaBA1RxZp5Sah1LTIeuASmc61RWPjwGmnBgeqvQKYfsDdee6WH
TfXXJd0p0VgzDqH810Gpo+QtwWbKUvY55Tykuv0lUbpJvyY4j4n8qArQx6CSRDxbiTA49sO3Xe2T
t8yWHgbiPB/1Wl2XZ7xMXxm2kSIjvZv8K1aBrAVwShiN8jM4kLrMji+6ilgsMIvwh1OtKCedrx2u
z6m3+ktjypeQPWEXQxcp76qYvisRXjB8fJUvKxqpRVn357NKAqSn6bcPqPuHgXNMy6CL0lmz79nr
9nhroOxbxrO3I89v/yXQwkpbem9k+6JX6c2gD0QpsDbNdG84WCzNjTExpy+662RqZ7iSB1OLDyPL
vwYObCPICpV3FVP+PJoOfj1tii67QeUxCcPNCDiXpYBhjTLcozh8+TZrUyEw2avMjHNw7RmtnJWr
a9wo63Ko1xqxF4610WBMp4ho0tg+tmh5IynYDKTpEjkMZNwnegIidV+wFsVlwMEOYuMit0SBkksv
uHjI1AIW3i5K+U9JXIf5Jg7tSfvJfcBPOZMpwcKgUFovDiiErYcAN1In31E3bidUOrEOljMy11rR
unNvGAJ9saenyZTVYJvLH2SMykEOy4uWK+92Mi2n+Gl20i5mu25DthoDxPjaYpXIV836ioGEgQEn
NyDC5cQ+FEwnCArPzJwzIibrXjo6zmYG4AR+YzxaGRFUEZ3pAoAhMzv22ryPWwiYD3bDA95/+ua4
A7aLDlJZh63wpgYVoa4wPfzSp/OAfpRQIuTZIYzTxumvhh9d4YSewKp4RFzKiJG6yUfDigC6jYiD
DLFkZMK1JcooComhe8WpgzSEzL84xUAD1FOj0opBsyN4zjOGTPBQTEiLtcetrXo5ZNCQl7601UvM
X5ppXnzDvqQt6n3QW2oiIWBngfwyreAaUOLCntwBrfuMyblry2ibsWEQQvdUqTyM0ATUGf0q5dtU
oz2zxmnrR9ahqH5bpLxNaWDXSHeN4+BFwEoum0d70A7GK7yYQXlS+Qsk25W0BOjt2tUOcUqU6leF
qrkA9zekxts0Ku+RLH0GQ3oJmmkNQs56FWNyMppkkwoUkKRyGSYDOozlmRLscqN+p5HUQ5hF2wi5
F01/BxHMeqjFmm6If8s/AFIBUEbWDC4hBEv5ZbK2k/3lcyDlwUZvbyQAF+oR78l3QcJgdWh6T6l3
UQQwjcfxoPePKefQ9kCYRslcFfkcKaAJ/FtQvcfxTwhIzeCvNpun8RHyMRQu4yHcFbQIjn5Rs22N
1JX2NVsXzQ1U1ESsn/4jsD+WD0X7G8toEdWXOP6qhzuj1+Gl5Ocp+2AFMlDc67fW8pi90fOV3cty
NpmyFcpWsndSuy1A9VTO0vKP8vjZ499kvWrlHw3jBrt909R3UYM5pMDDJ9JKv2CaOM5+MVwhe/1N
iDzo5y93JHJH/5dWP22J+OxDBfRUqL+2flN4bFGgz9YyF9l6hVwju04xMKtHLT6osvXoQVo37jKK
K9yFlvwPCQLr0q5J19M8skA5mOBF7FPKyvKNb76LDpDouM3QJO10aW/lN9PCf3lsSczLL8l/HJ3H
ctzIFkS/qCKAgits2b6bpukpbRAkRcL7gil8/RzM4umNNBqRapi6JvNki7UW001Ht1SHETanX7wS
u6U7wZC/J1Bu40AJz3ueXP6HGpuyFwqe/vCgRYrqQYpbGBv98jX0l278E0znmMKv5xXB4E+wwp4u
RXSezT3ojBYhF5vI/E5jhcWTKn/ngY9qeZbFO6jpBSlhehvou1rf22GMNTa9cdRPqtS5wM1E/RuB
4Ilcj83qynLdkGHIep70HmTpLUzUOXmC9LJeXm7vWp6SGD0p6MgcLVZTQr+/pb6zMK66355i3/1u
dye+sym8DN2lATwdgCZ5i6t/Wn0ukInH6d1ilqcrIsc+XHHbDewGrkiisx96C1iaer4LpmMZ7gU5
9GRmD6fEeYrVPQV9gYXbC4A9fAf1X5u2D5yF23/lEIbta9Teu8sO22aTkGzCG/ylbhh56x9P/TrD
S1M+kemU1K8M7O3oXyGfNVU060WeAcXkNYieCsFSSX6W3l1M29xF4PzMV+3ezfqB2XDhwWzZwCDt
PEyZrzw0S4Z748Ue7noJ5R5T78q+e5oMEvdztPxNvNtSXRBeVZqpKrk5Dz5jW/VO9xLbnxmW5o4n
bmbAXhUIdB5C0FfMuRjzPLjDp2E3X875TmEq0CCJWJvc2HO+ccuftd9e3xN880A2GVKYa1jfGd71
UN3TETz+V9l/pZBi1sPtXvD6i95CVMQkB6GWSXdjeVfM+8T/N8/vofzJ5K8fPA/cXjMjd6nIr8Ge
3ZC5mdIif40T4K5m63eIvJp3Gd0KaDP+NkWHjeNdrIporIzJVbmgW446ehj1aejui+US9I/avlf+
vd+9lsU16N8zBFmh59wEWE/s8KXPrwDfhfcQ5Qf+oeDFaOPMqH6jGOyA+lBQR1LowzajdBhOgH/u
Ev+nLc5ktFtISK1rLq5GvgB5pkVgWz3jjHvl0lsYTuAf2FwS2by18sWN7zps1naxx7RlenRBd/6E
8OgtiX9D55kBio9xcCDHqPqSTJtcDJUuMzeLHSVTJbi5P31/nWPsB/VbyaCUQ0CFzya8b7K//XLn
wK2x34v27/qA4TG1Vu+bDTzV/mWiOGGwMP5LzrA7rm6G4jl2zq68a9v9Mt6zaZsxmcvnFNOAip7C
+lzm19Ag7Nl2wztRIODBEcZdbBadrrwEFO32yY4eWHxEzGsHXAbz/biCCzBR6gHx97w04FCg9RRR
7W9zEfvEOHtvJNp/xAqVMkKGq1mw1ZnoI6EhiGWK5pJoozV3mTaV0Ok+eCqF/1pVyZfI229T5LuB
Ysc2/U9ApbkNx48c999NI5lhKJaLPbm/CwFyLOmt6+xTHs9D/zaWE7r72II4EoMZV4HaEiJCjnZJ
6FXok6XdZMGuJKSz1eWdLRtQVDagdjtGBAtQmyvSipwFQpNtId+7qHVX9JqYfvK2QUQErztwEm9X
uz2C9AgbBVuWXygfbMOSYkUdkBuPA8lHmz87Rztg5DO4NWNcFw9G5ma0cpkntjx85cHX9YlCP7oU
TJDRqx/E0F59Z9hmk7P9f+FJ3AYqwK5l9ZnslxIBbqCThAmHz422wMfDzQpZfBn23WidC2JUGO36
V0s1rKMaoDOLobdq5oP2lLmH4+paEPu9jIGxNqjzC4F+He04H4a3jYZE7olo3s51qvd64IUoUxqo
Zgl/SlvLfQ7VrJYscTNxUsZOwbH02yEtoUBYPpZJNzE8w0/z6FxKKyGgseiZVwtx61JEsSwtqQbp
0snL5GBgkxHQh5Gv1j5ESXhQlSKnpCfJUjHUHdt2JfvEfwYs3tqYz1rgZ+lWNq5XVTPVRn1ROVrJ
OuYVsl5vKP0nRTg3wiXOi6klaTz8FzAstyoAch5ouRYALp97epoyoEui57ud2F9vAlq2WUNeDmbD
+QC9gkQTcWNsTDBs7S9p65qj7tzfTqmKyKd/blmslI5GbIbRSk4L0ef7YmpQfXeM2ElsA1ybdnLP
pLOy3lwbbOeCDmHw5CWx66d26ponmxuctTK4WNxdk9d8e7BtiPLpL2xJ+vNYc8S7NJ1jncM2EKB7
UbJuEo0rovWLlwpVUN99LBiCEsezD2Qj8ta0nW2CvnRj+ro9EGu0M1VAqNeU7VlGKgQn69RvPdfJ
iGYOH1TWvvft30YyYRiCFj8iYwG+surxBRuMynIUz54IH8CwVBgWyV2rwupelW1LQuZ4iJp3vSCq
DBTI0bR0q9NAHpcZlbhLYQpElpzOWUrpk+AAhux/2zt4xYogQ0iecNQWw8XuzF2+ah+sMUJv2nQH
V9DBhw0p7yUjb7wv7GYg0hMF1SZyF/UZPJwZU/ac8sS6THfqFs2E0wG54w+mPkj8W1Oq7GEYlj+q
L6r9otKDJVxnqwEU4ot3ilNYhf4hGQimKlVMugtazhtT81v8fqYmWhxQy8DgXEPNLsvyekyJjtw1
kYUvOog/5hIfFDCjAFVNZj2O/YKUfnmamdodioZlsjeIP24ePVB4RZe5noCwaNwjZSpYY2ibCR+Y
syl4MAEAgqUGrSXDIKCuCs4BmVjUIPEVDhvC/L6+cFdbG5Hm0Pnz1Vvtu4/ky+ANyIu7sfTZZWTY
CJLxya6ybeGyYvL8TO7TDhN6jpRcuphWmsjFMGsR61LTPunoppknvZ1seBjocbddyLhrcpdh48w+
YmNZf3bOVNxUNaESruhwz6Dyh5wfb0hsQWw0ksVRMQpTROQiN2XAa7FzLgtxzFraJG8MobiwNcoz
FPX+0IFVa6O9ZFyHVJrL4BYV6wQ2ykPjsyNLxnnTE8ZBDGK660YPF0X4MA9I5HtlwOQjrQKkPZ5G
U6GjzZaPNCGjS4BJ3zNZec5K/5U77UDJ9svkGeDq4jIeHac34PsOFoT6AeDVh5f1rI/VQCVg/4sg
zHg1vgwyeE5oqx7ziGucZabnAUpOhRQTU6L4t5UYuHrDVnJGggB6ati4dL7WoB+LEgtxVk7Q48LH
sITpJiIsWMwteLkjUCzIlN4NbfCW6eQ2csSFuZsIeEuHdfMxTu4LSKGnARNdn0fbSdoScH5Lrigf
rj+Az+ut8LuA7Xtwh+xcOyy+BLMJ1ELxQ19yitjymsrxbFh9ArZ4zXhnb3xMQLHv7GrNRkCZ+FZO
CcMkg7aFEHk+sg57I6u0QucvUPxJI/GXb+VYn6RUfJb298QYKTM+0fWQHUgZ7naym3/X53QaTctP
WijM6q73U+eUOhAFBkJcGrLoNirwrkHMqR4UI+HRBXx4H7htBwkSxwfrCF4nN46LOLjPHOvQLdXb
Cp2HsIzW27LmXS6I5ohHuQ3TdT2F3mxJmIx7C5tSJBrPHrTpcPYodz35L4X7jMAHSvrKzstK96NY
uuKqkWLO7v20FOcwN99JPUjiWpjvjdG6TS1CchfK2NtDTeXVi1koNwFJRGeqdyo5bkXeVRGH9KtD
1FnjrplUPPH7Lmzx19ErNu1POTKnjZPG30/9hQ0uKu5esZFH+ui30aORQXlEyB5wQpJtWe5MH2he
hqy9x6KF31dd/dZiC0lyaZjClMr8/iFF1Qub6067HuB5S79EGjZSAu0Lue1wG7KC0Q5WkJXDCfo5
mtg+9h8j1hMW7cw67xAwPWg6riBY6HN5vhwOmYmyMOyO0UjnThKds61K8KYLcleT/dKQcXZeooXt
Z+TwaQrpPKeBldza007ja5cBrqRAkynWuHjTWEpCkuzxy7VXd+ZzlFo7N94cvYnF3owOL9MhIQhw
8BFZ1zWeP89wThk81AHPceS4f5S1PNbClfTG+tbI+qMl/yObRzQjCW5c8ajCId4Dm+cjY6tr2IOr
IfiO7XBfg589NZlVoAd9GaPi7GmsTFNSKh4ezgRUu1ydqIMbht5FlD5lKeatOMOfCvGGtb/COEA0
Hfopnq5KPJcV8AK37/61/QrZGbtrafxpa1M2ZsJHZgTVrCbrKy+9Q6G6ieEN9NkZw34RfKSBBHWE
HQa57Eu4ZLh1GTNEzFm3fZi9pKUiZyttPnp049v+f7RIh5vY3lp1+W2wccVTBjo9YQszKftnEOGL
FeYHWVNzyoDiwPUPGe9dgC7JZz9kT67FbRmG6LsHb6vlkGGeeo7EpDZt8BpmwEHJefkxQRufjAYj
x3p85TNH+KJyRqMeWxA+JJE9+Hm4puABmp8DwgHYg2SehwdjLAhmDWVIDotzW43956iH+yJ7Zbb7
k8TjMRXjifS3o4eqRlnPdothZtYTy2OvxXc8/HjZb5g7DL4GVko1Hu18nRqEpIIOQfFR+v4rEgru
DK5F5uB0LOqaRzXDL54Dn5Ul+VkjsK0RDw9YBus8CJa1ueXA9jZ7TAkAmlkVjYk5x5S//UBD3kqu
hqO6u9lDrZLF+tUjDp4IAkY3GOuOmiIPosxk4zthHcAO8jSuKcQFNBXTQCkMhMM0OfwO1v+smmgC
lpzWfnK3tfE9XDRYYhUKs21Z5A9exOQyKy2Hf6nFpvTk3eKOaHYsQv7cHJVRw0GeZTT5rHtJvSFX
1zU/YKewSMROSrgNHScykshtO1JcYvtAtQ9eyXFIng/ZjToQttoeJ4dFjqJ0sdQr8+a67VPRHDj2
d1Y3/QQFXO34Xi+AWEYfHaYeh6OsvIu3kBTe5nr7/++o1z9mqbNrlJm3YKrpmnTL4e3gnS+RHMwR
uH0Q42xtrI9pCT9jyTnbMhW/YU67hBVHRYsx10z9CfkLN6w33hWAi23Sa1SDziGLsFELIZ/7ChuN
Yyrqr+sg0N7F/dBvbKt5TRpKu7SRJJYWzUvbgwmycec0A+GDvshI55E4oEQOPSMg9rMsMZXVOnvx
aVvR4XyVhnY7+Q29YNp3DsDDhG6yJ9tpNWDBqqn8sx+0M5SoSu3JAT/1YpjPbpNgXR9RdXc+s8wQ
GUY63ULoxmLQTC/Wwq2waB8c7DIhTXeBkPi492ozAt21lj3N50JTMX1HjOfjBNVSy6sgEcj9YA5X
OL+G+CnyR8UENdv3qszQsudsptMRESxAjcB/1bn1Fs44bioymvqgfJjWYJuoGN573lH8tdG8DJIL
6Zp3RNNUOOxFAQBcJ8v6duNVwd77t7mVvGYJs8E5bhFO15j5If2w453E3qH7vDEjYpwofnZz8S4i
HOJp7CKIs9kSt27w7cVUU4gwkCJpwJpzBPuEIcWmL+LsoDBgCu1dYuiPDCBQV3YqDG9MvjpyZHW0
+gV2WvNCyvLGcpbPuqcZJbOGmY5/VtVwUPMEtDAf7O0AJRqFOkpThfIGfWMFCSAX2OKgf7/YNTGc
7CI0Z9GHvSLSiBdDoCxJToiCR0tkXMo8xB4fJ/sMEjBqryDcjbW5NP1Qncum5SXMu2Lub0FUwleQ
KX5sk5QXfCgEwHYnl5vYZEwguhw8K+lUAyYKLzmOS/FvdqiIYx/7ganOaTH9VMRWbsJWkiadP+RN
8WzLztnmzhtaqz86bV70a/lAVbLSamDvmwRZU0DiFMPK/RQgrXZCAgTp8J4QY/3mcxLj7+9edcvg
tnC3sg+ATWf5yoDmFGCmDN/uq/KqG9kFe5N5rw36rSUT/4IO+bQ31IdKorRYLE78hsiBMuUN3Ux/
7JppK+HvYCM6MR177RNTMiDIsgyVhUvyuhJkXpRU0yN8WkbdgvWaE7a7WN77FTTYyXZv3X7Wm3PW
JS+06+BP4zS5xI67D5pMwg3GRhA7bEXSPUZBiFmkhzHJqNvr6No4aSZP7eCvGT4e0mGc8i0cmJYr
yBKiJchyUDFil3ELgfXD8uthH61BiR0Ow6Wg5nCG18FJbjnkrRipwhiwbHQ7VyOkBU1UmFWo5jGa
GSpFrANc4dnqj+mIzC2EXN+VkTzaRQLHSpP4FIEZXsVxeEkx9uhT7yNwFVBMNF3LVKc4dTz9tIj+
oUHWJxxCD6jcGG6V/zI1MvNtb8ch/pm09VWStWRrH0sA/JOsWF5sZb8Aj6VlqBIsRTaaL6+7b0dQ
Z36KMb7AUdXPsAWFtxAdK5fHoaCqJqKUZVQSHh3uE0plcRIEZVszLOGceq5q068hTt7p5vg7pJoO
g3NUW/WpdVHHCJuA5CTn7JtWmku9j21STkzM15pQtLGA4KZn5CfU/Fzo9j4Ty3UV4vXxzPdAM5AN
eXJKxUPbkJlXVd45i4eXLuR5b9VQ3pKUvamVwxY7CBDMzLN1UzXIbos8pdIIgUR6FaKG1p75a5Ix
1ebBkZPxPSTrTgv3cVnjXZVMnnEYYh3gWG+dzueVUOFhk6QiBFL3VPY8WJS1JJMVCD6eZZmkaPqT
a7pqDbAa5caeNsH6lUK8bdlIml+kxOmHtDKYSKUed1P41GreEbp1CXGw3oOYI8hzPkklwvXcXtw4
u5Tz8MUrBsdajimD2cERN+QRQd13FI23dRzEm6Afr1yLZBDvIUHgHsZhlqSQGLFPArop18EhJXyc
zXRJcYEyo3+IG7k3a6xG2byasXrUPQaT1HKwrtofUWLReim+GZ03+7adXwLCjJhr83Yx3CxN3f/F
8NluycD8Rnn50mnYvabC4pBKos0WSZWTKSbbxRTsxNjEW/3T1PXVEerkBQLxTk3sC7S+R4XWZnUH
9BsrclHPkYkxFQHd5tS9u6lczlpiE64mkAxgXaFCWClj6OlRB8XRa1qMhS0V+VCuntgZSzahDh6K
661woq/QZUAUzvGTcI4mlS8oKX4JvlA7M8GrD3pyAl102AnZJjcegxMR0+JG4QydqXkd8Oy/LPN3
oGJ2dhaj4XwNDpnZzI46+cjcFGNTUy4MmBl1a3smv5k4MaAnOVOZMb5yVoG9KAPoHBbyrbaRZlMN
4Z/EaCqxFOZtYal9vHNICkY8SCnREKPiGGCoEygsJsKkbmTQBdzse3R890Zq+2sasw452WoUZPTe
+t6bHcePTLXuCA2+lKnLec07hiHzVoNRmh2OJW9of7tRbpg+/+29koAI3vA2G++ig9W19pCotVF6
fNKEMOx2z1NFWB8GnPTGV+PJNMiE+p71iO3zDqZCXWeIGwAPkCYV2MkIxc/GEhHkQZKgCG7DW0A3
UxTZQyLc6dwVK/tm3Cye+RJZ9eExJ1Kud1IKueCC93VEjc7Q1H6T6fCVW8GbnyYb+IEzmiceQNUC
9UnRVJPvMK4fsQScAT/60yI2F2/xfIvcaMtM9bNA5tAjeNJYHKWbEzvbhpTSVC7LEFfbSPEathr/
eRLLg0eIAA00SGp/PeucA4XcCNMkdfcVmpzeIw6hI3YAFP450tlfSeOPlNUmYGpiOxX6Uu0UYWFj
icS1jPKSlLP0Z5b5a9D7vyriGaRr7ysM/VX9OgwKqznVtxwBzwwaLkRbhGRprD+QZgK/olp3onj/
2O5DGrV9DByePNhNUe7CxnnBD4snAV1YtcA8wLuVSYKc0sk5Z1zp/eyDk0ywKKpsZRWSrGhSzG/a
g6e5amRIc/udF5xmiB/CBTa7FSFra0Kr3pNrug6eldxJ63cuhzc/Kp8qkuXlKB9BEWf3zkTsiQjg
u9YGJGreLU9OEjHvidfpO/zZ5LwYjijAsuG2LaN3dy7fowwhqYkYAa6gvTLOoWQm3UdLoFMRAP/A
7czrV4Q9vgoqzCxD8rHM2SfAdyca/i5L0aHzZx9DMuxKIQNV4xD2/DDyUJIx8p6t1y1UEZkukBGd
c9lX+tVhP+PVUMFHXSNibUj+aZkj7dwuN9uwYX9SudQ8jQfTvRvqbv0Gv4zx33tCPXB9xWx+cFoQ
c90d8gCktrMsbIjzP17LUDBQwXWsGzQWIpbbxD6OA+TOMqzj+7ZX/Q1VuDzWDnqtPMNNXyFLRj+J
8JpcsvQ4EjDGpeT+jJzWOfUVI0qDwhr2JvtJ3yhAly4WeuSvcJBIJDaUqqK6sXIYVcVsHKSt5xHB
L0NLtMsZVkUGp3y03XZUoMLrUYY3UaM7NmY5J3q6b2u2y+EYQrCT7ISdkv/ccaFUkEYyWzA9WiJy
0cZb9h6D5JwUA/Qo869B8FnV5kuu2VyTAO23+M88K/9G41soeQu5LViTloQHHrPGvNQS9+Uwo1AL
C5hzlRswAWmYQB5bxZ/g1lWyQyO0dD+Tss4ewFU7ZnliB0C9M6A1olLmHEBSCmSu91GpPyK/LHaF
ywKhEgTIL9ygXVL/gVHwUdcjmKqBOQGfSiMSCtghXr10V0VEARM2rFFlB8qlk7ifF/YNm5JQ39hT
x3B0AFIqgIWD9+T0hb93A5ajAuh7wRm6sQv8ddb91Dn2vlFE8PhUmH7XvSHiJ4hGv4gcJ0O7HBkh
/ykCH1wYfrNgbuDB2axE7epfFE1nx6sERSUb8XEZ7ntahCmnddRiJtcvAAFVwFSBlIEZJN0SMtdu
MjFgoNRy3SyPJHM/uoP/3sbMwGwB2C4yPhnAdnvuxvk0+KCA4btW2/m3jNNgg6g/oqCzMW2xYhSv
oln0XU8mNlbR+dA74shg7iqM7jcdM0Rs9+QDElm2cQXQbgfTOU+ivZPB9BSEDpSuCD1wYOy9ky76
7JRIJ2tWW3u1ijaqAbfI4jK38LKOnZ4iyRzkcIDwawVgOkUPrwkTVD+SNNqFNfmWfmsx4Z7FtmN9
fLE1o50aVULbnntDYmYxj2t7y9NZovtIs4n6wSsJq54gYYRETZVtzRQCapZjs0SZg/vCcjDJu2SA
x4n1UlY8pg1FZBGoEYts/tjVkfvo6/nGi8kf9XOU0sxCCcsJUPwS3EUiKd0M+70KXpIf+LumzKut
00X5birwLEyAXIQjx6uH49yk18l48uhJUhY9hozMknzraBNTTK0botrUnnjM7OaooKBNWNXPiane
bF2Op8Kvb/0I8IwjPJJ6bIeoitnaEaBB2IhhrRW34pNJ3m9fQi1UfvMlkhCMVBu9KqAzTAT4sPOO
LFzNrZDOBmapDCC1p/8GF7xLYvnfY2ARfo2us5kw0iAxMEEEsH5Izc7LluNEI0xYk5w2FQaENLRQ
UMMbdVajTwHmFtE3lg9e1VskzYKAvMKVH3Tkf5tsmcF0ok9fWrY85US07Gc/c07IDxcRHHFbzNho
ENW8fOQe0LrE+5yz29lwTDrJ9ADHl/VA/DD0LgzX0MJBNsaArUb2msuHZ9qAWKj2jQBmf4Mq76l2
i8dJkCVjJfbf3m8eya1iSsEHxpHNPJYdbcTEAfIQsOAwX5fc0frxLM1X6pmnpEe6rt3qyczus2eW
kfEXLJrJt18HrzhRwLO3HnFUtiiL+bJZdEdnDmEf3QgBKbi6lsd2CJ+78V2Qaen7yy3JJPKG0R1M
CwBng2K6q4NlPJYsWxOPCM/Ox37SQIyUtjkzaYrZ0pMbzHSRbpQsnsEnSSRmKrYa6mYJhGKZkQw3
h3GBpydvNNs2Jxo5MYncJit3mM2hBpCWId8m95kLAhCmwyBRTKeeh3IByWiXfxKWR1HxE4fdqRqy
+5ZXcf+bh5zfwcCsY2Q31YmzHAfN4K2AK9XV25xl+YGqradMQrFRi52Ve49pWv6NyvidLSDcj5Hd
bojWKdrHNPSjWtiXMSVDHhbzJfy7iAi9OryGQvL+xFLnyJ2PTrOjTp2r26V+nRu8kBbM6a5+7Sff
RaUMRzUkmsQhOjpSxJawJtdO/bfAu1NTA3l6Qq8432Uw90vkSjbKo5g5TA6gtZL8vwJHnLU3XvnZ
pddiGBnQYWbFADNQs5PTuk2x/JCpx9z229bOkcj6hAccGdAyQIROE3sj1xdTq5hdogDiz19qs2XY
cmOB4l9ngQ7k856mbqI17eis49TdYGJ1dimj4jIMQQ2wEG7SY0WsLUxeRuX+QFvJ2IodFLtvmKgo
Cd0JUiR1oftFQsxmZBVo0UBjdtq2tb1x0bqU+cZr2RI1S/KtPcbAVXiYl2W4MQWjPHIaxg01zXXK
sH3lJJZTAcKaTAiRRaxQiNYjv8kDQCZWz/2hC0MObf/Yio8Gk2w/Blg80n1DKFkB2C4faNCb/H5N
ZA8Rys4WzZMqzgM+Od5ttzQsmmsc38XID8bq0wpePKajxZqZqkqCiVLOOXTSFo4R+yeuLHjHqn1X
enAoX+pw7zs1dlF4ntFo019HqGTCON+tuapruJ+P69cC3GIEIl14wBkDTKABJZ19MRpcM9Uts2ec
1e2t8v4iQCs95ZMKizYy5tWWEUTi9Pjhw5xoaty86ysbnwPQB2SSpv+wG/1HRrwWcy94kNr5qLMQ
ar5NZwTcpJHS2iQOo9WiSdl1i+J1cJ29L6qtrvSztuhhHAMW0I1W5fzBk6AmsRG25OOG2yarvVdJ
GJrs+uSPW2MS9QeQCCxzxVNfItuZi3G5XTyUwqPvD6iWXH0uyRAF9wKPh7RvWsiQY3h0xGecDeOL
MwKa6Sd6nPmdw8YazKu/ZPHj/z+gDDeXkUouCsRrUczJvRVM2GiQ9j/ECpzlWM63bEnay2JDYwqq
qLqtJ3ZdRo35le1xeNMHsXVQovOIHYDCsQS4l1X25jbd9CS0crajY4JTPI4kec7efeo1CjVS0xDw
wFVgGFOcmwbtDw/KGfeP+RsGUnFpnekcxEP9uv46YRWTgxjXj1a/cJL/i8xi3bLtH08BMZ9OpuoP
t0+eRO+4j7Uusbjxu///5SX3fZJOWrVLx4Htl25aGs8sOZYegvKe8cHrikrpq5J8SGcIzrHFE+L4
S/7huzV5S21w73bC7Nl31+/JUj05dqCubLva1wme5/+/zMSGOX+D66fqg3bjyET9+X+un81RdZxq
DLpzQIHezwjkMYWH8FXXesxU3o6+Gp7VKOS+Qd30XNfwxXsn0Nz5u2RO3H9ybhjWKq2e0hCRSTUz
YdN9Gj8EGqD6NDjdjRVO3a1ekPt0hMW9plPubRROjOdAozjwe/vv1LvZPeM2Qgpc4/9IZnT6aoWe
9ajyLnzI+u7qSRBpfOX3LgV2bUVK32r8Wl0x0ajFnflIm+W78ZL2yvRvfGpL8xBy4roB6+klPvRw
QSB3Ged2EQrWmD08FeRfbZXwPpoWwW9ZYY1bmi4/KAe9joN6gUZI9BfoMjcpCIqjQVT+LMhKDOCR
JXZTn3qpZ+4duEd1rptD5sfP64LjGLhJeGeS4U/g6P7SYm2FxzSfgbQlXsy/0VLcD7zJc4aLdyYv
NPGW89n0hUQVleIQKsXfYpn4mc+ZARsM9UxcPHQhfLluIIplAJ7wkJeAynvqX5IVAH7//0MZIBFa
8lId6H3vfItb3orkdPGzcdnHiwKNzx10nV35HQNr+5yR/AEJdO+djOBCpqgs6YLIuU/xWM08rcyj
+nHnR03BfSLd27ppkIH41l5ZBBUWXftnjsgMkDNU9AUGqOGsSmrAvF06EwZgSfgl07IHhAHP2J6+
fPvgVlSHN0sa7BdW3DvL9fVhGrmccxCCT8sOiZkwQ6X6000HHn+Vm0viw0CGj5JtFqhu1o3fdP3J
gfMWrMv2hBHWEtf3oY1OnVIbGI6AEtCxK9/b7prYLSlVmRkdmzBBJDSMaYCSDZ3rZNkIZBbZ7ajL
n/RUxXezDxZbFZTAZWfOnBr+OcgBsCWBNn9Q+eGXa1LI370MQYwtn5aW3UvVYELqNcBfXxWMHC25
mZhV3xrDOV5Pur04cCNVGS2UhRatihQIxGqwFZxnp3aWNFzGvgRw1vBGPYT886gkAjs/h7dEcpOu
A3UGIlG9MxyjCsj1nwEMPQJd5tFAPUWXPJkB9lM/BPUuYW/JStjSm8yyIZcj823m0n6WDsLBmPvh
25LVQ+FlW2GQS7uemO4yaCusYRFr90bMjLNaRDQ0OXv+2Ozcunun8f1b2ntMuEIGu5bLcSrc9KTV
1H9IB/aGhcnC4w0BQ8gr7tQKqPFXazvsgiqgn45HTX3ipe2RoQoyE8fKDr7J1LGdXba1o9U19yYB
n2QDOQP30bHZ/f8H3BQQoZYK5d1f9jUI+9lNP2CB4kgtDIQxXSDZWn/oNRt1saAsR/mizo4BaE2I
311dIOlMh/HCzow+ssk6gh1H68610sehmdxjFgz5HaxPfZO0Xb3//6euyPO7m8WFCOXwkNwsACdX
nSYDC810sAoksYWif8FC2F6Vh+3PVgX+Me7Wa+DaV6K68S8Furvo9QerLSBBWfKYtqV3VsqOTkhQ
sn+QArBydYV5kmgODlPv/NOW9513ZXsJQ19jJAktUnaqnJqkPyVUsltgRPqFkPfpIButWfJB6XZr
P77zUSrc9L6wH0LpwJsqCEMZwszcl7MEc6H2/eypnypCNJpLI3ZdCAU11hHJVYuz7OUbaqaUIfi3
pI2cRO9ffFnW99NAPxvODrX2hIsL4IZ3q2Fjph3NzmCjk8vnivlU2BNC7Fuv4bRKA30o0jWN9rnz
02GXJjXmHYEcsRKIAQVwvqELL7UXu28NeU5jxR1YRQY6TIZPY4mYbiUSeNUw4YytO2RNcW89DtGq
GSHs1hL72i+ZMHmZjTaOdKjEzi8aJ9Qlb8P9UEXT+lq7qazAZ2Pt5pdYjPnFGgv+3JK2RyL3eZs9
YnaW0q6P3E5fGhbM/SyZrvp9CWI/5+BTbk34fDic8loNz2FjN9fIVzSCCXV8Hp9pAv5j78ySI0e2
7TqVsvwW6jkAR+OyV9dMjJ7BCPZd/sBIZhI94OibGWkcmpgWWKX7qupJ16R//YQlk020cPdzzt5r
R0c3Y9BU7kLdiLOmLLvPdcGvEl6FanG68AfPOrZWMB59gyS5FqLX1w0jBFJV6Nb6tOOvQnqxGkjG
JTROANekfJkv1tgGt21nHh2Z9PcL9KiL7A6Flx3s2+TYscieNL0S5oN9ce9XpJkU8XDDgnucMU+e
TFlZuO3o5JDLlSnXPc6BAU5queH5oFOJimlNvLTNJpRQyrHIWOvYZvhWVsK+ypebNk4eJ3xJu05E
QQdfmv/7+m4y5AC7kuCWKq9YHK4PNNyA9kMDOH/dfP3/179aa/4+dZy+//b/X1/aYgkhsjoCtlUd
MPitqoSkR472eTr55wYCLe7WZF9a5mbshx7WMCtAWVDQkLxrYUGxUFAEXD6+r29mN8TSPwfReSwM
5OhzamYbP1sSFBoRnU24g+evf/ECqKPZNOB/WDwSjmDH2lbikrmwQz89RtVXM4/a9tKAYhf1Z0PQ
MnOa5er5gjstN4yV560f4pGI+6I7ZfRjq5BjT93VEFSLRF3PaaeuCwfFdKI81kirepC42PZh/1y7
5nBp1OlwSd9cgHzKnNde+JwCOxXA9Ei8k5cFL67J6zxo0YKbiG5RjXEUXt7Br3+1y5df/6otWjlM
a0AV8jz1Yocsu/AgLD2DquYmS1N8wzN+vRj9ReikFX+nFddfNyBD8dg28jgJcbDDQO8xjjpA/sP2
EtKgzhz7ql5ukqqud8JitOU4xadK5HhoHJ2AzLE+ZaLb43/caFyuez8xSXGu/V4sjFOkdtAHCD5h
WaOMYYzcNepDiYYcCzYUbKKfYxxaTx4NMjaBZb6oSKtVmF0jjX8javwOSY7CI2RWxmM8Y7uMI0DH
+VDfLwqbjkJ2NILu2E/COX3dMF6JN3KuoKrMYf4Or9glLKFjim1BOCwI0mVfWqMqmTCTTXQ7kEmU
s9t+ZtRcdYMhyPWDYuuhmrhEBeNfMby99HPqX6sur3XdnxPMBFzTrKbpiO9pGiaaNM41KmN4bAbq
CplFwf2EinNltXQH7IzzuDCcbLl8/IdUFYyCSEGE3PFW0V+9C11QRLlsQBJ1bGnANoySkJAZV+uZ
fgmhXsKBeGrYL3M/+cc6yxQKeCo1HJbgzwKX1DUv1M+JsDXXDeecGoJhjgRhy9j+svXh249Ywg2K
rLVZQPv1QHitiQiiVLR98yDOQpXk9cpUPAwpCo+eRlMwfa9Qw6zwdcRnF0TGMa7FHb/4nPT+dLAm
SPoBgxwUKZvMyyE/NbSlakitmwBm5qZorpiNEtod0fTQMCvz2AWk6AkcF5F5R6dkbWrvR6Iqappe
2TdjSm5TkDYZoRuhQxifTbclstVtUhL1kI81ZZWwT/Q+yQBaPhSQfQomoCEm0p63LDCtD5nQUBqY
4Sb9GOztsbJORebfJ/F9/DOYpbFRRTtuwTTFT4KHsSlmQTo3eWkb3SaKlcNBxxRcls4PofwlNW8x
vRXRQ5haL71TMN3OrIfShz4VEY16OS6xwa5VXrYd5qLcEtdeTNUmC3JEONVFuySlZMhnDLgTIzUL
CcumbyqAHj4ZkYmS9clXCLKb2BeQszqK4bx/EBYuelGTlwhAssACRjskkq55DvLMOlcWorw5CLbJ
siRZNO0UinBErRiD8BDBXrKK71lkRzjFlL/u3W48oUUpOZOiJ52jPe4AsRkiQx9GEEBGbC+BCe30
khliaxiVeR8G/UKHKilUcCSfERbegsTM96XZQYbpwvhh6D2UGFW8HwKfdneftdvB9OJH23wVbm/d
F3WZPIIBPlZQhy90S8o1gs7pIZokUvRw+JxtqP2o1qxLJnFIbBT4ft55Tnld0O1UF01rO4NtplRJ
7yKO7IeZahpgE2MhPQjrIY9QiRYVrWqnZL5ufA76JCOruW4zA+9ctiwmnM52cSySO38oaVxGIsMm
AiUGhft4GcXduEOGldANUOGTFcB+APIcbpvBux4Zb9xBu3gNTKP/sMRS1FKvO0u7YA6sZ9V0tEM5
B25aI3O2PRocsPHEpCptlLj2e9Jd+vEnAaL973vr1xaqDex0w4D3NvPd8rop0oaEhMDYfH2ZT5m+
zp9NkICbkGg8Tn4mXUvjhmyJApSDE74UpA35c4AXtHN3jcybg/axceO9IqCAEwgFBgxDK/STs1hu
0IRMW7Om1MPCCHRXQueomT7eJbnh3JXerY/Mjd73iCNDVkxKrMraq5yEQgiRiFBQQyIoa8pbUc9P
2WAMD6xbP8UIBqR3onBfCDu894yLmbBprnxZ/FT60bPxdQ2ytS/T0eDgtxw6x4VDqS5mA34XRGnj
JihDVJIj7kkvMp/zMmCiW7Q3XgU7qiyEsTdKlCm1LdAD52g4zVabuz6YbpOp8658/yUKkS5bE9k/
XpOSceqORKhQENMXJMfHnt6rZHhDh+jdz32+VbBet6Yng23WROkzS/qRLEPnfawJE/EcwBQT0xJ0
LBXCL6SBz6Xr5bioCSgOh2K6C43mgHS8WMeUkLuanMGHqEbJFQ5Ds8XRzOo8N1ithpH6LL548wXw
RwmD+UyLl1lr7BHCGcU4ksxe7FvXwVgXE/0KFRQdAvY8H/Kp0QzYi0E2rLxOTC9giuLJrq+KJGpA
zCG4rJIEDUsM0xYorgXAxFIfomnlwa/HZuNlfrUxQnAkC7D+pHL8P3n8nayxnZLAELABUaPDFo9l
ckI4Sy71aI1rp3wqkezBDSHCoWoaCEK+PWw8o1f70KXqmCf8WqOb1lzn0JYk/6AZJ19+NEOVfyAA
1bSJYlr9qrwRfAYOyl9shbV7JzRyBfSZzT4yIus05lD33TCS12hGrLXjSIQqbfJI6WsAi5PVySi5
2q3aIfCoKaOrQSUfRc5Af9TgcOn8ghFqKEg9P7vnBS7Pnmyqzbdf/u0f//5vH+N/DX+WNxSJuBCa
f/w7X3/w2tdxGLV/+/Ifu5/l+S3/2Xz91j9/6q+/84/1/X97+OWzrH853W8f/v6Ty9398xf583/c
/fqtffvLF5uC7sZ02/2sp7ufTZe1X3fCA11+8v/2m7/8/PorD5P++du3DyII2uWvhXFZfPvjW4cf
v32zzK8X4vfXYfnzf3xveaa/fbv4H/89C+OPt7//xs+3pv3tm/urFLbvLoIO7HyW8+2X4efy/9av
Di4IV9Hl4MTqmLb37ZeiJPHkt2+O+asjHGkrz8FAIjyfu2/KbvmWVL9KZXvKs4VlSVco+e1/Pe2/
vD//8X79UnT5DQa/tvntm/r2i/79XVyelUenwXOVI5VjYa20PUvy/Y+3O9pk/LD5X4RMRpwVLgrv
jIwMtoVz2tDMrLMHevSXnFjvncyh8Tw6hz+9QH88kD/fsc0z+M/37Jq+JX0hhXT+ds9xGZZDgooH
T44cVnJOHxIjeXDA9Zjzp7bhxeXtlQMKMynlEyKQZ9FPb90CuABzc6Eu80s+nMyZzf5S2cMN6+b1
sbkBAnTym3Nnyb2shkPY7UKb3j8mDRA4+EfGvHj910/EVPLvLyIrhbSwSJqsPLzVDu/jn19EJByB
KwIwcLNUqBLMZEt3lwXanTns1eZWduq9L7B0Nh78sSRntcZGsWtK+zUc2/fB8plAEY/jzmT9rLws
dGmrpi9Jz+bUeOMnfoKaDB48Y8QjACMz4pNB0Uar2t9zwrNWEFbfwgBdR5ObG2lnx9h2Ge+RPdaM
FPYdrT2nRidjVzh1/ZHeC2xWh3CI4Xuv0DxEycb1w7ehIK7ArXHxchi7Mrz+MSg+7RenuCU2+0N6
/kUc1UuwBwzy0KoJiZE84LZlk5J1zHzKu+ihr0+CBI42Mo5dMNyUrnGcGWg9cVBKr2XSMc99H1sa
f1OGXjluMjhGOWx727v3UbOuBlYmW6vPuMsPVUZHughpP9OoeFZ9/Vp1xB2ASb8Z7iSy9rxBtsL2
PV/MPnIAwbmi6bOTR/HQyghSixbUc8paIwgF5JAPGT1yDtM+RwzmONiA23D52Af7ua14/5JUXcb1
QD9kLC5tD3Qe6z51FWZkZRXxNmPYECK323UzTNws6Oc1je7lxTg4adcwZoivuiY09iouuzM9wBz7
YTDtZC5h+ZHnGGq0pFWSTpvU6hjhzuyp5J8ZETGwlUsYWZlkLxONHPQJyGGcerIuqmp+0PG7U7WE
WnBkUBWtBaKLSduAtZJGZGdh+iEvgfFjLtGmQrQNw+iMNntnlOJ5iPEelcpV69oVmNdbDMQ1GnxU
TfO03doUN1dmbhDy45MlEEbqaNfIFHw6ykzdFrMuFa4UOZnkbuARJ+BshaRDWZoIjdDq1Q6Dqfmh
GOHc4f25VVl5lYXhe5r6r1NofAdZT3ICelZMhMzykMVo51MPpb92jBiKu2seyrq8lXVz6Xh6Z5AM
JIzUPts2BCNVzDyANrvpRqQrDlMFaUfnRiNPtuODw2yvo8ZjDlvd63xpP1tgHmtv+qQa38CaRwcs
ODV71zjsX8YZj2EzHtx8re1yYt5I/jlDMtLIOgEbczxOhiZpWGM/QKdJAh5t1euwck8TmhQ0LSWC
OBO96Uw6CsOrqx41KK2L2NzWYhnHkywRBmLbFmN/M3YXLi4y3zEvffglqQ+qLUQKfTEl0XNs4qkY
xuzNaZBqys64oMd2JReLweSJlxCRS1QUqCIxkUh0WceaFmsFiGtDosNLaXLI9tyGMEdOLZniM5Vn
JFWRaPNRpB1pdhXyMgGbhXJvLWlltdApCrVkZZn3KidAZ2rFsE786sor4xroACGq7FDoMegVF02N
ZShnylRhzA/8ediVbn1fAvzrU3Jwk05Rh+C3sssO6zPHQ3AlDsAmro50LInpNMFKk9u89Y4lHTwi
lGbgDHxgRU2+NsezI2KLc2e7cG+n4j7K4ZcVAeMnNG+QjH5kGlVtnlUI3yOHEXZME7KiWLdDO0Oo
2JKTh6hoGJF+zQEmEkzWwFDQIeUWq6Ji7qUy6rU4iO/DkihDYiwugoJIvsoYbgI8iJ6Y7hsjtw91
P23sgjSA2SXBJkCSaS6mDV+2FAdUauWIhhXxJJy3dt2UTO2V/56aWN3cxHSfiRLyxh9lJr5z8IQ4
kqPMTXLOwrLprptQv4OIfQ1q074V4cSBFSPUeoQ/vpKXMpuf7bZY0s+Fh0fm1on7d8OfrTvX9d+i
hMs6CR4hRVRE6iE6MgzaYpqIDNPVj7XhNtu2L64JiTlham1XrTveCmkQJ/pieRK6sYJqFVrM/BYi
sNYD70rpIY0yIpzDjEWHuUvAdRNm5Zm36VQ+Ox7z+LD2TaYQh4kGX9uj9IjksXo0QUTxfjKtV0+5
TWQRUoi3MQbbEiHixpwJhIv7ueok2sQ2h4QQeC68Yf9Rd+CuXSfM1m7kviWm+dRhQ0Dxi6QQP5SJ
ZDLZaYpb4OWazpfTbisx3hXaW2dZxcQOZdCK6e4+K6EqZfq1doFR6hIezZFw8mBrMoa4GArx6CXV
J9T1a/KPDnPI9MrDGQkSKb+rIK/R3n/tjMzeO512CJQjmrIgVgRs4ucQq5eEVeNiiOd7Yg8ItNSl
vcMMMK9cowEobEEHamj6j1yHFJAlQW+aLr+wyLjpXpXpvXaCOY0feQACcnno2hq+R+qCna0IArct
6BmAdPOy/17m5XhQRJ1ZqfZ3+OuvpoAzuZjBTfoonfOTEXliVXfJuIqr+BlC97ISVO1aD/QsEDR5
aZpf9Hl2J4YR7Emdb5m5Mocy7Pc4w/NKuGYNMZRtqzf8B7bKVaiRxWX9oSBGUjbAk8yc8EZfY+7J
oWSqYgAXVUsDw7h9k/AOysp3b2UD7sDtmFO2TVmus3SCyiITA4s3HKO8mS5liRS0w8N3UXpTBi+N
4UKPOs40i63tVsTdVCB7POO9jVDYu9O4IFW9l4aEi2LCQpjnxbFHpaT6J85rPBc9rUFh8HHxfWYO
mdqiHFvnfn/GtBtSnI+LKABue14+Ri4LSUsKjIVrN6vZ79nbzh1Y+1PMrJZhcAqZPDp0YKzxRL2R
2lP2oj1VYfM9FOYNQsZ+iYQ7zyU5sBSt4wWuno8w1sRUQyAdKtCIjd0FZytPAOkM5DvbBGlIwDR2
0X4a0H2Ryzns/0bKAGhgs/CHfMFOgGxlLoN0I9xZ1q6bhjOekvo+Hq3HQEQo4ZDxrXIrrWj/KGIS
Zjnuisy7dh3NGTeaTkwTAWohYrIbD8l5+GDZilhQTVx1pJ906QEXqEmPjtonr/Od1Rw47wwujliM
t9gZr3NSTIex/TC9kdR4Oo04aQiYK5wUAkHxnQmQh/pJQc8YwO6omT6J6PVdxaDdHRq9qVNK7cR4
wwnDZYk/82I+iBA2YQN6YJXELPdAte4cZ9jocSp2vRWflwdjoSKKSGcaHfHUO9Z1p8bnuvWnfVV6
1U0d2xxlZt/HNgQ6wfNtazsMxaqedHj02CF3jcs+Juz7uPTnY1ME/W6KmsfGFuNlMzZ7lfYwIvCU
Man3abuTW6exTQ0ANshvRjce+awsulbhtu9QgdCKvafLi9pSUS0bA3rxGoKu6fWreEwsKIV0Nv2Q
BdkknJHh5sFpDRKIWpyGmQAMM7fsC2b1EElL7zs9ohPIsalOwRwdiTkrCSOBm07rkhCHnvgE2V2K
sbM3NY/mollHULQ4Ncq9aGjpwENXPupwz0Qviz1Ikndl/bDiIX+cgk+iW5pdUfYwPjoMOpxQe/rv
p6lyusuZ7oTRusVa1mGyImnvMLSZXj9w4gWdhSUKKy8fNQcGy5zhBCmc+QGtkgGQyN3EFPkvUtIP
qxPVbGmrY2pHqHaRpG6NilcdoySglEI4nMIhZPrtMxjJniJVvBZ6hqI0PpPzoM5IeVFdc2+BCt9V
h5lqCqqPxEnUvrBnss8gnr7auQb307c3Waqqo5G6JwTPt+x380vVgJyZsSo5ukg2vVI20hbXXbmt
dc7R2+/GUWZHU01cVyIik7YkJDsYwYpG5lF0NOOBeUxrKao3MdgTFV4HmBiv4Wq0h3tz9E7aKnE7
OzWmv84nbBwcTWBg/DRNxQsIRpitiTkwMp05xgsI+9Pah7F9P3dgoZwO4IpJ7J0P/mMG4laJEOe/
zYAppgRHJIcQfswGtZEBkW6zD9Kjsz6mgdBqTaNwVab+iy1ZnTDoww+P0KOV0ZEijzHTKW+TFydw
nCPBZHvLRn4ZCUEY+jI3/7pxJ6Dqg1PQ+GSCTAvevelTQQQGDb2hcrZgM0oixF9l25AWECLSABmI
9eIxQyODAaX1j44bpxQh866fzBdc69OWqDae62w81LqytrVcwl0ntVtmyrpL8HHTA72dTJfJbDhW
S5NzW9Yp21zCXjB8IXUT4kbTsq7OjoD+XIbu3VTWjw3u4bI3PsYxspCQXIUw9I/D7H4YGdtOaJRI
F3vycJACL4I9RHh92V+DO/phKCATdQVMuZuJxe6HWl0C2n+xVVhsNZPItYtta9TxdU4JgP4PJz6B
Jknn5MdUgfvg4tEF3UgcPLyFXac2eKB3uoIBN9QRSxrO4DKA+VxHBC3EHfu8pY+yS20C7Um2asT8
2gXRZ0lMzKoc4p/UcbizZo4KZU14WNaPV1pk2Gw8Uqv7hsCwKs/yVTZWxsqW+pxkOAIxYBFX1o4m
B8q5O6aw32B/WQSMLTKu0CvsoxPqI7EYxgv93mpHP9Dc9rZdH6BQzSv4svkhrmP8mwkFm4R/e0y6
JNroeYkdt/p6kxeIyCkw9bkz9S5kNXZ5SyFENByQFF6y3vY2PZVJ3Q4cpSbTuwiQ9jh9/9wwDbK4
JrFoRTdIpoEY5ZzsGS1sc4QeZOHUZ0P5D3ZFJoQXvpshbFimshmMll6qZ3OKP+SMPKs05XaevKcu
afWh+qh0xYZtTOLANsglXMDPCNobgyHD3s/zIzVxsVYpA7Kh8sCd4WpqTXdToWMXYhnh9O6ug3sB
QJgY8vYj5Y23kKduK+SNsvGuOeLh0uqO3WTUq5aAG5VlNBkm+8b1i7dWgXbvnapbSd+07lOgCoiu
qK+BWXgogZ353IoIcxgZoY2FSYnomYGxxS7vsiviT3/YFrBYO+fk4VTYW2rTmTZSi8uwnw9j76Xw
lHtxTnsXTEGMJKqkgbxzG/VgOmSeOzE8DBrpxYpkRZxZSu/Yf2AQ4BzMkSOTxsqJIY71AUNp95oT
QMpG1PvFvcmW5VYRBL3hvo8GspbZs6Pau9SeCxU7hGu+4FTsDs6LF8JIN1/8Hh+MXc2UWT4Wxd5h
nsmH4UKHebJDs/VSeAU8E+yUJVFcoO1aaAGRp/akWl3OnuEeg3jdspCS4Y7QO6LCkxG1TV3ZK6Oi
VPWLJN61k+QV0vW+8zhKcoCu935bUBUWQItHtgec2BwdTkFDYHhp3VcmmCEmpJ9OYDzAOKQYXa45
UqtI30b/dhUfRBMhlHBDiFyjInmxSs51VTfXeesAn0xTymfR4Xrvw8coQxuaV2hPraj0VwS/uDsI
8tZdT+hUVJUO4y9jWw1a3iW22x/wdJiUGQlHf4LPSszOD3pcIlYZygzdDZJ1HIGVTFddzmR2bufm
+PVDJTX9Yqwi9dA2gfb3Oj83RbPrTdSFRJsRKDs067CHgEuI4trzfHWThnmzDpIULnHrPXhIpY9d
yxi6Kbi0clMdGgLWZFg/Mb/Nb36/CeRTq8sI5MuFsIxx5dvSB+JqH4Fq+4ApEW6PVtZvs54IdSWQ
PNgyOgR99XNI5YOS8GwAGDY7KMVEW4DyElUariJ/fECXTDsJCL5joidT8Ynji70BhvmibS5+h3kC
DK6mvh5L4DBJdzWrkcJbEpvUWK/u0J4IzSJD2iU7ZSb5F6ADMZWcd8ojDRFEIRpkI/nhlcjqMw46
4qvIEUtRiNbuZ9lFj87YgJFwO6IFWuIoZ/umm6t5V4cCBsgx0USmBJ78gRgNHUq1E3Z8CgU9vXIa
CAM2COEOUIgU4YzzDEvyKlhOEm9eEEM45AovPLLvJuZsKDupLdtKQP6hIAtwxIemRETZaGgMC/GH
adYWHoS9kwqfT+hqDzsZNAz6hFlO909mUAHjkhK/Lz2TUzS+YMatBtMCFBGSoZPjiL3qiHmFQHWZ
o8wEbYHHrAmmV01zfoXiCSq1FfHAp3e+o1fxAF/WqyIGZiORhSWXCLjkd2PimNCRv8LY7MGKwS2N
BQRohnCY6hvb3LgWfnLDdJyNCrHsj0jkfS48zia6jgBTW/Wd01cf0mS81HbgmMYC/dVUfUDV2dWW
Jql0FPsMUAiqrqHaxNXKaRAiY1XD6WYAcYhzoh9sm86EY/0o9FvB3Z49VxP9Vvh4rTzAmOlM8UXP
4wZyxSUNTrENCFxhcQ5bwtyroSk3R6T84LTpJFnC3YwdlzHolFVtohxLYnoPtine6k7hxk7JkZPB
3ZxBwGtFvIC65AXr4LWycQ1lQnJfXXwTzdPJSUiW1AhKd4hz1o0kj9TJ7Sd/VJ++6t9JRTfc1wQL
N2bf4PswQkkdtGmtoonVkJSmJGfaFhUIOOrlRa5zl+auRkqn++52iSduF6uxzjEDV2g/TylEbz0i
wFSajmThwdvOaL8DnqJWyBK9b+3iAIM/38SaPcN1043jJghMREJIRWwdB9zTZWAWFDHe9UxBoVUO
1w4yWCMrXAauy5kevP5YPk5RRM7TzAtNH35d+YjJ3OaCd9K481vgSDasFncx/8/Q67BWQAecZXcV
2T2YNKbpuqoOSQy5rcyCq5gRyQpC5zDHzaZNngj7aMDXodNy42GHcn92fBoy4d4GQXHbifyu98oe
FGEIx9Xvj8zp23F8HwaCa91kOvUl9mwUAtPeluZeDPK7S28sixwWsDC9kwVjUA62cKCBL6yzAWNp
trBlGnOmKAkfUFnGhn4HRApNIhmvvXAIV36MkYbxLSFweEeWN3JGowoS6YKx+CM0thJDkHeusiZb
cZAk2/WqhKcbKfjxVlSgDXKfda6w/uE+RMgf7LLsyt7GMdk6Lp3eVVanp4Hp6BB4/gEc4EuGK/Dg
jgYXtp2vAcsd3W4qkb+Iu6RCNZ/dw5iUi7f2VqImvi3z8WzUgnm582ES3cW494aoyUuDQFXA69s4
zDnCym4fpPNJR/DAyuKH1TqYZB2YmxYZF7WAj5QZHmYak/rf1hYFVAQMcMbvVFiY8Bta0KspVOmK
EyNKZ9IgeamGhpzjmFjIzswxUYBg8zDXKIofdnQMF9HiypkbdeHZKRF0xlAt/TrC6/lslQntoXSE
aVU0obtzKyYBPYog3qslMC83MGLX8bE0SScGsmq1/rmw7Y+49bHQBwOSPBbr2nH1XjczeGSPM3fp
QqHzcg8ysb+EblocBoUHLIYBcekWwAqUq3GO5e6KVu+2D/BFSXlyK0pAUDYcd+M2JfMZnKQdOBca
stTeHVt5pTgIJll80kXE6l7m7/EQQ4aXoC/KksiaoYaKgk5y1RMpjTfO2VUa1YaZ8vYo8e5066Ae
MM3N57zyyaQSBQIxXlYj6u5qe05Wip2plkgMKGShMLAKFOBDXQivcAZ3fPZpNoVsDX7C5KmXhIbM
FKg5OgzHTLyLEXwBAiH8rZJAbz+c7j2P/LCgYrlr4rtphp3NgI+lMZ9J65PkytIOKBRa55LPMinR
fX/Kw+aZXNBLDpG8fUQ4Mbs1CRXao86aV+kQMmLBcLBKTDPfigIERt1dT7pGz0rwcijnV6TAn3aj
nuqaOQ5q/I3pURxYCBUR1WHPcPpnNZhPXUScsAktb4jr64bSrGjb5yllkDjNNYbMmWlNOD7QQsI+
RF47Q46VFUj4DTjNcHtZ+F4J1nXKx7RzDETpP/zIbNbTFA271BFA3ikuSsQ2W1s8mXM+XY7EsSmH
8IuED7XTaAxglMkhIIYv+XFo1N9NL6eHB8kJ2tWStg35tITVtW0R3p/8VYjOnQ/Q5MXRZpLlecZs
TRDmRJ6nOASzg2y1EK9BDM6s4z8sj7cBvtCFDgwoKFZ7Qy46GpPBBNRmJe91GyM494hCByblTtYJ
N9Z0aScDcFgCen2vcfgs0d90Y1SUZWV8x0G+ivhDlzHEF4GDve2i6yHhXK5TEMxIE99db0DATkRp
K+2OfkjYcbyIHo3UjDZBsbHN+LPWprqWhdzbA3edj+HZSHvGLSX0kZyIXoR2D2nCqihphOfwRtgL
SW/2x+uwZS4CM7A++pPU6xh938oeeKHRzYAsRpfHnkp/iOuW8RZAZLTuUGWsy6n0/WNLn4ftJaMZ
u4l08tSP8xk7n7vVafhiVFpdewUQnN5hvBgmyamTRrahZc3JB1SvG40PyaTvktqaV7FX3hVxdBf3
nPUtAdQymR+ssV6QUOTZcdh7D+BqGPRFeBDlY4mB+cLmRQedPXwWhEZPASVcWIy8UFT2Q0gBEgW4
TLCCbjiLxMS6pUB9qvkWGc4mUJQbY+m2h3nJ+W7Kq3agHTwwf7sAUpZCg4E2rRADxm5ebaSfm1h1
yk0ScsFELYkodW2/4xZ7xPQHULDARjy7RNVNuXs5E0w1qgAKREJksbZvInRoaVhQ2yUjTeCQALqm
67FRq/LQt/FRhM1ewG24yFEBrXV1pVG1bmyPdtyA8xJ8866u9dFsiZISI33MmmCDIEb6gn+ORFZH
ZOs8jcS6NKAGFQGhOi28HzTKO9cbb9RQPKoUF6uxhNsEOWC5xN+2WRpxwN7nI6KmBmDL6He3fckg
ro0fsR++i8XD6yL64rCNyc9xx5XOAizQmNjW+hTkmOkr4nqY5qBs6DsxX6AAv+Nz/B774WfXnVXJ
M4BchlMWRGgJX2E9UdBBRCqPusrkabKycjfVAk2nU//wsprgE0QN3QK5rP3ybubg6rc3VtdHG2hi
z2KGcVr3IPnsFD3aqc6JamzV8NRXDrhHwwPIxIvvRfUPZMkP6P8ufGJ1VunkvlQTC1rtka7gTPlu
0jg9VcaZATKUAWosecrmPjoUSsAdrMtDOod4rBm1b+OxuqQ1T6eEvR2EEYl9YULOWRgxz/Yc++CN
LrQ7L/XAjZjnzDSu1cs2tZj4ZEEXbMaYyamXct1TUZGdoJC1tk3z5OfdT5HwgNIOsYFox+94+oiz
BtA9qQ5syLy0bkyOZAbp5GUUn0chL92RYSu1or6gO5hu8WUh69bFy+0cCk5cvcksbRqfRAlqZI7r
nQOYDFVBtXVq47Fv+iXa0ulhCHpLMKi+awka6ArzrVp27S81yf8XUJkKVQxSsv+DguoWSVX9Z/nU
18//rp9CDOUirzE9TrPeP9VTjvjVc0zfETQd2CB8y/+nespyfzV94TjKRD1FUaz4pT/UU5b8VfqW
sn2a37A5pLL+X9RT5t+UP7aHckoRm2oifkHG5Fh/Vf5YAJc6l0khRY/FqRnaiItnr1Zvqajt1Qie
yOyNF3ljtXjRoZUI9loKoYE0S8AcGTHHFgpxXO0jiROB3bAqdjd/eh3/N0Irc3kMf5J42QgwHdd3
kYrZDg/YtP/6GOE5m4lIJVlDk/EwTZRBEdz9Mzhgh4k3lHuSQSmtFYMpVKUEsFE9rv/1Y+Ct+E8P
wVveJAlhw/IWCdyfBVISiecYF0TvVKyMAmNPYvoPTd/B4o+CB4ybwE1HBET/+l6/xGt/feZ8KhSd
WnRyrou67a93qzn++LMOShgp9Zoz0xYZPnYnHA0j0SCQIFNDriMbrGg8ksREZo8eIeU+WWgGZALI
nFP/yGgESdTzFFabAp/IKI3vvkr+J3tnsty4km3ZX6kfQJmjB6bsSZEiKVEdJzBFSAIcgKPvv74W
dK3sZeYzq7Ka1yAHee8NhQjC3Y+fs/faJwl/DTZI9H/7ttCL/beHhSSEG4/lWsIzTDE/zH+R5E2c
x43VEK1A66+6eUVz5Aof3hsTDMqEC/TCJkeilx+TPpfVtLvicnicMNGz2eJ7ZEF8dEZsf3eELaQ7
xn46s9GJviYKYoLvpEr3U9qtp7Qnx1idco8cNNk/wnfZxkBhWnt6UjKH90Jf3Z69C8OC7sa9EMU+
d/yNhX4mSxUysmoDkEwogIChuQt8Y+9A7+xATzPoxQDXThgsUe5CO+pa+viFtpsVBV5NUpKdrzn6
11g9li7h9TTglg6XRKeMd4E2nWrSnCyrpdAIDnQsdtFor8afWk6kuofnwhgf9eGQx+52GsUWkyc8
Np3KLtrqbUk3mRzN5xAfOQjdYxBYD1h0Nk5pr1KZbvy0v0oOYNs7M4YAedcz9u7xFZZMisr8NunT
3i/E2pwgmojshglsU5hEr1eMMbDbIGQxuenUz6Ii1qyBz1o4e0qHe0sgCsz8ZWvJjdY2XC6wRjB3
c42BUAd3jxX5uaDb2BjRwU3Lx7H0HkPCIzRZ3ApQGWU5/rECBwcKYJ+YuDyoDkHKbQbEf3jQ8gjc
K0C1oqM1HskTQzy4c+katCFB2WDl42FP/24jIT6jW9tk9kda+8uuCmh2ppseX2HtG9Q25pMt0BCS
Q51js2iCcSfJOOpUBOD0bAzos+n1+VtXdvuY/rcuxxeldzSt5VtZmsTFdi9RWZwgbhXr2L2YAegP
q2fnCHkVFraUj91Qv6QWV2PCG/9iRtt6VXUHJ06FCDt0Rat95ffTlaFEvZJSzs10WR0c5JkMPJpn
RHegHLZ1oT16RrCpdeZWdMPdTCGyIhYmhTkXQWURjf+YFuML2rMrrtC/LWe5W4dnjPFPSTpcSRBm
RsxT7oV6cyd4iJm5MqWyENzLk0uUt7QYUNp3gd0mpxx0B+BZIz84+ejpVJjhdEkDiH2hN/krzPLk
jlffwFFn/NBmLkaALtgM1R084DigNJFso9Db2pV66HX6i1TCpvR2hW36a8fiu+tazcPXazG/b/Ij
6AAMAQg3sbnNE0VwBaJYo4zINzn8Nq+djiHRyg58N7xBG0+f9W/9VWNKxTxiCxEHyAi0LB2VLFNF
B6AlMYI6poHavtkEthFNt/Pgqzdz8VQORF66Owe2cQRIpjVHugCjpJfrL+mc7J24RZ/HGIIZybw1
Tojx65Gll7ZXuIhPoGWg2BH8G/UPZWNtBWwgfgX6Qv3S0y6pe6zJNc0l0HycvZqxm6WwjZ2uosZi
Y+r3ft0RN+pvSp/CG1dZVrZUnuNew4Zqk4E0f78qxPMa5nsp3/Qo5ppXHFxKrGJyH8GEzYqkg2Mx
AUStFKYAgSAynYN5YsHwpnBeG+8Lb++qxlJf00P0yPFgPrGZv6NRDzaJBB0yZ8pOCCnNeQqw7dpp
Q3rwyouHK5T7vWal0BK2o+uu9dzeWj3OJu78+KvYPLBdDKs4sTa0uYHovva0UHJsSS1TFD94YtN9
KrP0J5V8la1pffVeftWbiFld3K1CF/iEqXj7AIm9cYl/NhtUYY0ONSyvvVUfJt+TaPke4dOEYcl1
h17jMkO2GvgSLVtCWijz0B1ap+Pk4cDJ4n2s5M4t7PdIRavEI+Sm9bmLFLb22YUwzrP6UvDMVqbd
dys7nEEqHAT2kP24OqOYUpknrTjjHfjrGONmsOKdLqMzeUMQh+hTQEZkeOVsckJDkhDYr+avdS51
MZIuadabzAqvepZuiWU4WBK7PZGPhOoZL0Vj7AXYSvIlwMhnr7VGYLLWpI8FGtKQRIFer69mgv24
R2hYZliRzPY9Egkbf4gJsr9j+WN2S7AZUalaFlO7FAT9jX596CevWRvMNYjrRiglpIXhIzLvFYKy
MrzFzO7AtXuMwJU6IBkXgNJBLvY8vQaw7tIom13i0HgJfW9ZR7QXfpeeZoo3DV5gZ/xS+Ay0lFF2
TK1jo/Rb58ofzGP33KA1Fuf7oSmXmN9f3bq4mxOdRbzXM3ikdC2u3QghS7CbrPaY3B6HHxUyGOFz
Gx9hmJc0mojWGlN40aHjAREt7nYMVqrR8vs4qTujv3uVfI5hdIDoSoWk+Awx+hDU1oG3MG15Bnl4
dTO23Ci1d5pQF8fyb14e/wSYgfOROIFRZqcqQKPrdP0F5nFXRj9uWWJLSIl7ZwxBPO5Pa4A4axFd
NZOdzD1DLtPWR5UnD1JPcxRYdMn5YsTCLbI7/XTaBDxjTO51ziQg/yFWpc+RdcxPKjMb1isjAATt
PFtU+ctU6UAZs1kgSp6GstMfM4YM//tYuorPjzN73RkDGmVadDmi/k4a28J1SdKNQbNNub7SbT6l
zIYXSoxzWoPAaaX2apQTpCMokayeP+Xg1wvmG/bSzhBrUKrpmg1os4Uz08V/3Qbl9ejHy9juko1h
K9oKGbQnOgfDKH+ciB/VEBwEmo3NWfckJbDNE6x4K5k/nTzasytMZwwMdLSgIZKARWWkE7ht2EQs
gQWk0qiG/AkV4+JmfOZJLR2dWp7RFVIRJ79nY4xiFT0BeJQvXSKYSPjXLYocJAzyZ35+ENbqheNP
L5lHoCLTUtYI3Ev4G4E77GoYdKnhfvmS8aYK1D0L1IlGLTRVV10id3hvMZXZg7Ez/eE9g1zBvMX5
soruUtTxnt4BiuXohmqbEBxL37hOT/C7H5604KccMISKUt2V8p8layfEkILGTt39kSfiDUiHBo24
beunaLnCx6CkSTh5MQ2Y16RzS6wbK+yWxzxOKIL8RTtmj1XnoRHMmLt3AeBpNjunqva0tVHCk4Ts
8nqNbaTWPWX1Ku2cTYzevtNmmFbMWR8pWrTT2P+xJ8BPRUOcI5wrzkdGJy5jZ1Rkjyk8GSqzLlh0
tjxYnC62KT/7AjtvH1Sb0uI3KAyduXzx5Pa42ayXJE9+ftdn3AW3yaCn0+cPZHMBiBysjmmiuVMd
/y+bL0K/j0HS1UTPwdvcwVMawuwJdNAxmsn26AHp6+nmnsbCM53kCy1NDE/5xepwCOf9w2Cj+J3N
6bxKAO2GDp1OPG7nq0/Tf2HLyVZlVVLVoUrr3OsQ0yzWGz04GO6xEzqLC3az5/NegzthVbKj6KCr
CxpgJXjnrdNCSwE+IbSuQ4dCee9kw02371bM8eWkggKsihGxdIVHsHmyrhDFzFM/DJ6e+eTXFly2
iDgmjaieJuAIaixE/2SDVLm6BEZAQVIgdeBScICdk+ftzHetvK0Dfsv3OOScKv2pPe9PTkB8BloV
EwbLJ6hnqFnx6euzgJYCvfTxcf4uNLPPFWMOb23l4UXv0hdk1WghqhFjg+tf5DQkFK50u9oUyIvj
P+sjmr+gy+Q2FxM/n8cM5REVLTOqGs2PmXk3F1Q9wUaQIlFtrJ15Gfe2eRjH6k/Zu3wIHQG0B7ka
jyqHbe/dAqwhjE2Su8iY0IrYIUOVNNDAUz+kZXAJj7mnkPVTkljtYCfw08FYW+P88suAYl88pi5N
Ib9zGagQ5oy7CKYw6eW5RJspNH5ZeJkar07FwRtH2t/cGk5oQQ4kilvIziBEfWPv+8m96Af1AS1D
LkBDhl/HczpecX1IqVyveRHOYOjxNo0F8SqWQV3hn9uUf5qRUmjEzmWgykocdRE6RwjSG4HoHScJ
/nhNk8eUVUwKzS1HpJApggzm24Mwhs+usHb41cihrjiumPa+MAciC/SMKYdsBCzvnEcpeCzOFbO4
iBiUK50Clk1a8I9nemwSlHuRzuZ15yYwBxPYkd0tB7WWnuzRdXmLhL1N+Xw5jtt94fdkE2KbiXWW
hUJMPORESiluBGuVyp+68m+kYdHTwxQfhScjRzDCccVdoDziEmaD5lUhxOzOwhfIBni6RmrfVNCs
a/zov+9HWvOzR7Z1+ki7wojuYHZp3Tvxz7w4Kd/uZRmc58UamByobvVShDXqGY/5fXosbPoQ8582
ffnc5tBh4vv8LTV+enQ5lS1cpk1V863qJ+n/oX+N+vyfBxzCd05r7zbvDuiVbklISc/OH8adsc49
mr6CWfHwR+YID1pUi6CJePo5M/c44nFFxALMD6ce67OvouvvE7YN6gO9U/tMlDvFABQA4KfBBke3
X94lHKqSQPcgSF9+t9vfP+MyQUCT+c+7HrjZEcnJJeH5mhmPZl4/Ft+hx95QtdqtDTiQ9S6/pCK/
0ACpERbzX9S8T0l+rwZ+z/l7gRA0+w9oC5SPyPj/RC6HFXfde9lmdy3mv8rI06RPAEXm0GJZRc5Q
nPlgdLqy9DXINPzCCjZXcTKC9lOpZ6onY0GjbloEVXzkoXKtLu2C7ecTh5OzQkcInwL8TOy/Fcn0
FhkC2TWf4PejpP526stdhhUMiRLZjLx5ZKFhPvatr5jRIq9FxytcTu82NmU5cVDM28fvTqGF2b1F
caFMCzkEgAb9S6TAGqgvLb15zxG3VOG493NGLiZ1j6T8+l0Qvc1eM69MErD/ELnNJoM9PUhw4fI7
IC7beVl3TLmyZxXwtHFXMWKMKQ6Uv6y9BhEBKvrGOkQQspc5wyY7J0KBqVlKcITlovp0G/Q4zNt+
h771VJx6af7opXoGK7f2nfY7G6ebGTnrpnWuk6+vdZoWDdEektVW5RSSRXmJfYLX6N+gekUWSLg6
93TPNjbzER0GyZ3p6XGuFQ1PW1t2bc6qjDUtgt8Kt5Pjz4SjErnlvP5/CyM5n5oy4vcrX3NEV0o0
ZOz6b2OjT2j26yvpDjAYwmFdOFB3wCtSblcTsuCOPYDaBsUVQGV2n/noA9p3VxoSMvr/UFWuDa+R
rcIf2ijL3kmPIk5+wA+d5X5+WWOD0NqJuTnLr07nDbiav46ZnDzSF16kjwTKH5hbfAaUdrOIa4Cd
95cJf7lydbWPJNbBenhX4HBKvfzsbXauFAUhWjpGD/706U31lbTNDQCldUfWeJysja6+z3sqpJ47
gpkfsxKkmfOmzHuGKIObJrTvgkc8r4151SaqMrB28acH+jq8AcFQn8kSevKqt4DXrcLaheD+Ni8X
+EgPSsnrvLlkk8lYnRLl9ydL9ArzrldV6b2THHKJvaN5Y2kYerJ7op1EUuwGrduiK3n9fb/9QCPU
gAGQyqvNELW7WBbFWvja2p7Rz/M3OLXZ8bcYzbPxbzpi2mOBz88/4jWBhL3LlX2HTOhzLI9n26RD
jeBrzTT7jx3wruukHSyQUjjfZNLcVRSS9sxCk+MsSnKRjw7cVLMyus/fVpKlq7E0iNSAHICCpd7r
KYY2PSJBT3GfTBvnqJNNM2/A8/MY6uTHrtxHjqZVLxjn5tFLH0U/CHDv7dwrmfrpOWjb629neupZ
/07vPIR59zI/oN8XZD5NhvAtQKC7Ajs5Irspv7qeo7T1eAZDw3IaR9SRGWe+jw4ORTTJyClZ7gx+
MJ/4sGAjwVsl/OI50vWrFfJ2ze6/zfzvVr2KPrlvJzDIvGVWOkBts4E0kzDdphMy1zKH8Z97AvkX
gYN8UITHg4f+DtLltoucPeo2vMet81qpDjlywu9RaNo6qvkd7Z7JmJ4Qs57gJaTMbGt2CzWoca1x
FixbfXpNTE7BJsoSNC9AizVf59Lo1cwAUSTPp32aWTAeKzyj867dJPm4HWkFQtPw5c7UkIY2UfpZ
JBp3XRuSvoORdNlgZlobaM1l4JeHuBXX0kb3Fhva0iI2dx0QUCI/4tIp0Vkxv49LaMBDj43MaBP5
UNqgWXXOy6HEJjwy1LXDofobxe4HdGwnyIZ3UeGjaRBR3GqfcWHSXQywYtcyx1PoUR+cFG3gnZmr
6EFIREFTn323rW2eyF0HTZ3VXyZK9FM//6PBORoQXU6//6T07AfR2/qqcwtQ+1lGL+L/PDnQ54HE
f0wOcN4zm2RY4brCEf/egw80z5U1nM7V3JlNu3RT5DY+ymAjImvLPL9gp+dsPziCNDk/2LjWR4vM
W+uNk+2J3e9v8/9ngq7zL1/Lf4MqbMlO/8w+/8em+sz+ftf/BleY/+Q/w0Ftng6aMBQwDDk+YlCH
eco/fAXNtiAsGLZg9KQ7DFJsxnf/G7DA8JBJlO8J7ru2MP3/AiwY/1M3XEFgF1Ipx7KEZf4/jQhn
jsF/vUo2myt/t2cye2OIafC//3iV3NxMvNn5M9hNf/Rz62NIyfsqvOGC4GKT64zaq/ozmnOLNFO7
0CI8tsRAUCYiMVPGpG//5Sle/vmr/5W8wBD0319vfifX5ElZjIIwkUNg+I95XCzg0DsppMlSqx6s
NP3J9CxB22tGW6MJN4acpzHZ1kRnwg3H87edKKK16BCBto9TTJJZEWJ8UUFcEm+0MpCU425Cbmb4
6XuiH7hFZ7R1mnA3mOo1keOHE46gkxCQ6MQB4EKEFOTU+VeGF2GJv73ZMBFolpaCSxoiKrE9FdEb
6c8OIYbkOPY+yei2Y8wqdb9Z6JgoywJDUlgeSAZ/L6PxZQSEjqEbMLWg11uZno3/T9+E9aZOAZTS
yz5KJKQHpBUQrHCa1A4SEzQ8zFRMVL2kuYiICi8hntJoeqLgs37pOIj+o/rQ+c41LWlKqCmY1kFf
HjIVfMfwi6bkCSpmB9SLu5vx4OBJPo1ov0Dlg6PR1UNNWtW5BjfozzFSyoTz0FndBdXkU2qHTF86
4JdhVT6ZqZcdQqIPl8qcw+dST6Jj6dSaEJI1Bop2AfrSJpmrRxcM0wJ9bIuwZDq7YzZekXG+5Ymr
1q3XX+YEczdlQKilNGcSQYufnES0j8sSbt3Kr9pk645q44QeqT6k+B764bUw5qB15L7kYbTJKoSC
ZyBBcfSebDm7vUQp1+dgyJLNhLJ3HYaI5ZvxEZJuvR7H8a/Mgk+Yp/yNO20QZ/wG/HWu6GHeoB9i
0yQPu1qFY/Inb4a1XYNM9czWRZKU4CqyXrkgTpe+QFs0T9gwkowH28PgQa86XivJfdwheCJHzkzE
oLrE5nRPCpQcgFTBAY64urjVCJ8JnUNbaDH4+jOGP7qSHq0RYYVkQKNFcQC05cqAW8jscOV/RAQK
b7nUfIUFE7DB7Vc2yI2FcPpNmRoEtw56t2jN8qkqx5XhRUQ8OISA4MaVSyl6XPXS+zZqf49spVvU
ioocOR0Jro455y/Uz5YHsc4d5nFYqCvSwjedk1363n317PwvZCAkgvbIrHPVe+9ua36HI1NY7gP5
klBlYSafUjKlCN3mjyLaaIG5+Fl10T33+6NwiKIHQnGaIjpj9lBe+duz4qlsI9iZLikqXfOuh8MO
0+jZKomw7RjQLuK+3cH7XfL0P5EqFvvOTI5aUF76lqjB0WHY7Ijb5FXf1tSK81BWDz2YX6/XaUFR
MkxiPOpDdRhNFNrwZndY1VqMrETzlu2siWP3gubWrOhNXwOsz7Sh2d2aoHlA3YsKGdxiV1JLNwl2
MR+Jvpt1/tKc0u/RtP40s92FpBh0UL6z0UzvSyvEk50N33U60jZ3kVp0jvmkic9h5tbmJq3s6TSK
ycRc0aFYA9soQFCtyyKgtg66ZR0IJPVwBysMuEJPy1vPPZN3ZDjVQt/55D4sWlCtpXiAWXug1Bth
We+AH72VXKaDXG3oUoUrUcKy0C3pcA8o+LQ1H8DVrRu681d/TL7qIqPBSyu8p+7iRt8tOnB1wE+Z
+znJJeEOu+1zazVl9qqOyLWgqv6OFCiKQgBtxlu56pLoG1bPyasccZ3c6hjjvNyQmkuXVT9ZflAe
VaWQQfI7GeG7G2REQQjuzia7Jw18NKlFd2ArW9OIJNPHdpt1bk5fhGyP5GT4cm04ebLx7LiAvWXD
TU4CIoFLnA+j17y1Xf9TTjmO2kiu9Cn8loL8mWq0X0wzfe6IWiBrh+4BEebLPGLzHNx411rjCXPH
Rab10TP0R9zmO2nlezoRPbdZh9GixrjaxS4dM09HDDIrEdtohYauPiuduUGC2gEQ3bRRZOmVNCoH
gDrLfmSOaecFGbqke3eGJ/eDF9+bGo0f+GUQkVHDTCrE0ktOyd7r1kh1lobSbmZIA6OifVza1XNY
adg48z3+HrI0cJB5+G/rkfZ8Sdp60fq3wsUjj11OteLH6m9aZR2lVzxlPBxeZ3Sgfdq1iFgBt5TZ
DwYj8thGvHr2YB8Bo+0DgFKAtEOuRq1RYOtDPSJk9hp0nrsoErIMyjIqzhIApcXgrgqfSOP7cAYM
M8JQRC/D52iKYtF746oyG3/FlT85ujrttHFoaUfAOcDcsvCDJF9rVhAvE0kkYOZeaCmBMJTlmQl9
tTKm9hYaWrsmvGSP5OPqgud5jCoGHDlBXoURhke9jPy3gHCcNFEfbVIWVzBsEEtgJ/ci3WIGAqTf
/plASKBUUtk+oPNWmzZZvtLy1r588UDLAF5T3wxI9zmTmiWQqfc6ijGkep244EuhNGYiGA3Nu+ZC
HZwmWitYRXIv6N5GNgBrGJNt0gco/GZfeuREzJBWQ2QSRtMlCRhbaR6kX9FPFd7DZHRkEHr4tItZ
ol8Ys36Z+Hk09hrj7/HZ9ncg9UDGTtO07ulWVUPBLTZnVA6NLehvScVWkKBGllWaYRzGstSiEFgY
Zlat6ZPvlWrls6fI9ctcLmTY8uMVAXBof4nP0O5+3CBsNcN2Exv9jXnaCHKFQZqtajIdnYdCEqsB
g+mxaFDhO1onH+AgbNEIAE2hCFuYEh6MazEFkeLctO7VIKNOVJ1542nOCuHkmqeV3CoVfLlFw+cD
/xOHcm3GMHJKv0S5hLkUbIi3ywc2L/8XolSNrxRzJL3F0D/TDvmBevEwwRP+AslkFQVGCAs+7x6Q
/x6nTHAW6JAuPa86VKn2geGK5qbb6CsZKzAkQX5OIyxhuG3MhWGX6H/g3C27CHQiWJxt6XQWUkoT
o4KUz+AEQQQJh4LNdYLZH8X4xxuKjdLH8kQ5iTY1Hh70Fhg6CiXokN6qCVHuh/YTmVrvlp9dawuL
pmufLDCTqDHST6+SbIAmenYFAqqfW1tOudejAey+pz3o6OdGUeTwWxjgoqtY2hpZRH0XqOXUeQwP
C1kRXzX6y7jViL6ji36V/XQUvJ57Y0CHaHfg8uGEkMY3JQyT3PFYOMRiUqNCz+qjg8/kVOq1gQUK
xh9xTQlTPljIbp9Gh8SJ67PdYZYpAyYhv//X1ZJNh9WDkU6qmTD8JsxHrZTUg9MxaPvxUXjWu2Gk
NG9mqVI1xlA2neAy+eK4r6MQLPswaJTd0HW9UkWnjLDFHfpUDXIAmtZJJSjiQ0m/C78T5oqtzcu8
pOkXPSlNg89QYcEr5KPqAbbUIc7DyHDWiGsfFBqg5wxKShfj5AsajakfyRyEbO+HobvZ4FzXeYSw
AjtAqOHC60gR2eRjCCyNydEwhj+hw5hNdBCaiUPc6XhKVnIy5Zr4LfxaPLBcIL7x8e3ppi0YTw3Z
0tBH5ORV3KxARySb3BK7sB+9laQluI9UsTUGkDuZovgmZM7fpk3Dwb3L2gYQD0zxTWwhzM5d+5go
gxLN8xh1n4cY2Uc5RT/a1D2MEdHgfEMIWPgpdplutGp29metCT1IFA+04zfaaN16pAJPDQaUPGDC
hKUVLw3oB7rJ08SCafoPkaN8qwIiZnjV96GnzefW9NIVonxJNH+VWx6hOqBrzmGffwYFz2pyr6It
mUJUbn3SHYifkVLGXoXaQyBoxrijYT5wLeRSFP9IY4DJU+C+Ky2MiMCVrPn15PFqRbGhbxS51USl
XEdbDlH4RcyaE8T61zJ+tTNSg5wE7QR1ryJjtfN3OPmJZs5oETFPWcQCm/Gex8HQGaYDUKTY2Goh
Rc1EZkalsgLplfusQ21/j8Xf3Ez3RduXFw3s9wO0mxg2FEGpfWzcerPGoCJLSokEb2dtYVhNcbPa
qk+IcxrizSC7v9NU64+qropNEffF1gQHEYwF8TvY4wEgZaQG6JX9oFyU4YD+1sycxGrsqQvn4fwq
1NMPVFkYXvRkPNUTmvUmKLJ1VnXp0i57DQCOmB5IX4Gswdc9dEdfyBOe4OHRxTG4SIT+mvU+Q0Iv
w9xXjs5D1WtfseEx5UmRq+Cp3E8NhNgho/HvpYAA4qYTf4LChf0S/9WzpmDoXGJXURpzRA+TmDno
1rmjpTekRv9UJWBR7OiZd0ffGgQbiiIIEVL0EEsGsNB69+lkJfCZEqOrCISNbb0rdqlwj0lnn2K9
qQ4NZTyeBAfGbZH85dSu91013NEaMozvl5Nf/PGm2NkDCT1xbfUu+CqXPg9mzd5Aqg6NOA4oRJBu
i4TCFyywQWAj0M1021AMbXPFqFebIuqq0v8o6VK9Tlrwl0zqkByZRz9ti1MSeX9TieXM82Znb0Fm
yMAFXxjGAzsWiouuc2jq+RUMkfE5mPJ2N8CI0noTvjWO0EMzOOfE1xQnF/cQClBEgQ74Ls36Sdwn
U8ieAku+qha4nwKolrUDgMLAOamJp5Lg7UnKkOZhZq5H4+IQtLYzjexvNeIvqkJoMrbtRrBXsfAE
avgqS27givYpwiLcOrZD9E6BPJG4JfPZEQABAldtZFybJ1YVVqlsHffKeMcxIldQvwoxho8pdK5d
xdZQdwMG8UU8REjoVI+IQIPWETowKlQhP/02fMvxa7qq3GvFyKpt0f0negOBvNjS5MSm7SrJjYqC
ATv5xa8I+xkKS+1mP2pgmHdkZYTbOOa90WNtp8rb2AYs+qB6C0l90wqzvHIesKnJid4q1fDaNPWO
rYpFk8A0mQ9yShCninZDLfnUPxm2DwbZrloOXB+2SYbJi3ykhGRvZvUpaguZrfWMmWiAKXXbgUlY
BJhRgNbPKTtYkQa1c4g/p3RFA9eGOlULbdJNmVQfmpH/TZiWnsQszKVKLIdp76Rwdluc7ZDR0nHh
kB6zBj597JUc1r1SH2T+wbZCrWv76YFEV0K79bJbBar+bloKPUmiRFRPB/BH2j4BMGS4Y79OyIaj
Dk665dinJNehPX4owhBF2TA+lB1AOO42pFOFwX6YEfTWLCGtcept3M5gLxbeJTOCNz7vU9fVLyRG
xruanXEa/BMYiReMTi/TQAsBncS+HVvaa9EptjD9doPxhH//va60HcuGTJgQG+Lswkl0ssmCYCgX
pqhfOE6zHdAofHmUCkQjLdJ60Dcl6VAskXQNrZ9bfVPh9iZx1mgJMGTIxJQrcutDGU7ReggnsSKp
W+6guUTE7fmvteA2ldhA6PvGB7LYAVxIfP8jI+Jy6WhwIn1oHAszpHNCPV42VAtxAnrZjMJ31UJd
y0njbHFWckQEh6YKr46Zfks89QzXiRaXtk3jPocwWKFQnJpcnSsRLF8c+EMPLRtcH62dicGYSwkf
M6LaQlCcry/9D2cQ6Z2Mydyqt7HnZo8EX4QLuBs45sDHhTGWL/Ic576QcWcL5RqLl5BvBQAOJTcV
9XR3me9cPf8ljs0X1IvGsegRfVbgBSjMs31NW8DR/FvSGs9ymvqlMQRXMm17NV5ai8NBJFFOo8oj
jND6dgEWLgK4Le1UA+WvEGtW7dEc50k5rUfZJTZkT+ZNtgydg8qoHjQGYY7jr/MS4VogmKqpCMYb
EpupoRCRpnfzp7batB1GppAxVbxuZaEfEIdYZBOE77Vl4gDKp7OJmRpF8bLo8UNz52JIX9m4Ho3v
MGztXUxmTDB0cpFCqUF0wFZRh8W6rPX9oGlXDEPGqlE1G6apbxOv3gUhUrOgc/eZZZ37WgO8GZfZ
nkNLnHEY/rA37VwFojRH69bEffrS+2CxeLm4j9JtrWS/0XQDc22pXNyCJvyj0tylUXgDSQJXz2MG
adW2ubJF/9pCMgPQIk51Hn8RDcv4iDkUKDfK4ZB6uUE7Hbb1Zja8VV027Hj336Q/rTkOio3rzrfY
yr2OlrOelCBCO5xvS6Qlw6mPoYlG7pPeEN9SRtRDPWbOFahx8oTtQW27ovtWfrWunFDDPGExj5r6
NYUBAmOqGMeX5UOhQ2a1ccksIJ2tdIPujTAAO5nyqlcgW2TJD5MCo+GIZQBVdVap4hDoIjq1hH9a
BeNbsyBBcZRyn+NSgKhZnwurele+9doF6DjaujnH/dxF9AlJZGhDs4O7ktENBBMUDU7Nz7CBM6iE
pzEfpnXtWf1fO/cw12enJrDGJd7JK4bpR0jIA8JdJBWVdm4IJEsmAi/FwHJv+zkdBZ8bY16WnpNX
f2KmmnbtfdRZea2jao0sheDoz6DH26gg/i797gWJQARndnjh197AgL2N3vAUt/AfG8f/aUJx+U2u
JkiDzArIVyIvgl0eXL0oxj1oEogdV9aqshUVon8G5uytDTM5y7469E13dPAxmA7hbpaOHRDSuU5U
eZGvOq7e66osjpNJPw+tIHmBAQcNPIhVZpBikzpauHOk/1G15FmNh9GwnxN3OPllvPV76+K2JVbl
miRRlQS3lpynEuT8wo4EADIxr27yQ5LXCmDNpJ1zDNOL1HuDhjOj66GPyIfajJqjlvWnuOj2KiER
gaf8VbNKdDs/1rnHhy1IkLXntq1Y9CEXDM7RT1HtXLujGcd/YAbeddSCZ2O0X9mUuXCPpIbK5Aml
f4RIbzqOgpDgzB15PMYT0qsp55YfVtF3aPgvSeqTud6AfPDOghRDZjRPkzcNyzghw4m/KvdIt3gu
Ijd9cDXZLfR6xnQEXw7YPrprAfHKs0gBhQp9M66itp0zUjAeoUyOa6no6ZFxQavWyEEM0vQR8WDi
ASeywvaWYypYEeE5EOBVmxOT+deucF+qURcrRrjxTGuqHsz/xd6Z7UZupdn6VYy+Z4Lk5njRDXRM
jHlUKCTdEKmUkvM88236WfrFzse0K8s2qgvwuTgoNM5FuWxJITEYm3v4/7W+NRhvimWvJSV777TE
xo3b7rta9PNR0S40f/SdV7NWG2jLQSEsDEt/dXWt3FV0+SFcng1qqlmR4Z+lmDgmCB/TjnOXqxYH
0ZBXmCjQdQl9WccBsBXdfAURIy0ag+BezUuiZdppj1ZTjS064E+WRhM7ZHYxB13d19mFIBVWYgM9
if3Z1Bg/U4NCbyYMNE2NI8dRw3Ro0hUI2hWhKTs1dj26F/6wNtxs3lFN31F1LmdDcoJZ9RZYYUX8
afqGtXttNeq3XG6DRU/t0jdg0Nks7qivpLp4s+lpzdiwHzkDlQwMMrwbeilR+ejWxKsjmWlg+qa0
CVSdnPWiWmUu6NXRsKKTmKRukZMnmT3LDf+95mzscIIMiJhZY916DqsEPxBeV/IHQA9gwN0CKeD4
ZgTodp4R/B7cXthrFOqUM0wd0z2rk1oCXIjr1lwTnIl7qmq24FufNc1T5qI3zpgtNCjv50bx2ce4
ptO58kUgmT1U2PHTNr1aeGaWpdyxZFoOIdmXtDWJowqUbir2QpCj9SFppYZFgsSWqpePimt6C4WM
Uab8hP5A7f1qkfv/rWVVp6f5P9tN4YqHWfnxNQ3+0Fb+8apf+8pC/6KDHVAtpoUfAP6fbWWhfcHr
Kes0V0C74kmlo/tbV1mA9Nfp8Zp0dzja8c+fxlOhfOG4Tqao0DT6ytO3/maG/a1n+2uOwj/G9uv6
n/D5qmGrCn+d3BqhyubUpP6DS9APzMotKbbO+xCrdBw3uxjGwUyhATa3yfVCSZmLxtHJkd5lZQpt
rPkhJ6SvSz4PgTQzlWIIrr+0CyZvRuxtxTg5LfQENBUqneRcDpTLY2jn8z6ov/sFeyZOUeEsxPBE
/qAK12hwPXYimFygwYSug+C9fA5KaDSzsWnZ8UeeMSiT0J+VAg7AzNaNW5MEn6nNwtgmBjlBMgpo
QbkTBgfgkyp/jQ3c9pFHEpupTxvqyS4z1h++3H2Npp7gQCGGsMncVI5AcZxBnqZ+dG+Kd/Pr/Fso
kRFOl00d4DeO9HsLZV038g7u3r1Rhye1UB12kie5EHsjJU4Jo5GFawjI3aEbx4dR+Ft6Cfu2ZArU
QV14fvlWdCkw7LR+8dXkUXrwoiSzfvOmdn1cvHTsVzjhbjEbvRBi8ELS4Db0ZLafwSbH4JDU9l7G
bKN6g9NoBnuKppyiwMF5KHn73I7gqT27XqcBOkgzMA9gbBeE6L36XX2sRhvTKTzjtJUupKDcZKXe
y0V1pK+YzThS4fawpK1JaZTQL5K8fRl1krtM1GROqgCSWblfkSixjjUDGEHjqKlCL5uw0nR8p2Dy
FAl3Afvt3kbuIbJIbAt6DnS1Ya3yoQO9pr9Eab8BoVjB01CdsYSh0ngQ8Vsy6gI1c4Tov7vp5Fiy
KYy6w0aM0ab3Yyei/dnJsGtK+cKt3w1tdJC97gVz0VcbIZUy1AdbH1hurANwlF2gB6tMlq4iQ0rn
tuGnW3ovXdTvm9J8BL0nNsKmcablhYdrhwOFULWNmnmPNEQiJQWZwECofndtzERdjDZUWgrFvrIh
QM5tqMeBSFHJclkWuvxbkikYQRuoKpJOrS++4VKh2pLE676uv+aa/GQkxkaVzEMYCTwFkQJROQD5
xTJPUNfQbbWO8KbG3xel8hXHlgQwzHNsEcLbDDd9pOwNr/2eVxVw7DzZGZV+y6J8MwTgG9x0Z5Pe
4/XmQ0qzq5TCOqkbca8MUBiF+VklOVCNxn4F87UB/3EbDdZauSz2AD8XTVY+U0e42K17k0nzbcgt
AsOEudTKoq9JGhzKqeMYCzEsiDFz56ruX2n6Hw3w62RhGB91RekZmO3McJt1pPovQE4PRiP2UgIQ
Pcc5MbXoWmtirNnSri+Csy3BUonUdpuGbTIby6yEujGeyhIhrqc6Sd48gjDcWHH2IFrrCW3nsPTc
EudsKCsXSpXuUguCHJdGGDNxlO1CsYN2jsbuGE2Is9pm61OY0vfKd69tjIYxIe+cWeZR4h3Yx1J7
7U1mhqaX36zI65ZWXcv7cYy2lU7IDdr/Z3Xg4FSMboN+ldKfmpB701JJpMvTg5cZSMjFoIVG7VTL
SXGJAilbQGk9tXA6HWFPHsYAAJ6gpAjVUXySiHVLuENO4POEql22ZoGfRJYII0f6OqUBpa+pKb1I
g97dCAUo6IrFDiEZZCpp0vtY62hIah9mY5Ds9SL/7CXz1o5oPAZ0Fa/yYB6oDvSUK8DL91H7tc/s
Uz2Y39VY/VQV/UlrBUZnUc5Hcg39WD0V0KOgU2mrJJS0E52R75QxJHJvq6XrC7ArUXNBAoyJwJOj
hVQBwPVNWqst+5JZFfXt3IqpG0hyuja75EmQ1rdkQ1le4RBpbLlwd+uGvMfI0zGkkmqZ2jGELh3W
uZqWx0hu14Vl3yi0+MtEoRwSmNRjRWeca04mhkxTQq2EoAhfXUKrvbVN/mwWAMQ8eMaxqbxmZn3U
FNepBUTbLFwPbffRm6XKrngg5rfaSb03BdnrnCLcTKdyQtdlIelmsPBzI9nLejAlLVRrre6jdRca
7kEqFW9h1TQrqpgRa00h8JYSevPWkum3pS041o6cD9So0P781oKDWvjOEDf9rmmh3pD40dKuig9K
aYBGbfxtGwEKG6qqdjRtUjWnOnpyv7EZcMN3GyQK56C+mutNSCi8LxNHWmN5dxNI6aFM3ogP4XIj
ZJoxZmY+vFDLIFUX3gKU/5kJNFhGdujINWU+QSXHA8PjFi9V7h7sHEErt+Jmx/irxmauDNTsTI5H
CklrBIJwRwTkFZEmKGNQahUyBOC4q+5FaNLkNcN+0Wp4lTuhb4ohgnmTzIuYF6hwi+pYrEw7XeIC
WtqydnEnqrFGgiBS9pYWkR5rCw0HcN8X30H9LOK8XdeUwogSRySLZpphqqX6DEwOly/6XYtHER9F
9S32eADa9jly+xe1lR6gEY4U4I5DQocOUdSa1tJOg/ZEiEj/IcriVAjzPFa2I6TkWpEnXCnS0izl
T88Y36hrv4MChfgUJBWnGYNHeEielVpvr2M7zjsteLengAryfNASgcilZ9Ecuky4aLYi+cTmO2Mr
ExxzKUr2ouricM4pRt6JnLITRHtjA2XeeCePRcOSApOXCo1KJy5S7xkYr13QiheiJWrHIqT5kMge
kyaVMirTtd6zuYpssUyJpoGYiwYHhB+qBSvyHV10b3Tat02iGrBszPL/Ysd+/NrWn8WfU7Mgq/wM
zfqPBzi0/PMj+Prnn5qOBj9/7F8jW0tT5UmZ+T/v1v8zZvr65eMz/sXJ4v/+rz8Ec/324p+bdgxx
wrQUTqq2SqTN37SgbOfZKbPaC774Y//99027+CKEZpiKzHUgI1V+t2lXvxjoVRQTUxYySlX+S5t2
DFl/0ILyZy1sbJwsLTgous4Z9o+b9ryOmg4mjUwTAq4AHi6V6iXkNqPriFosHVpr6Jti7UzGAi7/
3DjqRsMETpiLYaj3Pq/uOLgpYRW0OQc0D02vPVC0fXUL2GMEXa7p8K0rLdkIhS01Td9jA1AQmaeE
vMejzhu3obuo9YhIJQMET70Uid1/ZbtAR0Wo5B6RTLXzUiV5rgROlMgK7Bet94sj0VaLwZa+lxad
7nIAnlDqI46JfigQIYLIGumcwD3t2BzkxLUuMoDAzTyHrXEX4ANdr9CO6uBhl1MsMk+90AVzTIHN
qSsD2x4GqCwTXTlPcwnpgQWTYIb641ChxljqZVkteLyaTStZl9SmTkd2oUxmyHivGtpFgDeji9TG
gLFzBXRf25sBh291G9EamMtatbLUbF3G6rZqIUt6ectbqzkyyXjxKkEopkeDMB71I9ZeXLUeMvYh
v6VNB6YiEs7QUXuk23ouWzV5LUMD61ojI+/D4Nln3wgH0ReJADUITa2EkGrGz5FfoO2pKj6XqKLk
rfZvbhA16FS7J4rp8po7Je2rFE+f1d3EYB61RiwUWuVeWp6NPnqR1BHRnKffFJ3N0yjHFG281nxx
u8hbdFGj0OTWpmxnHVlQ61hCilfgN5HaN5UCqlTF7yy7+W6gln4d+5TKjc3ekFaOBqwDW7RdVOaM
osLJbyGgRBrNF03Y4le98V+qMfwvm7EU2ZgO35zJ/x6OOOnXoQj/vwok/O0SmGH+ybz53vxyaP6o
nP/7636Da+lfUHvrJNhpFBPAJfGmfpXP63xHIRtNJmwQBbsx4ZN+q3Oo+hcE9yqVSaZUWdemebbK
fsQT8i0L2pSOfB6NOfJy5S/VOf5U5hCmbspC5zIUUo+IT/yTEUMjAFiPgkAgbIt3RptvyqaYVRB+
ujQ5J0bMcdReJR2OF5ojxNCsEtXcIkLYYdtbp1HN/u49bawNW/V1H2tw5+NTZZhPqHkOiZWs0Vuf
lNI7BtUnnLz3ZmooD49Q97ZyWt7zgOyXOLmOuXrSjcEB/30BlnDK6i1cj2dbsaAGajufbT+mxi4s
KPq5lxwzb1cQyROg/5LGW2/TVvLH7Pr74fSHotDvF+zfr9//8b/subIxcLBG/rMxvcuqrM1+T4r7
+aJfB7SqfKEshiNENaCyaYb8cw+gyl8wewjZFjqDyWZs/hzQmvjC4izDdscLMpHmgNX9NqC1X38f
35PpYsmq+Et5m2wd/mi+mJ4a01DZiegWv1KzBFaW3/O9auz4tIK0ZM7S9CkM00bPS2IlmjbqU5eW
du0Hh70OZ9pBC/JyKyx7uHhWJDuoz6IZdcd1FVurvsZ7hPcfOXVRAYMgp4/+Q74ija5yqnJ8TzQj
fja1fShHyM7deFOYx04F355mBx2QN8AH9dAq/ThTqyJbeYbfzFaG1s8VT0Pa3CYd1cSHnrjxPsR/
sTHH4YUbBAm2JWVNLvhxWD9LqCmotiqdkxVR28cf/4hKsPSKEjmVD/WmFxItlHpM7tVSqqV2P9hn
2gFYVyVpYt6rF3mUlQXNJ3+h+orBn/UbBz0gHJD1GI/DTlLcm6b4/okZyVtKTUZOdW2TDPqKVvSe
GQ1cyt5AF2DLvAi7XYEsZggm5XPc+k5futTgwnAX4RxTMyS/qtIiD6LUnsvI4KxAB0BANKei9/nG
6zg51qNrHnC3E1kwq1ukxV7tmjOs+sBEijZei1H7ZDu2VGwDzFcrE9xiNXRRBZKDrJxCL5JZN49U
NjSIK0vuafDcTWk0cYd2N4yLTaLaMqRUoKUGwRGD2eykhsyJNn+uGuMwoUc9w0RGHZTw2wr7OKrW
HqmeuQnJauiBOAg9rdcDRRSa03q/NAwhzSFu6Rzwgx4uW0aGXwr2RpaRzA0lBbtQapolJaL5OIVM
B3hRHI44xtyl0aiRVIFLIiPbkHRJ0hlvorqpJsXhPGqThaLUbxrFIwPTjSFC1GFmfBloVYpGeyE6
25+H1DNxA0L0T64oHrfupAKQTO2udam8zLSC5EU/g//s0wn2yapPLPNVeHnniJw8UTcqxrk8zAez
u9TobfDmqJ67trEXMUQXmPnxQsSLOOkh3hdOygZWb9k/aTEVNXszKTcI9XhLvf4WBck2DJAhZFDs
6LTjRS+L8mTrCAJRPkps5XADObAP12RpbSmeHa2SMLYm3SqSWCJTPvm5Qv7ckywXTnIZddgkQcL5
DiGbNy40iQ7qWDlmna1Qz/qgd132oGn15Lbv8PsXnlY7auctGwOoUbFDOzgTmbUeCoEYbFzLXrgX
frMoa4iDSnYgROPa+unBqouTPIb0HhVnsKMHoKalnlVQ7NUPK+1WLqtRr9vbIORB7oYV5DXqlSRM
drbjuRox9OrOc/GUt+62jbtN5OcbYFSI0/q7LJKtntlHL0LnkbYrmUNrXvXrsQS2LkIn7smmbrHi
854MFeSzzN8r8gVGkz7pllmvoxDH3WrT1ZRpfAKXt6NiB9ljSRJR17Tr6UuJl6+aRj5PsBSF9Eal
ymnXoWhHkGmUz4OL5QcxHH90nTcDECn/WCjd3gr6y/R1DKEnRQrQI9gbeNHs2V8pG68ExUB1ytWC
CT79P+r7VZxn27AKHNXgt/vBV4KjZjkdQJRPAJYG/DML1cznbWsjSSHuRJUXRQozmUOWTyM0Mmam
TWo3itFTTtiT0s9dFINS5zpeQAFbTckjgaMOnbjzszVV6W5FVXPRxObaFvkyivQzLYg4J+g1PUQy
H8bgH2v3a6Uw9swWkwCCLwpeiCq0Hq0LFB7wOHoe8MkqCAv0l+kqofffiJ9yfA15NYBxDWKAJgds
MzdSYX/qMlOaHzh2nxymas4oZnZhAxAwN+K91eBPUv2Em/ZAcHUj53wRDN6yGMeZRvQmLAS0se1z
0MG7lMa1MCkMxauGODtL4YrqZMMZa9kn2tIEhaMlxl7qWxxtpaPRBjJHYEoBulR8wArM+5Be6HSb
VPIByctKDQiSScDUZ2+8eETk5c8jzdhPgki+VaPwMIL6dRrK0z0XADe7/Gxq1x4NiI48KU6RpK0K
GSyff1NcykBW6aAnOkVKfkqpppSVdcyz5OC3hPNqJ00DDi35F2872P5uyBhFFVKDNgFvFV10Uz1J
KAYpS68935yZw3vG8bUbxbyRHANBoEc4nVzEG62VOKQNiwQoXkv9rU0nMQbTH8WnIlm6sbUWYbea
wDp1T7tGlQ78b55py3Y7ooHjUg8FkwXPckXXO8GbZ1ij4wbSMvfGx9CTGMFEPP13g7EJXfxaKsWS
gYBRgnhfnkdvZB+akVJM+u6g7m0kCaZONS8EwsW3FRpuRt7x6MsHNSL+gOyO0kVj2XNjUEq10VpN
jX0VG/s+1CFuo0wQmEwoeANGQcm3lWSbnnj/zSLAV6mCo96pJ1/xnkWYHOyIfAHTL68VZTmXpwHW
X0Ww1jSofI6ZjZ1tfbW5x5m9dSNjb1fmxuJ+ES+2bDOCEbxqrpiFg5Lmgn1rC4w0nxFACCgghMdn
HySZwFeDeZObHeePgkSGbpCIQIEplFX7quqf5Gw4GMiZLdxW1qrgqq3oXSqIzqlzap39eTyiDnh0
xHuQmouKELOM9iop/iXzo3Od5K9Im52uY98RB9dqDIIpy2zFXLfV4O1PmWBY4iyCaPoWqrN1xd8P
tLFYpB5DRikXgxfM7eFa9ogvtQP/ZlLNQ2O2tEagGNQhG/9DqplkLWDe1sxOcnS3H1NCegEaVjDd
atFKHpaVNiysij0QyAR3JDRNX/VqvsxgtuixvJZbBDxD4LRuuvGkfNuF6gmR1KYzaCeF3EdwKS3B
oUkHIy7Ld8IaFxFa3piNR32qVMrePNR5SGVZb4GgBwbKVLGMynFOsASSx3Kw8K4pB7NgIord7UCY
aslpp1JwjK11e4qq6JC9DlRfhzmYAIRMFh6cYR6rd27KbLoDKpltaQK41OzXLS2XrqVy0i9KvL0R
mwaiNQAsoFYvEHWW6dIHaaLR3+gp2U5f941w3tbeJnFt2iAHIRyL9u80CpTqs0nRcyYkcUrucho5
1t61P3LqD9OnAN55ejQJtUm3g2F/ThcTW/kuRAxnvQ4NoJ5b56frokcjLgVO6DbXdJCSBUlwL+W7
HycY6sLLUABLhxD+pHMENAFPdFl9q5P6rhKqq6U+7J5vuoGpl8nAVxAU0lyUOaL1JjDCz2l8J2l0
Ttr8RDPv4epQj3KnQ0PXhrQmm+Aa2dU1tPR3v3SMNjq6OQEFrb3LUa1jmtkqtrdvCR4YzQ2Rs04e
9atCcedDGKDmk7dVXGyTzFwT84WbmT4zPhVJ/0xgbVLKVwRrvAy6S/buiE7oM+DxYuhltCsyQkvT
gc46CA3cf0HgLZHQbVCXOg1Su8Zrb7rHGmx4+xp1lD4S3hGswlNoAU16KEF7LcJgDmtM8hHTsAmk
C56zF1HQBHuhvvezeg9vYl3sVTGPj6yyADy2lSpOAhbwwCUP5V4qxkMW63vypxdpGp/DtN7zNM6H
CqCo1i+IHlGx0w1YGtN5B0hUIiZEo24OPX9ZNhBIeYBGzu92vpawbqFRY2IOaSeN5N3KRb9ph2xt
FfGLxBGd5DxSINCDKd4VBZGeKbNCWA4O+n1EJJCktU+47WlD0L2R7Ct2jLprT6kwP42yfx609H0I
8idDZV8Gxx7y40efvhQ1TCOTkejnxOuSJ+yp2kmVArSehvecw9gLKF0izv8GqGKNY2OZdOGloImN
0R8Z37CSM39PqhvWvW4jjwCRAm4CO3yJuRQ9OeE+MEPVemkmrIyEUjfYJCWbXSp6NQZkjWmg7tOV
L6RriylLw/pM5uizCXl41lXeGeQvAaTVN61M38kNEGpxVTXjVff8u5XdlcG+GelKMxBuQUekLNrQ
KLbWqb8amELxxN5KvQvZ1LbHaSFMquruLnry8/Ru3DWNey9rXtEbr0VlvApffkRa9DJ43hOVihsB
s1SZMYOpeAXTF3gc51Z/CzTS3AoP3J384XVPvqFuDbvjUXCfdeE901p9p560rBVlGRD5B+uruU3f
6LvmzukjTyO2n1syEq5uPNxTG42mtQeyBUoseUEgdiuS/FDnwwUFVgwbKmyJtdGbO0r+s6I1R230
r6nV3wazP6Xq9yGT7oNjjuWleAgRvXVF9N7kPGyhPu8JTW5lHpnIe5pWruk6p3dhgznWJX07XVaX
DVvD+yQ44irV7VMRdhd2vFfMgbS/iOrjZancUKhmShncew0wRpeqwxDyWXayU8baa2xHZ7zVrL/G
q6+PD9HVV3bML3lc3qzQJeVtnJWSR2RDt3GJHyqr+m729T3wU0TPIzvWgGGO0rSrb20UQxdS3uWh
vtnuWfX7Xar4RwjYZtY8kVbwUK3i2Ofwe2IUptG+0WmUqt0jcZFDso2A7clO+lvNCTBq4Yay4/Rr
7N76S4zZVkoUJ+2tG0rKLUS6d1urzjaCfk+6FCVc6Nq+pZV0TzzUpM15GhRa7N5Dy3qdPkYpaZ7G
Hn6yWnCKOQNIOOuqycX1l+kSwPPdWzU+5OVXgKRrxW7o8RpHnua7ajVXw+0v2L+2Pl336Xt2HLGq
Triw9kpI5NnE+ioGBhYlNUI9rkUZnuvqW64ah65ONxp9dN8wXhOSaEafzjotg2fXiF86fOvIgfet
6B+S1t37SkFK4F3NzHHd4uC71TFoJDaC1i0W1VFtlIdk+gcPt9skVFLVxXThTSLdwsI9KIH3PL2p
2C+2pfLm596+s67JEJ7LxHsO62TbBc3NQ9SuKLscMOaP31/aaIRnpqreKz7I6UMeTVTSABcURnY/
VsfO/AYf6TD9KbJwjrmHPjvwHnkv3bW0OSr2w2957pH1mDILi+xdS2BrgDKuSacfSqT/ZfrrsCks
90ZYzFGDvWmhXiVUCtnTKjzGR4+w++l6ZBQkKT0djlWv0496/niWdOkuYz036n5bg0DHOHOWKT/G
VbcfopUxMNPjSVxW+D/7AMirkh4Mok6qM0cHy6oPg32a3phSMk2ep62pGE7ytygv7ywSXbzy8njb
+RQz3FOEpZdON0+Zi/bHl27TB9D73j0u5rlZXxVj4ojqTuxxvFO4xhbTkCJdzNi+qajSfZ/rEsbR
ZN7q/eER8URKobH3Y7baqbfA/XgWRnMYw6UbyY+EB7STGQ3MoKV27KeMktpFWTLeO3YGgBtvlgU6
U403ZD/Op8E3jSi58I6lXj+HHUB4nqhGc8/2QUmzVxfqwahs82HWGe4NIdrNjOOz2naP6eqHIYRj
VVLSUU7T9/3RuhFt8ugJPdLTc5zzOeXQN+GBI+x8EOv3oJaO7CI+Rr59p25+Hur6Zmk05WRzmYj+
ponyqYkYY9LwsGDKE8GwLALughKRayQP/awCW6YhfC+I4OIphVH6GOT2Gk6y2kTeSVp9rb+XsX0Z
c/+lXnqKe661bpH79UJk0TsohbeuJuWW1UH074riHlJ+hUrpBShjin90VnFeBS2CvV7ajZZ8lor6
Pl2Tb5qv2A+dqTJjmcWd8MLb9B6nkd0gIRD2sJ2eVR1xTB2p27QyeZ/dvRpYMnG7E/91Sy3jmKr2
3qpQHBQ7el/nkCEuepDkECiLOjlopVjUFKWUYBoDymO6u77ZnXU7ecmz5l7b5ZvWdRSNoh//TdFm
nLETjmZl8QjK8qDE49qPXkYKOyx6CADQf8i9oyIuD4slqHUnSDlgm97RijLM8dBksUp+K9n+xIpK
uR5vUpHlJwqn67w314KiIup9t8TzwAaV6AW4YBDLmVFTDFg/ngDa+hq59PiYsMX6e1l9hs3mxOwH
p0GDes9JOPNGZKtGuv2kWeyrUbvp7qOkCoH93qylN8IpgQRMYbTdBov0Io0BsySkyrVi1vpM3+aA
Qi9BU7DtXINm3DCzhLnps2xJEu4m0Lu1NMaLaerMPNxy4Tk3QiKfdlb7vUkSEtlgKOAoqyV9X1fl
LtBOgyBSQ67TrVSzbhkccZLA3hYKl9247AvxpvT10YBDKYFc5FOhJuIdqwj8W6qtRC452BHh05CJ
nmY7O2Tba1ExajeNrJ5SqmfTr+Pxw9KNaqQLjgrCNLaeTh5ITu/L505Ot0H+IqbEDWPRkihrubmj
UXYy8ldfe5ooMdzX6T4XBdw1f5dggKcdsxQd5SxGnU65cbpbtczHEmNRRTiewMRwSTlglcKqNHbJ
xu26TRa5BIrDNKhqDFXq0jLtp+mVzFNe0a/5+znOFAtHegh5xKABXA+czjhODUJaVJMHRS0Wkzkt
ijU8JBhDh4KN53G6J51hO7CC1wb4bgNtZWWm26iSSIvuVhH4DKJu5+Aa5JjJlHxIXZr0kGcviz/j
IOqXEamAkgZvXK7ah9T2yj5LgjfAqf3BN/dh1G5DjCjsoWT6yUnxroYo80INSS8q90DGCpFRiQ/6
fglbAvQoKEXGIoX8CPNuDo80JDOhtE1YEQUqRVSGSwRHT7prfyqjXyzJ0TPwsqbzWNcvONqKdRja
tyb3buQKuDZSOfeHo0iqHN2LmqX7Q8UEpxl7lTcvhP7kVt2piprvTUDWWLqsJ5xulHTqDJ3kWibZ
bNE1MfEkeUeIVDPllKjvQYtkLAveBtsgjSNcZ8pS8u1DnFEiUlBp2QY5Z+SVyrl5xHpMfhuq/lkq
TbmAnKWllNysbook08RHXIXfPY4IHkLUOK52+tkPpXRujhTyKt6uNkg96iv5gWLqpWgjMPR6tdTr
V8sokgN0fjYX+i2MJHmeKwmGULICPUz768SyqKsKeQneBWWTXZ86m4uIGnMew/jBWcgcrSGrA7qI
Lh9121Abu0yJxZywvMWgYuH2Fe5GDX9sF+rhAnnjvOhhvHcuPwRy+kUf01tQdcNMUgt80oKKht9/
09IcJBIRHjO1iFCEltqsnYI285BwlS4kl9aejMklFfhEGgDJeECYE6vdFA2wvMTov3edty5tFSwH
BYXRz8d5iPqPlkWCMrH+2mnNPbLAL7kV50uOoTPlbnRZDrbrx8KLOlsA3LZ188nOO3MuqcSyG8Se
GlMcM0pXd54NN4ToPma04qhUw0dtkpquFblT6YS3kTFOcrUWfzAqjSk9fFWwfqmGV8+NePxeKsNd
6iswrK/okouFrwEbFUiVkdzViwRR9Kyn/Fd18kFHGIynkXAYtzBmf71N6nxmx6/JZ/VnMdQfeqmL
238+/fI9K3853FZPf/7Jf0HZlCmwGZDsZJu6BcdOp43/zxqnT036/gsJNF/Tj+r37dN/+Gt+agOE
qtr8crqyJn3Mn8IAOquybEyQb5Ullab934QBxhcgd4qFwAkjhInX4WcflVAuGNEKv0gxNCEbxl/q
o1qIDzhtD16Wbj7+/d9+vWhUXrpCbVO3VfFn/0OZy1U2sFLn9hYBZIcmcZiZT0SE9ydpD4JFfZN2
3s78Np7hthAfQgltljLjgGGH7Auq9an6VJJZ+l6v651iAiCfJZ8kVuYz5lFiOlBkba2zf6sO5EMt
MI/vyzWK/JW3H+fe3n9OXsbrQBLo1Xil9arviO4xn4H15dse/s+zcekoxj4CfwZRo/9K0YeMWfOJ
tJX2TqRJhguMzL4Zlm4Aq7/7XH/TBfwB8KdOb/7PN+dPA+P3LWYgV7LtJ4RbxZBrxSl7d/tTrN5K
fOkVGJIS852PBggdsC99JNgApY+s+xZLb55x0co9NCgWo2cP3pN8tuRsp2RrW9rG/l5kR9Yzddzq
Efxz8has4izGlVmgRA5mLjEYLMH2CD3A/A7baB0Tdj2OtA9zvtSMjgqiSqKdqMbDSpEpwH6WSIgN
VoyovSTaMY1U+pJfe3tXo7S32U6AqMDuXM06Jkqf2Bg6WEBb3ZsBBjDGdezRRKPBDS+M8tILBdBZ
J77F1rYQ3yVKLw1daj3+ZPLcgWqmVfYYm7MnrmzFZ6A36IQmyz56tOLSFjv+xWzeSSvmry/ygzFs
6m8d0cQswLjZF61+k1kcyM+YF9IkpsK7Bnw3NdHPPUP81fWb3aw19TDqy9p0pGGLDTOhiE9KU3jN
QVO4L76/HnhXGhLSvz7N/WM1yL/g1IVj6p+oltKPrCy//n6O4ud/nZHQYlgygge0yT+mPeWnWkn5
oqmq/H/YO5PlxpG0yz4RyuDuGLckwFGURIVCUmgDkxQhzKNjfvo+zMpuqypr+81q29bLTCkyGSTo
/g33nuuz1boJP4Fa/ou4AxUnYgth8iNXOeqG4Pzf4g75DwsiDaongY/K4zz5b9RKMDT//YsnTbxf
QlogPdj7m/J2/P3rF0/6FePPjnVKa9zNRVRfqojIbM5DC+eoy+hVM8aA3gAK32SZpLsCSJo+ueCi
riwQ9qNb9IdMQ+1mJIfzqb5nCXuXdZ7YdI1DScCQdrHIEIrjs0dcLBzcYedj9qJrZOrb4CtV5Hsy
YJZpOHe3UAt7vaRIBtDft94O8WnFKm/8Ks3uXY3dp7/eZ639MhrLNWqKce+qEleuT0FB1l2HSqA2
LfZN2X00gVIs2PRvgLCYV8NsfncifTdwBFWOtVtaf95O3VdbT3cT0nA3u5pOonYg4q5c98RpAhEU
Hhzg1qoxLxOa7AjmJxMmHx/6Vb2yt6WNsBsF+68wUEC0VoiYCxSMMZlbX/aU2LLu97ztU+D0xLgY
gxtG3rwn7OYzNzxjb3G0HGZveSqq32bNNlvBB5pqJBb+NNNlO8aZsfUeYH7RmOZ9TFzFjVSFF9ce
EB/8noF1b1crJvAERkiSlcs2GaIgn/pzJ6yzMNWhcxlnL/FQhQVVYR/pE+8JoW4TTUvqqpfUe+40
uaoNbxdMu3LvQnpqYc89+StMdtrp7jvKjddqGqyQ8MiMXyBHVqf2N7bw/Zwt9bHzjQk4EJCWFsPi
zf+ADEIWh2wd4HMIe9OUzXpaEWyc//sz5P/JUgmK8/904kDs/0i7P/964vz1J/555kA4/weZ4J7i
aHGpdkyHo+VvwjA/QoDu3sRhkuWNewsI/bsUEvIfSkgoFK6NasxTvIK/Dx1+wtEgbFRqwrppL/+b
M0f+u0IS0AeUas+R1IAWNZqwbj//l7jIeZYDBBclgrqXL47T/16M8SRX51Jokh46/c22TNKVl19S
FJ8VEz1bjD9KCSD8r7iMv2IjIgTdDLJJQl+f+sYkex1v/+phz/+X9/X/VprY/35C/vVyqf4Q5zkm
r9r3/uPlDlMcKdstBUMmvCld6m8QdwGuGAFTLkl6ictXv+oJrIHYxgIMWQYTHCzl2TYWtQVeFh1Q
TlPR21hYI3vZe5HGrmYOSCx97GjYO7GbY1m1GoNtfvbQSuZDBqooTuLAqQiNETYIsdrDKk/G+LbM
mDDlMv/QOg6KZN7bYrkjy+NQueodlTSH9qBfWWb7sNi59+FR2R5MGJBQMHy2LfwOoO4WkVjDH2Ss
LP1YUOyIcnpKeipNnqliO6kFu5r97g79stGTfE189bxO5BiTy8OcAKYehoZD3jEN6TJN5HMC0N9o
bbQVICzYzR80vwMJflfk8ASww6Q9Z2HJ6tzoQTt1tfWjNEFENqirosSnISaDYgaIlLoMmPwC0MaN
mgav/NEU5pchm0dryN4bSJFTaxwm51a0lnStxYxfRytgU/gKi/hPWRo0oFPNAI5dSYfBDv2Pw+Yr
Q6HYMegBgXoazF8Vh1mIqHDBHLas8bWxH2NqM3KTTMgljhdihPySsD7CSPRIILLuDmDMYSLFpGjV
l2nXP8xkLYH0xn9y7iCvQ9+Oeopa3BBYmvPjYrJRHZX7PC7opVb35zThSLSm76Kya7QP+bqb8wC8
jtoazAR4Aor7pBkDX7PNIbZy3MTkpiCzoG6MUau4SHRHUIlEX9N2//+TdLk1XvJ/FOdu0j8Ftdug
/8NWzx/651mKQZ6jkjLMRXCOg/3mnf/nUSrVP27meP41YCsaR8VP/j5JbYcfCRcbPoemeTuA/89R
Cvxd2o7C0WP9LTf/b85SV6BO/7fOiRLRhgxOz0tFqGDF/ofevPVXlhvI2oMaUg3yqLr4wdbYvUTD
8sBIscXpaBFRSJoM85+KVYb8WtOJlHoXCGpm5+deNmI/AxHeDKKT5wICbZQm75GCmFrac79Dbjay
2DQ6z8WVaBw8z/gBGfmRcA42Cf4TTTRADbVEmxINaLSm1CzkIjnaEgSXGp+DwlMbV59Mz0/zCpKj
Nli2L5EbAFSvt+bs/tArA9C2ViAjmpThoURAwogn21p8YYwMUpQjS2djV9SZwCyoKfQrkMJkR1T9
JhLuS+25tNRlT4WD6R2z88J03LQeVPxeIeuL+pjIakKd2iuxct0Wi/Oxlak81OhPlIeIrg9YSIfC
Bb5eDi35n/3v1s5+Lp1+nKrPyaGQsRBD3k5iZUPBSqY6xGgQbeAohT3SIwjoVEWEUW+HSR3QyIF2
KovAl/NJsUzFgvzSO066Q31zV7dQS0xrT5hZs5lzxc5+WkFGCeaCDK3jWhCCtn7lTg1Q2vuTRi22
4FYjXQEmhw25x+pMmtJxaurX2ydSFNG3BVVmM843MKGVnrp4gCvjTu+Wd2ZigsF+fIE/8/3Gqs3a
mXFPMghXwgJ9vZ6+xYyaax66h7rBMITdEV7t45T0045hZBT6RndXmyGZwS1gJdhIpCmz+Gnm80s5
9hhuxaiRweJXdg0WsR0U9c3QyB40nS0AqdXJhvy+18hpnuY6Oicuji7LJLbOQ1pVlSsGZag/M7/I
MFU9z1219ZS+S8gUMQf7I4lymtSuPaWLLQghHM++N40YvpsbXN94VDOfhe9wUDczN2+8ZXpqn2IF
B60ovUsU6UewZ/fKSP39/FBDsga2C6dpTsFXpfio9jrNvprI4wOlxojS9dPw4gdSLJdgmGwXrkz5
2dhIQezksSIOaNu3SBPjdmqCyh5jemrEVK7l3s0J/3cpesQ48al10WwNMF2AZCd4262CWwrX0mTc
GOLDCz5mM0yYjW+KxP4FOugN46zep4TeblgW4QduPoQJMaHLvgZxZLv3e+7iEdFi/BNPG5KUKn0W
CUNJL0W/N67eXerLErdqVIfxZPthMqKNh4bFlH1Id8Iubo/TOgB/6g9GwQ5DQrDdNsuLsDEhdymp
qVRQYpNM6Dv51heS6ABdw4Ib0Q8QeJN+tXaf7Gx0gpsxNyWoUucLRoJ39n2kvNylbmrdjcM0nyoa
jkiM8r7VZPzK1fDZRJmBObXqwaxxiDfmXkFc3ZaJCkibZpuSEGyb1o9dt9ShNU5ZUFeAanqWD6uo
rqOqmI83TN0zqGb0Lwnm696+WhMu4JVjIDHqbNcu6tl0lokM1gT0leP9QMynHfUwjCsgptY/O0a4
1nYVls13ruPogfxkVImZc4/pjSmb9Wr7rhmOGnU7BL0zUWgAG5fp2am8n0vfloFV3wK6Vvvk2Xmo
LIyDiObfGr9yzuYa2WdcHPDqPAteLlLFc68GJG/edOzGjEXP5M+nJROB3ZcQMxQh983ArtD0Nfv+
OD0ZuXFtfLTC6yjKB79ryXmKM8ZQ1I1Z3AVVzgvy3dlE8P9tt2R/N2IOSqdKgirKBgLWLl0dtRtA
kEQB9Dn4q4RmFvECpdaQv7a3R7dK2xcoujAgqCSrFWiqwNLpTcMdDAtUEER7Vd06HDKE1CawuV1r
J6SmopFKRfcMWVmbzkhcRnlXD1dSl5odHwhZl5Sm0Z/JdymiWJPDye77je0j/vNgWQp+I+jd5l6K
xD3UsXfWC4Ru6jjGY2L22MWoNw8HJQ/8Gu3hvTvxOc7KZ1OJdgcCGjRgd1sItYGdO1tvTb466qON
Oa+vbB84AMs68FK+b1N8RP4NiMVLLZCk61FZNVIT+K6bcRr0VhFnspPde5q15KHFatlb3vC61vPr
0lo6HGzz5gstbrhtREkAgyUuXVZhhJSzgns1p4b3AGRbmxFxQarxzIVlho1QL3HrwADo9bbwEpup
mnFfj7J5WmhjvImBqltMRISLpyk1TiUfrckhvHpALB2YU+qzcVW81ytZ4jizeA0GbXXcyuHoDpAc
4PO15N894jz7nRYhuhKErnzUrjGUF8SMH3rFZmbVkX8jDBJklnE0WLJ5YOuJNLrNX1pNFmDsW8m5
Veqg6wmIzVJC//ocyUgi+pft7gpq2s/4p3LvI+S8irF6g6LrQnb0z9rvvBCgJhcEB5C13gKfiAIO
ozK/SFm5e9smKAsYOEw4FejMu/HOieqKliWctT1/lnuiOPrP3Ge9CbUF7m1V/oDKAL4fIF8brTFX
r8PECdMHPDe9BkrGd4RANsf63eABIKicEZEqyoc2wq7aSvMw1wvZM/54tSIku4OPz8EvxD62S5wP
S/I1jWO8FYb3BxZZBFIBDFbTyP1YDQcZZe6+k8mvqKPuls185X6bUfD1cQjXmQfTHAzce3kfTp65
jYlfDiLH3HEj69OK8ScVCgYHFiWzhWXv5u1xFtOfJktw2y5uT9iaeppufyHbjMp9HHekvdX6gQB3
cakAdW2YOb1l8DXJ5NoVXCnoQuE6iiL5xs/D9Ld4H6W4G1PuZLfCStTY9clvxvoC5iMgWQABMcbP
DS6kOdR5mQUdDSe5YtGXZ5TLrhjc8YwQsGVrRYJNlRAGEcvfnHe/usi0Qk0Q27aLtNhIUJguunK0
SQdCwV+IXbOObcvEzo2Xk2gm0jazpN+rGlGu2dO+ayuzgiHWb2K6LYjZG29LCEmBUTE69sZgZtt2
TMwY+C4GcW8usCwBfONdyOjWRinZOiL1NzRYvaYCWJbUZbb1B0WrU/D81R27xfR+GhVIDae10MaZ
D5Ekfa6HPBaSvXuE6LtZcsionjWUYb5shTPANctj/F1+IEYKu/L248GS33NeDEcfk+WQ6Z1h3QhB
bkkIqLTnXZ+0bRCpFuEnAmZMNb7cZYtD3QBEc25NB0r6qVA0pjTwzyN2cuJNmJPhIlrSgYQM/vul
UIw713bZWea1IuY0lB7ttOeYaKTH/GNQM5nKmVnu4gz7V8pGP3RnOW28uNu4mmBMDGxw2m4jNmY7
R8TzANnLB4ozh/2ujrYm5jIWk3fkH+8aqEZ3UFPC1l5TviDZxVQEOoxFmjxOjr2lV0SAayX6XEOO
9Eq0jcTHQHPvLDccWgkcKnGxWg3FuPOwgdvtwgU59l86ZqtZGIKsmLZlp18ALG91tmlcySakT1x+
tdkWYC42al0wpTXPC/c8moiDhPK+UxXF4NzNu2VtSb+73TB06N+tMT1OeXUXd86DX5fstvJ7HTWf
TBUZ33aBM3xMOdBPvuJHfBHsOlz7GPmly8f15mWXNY2iA/E1fMQJaZ0gugM/5WCl8S+SlChpUmkK
Dr2+i46GzfR5mD/WCKqwnRqHlcUfWBj+AlZE/mu7vheIjc/zs7W0TD4z0uO8wb46jQgbL2n33mph
okvReroGBM8s0HGanWoyAOKlX3Y6sa1TMwwO8pTp80a0J0yzwILR+wDBTOjOzlxsTYz1YdqPEE4Y
HkUk4QUt4TYdxI6NqnrJytyFIUby9xp55C37+H1xHyWzdzQQs27lMvh4eTAo5MD44iiAsj4Tz9k+
VlWdPgokElvAYz3AIPTaBlFMc41uro9RVicxdWhKIqmsPXlJ4zI0dJHt+tkLFQOEfZ3343ZFon5X
4pNEbZ1tyiSnbwK/HYCD2BDqVARDUj0MNhk1QA9DpKwuqu7I2jcwV4NO6hj6A9Wp3SzbMW22JlDQ
wFQN/GRCOQFjJ0gs57t0JjFa2Za96cZ+uEDrZQ237hYF9jbyXJ4Ot33voqzcRAWSptTz76GxEGQg
m25b8qhVrrvejR6kKlQpX7a7nubb2CebUjxBe4UWlys0KgONpNvoscEhWK42sYW6z65Js0RgYDLK
hu+Wf/41qbJ5gEynd9GDgFDvacOyEYF63P0sbbPaxR5LOm+GoNXSFxBC5ZLTuB3zxgWTe8gkSiJM
3vtIL1R/HkD3EvPU2k5P6+rDreoJnW+l2GYdysvC7187z8NZ6SQfQwdCzuJxLCsGWL3NpnXOEyTJ
Xv9c1uZ89KtHp4M1Tv2FOlHwvZAGuoNnm6YjsFbiQi0HQeecXLGMrEBrOwBfxnifElBDeBcicN5O
ME/PWcH3vsI/R86k7HBI5pjlQ0fRA8fJvCnNAkuCWWBXCFrKp4BY22Hfk+IQKN+mi8VmLiICM3Lw
/EOZ/vSbhE9cA8iU7m/DZjRn12MwIvNmvJn/ckeYw/H6IxmXt/6GXRXNZYHgfwuEIVyQg3N9Jgbo
hWgRgtiT/skzfbo7xqEdsKjFUQ1Xrx+zjb33QUPEDtKiym5fdaxm5hTYoVjQaKLcYWjUUUgkV9bk
u5vBxM2HH6lnu9vRnMD1DwmZTCV2j8mj/0rBb6rECjiWInLFfBRW4zkr1KnwgGONpivYShmYVxQx
It7yFnldFkg9UV8XhB3FXrjMgcKzHdqL9VL6/YvjeowjJrWeKBiPJLJgr/HIH4V/vGlu29Uyqz/6
DGUPiZtO4KujNd9cQ5lxY3BzpYj5Z7MuiEpqVkLdWL46Xv7EsYNY+C6ZfBO/7vjq0mHwt0t97Dju
qfbKL75CNFyNpmEAnH4r6A9//XadIfiJwFihuRqGbSpzBg7E61y8keuvcKGV6WHgT3Ce0ZxXRKMj
PTqOg1/eGZop7Gz6xYEgdhpD5toCin5gg63byom4Gp88na2uny2ThjzxXKapkb4wAiMWdyzvMYwx
6S2sN5MYn2NZ69/Cw0xbZgyB9NQcpqpLdrqv5MHKxx8cLHsb8tAeSgk8/NW+auAyN9s3ww9CT2oS
9p65C8b7P7KEokryxmNfB3mRGQRU3rCv8XwnhuxsZM9j5PdhWgsyPpW2N4o0ee0aNXRq68F0aAeT
wrNRxmFmQhp3Nf1qX3RqDEDi/nYtcdNypqcagFdvqJkIoZ6qN6qCHsJa3WLtSfz+qslwD80yvyr0
/T7KzFD2vAMTNwvU4jScBoFzEUlHaIR1WhWHuF2CaurJ6I4UdlNT/WpyzBkGlRveVVjmg/T/NE6v
bk6iejvPWRzClBMnf/yd5r53vxriYOd5jBLuokduQPJK3sldYXWo4rtiwLU5IAKReMdUnT2XdHhQ
iGmeluQiBPtOW/40KtcIktz/uWqJ5YZs3DkfKISoo4dmlzOy2TorZ4qZuf6mktkli2YcyiTumCwr
dhZYCr4jfQZAKycWmNjX6jmuxPc4trsIYqGV13sKyXNHTw8v8xffjjJcrfY08YO8tMxt0dnsRVfB
HO3DXWBv9nm7i0VPIEN+bhAR5KO4pW64L4QIHToC6xOhyL5bHmgNA9sUYbIQ3+NrFrkRaSv+iAhQ
kvoboXG0MXpFkbWzMqPmTDuCu2P9oDiPrMJjMua5+DiOtcmInPQ90qrZbYgB9C+6vGmrJa4oZ6BT
7Xk41w6rcIVB/biWS3S0mNfNIP7iiaWSgTQ7kF59qBWNeGq9REC+PQaPBzfXr7r3cepMTnvAXZFt
yxjpXYnmzMkYgaGFs7dLnNGyI668tdEgcNzbZUNgJcMU70oDm9xbgL/ZBPTdzqnjRy9N63tTusgn
y+JhMrorQuZwcYRzWaNCbyQV9Nmx16MpyTjEnN/KHP7BdFEpsKB2yA8OyeJioZDkP9dt0xWKX8lr
Og+zz6Ncjvt+gD40Ry65SytClTXtPuFjsoDwuJQKV364JFn8sOdkq7N1DcCtWwGyqPuxz1XYdBah
CjqaQ4J1DWZ7ajyVy/KQ3UiuMi3d7XqTDjCwjdFtJ4Kjo8KDB//UbaPHscpwbDLcZSRc9ptxJDIK
TBM1r/ORtDAUSXzxZr8P5EvTlM5WO/PDNBCRCDir5HFAfZM5kjaFUPNT4b4w3h4vACLJyOYRtSWe
OZqrrbAw4nAt8jq9rc1sepdJ3vyBVCxfMS/JB9rbZXUO+czezAJYwaUeXzzzMswraUaL/8JEuQOe
wPCtQCHFm5scUykutQOu8WYxtrkHSd7AF1MK1vmFvi/ZlpF5SeQB0sQHwatch1ju8Iy0u3FNaa2r
6YMT2T/5y4oy2QRBQQ49CQiZERQW15XUHu2HNZ2LFqlCFksfrSeA04pljyoyfeiihBFhjFoJP7u7
69J4RNLLR+pAaQocHieQcfE5GZlxEEFn7WdPfGDovIt5OQGP2A/+cBT4VkyHccPWFxY2PuSndph2
au+U/fpu6PLe7Ei5d0jtNtDmliBIt7Y/mERnWk/IvZkC+yNC9JJQQtvfmSuxkc3QDiGj4zNcfn1v
W+Uz0nzTdNlEuMa5Ho30kJYpTEclCa2JzoBEK+DQDqEAvr/Jm5pgrhhPz5p/LGMPJDJtZJCCANxK
buBNYjc7D/75eRUEcIylvpgmBbZk0rvPKFtCEBQTw9cOUa5PxozV2+EqT8oQy2M0iwBu1XzC3XOy
x/XGfccin9C1bR2EJ34KHdEYkxdP9CwnSGed4GPj92WfuUCk0FX96FNJbNPRIn+6tyHQezdx8IDB
erHhqCNhAQyKWTRl+7Ha0VUiMmmvnYVc3mBWmFWk1UoTsfmK6riMzfjUGOK3r6dnj54YJdi3QbFT
Rut0sS35Ll2nDJo1cCOcmt2taR1bPn0ShC4sZMfT0s2fxtw+ZRZblzIxKEp939kTnfC09DFFJ+IW
0rgyf6flW1URwbbMiAYrWJAh1s01QMSD4K3LdSirZ1mZ/tFUj7GcKTGUJP2BZPZkZsJGuCq5J/16
KYR1MFPiWMux8sI5e0ZIaR4fQXuBWOyih6RLn4oyhqjY0/mr8V7Q9G6bxn0rm/FbM71FyFa0AcN0
LjGmA9aS6qOKc7WtjEJyEGVZ4I09o7M0SQ+iSXDQWBhhZrz5p64is2sCeRjSRW+NPAO3Vuifs4ul
f6K/7cATkyXyhL5b7mRu38sOpbflTs62s6Cm0umZuyYvxE7K127Orx1xiJFqnBPA13dPTZRjDcNG
7r11R7g3bIQoPageKkedGZBwbSZIU8v5TMzvWsEYmEtyVZveOtgOsX4J1cXiVU8dSxrs6gqwCmuh
RrcHTrk/RS/Po3VKHUnyih9l4ZpQuYHqGeGgrZSEtvfGEIoGEABy2Xo4OieTOGGFZDARe8gyuCOD
tl8c8gA7mADqK0eLdOT/Y1Uq3zs+/kcWHKRLYyUfMBnYVtwd2il7J6pqPI9uc0JyxEPk+V+ZdosD
Nc9lLPsG50ed0o80VH8FTzpBS/ewSvDKpl608xsnCWXGcNMQOfd/mye7puIiZKl1qZL+nMfpDTjj
t3wpzJ0lcvHi978HEqBoeKMuIOaPZAJv69lFBNcj/kgNenl0l+lcQ54lWJZMyJ50PYu/oUktQ48C
tuF7Xn9n4kvXn673rpdf1Et5ee/Er21PlGXmMYWrdMP92fHafYMgxuLVzdOPLgKDp9SaUbfSxM4S
l7Bprq9VzMYgVWLX2d1vDe53Y5e+EdR2DDzIdX7WPt9v+HThMgIaLNi18FfnK13jQAmgwe66Es7B
aOZ7j/4h7s8xXnNROR+uHr8au3qfbXCF7iDfnFVluz/9JB+GZekuma/YXsDZ3M5G4jAVG5tD1zW/
RLpOV1zgTYWWFn0AM6GmmA8S4tYSG+7JrdMwa0TEvF1+rgr/M6ee2pddsaesfye4vtulk0vjMf/2
eopm4g6nuyK7qX9Fh9i+aRTRZly75ZSUlzltwmGRrzxx3Fid2yN9yH5lH4x5Nsi9rrEUX4zueB+s
92XIXmNUIn6GDT7hzhMkBAVjRPrMGrtHcjOCuK6LO44TJKSYyoY22VVu+qOC5XKnkzY+DR1KDj82
7hmgs3uJ458YoM4LYhQWKMl3mzjV3tYoUGeNAH8agf0ZKyGKbf+n7vSTyhHS2vXPbCTGEI1Pw97R
x4AmvJNqS8RxBKASU/HNfPyZ0hiRXsVqxrM42Vai5fTgKe6A5sLf8WpQIAeDVLuyuuWYxuACTLIO
Ncmc595h8cXEN86t6otYvJvx5G6eo/Zk3xILPddj1vUwNjYD/JzUK0MLwk5pZcaaIsKKthZur23J
aGEgFKH3gSHjeq5Cun5KPbPuLmNqMY4wIjsc15b+0/4sihVz4Ngs5yJnjVuVHGu+MT/1iOjqSULO
KCq+d7qULMUSDD8x8VVe8VwxY30GG//USx9nDyMNmUwp5HnbOvOmoPjr7B8Gk4szGq99US0LIYRm
YM0WKUNEVILAR4pntR+Dn7tXQjUx6Y20Zp1TFPduYYI2fq5cK77oMu9O/Vo9oEg0j3VSX8aBYjuz
uSVDMRCZNZKGgxDbI4Nprd4ZttyJutxb6Jhr/qsEvd1N6YvDOzjQWjgVkp+k2UdJ+ZlgIWEne0xm
xoQsjeaLqzXjnyh0s7eieMEcwqj6KQHjzc4gqFE5MxR22MMZcjO08NKpuBBOIdxJKFkQd2aLy6Ly
JY8/teJ7RMF7uwmhoweCLX05bcruIap+Tc57beRkk+T3aDj2ZGX8mPlQR0Wua8dsmYv0sCbyZAhM
xWramlOOQjqTu8Fkb9dFjEfFErHyujlT+aVkY9+7o9iNWftoMujim7ZyndkBd/QvTITfoMDJ+HP3
t38n2K1PjBV1fdVVeuwL+Ocmht9ZY83qCcVd7f2i0OSrPxDRAq+wcJEUm2n87QM3HpOW7QdjelY4
Cj9q5plXDc/ZINyTOuS5Vo9OhWMNyS4R4V/L8t0CZDbib129Fwy0SJvfNTG5L+NbNt7hdCIknslu
jOUdt+exYCgrjfeqjt5scB0aLSnLakZlL4LxNHIKxOUn1BHTSE7qLJFNqTDxUJFUxdZlfJNX3pZY
N5hb5Ei60YZHBe2u2muX3YQXJvmXHE5NGerEO/K8Ps64oRcPIhDZ8Eud3euG9tBgFMlEEi8q6qyM
Jqd7tVhXYuavgHj3LF9agQ9WE7ON1zWv2Ni034gGg6E/SAhBC3oxvpFLVtBuwJ/Pip29yBfWcRnd
LOsT9jwxgrRxkMGSo21z510dmzjdZwz3+auwY81ADTa7AGSyCL67mAPW6HExrwrnYakOSaz6fdOS
gHtbRGvOFx98DMMeS//q2GQkCfAXhWOxpQGMzspa9hQgnGgFM0Cxs+L7SPLZ0QDgYYJXwkbnlJPp
0l2X6src/lE1UOTRLbCvbEBijM8KX5TAKAf2tVK/7Ilo5erNa6+lSxaY2wWFAR6mXfeD8zR1Brg0
4Na8PgMzpw18Z00vyvEeUaLdmoiNz9CR1OXAFFVYDwx02xVRaX0U+VdP7cV3emfZH/bUbYbxlkhk
/hjIeiBNxyFMXACkEW8mdjWBoZyEeT3Je4KatqMo7pwMXJOPxyH7yeojTAH/CWQTDljttf++rQoc
JtwxDgjMgz8pgNlE8nGore7sg+PnZ5I6aDJbWNPgr5/IsP4aaEj4Q8/TAJ3dyM855Ao0J4n8JQR/
nE2GF9biiSZuSgtMo+02ISc9Sfpro2gey+hSWrH1Q3MnPleR8WwSG3jfVHCzV53zsmZ5waS2G5Tw
j7ovioCg0CYsW787FsO4XBmAjbzvvTrmOexAB2eolfvpsc3G/Tp+lhGhPe9R/LGWt7S1MVihb0D8
WioiWMmAzJq9aYpNI4qz7Kgk2ulGArFsXu4MtR1vyx0VExsFvEGhFtY7xkj2W2b+VjNqAqZOjW3H
KP2MHpiKlXhXw48Zs69ojZx6Dhty+azCj0j+qYEFDt/umj1MDNB3cUs7vgKpa1ovO7WcJuT9PSd1
fNY/CZf7TVzsce4+VMWT7nsAf9uvYRQcNzwrN/YDF5P8WXXiDLT8lgEuvQDcH1rQRHLJcEGodQ4a
AW59zj9u7JBV2QwH1wWojsVstn0r4PhGJR7VvDqWjnGcJA7QJLWZqJbn0qWByh5BxzGHIfeu+lm8
eqv91C2OhdpsvEM4y8Kvz+lQ3I3l0L0ZLCvgv3lc6pgGOEncvYbdE5PeG7Aw2WhXXdnmHSeltjNz
IUeZ+2Q0jinBFLMbozdIDXbG8mKUZ6D3B5JODrSwnw0B7R7INTcXPEpg4CPAb8lyGnw7cJrpUzMo
njN9XrzyUePyGU8sYl8afDJOqfdM8ohGRIYwIwugMiiTz9Gn1B1Se88yhlbTAoiP1D5Mhp+z55HD
idOxjpgi46wRc7mxRnHH5r2iwrzth0iDpGlC/0SFN7P8knuiucn5lQEf68Zz0cI0rwPEL8T2x8Yw
qGyLK3X5vaB5sJtPq0e0sbgfbcP3DSIa7+JEBZeszKOqX32ZIRorA8cT9zrOrjD2d2W72Nt6GGgS
fQIJVf8TYslutXm0+KJbi96Zmfptlh91Wn+gxv40b/0oLst07cPCmzGi1TYIhMh8my0kIK7TBmWM
otkjz5w7WBGH4pLVQ8b0cDeko7ggn2Dvjdh30xTWKzbZH20rLlA4wVh36DHq4jHNFx8EGk20qzkp
DT5KnFVtKl7LrtPnIkmcbWuHS878c6LhHlW8M3UlOdZwqcYQohz5UBYF2boN05/kWfqGA0qQelEO
LJGSlSVd4Y989jRixghoyK01zQDa2nVENVUwOdj5BCgmBCUOU/WkBziXcMUQnZv7GDMYy1Yw4teZ
CSCQrufMRMrtOvrJMtSLimRyaqcbW6dqLoVK2xBWBywpFOPIovHWgpypNwmeX1KH8pRTtbgrmd9o
i+SJFIXQtBwn4bL5t/CiEDVWIgnj/91CLbGawLNyOG3ZVS2fAP5YuBu7uSA5kKMCKfbN9zftikJu
5tk5tt2bfkvTJ7O7FPhpYqK5iWOv1+3gsFrzt+x0luZk4XyR/f/i6Lx2HEeyIPpFBOjNq0hRtoxU
Upl+SZSld0nPr5/DAXZ3gMVMT7eKYt68EXHiDaZjC2iwmxo8b+nOxWYU9Q/z8JHSQRkxgOWOGuoW
MnO67Abtw4WzJzQmiH8zo6E0bTqr9elqqAvaghqstrY2xxNPtmVk9cslkgKwJkiK2j7D70OViOb9
nOseAr26BU6BxiKK7x5FIpdApLCDgLWse2+zpIyEbfup6M5rLlRfQBSXM3Or0kUEFZHBcYpHjyUe
e7uc4PVQyFJGt3zJHhSIDmzniNJVc/atYcjcGo3Ks2Inj2XTftQCgutYWo8237ejdGhj1xs4pMXk
BUWvnWlceHQd43mW1tVr81sklp2cdVhlqNvVgvDdJSedvO8OH3rlgnMs0g+dSbvxdrbZ7kyKoUye
rdVrD7yhtZdbvah+3NKvAqWjB9/QZw/r5VM8ZtUXaLnJ8rWqCzENsEvj7HnPY2Z9YJhz4oam24Xj
1F0rdDIO80VzXszunhJEj4wkUBj12tGjLOMmV2Nc+af2AE6iZUtoiIp33S8yLq/aHFTs7gZlodQV
46K57GZqq+3mRVXkg4e+R0fEveZUnZPiIWNb5tcjo1f1PSXtlg1n6LnP1XBSBvcpKTFwpOzm+68a
IYEpg9ruKtBIeadknfrxveORy6OrrTyXtFmqVheq07wS4FkIx5yr3b4eEPLuHuC6pJHQWeheSWw0
QUlr6szB+Ur2cqt2OzlyU8H+WdH+VL/wptrILEdJnwI1sgLm0DHqdyYgKwcqCQoibjhyigwVMobT
JXN+DdoQ8XoNCZd6ukjqkiXKNAbdQichjaCO3Gdjsx15SBA/fYnPgLuXgyFfYrWEA7alupr++M2Y
oHAwokvnHjXnBmFpHb7wLZdQ+Es1O6QOXANvJH0ln+uBunX7gU0/+kN7dimHxP28JQa6i5Ar6/ww
mM7L4DQ+rsytjVwrWL1RBYssouy6BoY/uiD20Mb+LRItJBnjdyWK2aKShi+y5YhytqU1+QGliMTb
xHBaWNhzcvOXzvNjOz0xH7OlKs9mBGcXrkuQJlzdFtB5reBqyb+yrq+5N4X9WD9WKYiDId0mJW/G
RXuhRJW+oWhoAnfEUVl21iaJ5VMas6RNvhPOztpogrbB6+A9pMtzhOeSvrOHzgYtWMJutPNtkXl+
Q3Uz5jHgUJBYWUtn1Sl2vTCjkBFc0L4du4dGvs0Wqg9ltpu4WRed8VFbsu0o5N5LKaEfrWQO9Kg/
pT1GcpqAN6ohtbNS4d/l4Pwh1boxa/BClnsTBunFOQocz3tyvG2bY0LQoyOT6jQg5+CNo9jk7iGk
bSyG41hq/DY/i7Ul0XCrZ3h5G9XFSULzRN0CdsZjmUqBuSkK6vKZzfeeLxcdHudMMl2U418i8VdX
XHmFk6rnqi35uknmgDJFrgNM1LZEP1RX/pp6/F1ny1XxeNIWDam6dlA89lbq/sV1e04RcsNYiV+F
SU2yIt+XRnkaBLwYrTpgV6Atj4WBklpHAoFyb7bNJR7Ucx0jsfPoR4ON5jO01xbvzTZK7vbApS1y
FF7Is0vRhXZU+tqiVgGrbWJSbj9QGObXZB+HBclTqKHrZbSh4430CDIN/7z83YnRgvGaZB7Lv/HM
2zqkE89uXM51AKERIk4m37PU2TbIk3r82lJDjgH4AQ/aaiVzlOce3WGvx6AlcxWf6dxr+LC7h4JN
s4D1Qv/qjSpA7G9rK1fXfBt9XxzbkbFxpv+ZYBNXMu+QpgvUWJM3XmL2rBTTS7a4P3H3ai21CUhH
uYKO8BXns1bP5KM4e1Cu5h9M/Tzx5np3UwLp0P5u6K96u9Jr63+Qi7aZCbkWCcKW4L/N78kx7nmR
AUTMURzGNKy83zGJFd76HQOm9uhEZHDasBMZUl3Eh45dFqEPpizLS+BGey3LtrM27bTRecm06Gse
Tlkq1D0esWMTN6ApuVXmU77ThzCfkyd0IARhvI7uSDpfQC5MvPlZUbN5w/gUgQ/nSe2y40JVpxKp
vMKmce8O5o4OxTtpS1gz/MpmyfVMjZUHA1NNr9jFruIVgaypUyYdv0eTYO4RBLzGUXmuO25lFi6s
rjN9RiI2JfEJ8OSpLBdolKO8xJGVbdKaGLnaH/SiujZmjKOBuHvbFnBH1A/FAJuzaN95x4EvQIjG
iXxX1/1JPoWUIpzcuH1K6DjZTo8J5MEo0l+mft4D7twZ9DcnFY6ARcfjlJywPW8a+kMcPDb4pT6A
17yNDfmyroc04MBvnepbv5QHg0446PTfsut2Tmfc+S+TT1+GWmRvERsDNL1ji7JDIg1zS2VXeC8d
mDTjkJ+wxF47sOVuzXgj4oOrJv8Wz7U2gPJuzMw0ElNDnYjAVeQTmZ4nLRP0tFrGMz/WnZ2qQbIM
QHuzDmwOjPJ5pZdBW+MihKY0TpX6hHJ+0kDVWKl3lnH9McRAjUrQ3axMblGcsxylvq3QCKLYT3U9
nEo8xpW5rl9pLxEoc16TMSwfRgUDyNSByhqJ3ozmNcm+8AMEKVC+vRJlP5tF73alifez6gN2QiFT
9iO2YJxarXGKXN6uljWA40R9swEEFEV11i1vlyY/4NC2FVKBVF9nbNJDp/uOzo+fC6MKw5467d6s
XypVXiHiPE5IzCYX584TVxsMOrZQUkQBGeOwM+kPTqZ96oFA0jQ/b8TVYBibCPgq8guT1DDcPLvw
F3sMpe5yu2BszKxPt4hxWGAanDvfWPgArTeDDVDBQhggJdp+u6kHKoDPKWV+hh0FHh2IjkEXoxIf
W5MvJP/IEQ9Fy2gp7kOkPnrRuGs5PjL97DqIeASsxaZJrEOLqFsb04F55tmYjTPEsZI/ehcmENg4
CbNUbnuYqSQxWW8kT5HOSrCSu25ot3I0brUBWt40r8Ts2F2q1BHfUxxxPm+DzjkmTCK1iiOBwJMo
/5rOelzYBs3rGGmbkH/LfqstELDm1zwx4fBrzm4urb2pfS2CZMo8souz3PaYUsM1w+eITDsEwnlS
9Pg2AA7CVopEWQ7xLcd0TtFaclGiag5IqLvZR8pcMMTViz5271qfnDV7qcK6X/LLMhODmMR1Rm6J
VECmwrtFGax3h7XCjGU2NtVt9CImDEop0guRy9cZyXebIuxDV5P9t9opoRjeMRyRvGexEysrdT60
ieP3oJwVe4X6trtekmrC/bss3adTEHnE2QjlO2HJk9R77tInOx1CrGhd0LjRqWSj50T6cTYtcRLT
XG3sunv3OjtMsBm2hbVjp9DtOv6WQTJ3dEYI1Gh6z3uSmh3l42YGZrWdmNvoUzjUqg3EUBRHZbov
68q0/fYIuHjchGw3PYsc618Naaqwro1HM16bX+PXeEhOngBsCBJaIeESEbaaNBCw5jxypR71787D
vkA06yAX4qrl6G17GghrerJLpmvSVQtwVOpSng3vZHoYJgNRb2tQv4yZDcZqzGjofk5Y9grF7Y57
5xnJxLOpMR3Au4u2wuq2vbLWYFPiSxSChaSlHyCS7sqENs31WieoVt16TvPixOsuLMMPOfyMs+mb
Il9OFGgd23TgAe6NY784X7MbfRc1CCelwKHJidfpdr3VsJ/gn2VyxPm3DCvJb+vl8YNXISi5Fixj
wcsd8iCfCfqGeJkqzfINrQ9MHDxZFr9rOg5FML4tszJW9nzZaVOdcVum0CrO7UdmOjxlNjhDEtia
3BdFsi5DeAxhXBlA++g57beOFk1bp4awRDRla0BV8xF/g37pjlZnT1e3bu5OMsF8wh6RLFsmhJh7
Km54EtLc2+ql2QpzuQmMlY49BfqEBdA2rC/eH/eBZnir/jcR1B0Ely/66pM0pvhyBEjlbCrigf6s
5F/Y4FX8aCEcpy0tu1yE05pDpkWJduMfiRMQte2jrCpoKD24twh7NoW00cww7j2VSM36WLMoW9tD
TR1QuHcVdNE7xW6ivvdI5efRy72H1iTgxDgp9O5CF/nJMKwNa5h7beuPc3ZrnfFFdCz75URVMaP+
IAga1+HcqScNGXhukns93sHv1fZ0iFzrebSi0CvTV1eZKeRS3b2ptGeZa0/9pIGcn3YU1jtIv03o
8j5yoi/LfIghllndb+omfpLDZtAJJh9nHNw2gMPJRDoZ7wo2AYnsNFJZaZvcWDEScLO3gaElSsJS
iPVUuSQrJBeENtANGDy31JD3jB4xUXhnHW1GrfQHEuQFIg0yRdxATE37x2bWCCEJMDxXe4QtDYCZ
A/MQt+KnSrE6OFpg9OhjRgZDFv9Mn95GpaW6IaF4WRlISaC57Aq4G7alPmitvcsICg2XWHGPTTr9
btwnAqP4wGb7TWE9NMrKQ7Bc7fXWWXHkyLasemqBXgjuYZVV3VSzPs5tsp8a68Wm3cVLcWrGRkRC
olkwdNv7rnPYWzRVtDppiiAnQEcjzyl1J7EptS+6tnE955iJYnomOi0JKHkNFss8a256igqN6FTx
Go0sKFQ9e0Tff2NneqY697Nou9UDv6X09SrUYjvGrFC5cfPC2WugAf3KbjGr5FRssvHhTN1iDQ+5
6j5QQsvRiaPMcL5jjevlVGYvqhC7XJ8OpIv2FrNOq3w6CU8TLyYe+KfRaY+9zYp3RKrgq6GVr2wZ
efDzG1Rkxn4Rbw2uExE3s8kaQq11WPV+5PH8lVE2v2i85Zr4m8XNoTWoFa2nPym4AyRxYdHZzFK2
E7dWq6AOdb5St3/U/jwYlnGlwdbHlLGrdeU2MVr0qbJT64RDpzrp0+IX2ocRERhq3OSQauUxSk2m
82jYC93VMGk2XziCPzFqhJZE3LOIAygJl11lMK5sTnRZH6Mk/9fm47Lps+ZlyjjMCqTBbCx/oz57
hwLza7rVnzvJD1MQW2xbhwgGr/I2eoTOjHJ2pUobXQmBKyF2SOfH+tQLnUzSujovtH1PyyfK51th
KcckH/HP8nNi3VtQdldWurUZUwWaJWbJtNR2ip1gcGj51oDpeeyi8W8W9peBlNQOq5G6Ul8U/Bdy
LWvIxNl09HdhrriHZP5Isuo8IwCOiTyWxOMIDPPB42NPu2ChhTbhuCHk7Y+cMCmLtxhctPdWVNOR
jB8ZXS6/+cIVNlNPQrdwu2kOyTE9vjirgRfvpeQzNgzcJ9haoghI3sBSGjmhIsI433Imvrg6iIGz
J/rRHdTh6ih5O4zJ58IKtFUY0fHkRRu1yNWgoqN2o0vjx7FZq1tqUQb2i6fVajAa9AQZvGIZYmWb
Bfj+z+wFXlkL+nJgXtQjomO6T6Etp1MVjmr7SQPF0nn7IoKVmOd7laVJVUPXHWkydNNdk89b5KNr
5hR3/BsvWaWG5bwCE2DXRGVYobVJeLKK57hBXTVXCO8XDTJtdnBl3fl92zykU3pInG/SlcfaFNfa
jPOtvkpKFad1pLzggNkvFRGyOB6ghloNNnm5c4T+0cQ8U2wY9tZMs4IgZK4V1qlx9lZVf5NaeSS3
hlslrz+5V71UXg/mNFqHaqv1pSe+pYz2aS0uS//TYi8IxtLTGKzZXHkN30ySXV7p3dtkeJjj3J+G
qvBJPeOPTcQPXmJf65cPJ6OPhbUaCFn6gFOFEq2dJOsNhnVrGli4DOOBUNM5md1fh7UFOU2Ms7bw
Tk75WjINwzTaNZYHe9dtXlvA7Pinfd291+pHHxurEsaXk0c5cqp96+nvum3hVUe6VWDfd9Z0iUfr
iYD8EQQL2nDpyx6hzWRjEXXxVnPnu+i3xaAjIxN6WczqPlnY6lo9TjbR2kk1NMR3FoEwNbk3ncmH
nLrz3iBc5AVfRTv5/236083fpQc0Ehib19QHDqtPPXXCOMsZQqtHNym3GCUOTYEJso72jG5SUzCr
9XcSZtfaYV9jUBvitu49Mu5CSZ+8xQG8gc+5QyW0qi+3RgPD/lnoC3cLLXTY5TBJj+HUnL18fDG1
OBjcalcWnI453U6y8XukvVIXt4S7BtFiIOnQpR2FiErL18DAiyWVMOoUgYcLu69GmbcBqjnH66gk
DEeErY1LojOamTUbYUGFQeVHJvZ88rX7QsmOpZ0axEqyf6ryL2F13VjFLjE+0fZO0wjGmL0H5qNj
7pFCjUw+cHmxJbYnw3laxzBT3TQ4xT1neWOxLCUL7iU99DGf4lwcBTNvrbosfy11m/NmS5zysY7R
6dy+/UoUwKQGJWNZe0v4ybb039i1/eK4/ArJfC7012Z5IQ/hq8iIEnaWVJRbpPOHtswf9MsNP3M3
JEpL9JCKY8ZQ1I0cQ7YextL0VYpgiJkQjOuwlucqyneCtM1bqelT33W0F8V4rw39VvFmwxQTwJHm
r6xu9Tk9xMu6HsWgV/ThDEG+8/iky/5KOhwiVxGIVIkoQ0mDJCfy0z3mZc5GJkWYRPdZPJPN9Fxf
1L7ejuS5YzbPAvCnUbeZb7nQvZNbPqYHQGjoP/ONaOdXV9rhiHE3nZKnResuVXTkzGVTXzzDAtvY
5oBDYdpGlov9x2OLji9Og0/hxYeGQKLAamAtLc+Sg3eepvswK4pXi/AI0h+rHjq+ySe0EIGLlIy2
2R7HyrsO2qVdnk1L34+9cdLxUVHW4/3kUMYkXdlylKGzIgoUNgOYKwyJwTcnsDy7CKOUeWgNgWLo
fbrBgXGha+9uGep7v7AhXlvfGyDFudjMqznVrHv2n+MZgsCR+SQL8tTZp1N+M1hj9/Zw7cVRq56t
Qr9aMIupGgzkahGPidRTBC11fs7uQvtS/ziB/2utR8WwDwBIvpGZw4I6bpWR3MQ4QvP8MWmG56bm
OrRAuKjhOMjfrmNrnCJkFPV8Tun5M1cNNY9upYmvfiTPzaXcAAa10Viv+bPq7BDpPisVVg93NMNR
z0wILwmhSEiM9afLAK0hdLbJ+1Jofl+z7+2nyFuNxJ8YIDVuav7YDY/YcmM/T202puQsZiVoYqqb
mK1o6Tun9H+VeRWsybK2jc+zaqs704q56JkJK7PouvT06E3FrZqVD81ElJfjSQjtpnAFhaycLMUh
K0njzd+9NN9byzpPOOTSyEVAz6zXRue1n0swGmgipPt2HDv73sUYb1O5YB+j+l5zVMBOQ5cog8pB
5NaN0zB0ftcqhBjNvZwxUM4jSPYu4W3bnGZGjbgytsQ99rYSJip2EAHtPcKoohc0nTR/jam80fPl
9xmDSjQebSjuPVcvepLjTcK4M4Mi52Xtdy4r+4xWdArI7p2I/5nF/Fyzv1D40sR68ZRzIFatcsi8
Gv1sOMRiYAnN/FSPOZKDsC/6WioRsVtNKxZVzTKMuDaUbmu6uWCJgUdmUt1dpOv7icQKd11S7Nq0
HzE25Il9GYdLqRH2yFqPBWl+lrwYjZaIfE7CCDusCT1vKudnSMOfpCnflzkGHLD+0dgVzeXCE2Wb
/+y+IM68K6qZbkEUty5MUWTnWmMfHpXU7yhn14yoq/mQ0bvXMMukxaenrxSI/iTnOkhUfdewouYd
tXyVtvY0t144wXNCPKi0sxiHsGDdmUMbT2z3R6pkYkm0xZvS1S5Ju2Ckp1N5lv2etodQd/IYUpNG
soDqQx6RgRdBi0Zv/DMU1fBFjYsgjfdC/R+DbSEUW8k2Q1aPXrg1hDJnzq3Eszoo+5iraxZpDIya
+5LHoLhT4DqDy7G+4kKUmS1Vyy7prZjSSydIzOM2ItxQk07X6YShbx6iGLgclN/1BVyYxQOwwZ4F
sBKbD/XUHYmfHPGX7l3sA3He8wg3z8L9xbfGAjwPCO0wVMINZLiCJZr0BNjMAHmVRgS+qX/ajKtf
JGfZmXwZPO790V7V3lzqdUaMS0W6Y5WLswhzVO6LGDU+Ww2Z0fPEmr3BOgD823hNGztgArPka8wv
vVTnNP8uxN1J98gbvwkjE/TGF5W5l163Q1SUu3QqKBx8Tuf2mA3xj6IYPoZTf+y798iURxKe+owj
piwtsCR00bETpUVPfQUJ8pxRJphlaTCZ9d1tZr/hEKTOk/26/o/eoC3f+XNPU56dfETtcSLnKTji
YKqhqD7E1LYU840yG+Ri7ibhSp7EhQZXiCYvNxwqxb8m5N3xufksOLbekB3tyfaTwjx1EZJC29ID
1/juUB4SjS8TcpcQv3nRw7YvsEv9qGSaiujqyL+J1amVJ5uUML2l0Si2XFxveKbaQbdpixN/Xt9z
zDrspjl729AYPsf00/GyreRrxc4lsiOsWkQlUo1f78UcPpRZ8SPZ7hveMLL6Z8B57aurFjd3O1vn
TetJyQjyZaA8qdFosD9qOd9Q06I2y/EOBm6STTyqj22iYmUG+q/y7jJzehDSiay0ERfHwSkD1Kxz
69LPVw6BKomwJY98iIAc8Bx5/xAwHovpVc3oc2ioRiISzDfDzl4UDEIjrRAxDaCdMYClGgDQ2vt0
vK1vwcTZ+LEy+3TQX5z8hwOeEMW07Ofxr6jKnYLUOxR/jT7hD6iDqcpuRv3spCRa/xL0Tt2YcKuc
qvLacfVO1S/X3oM68GPzpbPKnebJDWcjA8zNFpcUgzmnE01nFVjx+2iyF5qfmLl1lFjZRCFFNhq2
WF2yHsDLaMgiC3PIyXkTk3sZyvYLc+FH1Nv8nXR06on9wnnjd5fWQj9PUnLzeT2/peXwp9u6syG2
0lMY6ubw/taa1vybm1eU+QOZCrYR+FrR2brunz6k1n2c3EeoBbuBSNvZGQkPjr36GFfVpekre+NF
zbscYjuIrMJ9HZr5R2uiCZsxKTGRwEnXyLKBtjm41lPWW1TUQi8gh8Fnq6vmB821vymgmVjp+AVB
24uWlBKbx3gnSx1bh1NW25Ivr+0mGqsdKz+UumYfJhZkLFSGb5WQ+YY2rHbvVFd4QvVzkd9Q2+cQ
iRLDLNV6e71uC9gKd4uX6yy+Rl6AUCsq55vddLX8g7CnNL96dquKw4j9uvDuOibFueQ6LIrQJFmt
sb4QwK9L9S/X3/u5DNmWSSr5YAPZVMxR70bZHdQRq/5cePEPyCozDlrmSB7IduuA0llCDFRIwh3W
zMrE2MjHHtmnyHonneim8GMhcTRPNnwJwRKyuow8zYqhHGbLDTV9VyMQ8BLKax8Yih+Dn66pIeXS
aLYXObIdfGq52DfWL55iM0W6JxZuD3ecoh4+VxATegZnGo+EeS8J+NniICnHsiJIEOO2tfGfy98U
e0iyyB3hUd/y/qTShw3YgwzPXFEjZbU8t78TtTMrw8zemzHfcjWUDjMuPjiJM3u90Ua8jrH5TN5v
Oj7o8b3rGXWSYx3/dJIuFTcw3a9p3KbDS8Y2mEzJkZVR6mECBM1buILf203IUyNyGAamXy3Xugdi
3dCUM56i8eDy/i3kkfRKMLa0YqFrzs2me+yX53j4bbST9zvMXHi1I98UX0kPVf1e1BILVnIuUfKq
Nj118nFg9yP6txIbGt2eajrwFgVp1IQlxMh8rW8DltJAUxDqG0C8jVN/SLKcVLUW+dlj7DaTJuzY
21vxELBs8VcvgYZSbXPVrexr3bDfwDouNyo7fz16zMVjX3uBp32APAAKs4n4xqOUkTF0e0zaXFr0
FE9Q7Xef/z85LDPESLJQrXZawdTgroHyvd1AaWRvU9GlRjsRgc6RVWdXEZzXrrb1L2ppmjB3Huyx
JeN7wIEE9JOLBJi82jjb2s60L9kLDTI+ZTWUruE2SYGV22QTFs58P+3Tg8IpjXgIm5QN6YBGDi0H
jRFfl4XP76guhL35aGg24EHnCrngPfBglqd64PDRZNW7vQZ4xc0D0StZpEXMo2n1VukT9vN/uUG6
gTFRxhfaPUq1PTsUMJSUbqiKHw8fHZ+yySGl85Kq+etIVq93LpFF0rWC9OXQ09ceXMxEZf2GzY+d
i9s9DjjIC+sTp4BQOSEaps4RklhCypeARwYDYqSui41+MoaJvRNMkY25b2sEJzwwXBJBrxGxs3kY
Lt14h3iMuWdFRv+UVX/IiRmM1j+ZHPG97GEX7yM6uxYqHyeMo/hhIKBEEEqSsET9XB8YM3BtVsXV
vkdiIlbrJ9anw6dW62lQz58qtNB+uZZrq0UH7KDf9+Z94EyeUp6Z4Q+bJk4TLLiITOhAJa+rFInU
HvBao1TqyKhGn4FjAYE4gyjqjs4AchEdf5kwVsGGxzXrWlyveZMkfIcb4gw5AvPMlEaoSGcpHcek
I3C3edWtisub1NbnmlipVTKEaJnqDyX2P9Qavtcqv4VMuZUxSKExyhDY3Zjlld5/dYoNEGRenked
hWEVLOwva8Sduq8o9HihdDJEjggZ7xI404Juo6oRJYQkzJZFb5ggnYjqlJkMKm/tQjVZuIoYi4EZ
T31I8Qusjbkwdk2aEYniD4pKECj5YSyBqzZR9GwmZSBH1QsmVj5xVJZb/Njjm4NUjb3mu8rpwStg
gQeUEiWUoKmv4kXURo+0kaqv0drugqWf4qlSnCxneDFwI48gB1eYSmqzubRReHHNYg6wJG2h41tm
xTiCNc69lMURS2f83MMC6hV5NH0qBxNTvrMz+MH2aHDc+VgV1f7sTluoVYcFwYqXCVbI4RTnl3p4
7wkyCv3RqH5Ixm2ih1684kQ/qnEGB6U9CLY4Bt4wjrqta7KF1YgNqlbxZmiQQQonzs7//4+x9gxO
g3YyucBpa7GTQf5Yrcy/rBrboLRxCEeqjCEbal9UqQyhRUepiAQEJGv0rirVPcGcyB+PK9+mL9tg
0vThso5nyAO7NBpU3+ggZygNtBLdw/CaVUloNPGzA9K37tOPzMZnUZsEHQnfkWCmjZrHuH8oPDZI
jlTMfyn0Kpkw8ThBNhEHiaqlfpGlQOTh5HDIPXUOq7PnuUYwUqlLqju2m85MWkAFK+Ws0YSGKui0
LWZ/rCzAhjQtx0v5Fi/ifexmuoP0n5HH91UhuwlFLtrNdp6clLp+TrPWfHOasdiaSkYLJ4ytYjfy
PKUYfMj8gyVckZbzkmN1PvY9sSCV5FYbtFi1+A57xnzKTI3FG2/kKn7oluaF3onnhrncMvnZ9WdN
BdKGk1SN3XfgNxoxHc1f6AyE1Gy9/CFtParLVZbZQ1lELmzH9msWJ7uZ/nXzEDa5uMRG/1Ba/Cyb
HLHRQS10vV+cO1CBMdtVmXFujNheMSdPuWW+Ehi9NFzsTF4NsNzJ5z0MTAwdfyg6zJGG9uaEA5ss
iQr5LVbHj2lov3QrxSrb+bOu+iZRD4LR2BVQYnhYo2I86ZQ5lLEB9fGzxVTZNPzfAwc/m8JW+ZVm
fxm4Y09kxTsS7yUnBuc0W+PfIv1UquusXpPuEXx1uDZ8C4wNWn0rna8ehyE18YdcHcK5PJBzMKKX
hlADib/AilPwgrpP3aWWoU3go67hzLsVIhG2zTqojXTj8QdqrOyScEiTnIJ4cc/ZLXozCz0VfSrG
kgi+etwx41W85FfTu1u+jy3b/65/NZTfyXxbIn5TAJBs9b3DjpmWJpebH77lxyo2sKuVu9eCu82c
aTtJmsSSyb2YZThTfD2InzJrtkXHrDJnabjO/XEoIqoHYyrIOe3KfH40QCZsqtEIzdz6TJOroXEH
5XyMcEDqNQ6GjPV4ny37iWN1nAnVzoCIIJQ0c0crhrqVfLLL5Oz6HDVtUa2PxJmu5VTvAZwnTHri
u6K4LOuHW+pYm0Y+IGgGA96l2k1fK/2kNWxBuSeYiRpMaI4NZr7mYxYfsio/BpWqFaV4kQJSjYvI
R7iHLVFQXgrS8rmx4qQTf2ERWpv2deA6jmYKg/aytNDisq45CgKoUntNUvmeWPC5bIrVeHk7YDGa
L4+21kovn5rKPsKx8SvqRyIGVoW1l5GQInZ7NgoDQ4ODgzkiK4wJYXRYug9hlBxiZXiiiWqDg04V
XC5081GyzDKR5U0SntSx2i2vLm3cUksMMS+QkfIqUD70pt5XXIhjAFSe7QQOfopeYbXAdU9le4dT
Ooex03fxQ2JerLLdLVDhCU3l/EeJabZKYOuGfUmdOYXNY0umrwW1PmofA4m5qh3JduysjmUTSM2W
s123hn+DOfvpDj4Fx/YQ5J4DwZd7iS5ICmPfpfzhNeMHUHKNteQKTELyVaiCXmasvcMuU9MHg0s4
16S1Za4o5HaQ7SsjvqfEfCSnQm95rLrjqr+nAyKkzvp5GJgUckE6oQUrQw5m+ZnnX9TMY6YKnB8P
qjbsk7+/ODX4hzkJ2jsMgm1cILBXxrnASlqbp1jRoenysGEjyYd6G0c/Vj/SbsdmDCrVnN55/29a
N3rAKf7RpS9jzgiCj5Hsx7PgzmLr03PPdsDM7Au8160SE7uzBeF05nVqi4WOI0NyOvZCwRuCWqpn
H6vtqVe1g+2ILRUzZ5GWz2t8MhOXGsJjxbtslNoBC23gLqCe1M8ym/n3YtJVleWWDLwOlvEImu9d
YxRKYdfrBnKm6oSNXuxKTyFS3l4nCHOcKc1EjVbSsCZpEbiMmJ2delpd0mr8NUERsAfuNnFzccFk
DDOwHuNSEQwgo3DYASAMvOk/9s5ryXEtO9Ov0qFr4Qh2A1BIHTEk6MlkJtNV8QaRxayE9x5PP9/O
0yPVqa6pGN1PRJ+OLDoA26691m+6W5jXjzK00gCc4Cza7Sr4N67SgQ4vgwWoe0/XxX6E/J8jBaDE
Bx24bhs4+GyyHRYIJio+386Y//0BDZ1TwxzG9E+xw0NhAQ5CGaVwzF1WWRsLPDNnzLqrPxQAg3Hb
HBJde2w4C0z+KcjPuJV7o5q+lTOWx+9jeDabdueM3V2eo3UIPQki6cCMQ1eDmg24MH3aqZZyMfvx
QJ3t2ECuSJsKRTF9YfhxS+Rd7PJhy6Z1tjXz3KocaNGIV8dHY0YeIemd7yGH2Kh7FXhDx4juoQ31
DI9iGwGUaJv1SGLU4hAp3HfFLNF7onKpXMjp5a6xzvXyOR6m7XArDHtjQwCSHm1Cd2nqZNo2AplI
u/7aYRzUzlRrXkZ163ImyczqEGoFahxYtdcP8ei84v1xqgx3Ycr+QRfZdPaW8+ITVo7afLYlU0bW
dJgeDvktqiaYzZwVZ/BS50tYbMz5ezpl655qhQgRYYiz73GXPxkMfgV2AxOPUH2nqqikgI0OkbhJ
pmYz4ZJc2t1eawFotcoNTdV7BJVaJXxUEghh5rDXOjA0yGBqfbTtTUC1fXrXpmKrUYwOgK1CADkV
5ClFASqXqndM+1RrI1SewgEBIqvf9CbmtTGUIDMFlh8utfw+68gZNukaChJ1LvQR9jjERsb3YJDy
EguDo7mQpvHxMxxCx7C3SYlCERwVvL+f3MHdNH1115c3pyaTFTL1OR5U6O30yU4n/xUQ0RrtpS2r
M+LNnEa7lWjQRNFwOMDRNtPiLz1uESTqC/17jVFeKNCrSSQOgTV1o4flvjVbdONKMAojAFn2a/C8
alJuc84lSRm8Sxten+DHzebXYL6zM/W7Va8Rvt6k0Qw67MXCnczVQSx/A6CBgJCPm3OH3LP/HqN+
UtRf8+xbRPUNenIIHrGP8nOIPumBDP22DbJlXIG7X3OQyuFAR+XLoD0gLoXAKuUa0Ed68BXnXA5c
wUp8U5J20yH6o4IrC9JuY0VcW7sS8l0rYnSIjxB8UA+H+5iT6szIh5LHpubHVnRXzCR9lWkBci8z
W5Lb18REWy+76gW80th+VW2UNKcvtf+9yTWv5eDst1u3+ZaU40bBIWdS1QtRqkahCR3unS1eAWqt
64IyvwuGmLC3SI5F/TDb6UURj4OjvCniPh27FYX7RdABjLE/ktw6olSzgF1ZVsFbDkxW7+KVWiqI
CSOsrQyLiUXKnz90tvkx3Vkj2B1Eewi3N5X5MYUKrFNlJ6DRZTpe3k8IVqLip4CE9ZFnpFiLtCOa
RMALi13PORTdNdDn8VqW53uYIG51J2luAlNzg8UsBLucZvnamdCja+K3UEeNPhsuWRAvLektTQFC
Kdf+QElhgl4nHpuc3c25N1LrQfKW8gpIKjX3EUkItWjWVlRtkYHZj9/9EqHKDuGNaGy8AEpCZ9We
CoxuQTES3RlzDZRrlwQqqb7hFiGUwVkPLnLtJiALpTeT5m/j/qSau/qZQotCAJpuewy6aR/1MN6N
sILt+D5KHwCCAz9VKot0zIsfnuMeIbx3lYxbsCZnO7hPYX+e582QHKMQvptnX91CinF9LQDmdTV1
T71aKbil6HvUC3cGK4340Ed3bVJfN1Hwb9ixnOnYa91SILHcN4ytcxjJYr2LcT0JqTE5Ur2c6vhQ
me4G+b2D05BPst6BAzB4wN+7hAcKTrg1SclGPDCniI975lW4wV2ABE1zNvuPXFFBbZxM9jQ0sTh7
GM+hFvaLoT5jqdAGzcFmQ69GqLLDUlfObViux1a5cw5x+ywQ8Uj054C85pTZO7D6drZHcNGLM43S
0aGm5JhREnXuWmkPWI831ciUjRXqzbkYr1mAzpkyBnfAJHIP/5Ol6Gp3gXPpoZ9qfR+FXUz/cErJ
geOh3kXUbgNImFJrpYJg6aepfQm4E7i1pOdRhpo6ryc1hE4QOI4kzvStNuRPtgt2WK0ib07q/DwH
jfoAqs7z5xrtDSg3Kysu3VWQaCglmg5GNxP5kUZD7SqBJe45QArArywVN1+5DQjuLLXg+6ONNSG8
9ayWGzivLQLgrAiNY+v7UQvuOoH82IhKG0u2YkZeGFRvLcg7Ku/ZF13z53Vj4X+TRGs/ND6oCb11
XR5jbgbJp/CDvYo8+tFHSZHincupEcF10A14/4bDoUU+DYh4WZ5CxcIcsGxSyjoccw2/D14ts0cL
EF2izec/GxvJscgtQYbKd+EGbLV4Mi54N2RP4NoFkX0DeOYWF2ABtD6ezkg/iUPSmmCilZz5Y5EH
s6Rlh93mDwnnlB28GNXZh1opzrjLoJfTzvE6x5V1aYpC8+Z2djbFhIXvlDvWgRTwe2ROqMcZzlXD
pYHwanBWqqEqh6YMEUFMZkxxcaNAX0yL0UKprG9DnaqHltLSwS26jxyhzHXTqZnXaTHg0XmA5Yla
E+wvd9zWJaeISZ+b7TBRyxvd3tri3XvvjlPFRS00Sp3AX/cWkvxdBSJFB93oSlGAvi8rULd1chBN
XMJ0KG0yLwbOjF2n8ID9Q22MxTprei8KEXgMZW5OdZBWTdtJ3wdpLrY1cnT4TouDDXdh6lBOLmzr
gJ0s0Pyoua/yEC+dDv4k8SjSM9FwRnTY2bc12W9fHSNiD93cZGEQHcPozhpm7VB0L5EjsKkLVnoX
gZoxDDyENfJkWo4otq1F5B38GehbV+FYH2xRk4MNBNlobebN1Y165FXZcEWMbKQZRPXSEQxslVrk
/dw90HDWQa2XYxTVu5kBjEInivq6Q+IZ1FOK/c/JUj/QN2ERK8qvwMxnEDDKPSa1AB/8gMpepzvb
2WYbghx0miHtzMo60fzbqJboYOJG54TlsA/NhKW8LK4RUKtTrfhbba6zXSCK78NERh68NopBfnRo
RmUvbEh+wq+KVaybqxzt1RVHVdJqSpps2qzfs7U9tijiKD6aGaFK6Szsk/BAYQ/NG2RwXMN/6aYC
NmfSca7F4HPRdZMLKmoz+52/bRUi9sI8VLOFtj2sNyrxFiiszCcywMUuQK5vnBMJK0TVIKzTXQhH
BtrXcIInDeGJM0O1q1PyYGYu0+0RZMPBhtiRuioUESrxUzHOC2SdVHXyob6cA2qVW1tHfiezv7ZS
xduRFEZzrp4spZJSOr2xGavm2TEgs8VZeUbdj7JBMaroHOfm0cqfG9Sxd70AuEmCcVOkpNcK5Ber
Ahm9wDylnTptS4sMkoGXk4cOPL4J7KI4XLBWZSb1VwWB1BlvehZYRCIwpkpQM11Te0MOdcLfasTX
/mhGYMmxDVz7pl+/CgKarRpa3iCJsFHHYS/JImnqQek2GIs7PZUgGJZkNezCtT3o3bkPm/4MrPhm
1nGym5HmCHL9lNXouGT9FEGlAuUVsWU56f3MYFiA08IubAbG20ToCrqFc7N0VvQk1OTJMSBUyjDT
yTD8UhEfoiQr5OqQPtVd9oJsG5VNaPNV2I5rRx/g39sh5h3K8KqHsUCzPVHXbvdURmp1Z4TRdzMx
o40KtxRUq2J7TWchyJaQqFALRAC6yN5OEFeeE8iHrj3Mnq4UsE0jcXEVimiGTFm07kvU1GKlm917
lfbUo3sVM50t4NdsaSSa5alAx/IM/j5SZdF6xPWD2Mll+madslJT5R3HBtIFOlxCxCoikPUAUppJ
RRDWR5FtMpwvetdCF0JkfOcLuLGk+hbxXkGU60gi3as7Cjhujsih2erPZihgZeDGuLDU8V2LDBTj
olyA5s6fZw5hKYlaVI3oqzyoN8p80jKOawMu45Q8KBOBV3wxOhcafok66aemfd5VB1zP3pzGTiGN
czypDeCrmSSHzsXwPnRBcaLWXJxi7WMMRmfva6PYlLN9r41JsrcFUrZKFx8VLLcLHAgwhKccGs1o
+fYU4IiMYXF307BDDfIwkfQ6VoAR8NCGV6E+hqS+d26bLOsSgnuJUM/C/AZ5yVnIMV75w3uiaDel
0PZGgLyw04hyN1OjTsAKBYn1CPTDStAnD23IQEKZLoDKzAe3uk6BviWPZ0L+RPMtGDmzdaEmFrFe
r2BiDag+1v6qkuT1YGRr6rKNZrQCsTt1T5+pK1fNU88hz95W2IiWFah1NpeVTflcNzi7hFmHzRV6
zNEALBjVM5ODQN3vQ4H2RQZozY5ndx2kLtrwpgKjHOEYI0kKfBLGZhklwyIUxV4O8rvZQrZLIbEF
Kq2B/XepFCPAj3f07BJx/yJh8U2VI2jQr45dklpO3eUclOmJVGS/NNxz5FrpodJ8CpJTVUFYwN2j
VtFKUF7FaO6zvHCgW9nsBUG7QaaZowDOde40+EjOZSWn2hpLwAy3eMvWOYYXYJtcW213qQtWsL22
pW2ezAKfmgbEmm+Xd5Wj45XqEJixPxUeBaiMfHwQrFKlVPaZH321tB6mb8rKGSmSLlbo6ONRyqnH
9hq27Udq2UTQuYkgcN5s1YnIQoGBtEJyPdGRI2vcZp8FoLS1oIlWLud9Mw/DtWqI72Vgv8a1vuLt
cMma72x8FdRbmmmwOCnPwiL9mtbOcJhb5wIAz4K+ht6otHxeGRZzqesFPEQQgG7F6y3ly8kp2Txh
Mpq+JRZVMiJXgRoHPBXY8o7TcP4Lq3cSSg9JKgWUxsDadhnUtUQpTTQX7JKcIgzXEAXS24T2luTU
1BkQyTAZ7vuubDdhoj81ZWKdciwVkLgBCItetkpKiBrjPbj8E9LWxrMfUHkdLASQu8b8hiaVtisa
2OXjHLinWcKwBw4PVq9v09I3DhYonZhrHEuQJ0usNAPsWqZ2O7FvAkvOXhAlzNYVmr8w0oKzWqH8
OCczXVOip6s331RX+RLEPWENCoCiqGrwEOQh62pcVwb8jbgFFEneApHpzkEkP0JVmDNz01vtharD
TsMQCwqTuw9jBPiNCLUvjvtIz3J09KpMDOgrj8q6diwp3mYcVTAhVFrbBaoxnKRtbUcTAj5rKZPb
UYRIZCZCT4w+jNeE0YPYLwRA86yRP1lEaZRI+dlsraXnuirN59pBk61AYDXSlXg1Ef58SdRraI3j
V1L3Cq4CnloAP6vTvtq3OWgJU9dfIAU8VsSV5zmJ9hZnhzuE8e+o/PRrQrVn0PI4uengsIqGOyon
ez0L0AAIcyOaJ+yGqSWoATSn3iiOswWdYkJ+dWmrQuMsmhqgohXysf5sXNFUfRun174dxamN7dYj
di8r/T0fM/U0AWLQLMqXlhqcUI9oDhaKXJqogFsXAtEPDgbRGJ1sh+KjlboHTVW++iOoPQ6Z5BI1
SUhwn6cukynCAXXFKbmQ5iGxqVZHW/joIqIXh9i6uy8DddcrnFvAIXcrPWUnGhLjMI5tcqbSuqwU
/2uJsjp4nNUs0NIbUKda9K4CzjkCLYcOm9u7ZCtwxbu35x6EexR8HQY/O7rTA86EATgSaYxik2nK
OJDHCd6eZt3CnFXCfhc5qWciiQXO6whZAB0frf8KAX43RamxbvzpPVcVa2NHhx6Xq9ykkNM6xqKz
BGX1vPvAXgVOS0SWqQfnmwsgO1EH8pfuQxxCr44ZmqtwJ/1hmRj1dXBMDhiFj9BZcNWd6Zm9c9Nw
GN+KibVr6JBEM1rM3/Q8Anzeol+q9xBch6ZUTjVVw3xMRjSuxS6tJ1YsQL2qMz8KrXDP2ah7yCXa
bOATQrwtyXwES7B8ImoJ8hoQE7pWAHzTXdY5EhsRfQ27wDjbAJxKJUSwrdamLdw1FEqM4aVsIWVG
JuIyucQ5Otq4c2KEd3MnG7bUJN5blYQ+ABFkqmNN4KicQoZtLlQAEU1CKBIf0OgRDn7W2O3R9ru1
EXG7mA+czE7vNnNnxaB9XSA0cYnRe+Zr0DoNCiYWMR9DGfM11djkXbwu9UfQ7iBIwMAukir5BlCc
Cr3iYjGXuefaSh7DGpiqwSLjhSLFuqBWkQwcUQDU7brbOK71rls1acwwR7+9co95G9n41yVeNeqz
NwrsHshmHgKjLb9GYPISt6o5BKQFIAD3XlcUuPC7UYHk0LbIwcx4Mo01iEIysV7EfF5kuVSuSsIP
XI7QLokBKc02mr0jbNxhaDY2uLvKMO/KsXlRAwV3nzJ8ECbYxCQwKTiD2W3tcXh1UNpv0YEdAuop
HILwtdCaEbpVOKzBSkPvzetj04Ff0UWz02bxUaPg5gUzrHYSO17g9j1elhxVxrFbjG6lrzjPAOOM
D8PUor0TFneIQvqILGySyYLkAmcTpvsN7y58e8viwDgx1v+q4lmAx08frELtoin2sYSeCHXOqyEY
efbcgouJ9mbdDeuBVXJbAC9rUGn3ggkgJXozrQcOeVyms7v91yKNdUR1zNlD5yDyGpegorQRsbaQ
KRfgb2GktjZo6ST6miuX0geYUkQNBoT6k+uLYfv/nVw/nVzd31pi75r07W+b7nudf2++Tz86Y8vv
/cMYW/9DsxzXcB3iJNU1denZ+g9jbP0PYeNHjVCfSTFM2D/YuZruH7ZhUPxUbWEiUKX9t50rbxlY
r2IPq2magyC+9j+xc9Wtv5i5WiYmkbapaaix6BBLNQsb2h+tsfvaLtzMTZDhLYJlLGKY4jfEmbzI
vZ9N4FX4gvrihdCjQ7rbofbu3+uYt7Fno2VIJAB8FebHdD/n2zqnqoL/AooP0XRrYQl+DrPb+O/B
9+IXxti0FFHuFBS5dNX9p1sVP/nOBg1eUFLCGATUtWHSzlfCEww52CLBXCAx/fvLkUH71QVNB1Fz
F9ixrsq2+8E2PJ0wYZiwuwYCBGtuoHxuo8LC32iQo/ZzzI9qtu3rbUQKCXnfunwYWxKuiAyGxyZ9
BdI6VZDl8UrBX5OiCTedxRqALmCo1eJliF4HMu+ufvRl3osfyRGNaTmbu8Akw9U4vkxKtZzCVzs6
ZsMt4ROadRvqmwgAy8aeH80UTzTQYEfALsjLwTriM135gknFnB2r9DUqyBR1ZLiybTrexuwhVhDF
57MsHY9Vi7a/N4tbP1ZyydK7F8cigajfcnE/jC/F9PnbM6CWKpc6DwOCNDfuLhlvgQ8C9lZDy8Jc
lQTZRlFOtEFqvGTd0UiIlyDMkfzuw3BV9jcNbCpYJghl5TKiwMRtlDPqr8WLcF70iNKrAsw9RrHu
pgTHjtcMwHtHW73zP6z2pRD3ynzkzRRQnzNAii1fkCvwWnHwpwZpiZsDTogXbQEdKlqp2REJZ3jP
96YClmd4CcYG651jTmdA85En8KUfHNvqWJNo7EGaacqL0qxheFSDFJFv8F35RtJrIz+ZjcoqhR+Z
H2CbxNNtKI9ybsh27K1DEOL4tbIRUXTrlxq5Sb5h+pQRtgotY6CHu2gx1CO4trXpMJosz8yoSbv3
sdgtjyTXsetirUcYTRyw96BIDHyUgzdf5j5KyDMDxjmaD/SmBl+XjZyGMX3hv0p9cdjwS+dQtzcr
fJAzUN6/Kr7l7iFiRivuPacmecFKe5F05AnKpBY/cHlLEBsy/izjVpv3cvqXfKR4oO+R5ZCXDgV6
xOZLxIiX98WnBly+lIo+I9MTHbl7noGRycBpy6MqbiwSEXauWCkMJPl5OYGBNDwA3S1ZLfjxuHkC
Mka7MBfoNV6RWR5ym0iGmUL/02L8/7pi6OYvZrCj4eqqajbYdo11+ccZjAGvk9oNSGjCH6I3fTk9
6+7R168KiS+z5RYodISsdvGxpSKroQ7X41lQZVQEMUGp/a1BhpqeiKkoWfnRd65JejU5pPx+rZGr
7M9Lm2upwnQ1zCRc46f7hASFEHnP0tYD2yyaK/9Dh08ubZzpWO5M1Nl/f0Wh/Wrldx3HNLH2c3TX
+Wk5bdsKIV1GE85Be80BcJkDfKUk1g4bv0TVNM62rk6boMiWgc7yCSAtk6KJc2mti2YTok2fLdH4
1sKHv4rjL3lSSnbtlbNTjVZLMV3kt/hXROkPBYsWGV756Yh0V5Av3f6iSOpPm2IaAj4ZvBPaOZ78
7appSV9YFJUtMFRQGl1rEZOeIRceGXDYB+ik6eOMiXOqH4tCW9rllUMKQOQryU8biAay2Ll/gcag
NdmSr/GB1MfzIpW3pZDJQFp56WAKwxb7mYfKdBIqLu6OoK3wiIBaikN18CYfSbZHYFxa8HcGdPgg
fuQ6tnap0zcr4m4cZStvGmIeGPNFbPKjmMkI3prUa19qqLgf5yLc+aHgxMCeNV7oYdm6NYEnf9KU
MY/l0EBqh1jwcBxg6tPxvBEi2qN2V/mCvC3aX+Oxs+po2RferhUeXPc00Hb1lb6jc2SDoTtWoNUs
70fFNkHeNqHI2q+DHQXEpRW+O9oKoUzuMAWMzINxX1qC+D7dGI0t5+ELv9bPn12dmxd6UTQb2RoC
ki2kM345SQCe0yjcHo1a8Sx8yhWnGKOoboRu/jnjCsSvOINAva3RZuHX+wxVFloBM7OQ05x8qhAA
QhegMU+LshUoFJ54NtnuhqGhlUhdb2MgsibvnZv5HKBIy6WqtkxqAKx8MENhqoE9IW9Ivi7/PVbK
qqXUn0/XEnp42OPo+YYD4kLMN7/c1+Emfx9UuArBm+y1Gnkp2r7i7CMjHkUlBcOA5knob3kdOQQH
WF6e/EN+emawhC7PxTiVQ0DaDYUxVhIDEn3XmoWQv2hEei3i9FTQ0NRkYAos5BsaOhjFVbaNDF9I
4dNXjHNACAPPySihE0ZxFSm6R+LCxJKDA2sVCdpfJpoBJZMbBjpoyM18W9/58ZWtr682ZbkxCtqk
5zMA24PTyBiRP/y5xNGpr2ZD5S5CyUh2DnhVJHkZUDbnd1a42cwop5G0Miz0wVgB24u8Q262pYX7
JMeK6Kpzr7wibztwL7kOGoCezTm8ye5AmlTlMankyMVLjrSUOSx/ZewqCPLggwJQYiHwX+OSUw9n
dCEl5smFV36qRFVdjsUukmhQmq1MPTmj5Mipm8zjZrFYk8tRbTBrsJcb+ALdMaWMfnZTA+rUkOGc
W18V5xpQaqtZVORT5XVGQcjwmOsqKwX9gm75InXO3EniT7BkwQte5A3I3yzVdCt/z8QbDbfLiJ63
InZDx98C7eaUT/MnGiXXFKIfz8/k6y0KQhHQEDrsKh+CnD0BJOlIGg7HDTkL5LN0DFX5dpYyhOlK
voMOmlAEbinE3nLd0xl7NLmisQ5Ol8LEtT5ncZY6tcG3FI04oUnO72dzcfvyjVo9OfqHiruOfEPu
awwjgwM8A2rOHrmrEDeHrkJroT7K7U6uUAyuRrkUCkEFHcA4kk2p6IgzAnVGr4aPWAp0ZOYOnAXA
Z/jo1OjqEnyxS6HmjswZOB9a14fF69jw1ml72TWsRDpLcFA+ykeV/cWs+NRr4wpyp80+h5Ds89pl
ZaJduK8GmUUbUAXojqRDOaVZ4PmAMI3sR4NtWmMPsahi23KOlKaJ3HJDXuItVu4jkH2Bj70MNyW/
2A0bFBA/GxplUo/z0CI0KdatBlBCsrjKg8i2lhuYGYjFbFkLNTUkws4DqgltM/No2tTRETpgBrFf
yDEm9w+dyJC35Ko4i3vE77EZ8hBZXYsAlcj5FDRfqoomQFdEjmM5dmUT0QWyLSYuJBdBlwVQtnyE
OFzdXOTocGjngl23ysinyfmDihUts5HbJxf87A4aSi6d7BK1+ec6LLeuPzcNCKGfm7I10insM5/r
K6/JrXIc2WOZu3I3Cusr807u1yxmfFW6JA0Wja7JrdMvMy9kTjCVWfymBjFSJjatL/d73gjGK//P
uERS8XNSyNdLBh0/i04UTcMtokM9iNRTiU1nTC9eGD5AZpXiKMcSu5e8sgwTIlYnOczlFi0fRK5r
SQcfmnVM7uFcTPYOHabT3HLh+H1E9IvTnqPqgIIF1XnDcDly/xgrkm8zehQmAbI1G6Yt/5ODR3YG
LSE3ld9f7lexKZ6MwgKAYnP8/jnmM6sQrnD05/Xk5h5wtKE1WSZkhxExyOW5hYVoSHvtZm9MJIVo
FpZbpzizRrFayCiK4UBvTcysD9rm9zf5qyOwI4iddUe1VNP4TB/8cAQeMVMeSPpSa/RJ5lNyktuk
DM64U5WIoYE2RkvJO5ahq5xnBCDyT1qRUZCRHZiCx9k8yi1drnGf692UyoCFNefPEMOlUtAwhuXX
jX6+yqVXrqdA3FyAFwr4I7TbhnJlMQBY6uXMlFtgBWBTxiCWYCUh+khZR2v2iiG/WgT340WOFPli
xZLDzEIYETNn1u459X7fUIb2zxG8I4RG5tPWVENT5ej6oaFg9VMeC2zsYMJgLZ+fTZ/5JAORNo42
PfDWEv3YqzUf2ZCIDWRkIddmQRgj1wT5t0oE/Lle08DsQG6EjRsICrmtykVKbgQy7KJd7Vn3mEi/
fwhN/GoOCOHYchLYLkSin56iHw3KZsgwyslGb3OrkQb5ZGPbn7EsvR52G9miBGHyKRW5DNvXiT1J
hnKEuzIS4mNEb+W7Yl+6gKCNDxItyxjArgnM2NNkkMd5istgOk0V5ipXDQtrbbngzsFjjniG0Tcb
4i758UFcZT8PKIPJwSf/k7uInDZcSB9Nz5bcelYfoioZfch3ZNTA+JIb2cBdyNiL7cJkrMiX5N77
uS+xoaTJk62tRvWb/IWcyKCwFTTptKUMjLsGUSifNV9cZHz++dR8TAbYRHiMOv4i5OPQVK/kIJRb
sIwXZFzx2VJ/LlgydNPthuwP28afQZ8h7qgEyA1PBhFy4MrAoUXuTUZZcm+Vm6LcS0nTIc77XsNm
qKwr010epdg4saJbyDMMfH/ySHRHzAGB/6iBxqBGBbkDqjkrDlryl1lz5erhq0e567H6yq3MRvqL
+9HkwQhjOPtezhPjIuMCuSeVbMm8TQBYgHLJ4I+ys/F1eNorEK3s1PIZKWjJF5XoUUYnsi+ldal8
KhlNcHmWUNn9cv/gK78ftr8atBTdLEECU2UG6n8dtIDxDTPxDTDA5kXG6S2ODQQ/MoLgUbny5+X+
7S9Zhebv/8G/b0U54W4Ztj/98++n6FYXTfHR/of82n997K9f+rv3+L+e/vZR1H87Pa6ffv7kX77I
7//j+t5b+/aXf6wonbTTA2nm6fK96dL28yJkTOUn/1/f/Nv3z195msrv//kvt6LLW/lrAe6XP6at
Dab7v/348//42t1bxtcW8Ize6ujt52/8mejWnT+E6tD8jm1puq7a/yfNret/kFcmCW65qBwjycy+
imNzG/7nv5jmH7pGgtu22HFdVTdI3zQF3Bve0v7QTV0Vrm6aZM5tIf4nWe6/pjpsfslVVcMmiQvk
n5S3XLx/WJyzoexyve9Q1hPG1VHdSxIZRCbU0X5okF9kqEnr/9OlDJ4IjUbVtEioC/FTPh3Lk6ns
BrjVU4NthgJma3gPIngimmtCPS9vUTZ+dJMP317Nv0NgRWMf6nkcW2xpbnWv1PEpxMFZej6jXJZp
4HsxKRnB2FU4e7kswzWEa6VECRYBGUEit4ihJYK9g+shLqKpXFBY7nmQZj4WRSF10L40EWwQ7C05
wfr53se1oOqxW03sEUZ3bbyOxQP2Wkj5gdea8RSZR+ilmfoERe0Bc9JDqWh3uOS1OwGfkTvu3qnK
LqreMddlCn0N/c+nRhg3o5fxpgEXOi/wMykVsQ00KNZ6apBEgnGn++IZ71+0hjvC51RoT4MeTOhb
DV/yqt9EDkSZwbcOScXu06bjri3FtuiSr6VqfSS+dW5cZIxixLHhv33JHSxJLHgVS2TRMU7RlF0e
m8VSFOqxizkuNeWbEWT7AeyPAzQcMVHosSI6Y+byHNmHEnN5PAn6efimu66xNFQAq4joVSbifcT4
xNDyG2M94XCivcDNyTB/Bg8TadE1LNbFbGkUyCEJhLWUTK3P81QDrjfeBnvGZw+DIoVVUzXSa5mi
witOiaV3myiNqTsW2XeANxjdKep922eSogSFWIxfhqwINtgPfa1DkAZFWtxqIF2NM+EqjCdLXwOF
tkQF9s81NieRkVa3ExAUkLw8ZUB9WUlEsmxC2O2xVGEtNejm2tEV3USuAtkY9ORe65hDbmYZS+Yj
SLAMpQJ5D5BOB2+anhW3/VJnM1J9PWqAWebC3uZ4WsZ7wEo5kvFw7cx5+NBa3KxxwQJuBcMrxk22
5uQFQETS7tpvNejvIiMbZKBwAiiCihEhm64NvGzkUAcobiKOpZHjY4etU3vjNvMzVqTUhRUQau18
B1oPvxMJoAZriS6QDVi4MWqvcst9rM2goTQXWftor4sE3846eW9UcvH3JuI/AKSSd73BdtGynssS
wDiRJqLadn6kF2EGp3bHbnWepgYtvjwfPUyKVYKfaGenUGFQwEsa8QjY8kvvBs8NnaO36U5R9UMa
T9QFUqDv2kQUjHG806kfdu3caVXzYdnNI4wzIo0pxTMezVGIFPjToELhhiNqwGG4N3lRhwe5KM3i
0RTtezEysZPc2asNf+iZJWHVqJwO8dLPW7ikaLT1g0Udm5wNxEQUWKozOMOSba5919vmLke5a6zS
6JT1wHli0LKxZaBzhH7OYlQsr0Gaw23LFNAyByogpFWILHTs5PthuFhtvzagmOWubSGp3gPAroe3
empKNCbKaadMlDkGu3w2YuSYyGKlbpJBLce7GpkphFAQF9KT0VwYA4y4gPBgih7hgZ0CnBSGkVAD
D0TUZyD+u5kGo7L55vTacwH6G1Jtvens/IE176Hoy51hqgfDvWV6XABkIuQtQn9bCuM8WAJw/qOv
Dle3izktNPPDMKSArzYwDR4M1zxNJVSX0kWQXAGKPUX+KEv7KmtbvJxLPHYDc9OMEfBNOLiNADmD
cCYytNLztkD5yQqqR1wV2rWOgZuoJkZp3CGYQu6mzKSCglaPK2hlJBZyjqfDWB5axUWcyUWXK0dZ
VCB86U2VDwET3XwKUtVYU0xw9Xw7+xD70aoI3GXsXy2jQ/vVusfzTYTjQzdWrybGlKXZP+chFgTg
yQZtWpUutoV9d0DICz3gVQP0pp5HbPMCD1y/Z/kdSlP+W4QALFC+9aSbXqn6Xy3sZEYrQLRGrFV1
/Fa1SCTFmbWlsnRQY3frOu5rFUZea25R4GINV1DHC7ALzxCubi3SnFaAPp+NBY42477rinbj2tyM
iU5NztrP0hseujA7DKCSkGe014ag/hgCYw/tdK/ExrdcGVSpHhK6ytbo0CzGLvo0QdpoCnSRW3/f
ZChaGUCtghMCVBvATEefSZkYEAHrdlOgV6CrkOaKdpS4P/U2OorXJhp5u6YCovLeKBNOlpXy7sg6
JSJkZ0AlmGTeKWqMXhME0AZrLBbqu0IF5qWU9bveQ3VI3GvWvqlTeghLBEuHrZGM5y4Hsqfnc0qx
561F9xijgB6d/fJO+Pl7h0WQSkWtAUEv6v/N0XktuYpkUfSLiIAkIclXSciUpHK3/AtRFu89X9+L
fpiZnu6+ZSSUeczea4uX2pge67F5EwPutqo6cQ9JW70PnbaP/18k1aGNEL2KV3EbdB6yIIVxq49f
RTzVdDsIb2njhgUbnxLPje35Fj+6Wk4YZq5xStZIV94VlfVlWf1DFj1PjX0T6/6u0c4FtedDpJub
DnRqR+UPwuk+kvW1FXgQstUTK8ybQmY/EZuvpS4AggSPzXIr6uy2lZqEWxcskfMSNct93e9K4pVa
UltilFnuXzxWN45LHzHG+t3qu3+DuE1UvU9LSQRk2b2JxTkPE9vIwgHPRBQ8hP7FnHCWVAdJQkCl
ws9aOZ/CMXnbTV/Z0MO7+jhHyb51vX3T6ifUXNclhT/kyPEFYzZSZvHZ9uEl8boPL+IgmRbrpVje
yoJ93VT82pPFwn1ab59t1jWPTgMJPInnt7yRNYdsuvci6cskfY5a96kbj7qxHu2+vUd1+zTK6sFT
t6UdPkEW/fKSvsN8CogizR5UYUJnlKegWM7SAKdiFtYD1+Uha+U+lOoigurbKUKk46X+spA7/WiZ
A2lgUCtN+5gk+9hYPjphXl2BTokSkHsz8R00ZYE3/0RBdDEd49dNbXhQAOECTz4wctkMc+jtIKmg
spvloYRiM3vqGbG3uYnbEmgOmNKKzX0xHDGXQnR7Kitz46S4wcwJbnhYkfxkARsM5ac0qgekyYd5
HArygA3s7MUzSIf3/x0pk2Z5TVDklBY3gBzOcdiiN4zuWrRhvem+NtFDHn4MBBg3vH3DHPzTKjzH
rVchCjk6ZvWGPvKAYeZ9THsmGLhQqPfeIImh5aMcscVtGXtHd8L2Hi6sijhjUr1WfQ3sQ6jJnk2Y
1fiMh9l3LSTtNgH3aR1/8JiDsinMVwthHcYA4lmtdmQ+icGg32aVd5VCvVsL2EkxHhMLsok5nEa5
vJQN2FPR2H44smoE0Fz0/SPZL1fgu/4QI/nUGGSG8EbOQMptpu9VfNFAx7GeJCtn1lux57tkCblV
ULxydz+KFUycf8o+OAk53Tl2CzHY3uMwu1k/noXbbQvspdEEAR1EgRIj1wFmZRwuTeY+r3vSJgxu
h2J6VyYi3cr4DiKkGU0p7+VYHXrANut/sK29eXotR+brXCNJc52DCWu2NZyHqJ2vFeFyNSdtM73N
1UHwYkLevilS/WZNrKiFfT+CNyUHZo/xapfO6X0vR19Ow1Zp8WQhU7ENnIYeQTdteSkS4xSaihTK
8cE4Lwj0Fut7mfu9Zuih0G6L+bYMSz8AiI05MrPfgQQewak/rPNlGRF0QRam9yHNlmjD+baxBeC0
8qWv+PUD8F02Hre09ePWPZi2c9dM/OksuWSi26qwuRVjjgU99ytxcTrzhlQYfwFk15BiMiLWNokD
CVFZlOlWO5Hf6/mm4QAMhD715rVNx0Ns4g9sVq65t7EnWJL8r3Dnu3Eqdgwo4QKIfYp2g8RtLEXm
NUcVPM/2KfHKi9cAV+WHA/XOy0+ajVVs11GE0eY369+f8bSRpzmBlCX/7J7B+7mxh5f1XVgN5kYa
HTQq1KrGQ07+Kazro5I/Io/Qedv7NQEnKAPcH9P/K+8IhePIpDaQ6vb/+foUP0xGBmIswIxMFVE9
NqhuDRfMB76T8GbATOzW6iUzVtq0t6+pTELImhYbvNFpbrRodh6O+RqjtDfFPxxPR9hbPUHZa1ZG
hHSYr9Jm7Qdh1X88UqKSB9IoSVtsgIGoYxRjivLwgJEQmyG1B4tYfSloQ7XEWd64pHKTHFl/pvtQ
jMQHnMwlePQYBVXVyt8majwc7kZMijBytoardw0vuuDpaouFfEhCfbv4VqQ3VkfcF2+yPWA8o95c
v+cClZGhvwLtEfpD63JE0k61IdLGiccl1g8tQR8R+xq2h/t0XA5tBQKUx8aeYK2yvKypQv8PLwIP
WHUA8d01r2ibFZBAG4sLKTh1wY+aypNjR+cCgOdCM8FraJMM4913/PnALvcpPtKoLvx5GvdYcaA9
8Tlcu+DSuw3m7CVS01n35jGK8Oiulo8426MRBnS90KdPl456i97wqkJrl0YxitPWNww8FZO864V7
FXreWVLuiyw+WW7jy5Focns6G0CCpgUkCPSzqHMOjSl8x4gO3AwXMyC7pt4jEyfpQVNtttdSc7MZ
YpvN9c7ggx8BDLF4cnKDIh4UoBO/yGXZWtNbp8Xe6t4Lxediw3W9E4FCQBWfe6c4yrTcmkSirXIN
TRRQj6a8g5O5Ps+qJ+2Qn1D3rd8SGWuXMWtJ7S8NegmIkE24n0M40LCmBJNRMcxXPXmnXJBt3cIK
BpI9lMc0GK/obPdepR692b26HJgrNEI06mA64z7q1V0PcsTRQLfTE9Lih4LAUmIdAuwuLHUdZqVx
/uDF2Wkgdq4oZ1JD0kPRkk+Z2ScGRvB01IHR3skFSf2/yrUnCLJyeY4ImSdiYDHhY/NsreeZRYs7
4kxoA2tvJQ0yhy/ctORsQ21Vyl9fCKY1OFVI80bQk2tvX2gyi0Yze61K6zovH+6Q3+A9OUZeul2/
FLyL48QdPCMpXl9EOzUPFfuryA1JaCPQ0H7JIvOwnoW1XGnx3c0MXF8QBB7L+Mok5cGuljfPVbTC
7TlIu+cAfTlrUfU8qcxvQ+9WsHLtDNwKNtt6SE+QCS+dR6HIggoMcqbpLoCczzMQ5qIhw1Z+VAVp
MJX7UjDIQa5T/jZ6hk4UWxend3/k2LCqrWFoSEQQuSA4el4r2gAjeJus+dHDx///DCkaYih8zKA6
Wd1OT3y6BKhFu98O3Aj1iI/ZzQ38W6H3ik+FQNDRfgmNv2rlEWeeZDxkmTSwdhFtpxxaTNwYj8W4
vGTmqhKf6PlaRAFe9oe3BjD5JS6JCCo9j6nzwjIByHa4nWOr3iz8pCAn9fJC5OkKQu4OVr1CM2lP
Emf1dUXGGTurgQiIqV3d9cJPZ77ONAx3jeH5BFewX8BXc8SVdUBd9YHjs8FZQ5J3Y/6zmOOiAuSb
L0zLy3mltGfi10IOTneIgbuXMJoNPprANjjazPAxjDiZWuuvmvPfhTkdOCgDEUSJY2lW0HSM7rNB
xMlIKLZWvnORCS5SKHVALEJwhwOzkoI9k0tamlI4p10xcJZUCzlkgHdYjCI03wTlnN05eXde31Ml
Iu4yO/uNBO+/M6pHki1/S8g2G7EwM8rc/M8esNhE/CZLwwuVIShqhumvrvFpprwhpeEye4/445wX
LJYG/dwPxh01IApdXt4wDMEH1/EbyewBThB+1LGzXyRkkAkWQDLaH3oe7kzFTyPT315Pd7WNZgMf
O3vQudiFUXIoze6z07yQBvMVBkPBUygFe2XO+LAftqaNQcmx4ts8vcUOXp0nnBl7o/wsgvaxchDM
p0n43bkLeTNm/lgkdy4FE3gLcn3Zs/+i8T2aZvqtNZeAm8Q3THQLIF2KV37kZ2lmLz5MfXdwSa7Y
JgZXTuLtJjqEaqLXU/xyTAlRH5I8YfYvMQMzXigZ7q2FjszpMSEZY7THyx/gIgFdy7tuuUW5EdUc
bh+CmUFGU2WtXyfh3xhKe4c2m9yRungYjOc5NdY49/SlMZzixqivJZ+gQ2nPTBaGAsVqMLHkt9w3
IwRGXea6Pi89Mvzoc7bjiv0+v0GVw3QMVHU2+vowdc2XFy/fdsu7r5v6gMASj/TBaqJ5D8GHmFN+
7DBkb0qF8YQslBV4fTYD0mwz2zo3rrtlGFogKCZV2p7jv3mpgLqoByOnxmm1PEmFt6OHGBiEPV5Z
D+UcIXw/dUzbPITOcx4M/MoT47c6THxGw1+zY3x47d6DtAAALIC+tr6kJkaCOFoEUzpK+46XrKNO
IvFhH8VA4xUbB0YnytwFQVzvhrX/bQgZcTET74x9W6vHzuH/Z2Yn/KXnj49Yiand52MR0QQurgWk
Bl8tY/n6zRWVurHuiskKcNuN827JMGXNFckYAOC4U1ej2VBQSNXM1XLQHv+/tS2cETJj1MmN6Gvq
uvo1quK3EsNdVbK/tipehi4JYej01slujHwzmChUW/xw7rLypSZGlWEy3ogm+SZoV+XUOVPIWbqe
Srmo2j0fpl9b4kvErvaWOpa6Bc4FO1d+TIL8BphtW7PNrlkH3AwmwJA1y11A1vyN6BH9OclnjqT+
sMzcpeG6TpwGLFoT6nxI7wtV00MUyQ/HYejaeOkZASsYdLLt09Ujvn4X+EOrEsj9SJrqmNbVrTHy
M0oKrK0NLmiJi6urK9JabcqGumn94C9IKqB40hp2bZn8czRte9XBXor1AHrfLY71d4ciDZACpDEY
3CLmiyUOR9/IuqFYrxLdqGE3y56A06L5AMsPeNriIBIhD5e01sejRMkAxRnjIT5MRqzwbQe3IP2N
WWbW9cdhyL7DhhPKSoEdAaIa0J0aC9GLoieQNcp/e7P6DSQIUaPvSVZc/KzgUzzLZi8iD9xSaW77
WBbHsgNAmq1TQTf4x5iDi6yjK5r69DBq785Mc+dWtRl+uw6Q15K4O89jfbmuTWbGMeNcb5dUszIu
eZWVXp/UlmjtXkMOp3awi+kXh5zcGaZ57FdYSWqD9iPUbONgIOPyd4+DJnrl/8MDMPVlhrps1bxM
tQUguEY1Lofh35B5nHh8fORi3k5ZeiW26U6VmFVTlzsDcPfWdfkvsvIeeD/S/RIrl2o3fKG3p+74
X0g34xcAsFvdAg2d9RwderTk26AeXmNm+6emZUo3ItwjtMTMnQ7ql/rV5KMM7Zzu3YZIPiOdvta1
11IxLiVeVB8bB3gWXN4CR6+L0VcymYUmuQm55zcejEOTrRQePPmuh/GpnaO30faCfRvOFK+Ej5Op
+qRDsyL2dYhvcmVS4Disioe5/UxJ8NolzZO1ElnViG98cXFb1ct3B6ANHTpemmpdC8/2YZY8KO7K
MKxn9brk7H+mwcCepihZSsZfas3vSA3vldi0fWI5p37kkF4fE0kIkSNcAkJzHmRh8/Z3HXSBsIrA
E6XkTinMvKax6bWYNh1LXn+Y2kOYijuCIswjGsrHxfhyIGn6liRG05FyunEccm9J3y79rJc1i7Mh
3HXkmcslS45j/4Rfv7l4hHbJLpWHZrHejP9l8jiq0DpCPKqH/i3zSDR3V64T9Psv6HfGwWJleuwN
9dBhz7zwEpmXOFavMrT/jSPT1VTn8WFZjcbaznOfhE5McCFDvSQC9J8Op5nhiO/kLaNUQJHIdUGt
AkqaHvSYkz3NYm4Xr2PRyhK3vYj7B6hN1c7wGAMUlJoigtY06AzaHMKHusn7bbiwLDHm9CeLeovp
SHot++zNxKp2X+RPaplSJk5GsytguAO54TLDy3TTmN8O9saLrRGrjJLwrDgiiTKMUgzvHaY5Y/VP
BDE9AjhFr+12bF3HHXPLTd4VyYOMI0BHrSSrElSHcHBwyH580gaWNOqxzzydrzJmSeAIh6VP/b+7
ZHqZSi7PqAPUjnj6MZppk40BKUREZseWi4zUkyDa8+xgDQrHh6QAyRUtnkY873x7Nn3Hgi5DDpBd
BqZNQaksLiQo9ROY3jQP+VagvlNjIkDUleByxxCTk7xza/k2pQZuFQ0EzWrsp7EoIetRLDWLOTC/
CtQWxkQ1wzsZSBOY3a684Rhok+VSZYQ8CBtjYG/tx6VaTgNJyV1FKzZmz4j9gStW3SnP7IiWfO4O
dveZLAR+2z2rRGlA7YiH22VasyMDjQKvoOXMMP0uGMhfGiK8mUAqkB5DWsnj1HJhCMc4Gy8R455t
+FxOYA8eQxBQu56ag8gSmJaCXgG+C+7asFw/CX4opnfqoHmskf7FK3GXQq4CRGXhFRnK7tnRo3WK
hmf4KRCgDPPVbpthS/fIKZQub3qy3L3dS1CCIyx3Y+r8kWmq4WSflmAzFAXgnaT6DJxFbHtdMSOI
uje7GQU0OqYfATSQhdhw0iBrJDA1D0QLdN+s+2Y7aAZPKaHoaoQgPzZAqUSYln4ulwNdz7rLpihd
mKOODVcnmWuEfAoMU8j2BkbgpNuYFghuKgUTAXk0iX4XdyuUI9iqQmC9LLACB8IEOGBMb9B3YK2s
0Q6Q2K8Gu/QSgyz76/rdjFz7nPPdWAvw9BoV7CGPxgz8FKH07WXoyuXC4BRxHlwYoNzOzup/UteG
R14l0c7jEeRhao6tG306vLKuTNNjqUFIek7+OSTwROtmunL1RMcqP/W2pmIFS0kjZdgnOx8QJ0Hr
HpNWkncrTpW5lGcD/vlelez/Zpgps2sRFqymt2r1Sochn50l6dgToL+cK6qBijGqmdQ+qukSke7v
YmVcsVD6ABB/hUO27L1y3XOFxskWhCT0LtWSO5xFRY3Wmt05E+0Dm5fyNOV/VtK9s51O1zcD/VAh
/lW9Fe7ZIdKkd+XXrK/NyMZm0sBC6jq5t8CEXMJT2nqwp4P5As2XKLmQwC5kCX5XmeE+MJzXzqus
XSJuxqbHtCCzehv2SXpxG29LqmyVghyit/NVgqWH1LySumcXQZvyMXiftIwemxoWMS3bEYJ+9zBV
yRcQJcSRc20xybYPZZhC3Fhs4KGYmMLJbTaNzbxdjfwLYSk02+kCMqoOwDlny2s8Awo33F1dAvku
agWYdIgP7EMfjbog5FZkgBnTo4iZakgFymmekdcmtcmOEi9kgWFerXYtfhfCoAPUbTGdjYAo7GaV
OhOL5StuPp+jniqoJfypIkBixTYHNiggsOSPobLvtJpXfGnX+PaoT06tnqKIofOYTqTdaOMSVwTk
xpLPgjc1PqKDahdkJrBskd2YUwapQSDEMsPvJF3AyLtQIKEvco0CvvEOk1l7DCRqXIDJ69xZ+hQb
o3qpTbg7JI76Nob01QLY7sMRnnLezSicRf4+QMc4zguHupfWO/jewzZtOS6HErZoD3yU+dhV18MZ
FSC6f6/BokzSrWsSJVII50TPfOt57OlaYw1jyxqCik3aykyo5YgC4hIQA73JPQUa0gvrXed6T3UB
OcIZFKvyqLtDODweyaiI6HljVhHNdG4TsKIWiKNGsUNkoXCx4DDpvL3IqWXUXjHrb1aLa5sgUM4J
liS0TjPD8KG27wCCP4sWwWLc0WKYDX9VR82zAVj9oBgW1BPuQ1YsvH5eZEC456ulNVeWbNJrNBly
rwNScbwcGOxCpkHasNFgntTuswSQVEaYq9+Z+AY8EhYboyGXm03OAYBciWTIWXaV5kafvNn3mpq1
khTEFCWR37ghStIuhKrDXcHnfJ1zBbtIAe6ge4bfWIDBasRhIEEU7eEKv5nuWavNPqrUU6HiY2B0
p2SqQwgdOXzUjtDGpqPkm9IKkMt0nznhE9NIBEUt2so8EJGvXCioI0qhZoGtQwl3HZ3iQYcNYajK
TC5CVMegJdg21mQOTqRJrNVxmZig0jswPzCD+/1YeuxTO2LE0rn6IDF9Jvch+QKDtysKIhQ8Q/wA
LecuLwBeMKbhDZxgfAOHJ3tElA5jCtxcE+PVWI5XR5fPurWxvIYkr+HFJzHH/uesxsmUKOW17y0D
9hYmNODtXF1jsUyPEC6exEobTuHeW5JA2h4LWukBd0qPTlJcXLd9omi2986HalyOoOXWixZ+JDN9
JTtwO2WiushVj7m4iI+KxQVH1v/GoZGQtzd9DkiNBkmAa+jQ2eWAQXSKBMjmUNTsv3amjmO/mB8b
AHW+3TrfkW3dAw86UJk72ZtS7QT2VCCSsUhqoJd5n+qqR34OaBnxLewkEEt8Nh5tJFQgSGuE/y6f
OVRbMBciVvgAqiaK9UM2wb/mwvsnNMWORVT1dpBgWK28uMniCsPnyJ8pyuKuCoFQ6zBFQ0XVnpdA
uVoa7e28MF6QFEGqOafhdMpNR9+FPWVWOuh9O0Ca0l7yLXsSffUs7uI8feqXxvBnw5w2ZDShx2Ky
tiFJnEkyvMBCViSL6LNZgDOzDfwEPbIB4L3e7ZTUd0OCzdkMnVOdqZ8yqWus5Gx1ooGc4MWOv2sB
MbOiqiHee8/xyYSphPAk7HjmldDNodIMTQy+R6RIEyY9AEFW27CACoKvNtNv4YJmS6jhgXDA+sbM
ul+y8zJfRxJ0djefmJ6QHoPu1eOZJICuVX3hL9b8imjXbywbXmZLVLfrjmCXZqxyIGQWL7uXhgp2
NocPcG64G27kE8Gn9paJVAthx8kl2K3JSbWA171W4c/LGGHiJc7T+J9ZBjSv1VBTwMe7NxZ8yR4K
uj3U/kBCHbp5G5gtYBWHcTQloH0MSskh0FI8LWAgkPMlvtsUf6PQN6VXfxMA9DZ0rAxWZQunVxGY
5d7LXMQAc4hNHblORFLfvileqrhhe9mPJygSp0WzGxvL+QoRy3NY00ukUtTMeGK8JgsOQ21gDjFy
z5+ld5oXk+0EOLVNM11Gd+aoZ7VB75/BXeWsJjsS5ETd+WlJTLjteftsgmaN0kIwJMbiQrP6MWF4
3ckqfMmG6Jx1wrmMefqrQNAQcxg4O7zLz3aHZSb1kmqvPfefqH9RXhY3HJ7HdqyPVTI+wprk1IyC
wmcquo2kTPxcIRmiKYTCDjTIQmTmZyy6qjQEOJ/qZ0e69zZhLRuzWd1TujkVOSEfc5gPh6Yznzvv
a8I4dBNaEPgdtqGu+uuTiNa5IA4mW6KT2cF4S7J+PtrWcnbYjtmkp/UNZunAo+JTZSEZvRDswL/9
QHb9CDgs87ZjHSWMUIE8OeQCEQQkIU7t2LQRxRe+50b0blIGZlElLy5MiPW1dvczHv1EfDIfnP1G
mfamy+DBz4l+q0bCJzXtOt+1eR8KXvwAgZxwx8YnjpWwMf2e0p8e3LgnG1tP6caDTFNw423wkqOi
s50/Fqb3rsOyCq0fqT0kz9iACROWM121dWASGSnWDIBKFZOl2MLUEUk+MQx5mFysM4yJ2o97PEbt
jcGVywxzfcy0HDcYEL7ec7ayL+5tllO1K350yCMFpI99T/XA/BcbD0yavV3TeIA8yggelbB/NoWe
nlw0gLSrdxajODv0XpIwvnPa4NflQhTl+2SgDIK9/o9obETxC8tQq/fOpW1sdUMRSuXBBCAs90Al
HzmRhlMmSpDPw8nmiwQEP4bO4jfmzG1A77WoW6UdKkQqThCInNfE2AR9ax8HouZZ2RlnYVnah1i0
FpMQWGXWx3trMNjSzkwYkpvZrG9NHUx79FPgdrHXThE5dny3eVDfeQPpLWMh0cfUkSF2fQ+6st3Z
m4WyoAvEVXYhGx2dB5j9uAYFVyJwsp5eCzFfyPIydyTbp0Lhn6/1VgV8S55U31yjWDArvBVE4Rr1
vEr3ubBBz7BtWDbEkIaoSWCdBSbyDlYMhyJZgfhlbGwDSsON3XSv9ESEiTLMT3JEcZBz0ZbQ9Vch
49kJlK62Pj3bYeyWDGeQqNzgYd2Ssdg8Zp2JdKLmt00TG+0u+rE4APyLQOkojRhRgqV3i0GUi2cE
X2zdCRWlz91X2CpSj9LCir9zw5F4/NQjMwqSYll3ZxYasLF45bg6ogX7o9CsKQvdW+CBrKw6f8I6
hV+GHTBZP61R7LyATCxvudghIio9Snq8KrD4vBymaYp2vQcM2IlDWAjQFLejvXDAozrk0Tp3NR2T
HdeunwWcZCSEHoaM8At7ZOqYhESVF4RymRwKaJc2s2baxJADRHT2TKH5L9XqI2oRUKmkfutchKEu
GDJWaLuliwhUg3uKSHW6Jx1voVc+pR6bimzAiddLFERhC+nLglHlLsHJyqdnE8R8wtJlkzotr3Gf
HcM0QL7t8FvWtILdXDwwHVpB5sRNKzTP4U/jMn+pOmkQ4BC/tw5Tn3lZXVWxOEzVCPM99O7bzFK+
Kut5oxPjxUFvmTukhrZB67AhmO9K135ZKY6b4mFe0b054DpS3Up3Szft95391y36rU80PGqCtQKP
OWFXZEytLKLqRtR95mILOlF1HEZcKW7VX0SFAywPUqTFSfEjZwSJaHWe4GKfBanWrZ0hgMorRBMa
FTr+yNpl1sv0wYD3xbsSyQfSNaydSudPd0ifERhtxZD6VVNfC0+R+dwtbyJFaTdh6HFc7zMyqI2C
xToFvYsz1/ZzV13h3v041tXIwKDqDyNCbif7Dbq6nzlj58mQCMiKilCko59LeIS2Xf6qBsaN9E0T
zcCC30Z/jUu9n3PbAzelsSJ2IzuovwqJqW9WwfsMAbSOViZr8iiakn2QBTpy9OpzjUw1XCA6skW+
9RCA5BZxOTac8MCwLsLUEdWDd6ElxJRUW6/pWL5Vg/k2ml6NFurLqZwHD1dN5VJjzOvfrOhslwZa
toOIh/36OahRnYmKT4dXEfq5MBjmY8xta5KjY9rNDz6/k67ThwBZalSB/S3Xn8FMovMMEneYAmRd
SbsnLQaZAuP6kBLAY3LX1eg2GgLsp56VOuKPcGuZPZcePSFhmK9sm57AUJ2dBPg/44ojbSoVZQQo
3aAMx5CAgMW994YlQU6f3ipDXHtZnAIZftskWszhj9vjTCAs9ilvE5IT2X3lsf2l5ho5pBm+jATo
4Q+cb+Npei1CnoDWYcYza3GSYoh2rWXPm/HeXQU26cAvBQaV3r4W/1yz3LVg2iIXpqprx6+NUb+p
BdLFiQvxKxc9MX8A1IlcdHZhMbyLEaK0tll0GItHDgDup7yJX4rROdfjAFM1Vjgl2gug8gF5+I1V
aBhgy3zMHPMEVfI+ikmWzm2aEhphq+rIDJy/q5IwaW5PMM5cmsupnfv7orVPoh4/i576sSVGPihi
Gs5z0KEZZf+KkmUI8J2yLazbc2myoWaKJLwYCbrxnXoxtX2Cisp1qy/r3aEoJr7nsSSfMgyp+FKT
bn6sndOg5qfOdK+ek4ld0+EDEfD1UXldIh2e4qx8zJf0PNKVaPNJojJk93UdVUNXHRD/XX0bsn2U
iDkmBuTk/zCZfS0Hln3uNB1ofKy5vpOOB0hHPLvFeBd1yRcDotpSSHLUv9rqbgtrOBDhzfPYPi5J
0vLrDho4H9MxK6ICHf7cYDiFisTMLCg4+Bvxb169/VZ+h6KEIrJw31ib3qLBfFAxga/auI0hxY6t
Bw4odBAwIRV1a/dz6HuUtSF7Vs2tZOVsJoKrcK58ZiDnr/8wwZvAdovW4Uh59IKIlTCzgpM+GTEB
4Dr14y48Lln8uxBV1sTuZYj/+sK6HSziBmM4Lfi2l3cjTQ5EdbDk5cJkPX1bOx2y8eQUN1SN7cge
s50+Kztd0xX5lccx2S10+30bn/IOhimw1+c8Fsdy+DPkfDXDjrhi89DBiwwo5rDJIv8vsS7EVfYP
8qNY1GdMW8I7DXyDRdh23RBkJfFio8fDaHkgRe0b+HtrCm/+FTXVXtQEkKoK0ePU6aNdRVjPXQZV
Id0MJQNf1v5AUItsmXMDA721WVuyueMSRJfAPCTg9ZLij1UWcwAzuSm5jTZQmHO6dPsjYHhIUFr0
CTWK+arX/ZhddA5i69abXlRG8k5QsU+fB3kqeudRK26IMgchjOWIpdtUPg4ZQN59HnkfDmR00IJM
zKLl1yY2F1nGctPG+escuT+ttNg1LOyoFUPlJQp5HDNuSiyXxMfCc7KZfpVzs6mM6YvNiLdpUVWO
jAroRug7ZKifCAI/jdO6pqrutLaeZlF9gcvi08qQw+zCv0Amd7kn3zv2QCDFdm3RYxHBuMMh5Fxh
O94TVNbCzyXTrNmSbcdF2ZO/Uo/FnR2kb3NSVww4idaxjMGv+pSYDFE/5lAruxBjOyNFHtk6QSwp
va2haBgoditgVNlf4BQbATsbv+RVxDH+joXcEn4/EgrBebetQ8pIn/yB9Ebk8DLW6U+FKDeXyb9e
L9+s5fajuSIF3YkutvupuE2KKt/rAgCGWJCeo97ywXng5jwa1ptijAv3+FDlzcnr3JPUw421REg2
V8YvfA87rcXBaMpXnTfXcNKMK11MyWukAAt6JEWCyjXp7hKvRwqMp26jJj5JtqkQI6aHwW3IE133
9YXH5j1+DSL1TK/0YPNlM6kQ4qjoqUCYH3S7dUfkuPJGRcvTENkvHbxea3ke0UQjv796Xv4I9hMA
fS5+u2F6wc+Cf8rAREVsysNo3EXecnXq8IJfBCQzXyV0tlVOTpgzffTKxBDWMjBGJXoHxwDMOhwJ
uXqtyZqZUcyWxaZqUeplDoMGSV1WxNkZDa3F/MTQ3o9mY3uaSGXAV2Ahiu62lTtGu25medFnEqYr
MaVl2Kb7UcpbbXHskNmwt8ruKZYEzpLt9KyF8xkBXXU17zj7PJ5vlzwgOtpbOSiFHSygtAS0sZSI
h2x+Zqc0dw5DoG2h2p++TVm8Rv0xaqcXr1nPHOSamy7KnkeSWiSBbHxScbm4hBoa0eTbIazUDhM1
XHH6z4orLlE8g0XyA9D5Ka4THPQK4afWW5oOXso2om5cXtr2XSeQRMv+iSnUa2VXaMTK8kPmCSXf
nPhG6tzjKXsrwjvbjH8Z2yRrBLyaPotCXSiiLq0tmSqjzs7r9AJU4RbGqLFp3ODZmaQCd55RrnO/
a0UEHwUnqKWFjJ3lRjF42JRD9u8/6s5kOW5jC9Pv0nvcwJzAphesAmpgcRQpUdogRErCDCTm4en7
S/BGt0W7rehlL+wb15YsEMPJc/7zD7TDSI8jGPdM51djtZIN2b8UQ0SMhwOoIrX7qU6+Cicy9laj
PQ0Dd2SOynY3O1EdDH5ouWSeIFsjfa499O10mDmc4Fg8NDFnVz8v3OAVD/Wsm5/t3r4UEFBCYXaf
ExeSgMM+ibtcA+wob7ilM0Gv05O7jj/U5c0yxo53/mlIwnYWOdymqnEbBloPeEWthZ/OnHcybJtv
sJDqa9vkEGp75C26zvcLMA+7fdVOXnmqBctjyAMq/Zjw1gZ5Q6xUSlox3pY63DG7GMnbBZw7Zaw8
R9eqruNCkBA9e+Ap7vwc4w3L7UQOAGTrhfqQGSSIPVfzgIJiIAF5cJGGJPntaNnujvz6RPf4vtsB
Psh8Z2pkrdXpDlHrY4yibw+W/tiN9esogE/dDrRgZK5i8blv1JSGUyIpTy6Uga85uuU9ICyO1En7
XWvz+xa4P3OHB9i0TpTNIewqP9DP8I2S09yNTPfJROx5zh22mnWgg5uWnaF1ThDbeJti3V4FtA+N
TSgRnsOv84hgDfRI2yemxA6319dAsEP0GjYFANA+nw3XLukedTldZ9xcf/QIZU2ii58jMF0JRYF0
qF9kRFoTxs5ViN5R4WEcFTJ7hMF0l5uw2TqEUAR9Tu5+nZxxZ9jiwcoYiS13JnDpAglQJ5Eruh5N
+kN9mZeQNSggATAJ4gGIMKL45VQDOK7l7uzceXFrfiCGcG/XCCtMDNs8lFV5cflXM2wdGp3+V2KJ
O/XXStzu1eqzaohrvTpgJgwqpu8qxRlpzUsh/BzenvfIuXLDTMKESqovFGqYDzhKFAbNoe1JknLK
JDR6O3R7PACrWDU2JnILC+8Qfz1kJot+cwlha8EmNqnxjXRPbbbcsv05T53+YjOlJc54gTGrD/mP
RbJtHiQRkH2JAwhppjtmpX3OLn0ujflqMnkKzmyRbsZhkE/yrYwQrJjxqxfZP+LSPDNSvblA5oXM
nsoRJ4s0gSBD5Lmcr2uiICF7rpchF5csGUMzKh7UHwtP+7XuGd3K/g6RGeyoDpvqkueD4e7Babxd
ZxymdcAngiA63Nzst7gCqZLFa52e4eEVO7ulVTMLkj1jfOLpmlvzl7YmzyJt3vyYjVrG3he+qLrG
VjN/pjLXWJU9SADsY589C5s9KwjTMXVG1ndYAZs6/CvTylHIpQTKga6jS8BCMIoImY9BQ/TnDAQ2
lstTknVvZjMcssok+ccDgTFQDRJpkUIN6tkYmpd1tu4bGHedUb/yCe+SgryfSb9hfXoXi/isdfKT
Waouq4UvP8zrzQyiVNu7TI4PmJLChuB1mNCDcLyOe8tskV55za2M619TjXMZcc0TlPuKpQO2ZEW4
GmQI9PXyDYHFK5vIoB+Mz3RHobban3wAgbYHPpAcraWBemp4Uf/bmu0tX/exq8ENia8+jQOhntHK
+7di1LJY3cskffyAWKSuhvYpZtsK5Vsc6g6XiRgp4E63U14jr9yztXqsRDnDxm/J7gkLEpXUz9C2
5NIw79btSyfgBS3FcNeL8bPtUYoc3BuvZPpG54nYtiAgbyTBxfbL6Yq2g8zWwsH6Rr42pfto1hx+
tHZkNXvxPtbGqz4mOqT0zhn9R81xjwWJcxReBn1Op5K2PjYfK2xTdZ/9YXavigE19tSVlygxH63F
uKSe+QRj59lCsqoZ7e3QtHcF7klXY5Q9qJ9odMewnMirSda3wVwPkfOcVfLC+ue1y9xPsP5Pdand
jOODPSwnbAK/dstbo7d3+Hu8dB7bdqex7+vEO6qkhQ6gn9wQDxqTDwd7iL7aPhnUjo3GPHLxTh3y
R5eSCfYxkqHsH5aBVE4XPh7sfKxXFvoKSC8dVtGNy0xEZlyFVZB7k+oyHCyX+KjvQqAqqBe8A6eT
p97pRKu+zC1Wj32CwTa2owZq8Kw7Oat/Hv3hZmKciGijXL27Y99ykn0Bc4+9j5hv2asb6ODyDiQz
MdqniZ1SD3jfJ/V97BJu1qScsGpUT62kC0jBgCeLrjKhbyob7WLM8FLqEcwcksJdyV9dYwp6fAxK
PDasOXMmJrfmveyNc7FmX0YyK13NQSeZ6vfpBAmJzRZze3njeDQAvvJaZQwiXqCSL1S005w/rt3E
njv7OsHeIbuIFg5j8UwlSD140CMhCz2ZUVDPzp0coWwLDy/cTJtgPMwTNBH3c9bU3yUNe5Hyjkxm
Qf23/KPJRvlKsu4MPRiOKMB/obp61Sv2zk2Lv9zymkIq2cXp+KbDMioQoPsFEFZUH8yoJ5fMT3Ti
DJovJbDl4FigmwIuewY+G2oD0nj27OBdpM8MnwnzIU2QtMcI6/KdsAiQg1b9VJUOsS7L2a4qtFXI
FiqTvjotEg1LT9TrlvUzY0Anp7cNAL8JyILzNeQxGpN8b2u2sxtmDw9Y2dEWpHB1LOQFE6qIyqoe
1jFX5UQFC61AJAYnQ91quyw+l4QgBNZQsHty20N+52llfE5rKg2mGhAd2XwK6zXKE4B6SzvqfU6+
hBoCEovtL5nNIUPXc+0bx/+h3Ej+64vyX/eND0YsH/7v/zz8rJVZSffRbOU3k5b/32xZXOxK/u+2
LPu0+l5+b99+82VRv+Xdl8Vw/oP9iSV8nFnAWxwf95x3/3HvP7oAWdQNHK5N8hoM638bszjiP8Ix
0XKbdBKubTv8q47GCGMWx/6P43im4fu677oCa+z/F2MW73fjW1dZwuA5bjsuDr02gnP+oL86syjj
HgxqZx2zvHU5N3X/ecoK60gpjHZ+NRrHRlu/c6TDhouMczbR+5vGUxV34tj2MB4LN2IjWN91fQ+U
SHOJkd9w8VAlhrbIr4eK7OmC5VaI6eSNQ9he4AL2Y6tFKlps1ctxaLwJyPVQja+Jj1C8yT3qHsxy
6MZlEMVfLLci2g+xGEgHLFIMgw7jkr5Z1WekBe5CYIjpsew0fewURr++zmnzrrrOJRXDitN9Ma6k
U7SwsdLWW8i6Fnh2++gk5yY6O4QPnMxZ0K3RpEHCX8JGDOPPIbJwdcar2s76l9xjrwX46aeWcTEy
jQETTmtZYM6xrkMfjJn9hqhlus/X+8r/bObpU2FFOjm7FvzPFBOBZSX5UMuwZ5isU2qh6jELs1XZ
oGUwsEwnwO9embl5LmNa15v3f3kf/8EVx1YGTP/H3RiDe/A/ZgtL93wmFlPgDfTXh6x17dIuKynz
A07VcZsmpwGGb2+LQ1xg7uHBJL/ta5h9g3tdJjYOKjnB6n4eK+ExZIhaKEFgcw3UmAXTSEsfs2k9
pov1Lauil8Yq42DtmXPHwlyCqovwR6z7AB35A8YFIE0ltMQ+zy6uXv1C0mojA9a+9clQ08A59+5K
AVzcDt9az9tJokIjeFh1LW5TUXzxXdhT/35DhLJW/usNMXTsjtgn2i7zAL56yrb6L35ENGKGVuis
GkWFNifJi37vaIwkxaS9et7Kw7LGn140QbRMSgeIHFBmScmwXAkhabweuWrOCUa4BtuWFcFgmRXo
JmqfZSRbz3E2leutWj+x6qnA5krYC4NHmp1lDArbcvL94BcXxy6bwOPcZlex/c0GgIfYm/OB5CM7
cmjZZIMEzjTAnWeg2Jv2Ul4UW4SVGBywFLubycWKxl5Fg1e4nu49cYDf3gfDiAzcSnioWXlPdIcI
0jhbQyh9CJqKKbQb+1L7es7ixiJvpm5+4HHZEjyCJn9KF8zcoBegtEKNp7eHKZofuli0p5jI86+u
Mi9yG/Qy//5gTFVuPj4Yw4ejhDE20ibngwekrcVcXwIwt0JQDieRYoTRPCXdtELLJGWoLzvjbM9F
QoAjPRLbg0ywoxNO4h9imG2i8n0iQ6aBUL/4ZtLBYw0turdrcsFMNCvspXi1IfYBVGBvEfz75Ru/
V1PMz3ivAN48BwM/fOz0D5beYLuRsRLvh4k5T8eMTVQ2HXzIuaLJMHQfWRMZqWTx8Cq52jrfTkaY
1XQzhMBS36LyHqomsAAB0UumZPI2dNO4x/ZJH0//fq2O+uh/v9WODkVfRzvpeEA9H1zbss6i+xhG
SBPFxNevk9g7gIBYNdOsXojPE9liu7jroK8zlFvk3wiz+RpJMcMlJbc4aZj19DX0U4kX8oo3rZZS
qYk833smjq2Wk+BlW3nkEDv09U6SJ8jeM9hSmP/mQb00RTCv8msRSXynaK9ZwNm069LCoq8eD552
oJ3kJdApzxPjU97n/mEcX4H9vsWN64aJLx8NVUhhmXwaZ/b6WQ6BxyqmG91J+ovmic+0SEDapot0
ua5+aHFyo436cDC8nF2u7Mqrf7+rxu9eeOoN4JAXIJmWrns2HJXfK4u3OusQR4SJLjMXhtIAa7HV
DBYnZ6XgDu25S86RIuahDoV1auVAjuzXvxXYQm3X6ll8pJ5Yr1dfg1Tr/MEn0/iHx255OpoSSh9x
Uarp+GvpS22cukiOhY+mrq2JCGWfEF/ggoWYyxA4McPSHiXwaeQuuyQhVNzBXeJMIgolLiotkgP8
J+FVPwsCl2Rh/fEjUt/4hxdTYHSqCoBneKatHN7+UpzHqRtkkRYTXEY4agudPWJYhhE2ptHwkFuF
hfUO6LZbYT/CmIoUg0XIThZRfLC0n5EOVUfMsADNafnD4zU/nqQ8Xh4un4yFLZ7v2x8eL2KjqCvh
WOxgiNxwlSizKq8LdChj7PYJ0+IuNqr3ry39JQUGYTefLYEV9YRQaQasqWkz+MludZMXfCmERX67
64du9hwnw/VoYdltggL/4bVUBnsf7qlnYv5Hu2jweuofDzzY+l3Exh2YUSrnHh+cnSy8yfcbOjDY
phKRHsx8TR4tf/iFn0jv/6E4mv/w5nmEumJFqHtYRbofnmtTrLUcByVeqJ9mxy8PkPzWENr6ExoF
yAqDee6HW4Ql7aWprYP0nHDiurFht1rWHXhrtMqDPCuSF1H0870QE/ZFvIwE6BjnRnTXhj0Qnj6R
cs7511tYbCU2cGv+h5/E//vdpF32bF5Q7qjJbuv3N3Q1xATtgjfUy9BmVD6u2BVwgD2I22mo3+g2
T27EPyAQkA6n6g/5snL1jtkH2z8f8wiRQ+zco6sAInNYMWCHdKgH54dGSUThSVdtyglGbUTn5CFm
JHBlJrylxbVDZYwaI5GrGuuZWb71zA+Ag5WLA5jANjOlXa4piojEL7rKQXP7O+DCic6ABgULCoij
rGBhNYdizvzdqJdAGc36RJJL/JBEiAo2jVBby58DCokq7bp9mueIiSr9aSsBbkR0TDch0PQSpYJv
uD40Dsy+0E+0OSf+ypQr0Mz6Gd4kSmNWcZYdr+GijvVCxoT8tcvVqNUP2JetoXD6UEtKFFGaqdFk
Od/wnjAeU2ONvnaswWu7yW5ikqkPhcNTzSLC64YB+3GtB4DhYbdzklzJlR/Wt1pgRKhkSiT6h8/f
/ocHT5QJ5c6iPDGwfSie3PosMyGSsZ0DpNZLDF1xI7rWGK8u5U+054+NaOzbsvJenclOzuZMWuWg
Xc2WNeIe1PWBAyATje56qvT1ycr9NczFsht77ltqRg+O4b+QDAndXucxsoe/oiWa9s2i/zDGPIXD
g3uX3XKyOGA5DZzZq5HtIsbGSxREbORXdWSOUjRXnkorJPBsN0Yg8nLBVPgPReXv3Y5LfJZhUllM
gbHWh7vhw4av/bomODtf5lvIyGUAjnIbrTCn1M8wT8katlP83fQQoxYW/trujH2gWMpXr3SyQM7O
C1E/9EKqf0tLcdAwktLqVPzh1HP+odvBUNmFIeij9TNc70PxQdBg29Gcg6P2BFnD02adq14c35tw
cXHs74kd360qTRuRxHWG1fXkY4NWSRjiSzbcFXH1/f00t8mKKrTyR1cctynOsgZ68PUGsKg9VLnS
ZWs1+I5Y3lAjwO5fsYZkCxWHnS0CNvpij/llDW0qrDXdvZJz/Gn7BNdSJodJX3/EDiNYDcX+Cvds
q63sOy3tERu7joSjFrhdj9xs6eAAz9+hncnDAuPrKtOxNKy0Q8zAcMiymD1PuYRRoSHYQuNFRIOo
qr2LWbCJGylNmQZxx5sedGthUc9JZVTVdDKGpAm2NxBup4FOYNFu4tx+FQNkeM0074isMS5LHVrx
spuRv13o1klBVunzdnHqSUy7wPA6tks53coKM09fYCJTvZI9iNle7u5HD0J87c749lTIFGyq964e
I+dcdPWnXIMHtLrFdOhifJEabwlz2pTaQBJgmPlrotLOEGPyjhc2m7VS+1biOHoNz5ZUSDR9QZc7
S4Dzlb6Lq19G56DulPOyByx/TJAFhlOWfSf9/M2ku9VbImqxa1xCqGGEaI3wGuFSf6EJf55y2Cgz
spCzk7ZtgNfE82gufWDVEO5srxr2luiPMYzYc6JNYZMa6NL6Nr524aIyH+tPOjYwiMf7fRcpkYVq
nSpTG8lCObTA+udtvpxX7E0EWAucZktjt56mOPWYGeIaWdNhQFIrqa4aulyWGfbLyML4YPocCFu3
WLNkC3plhTgrzn1lAHwuwA70R2GLIJ6mmVzzmIguf2hFuL3yW2nRKgh+JBvfr6p4i8h+aHoq9dpB
dR8Ss96VadaEQxZdGxMdIr5UeGNV3X7UQDx8dSAtan5iY7/rjdY+bF9wa8LCNzw+cFg3rEednee+
1glXgGC12zNZBr2b/ohXBmsjB3TydHmEMMNS2XYf9QI3g3JugkrNAHlbv7LbJ5CBxE8oItQyf773
O/rRykGs5OoQHGlk+APZpO5iXe/2eQtZu6ku/pjpp2bMuQcDvg7bp+St1jO9Iyxt1v53pFa+Da74
Zki4AqmGP9fSjgFrVLBgqhUKQxdW3oBvqtNbz+ZsXjLouvu25KJTHucj+oj6riFTtpm8u9yNy0dH
m5r7bH4jUO/CDMjQabNmzp0VjNuvpx2kJSd0x4d4UV5eOvIH28ohkFT+wVub23wcjOMMJZ0+YcJh
d4XehDED5g6u2G+VdDY66KuGs+vNfrzWEjwguxkydCZ5u12Idwuzz3K3AVsCtekBlxCcS+PJuERt
hAi/M16XFKQBtW8flB7coSzFf3h7rjAFk4uWYS68vZaCxEqkWOjzzZxYZkgYLl5NmoWGPnkSpABj
5iZDY2ZwmPuYjWva8ectUnUT8bIfZocBECAF/AROzfa+lIn6VGR6ciLoEUXkaPtY8rB15y3WNZTk
6rQYZOYf1uhL2vleMKTxTR6Z9yjVcM8dJGY4A58/fsMsZ6r1Qazrj2Ex8TpWvwBESgusGeVD7B+i
KCZptsMgx0r40GHzEjpgrcPBt+FGpihyEXB16iucjIG32tKPjptAjy3qg86ptxNj90oTyJtZ8ytt
7Rpbk1AabXTWvPY8IFU9+xIzrw2GGZUpYmZO3V2pQj/tEpYcTrMO5heMpALLJj9BmtmtR30B39FG
KrQ1suOV2MB0XnnEb4GlVk3W/VjDbRx8O5j91D8IF5q0W+gtqxrrkzUYZ34hbIX204b8CHWBmsYB
XKJAl6Pf3loeEKUOhU9hPSVVUNORDcja5G6byzdE7t6hrzz+lkaPMMCu2TeLI1xzNLYJMewt/tGu
Hs97n4VpCDXgp1eJx3TiMoyJM1pJGDK3N8JoKL+kbvqtK+xgK2d1p6wCC35+dfanq3GKTSNcbBdb
JfVBbyXgHfmw76o1gfYtYkk+Ib5H2xeNQzigUzeFXcL3XRkDSy29fNuQoKqtu/0sqGTI/bIDYDtU
e3iUr6iM+sO8gt1yXG7FbiuOcnSfcokWZsrxKFLtCXa+KcEJ1kuRVDd1YzzWg8fZkPMoDIdFbxHd
zo5Nfq4CaLaKASWLl6aa2lNqIBNQk0aMhLtgvgs7I4shCHlvOCBHX/U8Yb3O5Nbza/SeF26rJBDm
iLKPUFDWZYQxZoNDTQMfZEJYhtGLOPC5D/uSrY7j8nIXFj/jwO51dkdYs6ravj9g9bluNXPEBEyX
2JJvN7TX0UUhs8C9rICFypexFWc2/Jw/xmPU+lBuBRvvhgHqlJPwopfsHtvxjJyebee8Ylujddez
R74JMrtv203emnldjR1zFis3qPlbj5hH9UrbRDIvbAn1KT+UU1HyR89s90396KHXhsuc8dUlDWiu
5KvKJEeo5jIhyI4qZ7G11JUUIsO6h+J8FVvZEIoC040ZZASm/1XU4fFW+HC8C48ESdwDqc3i3uyN
I2EUu9Sxj8XEPdtuJQjLQlFbysCdxHEyS+g7WhpCYoRSR8OFKqVL38HlsW/wSsP05g99paHm5t/n
atpKUAqDQHub5a7CC/6CVeSwSLDJGvudFhXmk3SNF7U5zm3e98FNsAFolHoBF98gLtEOF1n2VcuS
bIdeB0U92v5AxNqfhv2/o9sueD+7IQPIQV3e7xeVdFaEbQp75BHod2eAVZ0shqUwTmHFdmDSKIWN
zwREoIcXaZBx6Ib/Phr8A07iunCLTOASMFFrWzv95b5YMnacrLT7XTQypGfEds5i+WUX9sO0LGR5
kqe57U62ekCdmI/r+LmXvKeQrmFI99qvgZD0NcI40x4+9/g/XFXr7J3xqMKc0s0exTq8/PtFG38H
d7hoG1DMJ/NFQMf//b4Ned0vTUw5jWvUj6U7QaIjnd6iFcNBjVRG1A2XSq9/MNXFtD7MgQNrjhy6
we4Pl/J3GNElWhj8i6wEHcTpw2gFCQHy5TIN+KfCmOWQwwkH7WfAWh6KYYk5Ryd1LKG9ihTTiBBc
bWgvrS4v5ZDepGLIb7y094KyW3aQ1coQtR/Onfr8+O/XuYHEH95/AiwN0/EtnrL4GE9Up72Nui0B
DxNYpa8tLUhbE7jVFd37YG5G3TUvyictzkBylBxgGkcaCi3qQr2VwwFDc0JRAVZZRlDC5wSQRMx0
i0Nj7UxvHcKuAB1wV/e96nVNuewjZ3rs8fm5sqX9hpsunvi07/Bug636Nogor6bceEdOJP4GllmQ
5xtx+Fbwh+1h0UNYp2ctr03I7d4TDA7UQqOHzKGLhoOVOmfyWJDqADDGL6sGHQprMus8rda1zYik
dLpA32MZqBwWN28/byc7PCZ8LhNmfM+r94jLaS+q5Dg6DqkHVFBpkEMhIxiNONePapLa/jFsg4pZ
//DvD+efipPnEHqtA6Y6xt8CtaJhSqvE5+FsOz38E8bdVsKJlad/pjdd4+5uEqe5fO2d4doYKFNT
w4yT5903M0vv/3A9asb+8LJQkgxGbTbiuv1xBmfXVuaAqmzR5tUhyW7GI9nOTyuDSpiNEBRas2LX
PPTHAW8P12l/dqgQbnoxBEkNWGkbJCoknvxDEf+HpROoqAWqw2fPhvTjd98It5mhs02sRzs70KBW
xXFtX9WDPocgXbiz1dZ+m0V1+LGH2M+/41KbsRwpygMc2XFnxdZz3Xq9+i+MIYaN6tj1WzC3dIEv
30H8uI7H9bqUNBJ/uKviHyB9YVnoNG1YASZwjDqk/lJsXZnRl3gYr1S1/tlgiEfFt+7jCb8hiZnl
hXll3o2ez0LF76HFdPneWbL+9rM+GsOtSL/pUZ4G+ejUrAj7IzrL7K5HWr51ZQStzCQd7X1CiLVZ
74Nty5PpBF2uI6TEJcYVygXYavpTmrPS2Lb9EO6cXspg+7DhmBnw2bCaut5wCxxGUpcEsAri537I
jlK1XO9tnrZqe3jewTukOAA8UlxPnV16h6nPz1kFhG11OtBSXJ2m1vhVR2gNytpmJ+CMP7eW3BrL
cR8P2H7isHhfxQzmW/siEbyEWTzhRbDebZhqZZvXq4dsjSjrC6tH+k81YKQezj1mFz/25vO2gkL4
e5uSvcFQzBVttwW+p81022QX9B6nKRumgECrIpgWiNbSvDXT+tgzdPmEk4RZb3z1a/NrKSryqwS5
E+/VgBBu0RlFAHEZzw4meQ9/ekwG8I7absB2eK5sBWc6KXx8wRxbzUBD7LdfutY4TinexVmvhYmI
bwS9MwmNyDowe80SJ8AN4aqXTCz6ugZSlhFepMz6yAhYRaluzUru6L7wdGd5XcomCsF+u53MaSfx
9u72k5+eU2LW6cSxL5YaWAzsVZjbV6W1TEdYB92X7TptB59JmLq7muiBENECOZUxtFQ/hcYZz1Ma
bEiZ2WhtMEzShmuLT51wpNw7sv/mNE68N5xihvY7N3t3btcwbtcB2x483yxDfBtthu8a8559HacB
bghLyG2cEMya4SSbfI8YqbrOUZfuVwgDsrtNH2Ina09znTzroo2uCw7quhzPSPIYl6A6nqocq0Fr
jh8Ud3YXo7U84KoP7XyEnLoxFjxtZrzH5aYxZj3sWcFinIIaOzFusf0wT9grVJ/WRAYSc/TJ1h9N
K+4+TXkeNj2zPvLP4zbUGskor66QiRRha4G/pfZYHogkgmbceteOvfiX2F+Pq5kpI638ArDSBkkP
uxgjNoQZeCfTPyNyoqg4owY1o0LVI3X4nTnb0d3WDWsDueQDnnzlSMXBvsPAuJc2K13B43EK6KlL
dVG8H7VDP8NvgdKtrFNY7nIieZrzCSEPVQrjp5IPkrmSbb9MTqXE106fpvy4vQNba6+GocqX+Y6e
TeBf1EBu66DKbkO+hrN5v+QySNEfIO+w8GwGyQq2mxHPNAJxni//JVR42Fbxvhdt+nV7PeHGv+Qi
K/aWAmMEythxRR/IFH7M7YxRSnUJZtWGxaj7nOv3U6H7+97E2DltrUNukaPeSzvUURqPJfoXNiUt
PsPsOHrF7wHePRq4Vx3sniufbO2EpmpCfL53Otk9jPWZ20b6fCz8XTo0a7hm0QPwhwGdxTjAa8EG
yCBxfs24KImOTFPjmemW0bnBTDBpUvoXLwIDGWkTMs3xQWZ9Rtms57RDcwDqGW5tb3TPmY9LnPr9
dY2Zd+w0V62e7DnKK0Q+6fWGAdTSW67T9rVbRH9xKm9nq+7IqSjLfst6DNzDPuDSCsecBVFV3W/w
6Aa5ZCT/7JK5L48r2yMzm+f9iKfVtvWDoMBewiVihR4KEjEh9UP5CxouxlNCB+2rluiYAVbn6C5h
OeM31qVJieMT93/IlVFfaT75jtZdtFSugYbBEoiu98WV6F21zqjCMRki9G46qMVKMpI6PLZC3KgV
1bQy31ZV91xbowmGV2NcnVb5Fabu7SlZbp3Frs7xLJ6yJn5zVmUT1SvYzyTpJ0dvb7He4FAUEFrg
OpcsxuQ80wd7T7ku1ANRQVhNe4XMtqv9s8z116LEzDjvEnFeB6a0CKua/aTwVBkNj3nhu+EEKrqH
P85sDzNWt/DPYFmDfZeb7hPpnl0zlaD3CAT8ishhs78zSkTeGaTsoEraI41le7KnvvhUQ7Dazhhp
mPixW9GdtTBT25D9AgwTbiMvSHO+59wzv3aAp+8nXjKTMeaTtyxt0PVcqznFU05rbIkQp9f3EkWf
uMc1sE9bFMuLO98PAtuUaHrOYamT7MiqJ0Nps9sWh/kcncfSkLeN/Bq7+njc3rsxAiesxx9VgdlZ
Yo7Wtet3GMAqLpukkpsTirJeYTBZioiPe4j2okgxNkRAg34Ig4StjfQ3MoAxfZ4ss34HWbfS3bOt
IC6TGDCf6U1h7tJdIU3j54qSHJspB51jJzFYacyWPyRJv0fQdslaiojd5nFomrvrdMs6iRRJy/KS
Ffgmm3hJ7GIXf4HMOgv8Oq/g/v3YdqqTtjzFjXzOSt6w7XR2kmzadS4GqVVTN3vH7/AMF/mzu9lQ
o2K60tkl39hecoOwhujEUT/bU9lg8VnIEwCaCCxp4iLrcmhaS3ftt//90LHd+LW4JtZzCkkzBnqm
MoEZYUbWAvtgLycLGKKI2ofB/zVWOu9ETIeyzP5LE5m33UJlzXxld2DCWp4iNhmtV2AHZas1Eiua
Bxu/nDxeyNOqnzdsfDvDtx9LzoKZyEFl42AHFZQ1+F6JemefaUW83zqocZ7lqeqZKBq300KjgySp
9fF9xCr9YInYPUaLh+cE/sDUJFvH04coAlcTrJbM4hvPeLxeBaLQegq8eZzClDEKQyjvOiPOC8+x
+nYsjC+ab0Xngk4xzOggrrbHlqRTeexJp+zQ/6cKhYocHOK8XlyJ1pXsl+A65P2hVbAYbjc40yNu
2OqJ8HlyW7WbrBzvTWX3iBhhiuhXttahgbF32WraVJCChTWbvMoQwB/a4/aV+Xct9K5DnUEwz4zi
qxDPGpaMb5iFhcXik2iKdb4LHLtNjdsotAHjskK3N04UzdZFTxnrPx0TiwmUlCYkOHje72j68rqI
BuC9BrhbbB7CjHDpoHOxyPtBORzDbvdWGZ2yinNo9SvEdiC628JQl8D2jgWnbahxYHKMbqHZi56S
Cp5YVdc4xo3jyzjgqSAEeI1dslnYfmiXxGYvq5A+LtFXyBNJYKsassHWNSEms2WyOm5xnNxe/Foe
HWFiv/COQ3oesXi0r0d8QBWRi+8QAuH3OtHe0gqhbFcCYSLxIzaO3I1gnBKMPgaiGRaSt+Y7FAwk
ZigOAomIawjWiMAPu5FGH6b31Wm95AQVvthu/VqXGKIQ6MY7ocZcbJ3uGsx09/Fo6Html4OJT0Li
XxSTI0v1YZfsSTdh8VESe1NhNFPUJVjjWNwzHs4kkUCPUP+1bTuS1v69ZWIosH0NZacdBOQA/HBs
hGZR9bMHge5rzzhWoOABErKnaTHOJpHvB9uun1ytPqdAkRhVcs9IF8AlI8ehmlKSpPUUeiUWng1W
gQNkrHB7Nfy2/iHSMTn89ymC8+vTc7aW6S5XmwSoqTwGTT7l9S9kSA2qZ9CA2Vh+DZijnmaHg1zo
049KZXj5nCwHyaptV/XyE9lft3mfUng17JH0lR/Si4HKXRLKu/xYNT3vlWrTc4Q42KvOx1ktKDZY
432KERqSlKm5zZok6FRHMxkOei0TeQ2cLUXq2jqnXK3bVSWVudeH2+/31+G695oYAInXKBbja+Ma
39+B5g5yhnBQ8GQjqj17xnuizFvY0El53GpPlvs/nLL7it8z/GCRG/vWHH5un6SlyVdUlOVOTvih
tINrKbXzoYPTx2gX30TlfGbEholA1Tj03hSMRh6Wvey+WL5ydR7M54XOn3nNe9ugYmiC+RVOIKHN
jlFz6MKaiHK7VQhr8C4NiMyZmown9pqdtuvLEyTtnjZmOKuhQG0iPCa2RmPpcyjJ/4uw81rOGzm3
6BOhCqGRbvnnxExR1A1KaQA0cg5Pf1Y3XafsGZd1oSmPbUkkf6D7C3uvvfaHxI9edYmZqtpBF6Pw
yEE7UC8X8LyH7RJAkqxUmdGB3Y1rUoeWO1cFq+AhBKsCj6yuKggd2ZdpIAVubKdfuiX0/PohguV0
53ZBdIYoJrZtB5c1jsuty3Q9Yjawq9JwZZ6nVtQ8MoFSLxGz8wxhjBms1+1ZKbanIWq+ShMiAOgA
qhAvT4BsiyctVk0LjM/EXdRWH2z18iStd/mMAq+bOuoOIptTsAWbDOnup5CyVT+1fAV7QK1xiacA
pULZzxvZV6fWt/cD2cUHwD39NulIe1ptmAX1MGzlaHcPoCl+kj/FNGwytnOadqehH3Yx0TnglaEG
RM304kdxR9uPRmL2bkuBwABbJh+ZGb3YVj2e5jZ8SwfGaq6oD7xy06UqwS3wG4xpPmDG7C8AcqSN
9rxmstlwXQEtCg5DgjyCGINqj8oLFRdEUP0HWwUdUZzOwdZCQLd1QPrudQ0wpDhZ7ZbqlgSzt2BB
fRUFw7ovpbLkOBPDnRFQq3TkV/2OrBnZ3rBf3nShVBvDz1QS+RGMR3thaGr0qicppTw2WfGiy6bV
7Vba7x7mM+cIyGmasaW4L6fxYRroD+0k5R4IrGfRQ19ag+856b8HIyisa3wIK2SVdybFFtQXbHmN
IYgUr7wc+a8B6iMyrlWMatlxDXEn/d6/mTWv2OJVUbuDT6jQAVxA1rgG29GbDfhz8IubgfJhMWoa
yaB+6kY3YN/c1ltYifLi9nzQbfaaRoBeuwY5lpFUgHlmdsY9My47IP0vGGBRNwvKIkkmOzA/9jQS
j8M1dsdjNrTzKePwq5BUPuof82j3VLOt93OpPPWMsbvr2pUKlW9vtzrjq64bq7p4YQUfM+PvUIoA
Ed2PY3bOJ/EqyDB9r4IQ+1de7BogC/tlnMezYQAmaprK3ev2pbYXPk6O7W2bYZb2yzxSPbnFX4Qa
AKsD0lnm5geoSsbWq4pTMDQIi6qZXW6QpeT7YE0pW64MuhUA/f1ujaC/WUUCGDMoCW4IpbMbhPJe
JyusEGY+X9wW+2o+Jc/SJVW7NoebtwjUkpxMpLA2B1k1wcPSud/dEZoqgylxc33+90Imj/5qgfpJ
uU2zye7AONBBBsGpqtZfHTx6IAyCzHWeZzNrrC3Prr0zfOldkno+t2jeojEfz2thXysmakf4rhYt
b/rbawgQljAyt81akeK4lldp0pf3p2URzdb2yvRgZM1j41T8N2C1p8gmVzbAOY2xHG7YuDwEpUuK
moN1NM8AKCErBh4sTiF7uWVZXjOrwf2AXvVc4G3zpptjtYAUgsk9llFIJ1DwPIuO7Mq4rKYHA74G
hg/4a4CpLnzA47bHg4Odyd05q5FfFA5kdghScomeIEC2eqHjn7ajxX1lJTzERlBL2sv+aRKEuIRt
O/FphFgZs3KAO+Rx5XXTyV/C9gukelSRIJfsaA2OLn3X4ufuOwuEAipomPVf1wZ0k74Y7cjcw7Ev
9yEwZtEbJvqFYT70DvIry2Auz8jzaBhNtvfr8pv2DKE22A0L+ZnWYAD4nhlDCXTkB1NW175KvkZs
d58KNfgMivbNt57cXMQ7e53Y6Ef9+mLCakXZfc0o629J1BdvfYNoygcDnmdmfCyGVbyu8AIwSkNy
bNNT3ufuC7dvsk1zyMHe6H+fjT55GmGQ7NnSBxv0R+njZG1Fh7g4h2p/FAmHcZZxsEuGPOxXxuhS
hs7P0l7JDBtLeRnhXUbJWLWbab6Pw8G6ZHCSu1i9zJLpILThA6Q34zW3ejQ5Dn/92uePS1USs1dW
13js2kNeRpBdQF0faia3d3Ps8t7ZS3OULGTvgEdBqMlgMIukR+KVPFdglFnjTjc5qAACoJ7PE3Ih
X57g96XXwgrl1vRYjnPqX2mkCP+qjKNd9slDHq0QTPENbK1RGPupA6oiMjkTZtsXeEYVsXzqkPVP
OEgLAWURfUY6V961dmqFkLWXl8XFDUpMno+aqz8yrej2PWjhs1v1H36XB6CsfAKjGnc5BoWdbGI8
05fR8665QYztwtDoYa2jaz9SLhfeYN1oS8Yv05hc4zQPHnG/JimDuaWuwus4wT4tohSyGIOgQ5VR
x6khOcQYkMxDEgJmaTP/rP/hVc0ehNN4zDPbPzfChpacseNKZ5leDJOcj1F2+ZafQXRZJZAZ5LL5
wa4yDpMuvvIEOUf9Ya1QTY55DGcqa7ri5Bj+BFIGOMSKK4AUyHRfVnnxQoYyW/bZH4/Fqphji72e
PIPNdyB5odsM0iIN61O0iuiin51RNN9amyC2JnatPczNX+Cc0O6a7MjZL3r7wsfuCvpxug96Od/n
QzJutd7Ei4dxP/MMkNhkPAadUW1WM1zvpQS4YUfRSyED82vNvibMUJ3IqLDu1zZ5nBovPo14z9jd
Ke0EX3oiQHwFQ+8eid+BtVkx5U9l98jw6LVf+EziWNrPZFYvi/19RSlAqCH6kAFw9LFp6wmZkh99
yRC1b2TxIpHQv3TCpDOZLHlYvZ6zERQe0dZFcUUOCuOUDoUpnbVpTEBZs6xgXjTzMR5DAn7nlnCp
qN5XxAZtMjSQD0ydN8oddWYuvptSivLBVsz5ApoM8d232TcJg4/ybeu2xuNopkiX2p/MiB3U7BaE
Cj+9eZXxklfeb9io1W0ZS+9JoS4RUgKRiNZbUY4pk55m2rkDCoI14H1ohHnxy8w+Mw5w9xX93mMM
e23qwIWVbA+u+j9VJY1nmyfktXlK8aDFDpOJ5DNoOuvmVql1s4vXAVHIRbpecR3hMWyNEt5MAPdD
3CVJTBTCQiKN6geutNR7trssTb3aPISMMC5G09IMoO44ji21uAT2GOfT/AiNpetFfCI6Idp5gI/Y
nN0PGWRreBdv1dCKq4UmYJ/g6iSQ6jugfPmQj76NOrkYN4kK7LFC6OqibfyNP0Twe01X8Ar683U4
WVPQPVMG9M9rnW19MqxBBL3MM3oWI15OCCs8NnGIYbuq8AETkd2AZzADmFsTv5lOhD8asdJykUDY
utF4oMHIHniqsTsINVAgna9gDnzPUjy6d0bM1klWzadm7YGbN/mjNfcrVjwvI4iWzelYEabn+Amy
17V6r7P0R6FoIxMKc7aVBA6EESZJ5VCdZtx9KSz0FrwfQOiAPcGc3feQAcaMJr8dq2KDMJLOMEa/
raupKa7BJAwXvCohLYGsi35bWcw/C4tJaOqV23z2Ztb/VMR4dFBVeRBgWsn091oqNbk3Ug7r6tRS
qiMWga8Ac9ybWPr7NWRqhvjIQCZu/iDGwnmf8Gwa2S5tTPs58aBNl2kw7AxG8jtmfteKPJB7CIWP
Pp1MN1jyFzczMwkiDhGqNEr7qCd2db18F8EYXPNmDT5XOwMH/KYNHwTQ/XNWMnlQOqp91gO4jtr6
Qwjo6LJI2dDRoFYLaYV2UX5nTZl4TJ/bDk4EFuJN0YcIASC8Y52UlOxdeQwN88R10NC/MT3Qve1i
KtsCsxNsK81X1lT4wmRxGlMkWMaKENQqXAi/yXGYFXE3nuMTo9+tXrqthvcKuYUdQmh2x6xeHiuc
wJsyeHSeot4yiJP87QYvTvUmq2B4kP1MUQXoZgE18gp4YWeP02lwneKc5GzzaOrYDdeMtvpFEOex
eEgGR+MdOSXgyIhoNeGmzyxUkoc4YLmk3F21wfeWuxXgp4XHFjenRWsAYiFKiB7pPZKXI47gE1Rv
pASHADOeM9slecHzjr5jPtjmdJuD8gDFynxqTAUJzXMYCqMZ3IVVHF8NcNdo9h+ckAxNp8seGmLk
D6Y5/s5Wa6XGECjS2cOw9dvkkWldZlRZZLuRipDUo9wwIvxaBBmBCQNhgkOSzgfLKC8lCWZX/Q/X
4B60ZvqGMWPNhtpvPxhoSVt4FPdZhO2xzc1L7DnEyAtBHVq7v1lr9eeB8QshXc15xv2z83tUyNBP
67PioQRWTu5LWaMOnVGhDzN5aUW5rLvUIAQ+Nibj0aB0zt+yvsh2dtiUxz/s0s1/ShSwKJmYT61Q
OLxMSpfzb6v0pqtqkAwAxgoJKs6E6bMoaTybn6BhRG1Uzldt9cE/IGHYiu9UJfhbcvmsR6CdJzjD
yv4bk8F+k8KLret8uUUL+/BiTOND7rD5c1EEEpZXvWcOUm3+go88dsyt19Go9Wuwbkupwucq770l
tPEe1w8IUl5vLnSmWG7714DfZPOp84/b5yJf3nOpnmg1rRvTgiNy4ZAIy5X49O65MOwzyECmvB2S
+QJsq6H0nw2z96p5U/zEg6vnikpxaBt0FEK8W67zpoeuJZUJsLbqNWn936tFOl4vpwFeJ2JV1+iR
lCg1vkgbYtqL9Ro4BPDieYMXkHXw+udqXwUMJwoLMMdUrm/5b60/nyNpHIDzcyGlj01l+6xGpgDy
0XysHHJulUQWx7yzBwX7kZL7psWJ3J+ECPZo4TPDgCwT1F/bJXuG9Fg8BGiLt4nrfG9wsHHyZL/0
zKhJfNgCa7Dvs/nDKYvyT1It75++Nq5GU6Acs8L/onWTNuNZE00sUDSmgBYRpcDMB+CNaGEXRSWN
qvuW/9djlzk3vyLAiKPk2SCklGXF6p/iCDCTyCe0RGPCZzKOiPboT6gHy1erxU0DRL19diCbntYc
bJSePUTtKPbrXL/o24dcse95MH6UgKE2qTCDo2V1aLmTxrirEDYQA06qSZDlf7WRxU5eDP25tDp4
ZnHEDBnQyya3kIilIzEVcHgejOErJS7aUbhDRAmTwxqMjnHIqhKkQmJ9tBB+zgyarjn7OVjVDPnr
lm1oYVn5SQ9qtTWCxs8ePfsNXfrYWd8skcRb/RjjQKXHKN3HqgNfrswYmV87Tx95csPmEp1rJ7g4
tQsMtBHdISeUBUNT+iUJcnQfeGyWlgjANUz4blcaDeRaA3SGbKIgSHxkWaPN4NlyhkNqjx+tCnui
HZh2Hn423MgrhoOYgnEmb8TLxYNfdizO2/yMRhpasuJVAKRFYgyGeNkJOOIXLbDtAlhV+fJV/0vY
rl+dSvzWbz5xsK+D8oco2SIaR84KY462umiN1HuLJht9Vfu5mIszxnXeIO5yqcZIXvXhNuFjtrTJ
kcjyozX7b9RwFt4hiE4ZPH9EZS2CDnpJj+1PWQ9EF1OKFUoynGYl8SELex41kwr4LM9ZRe6SY807
hscviRp+N+BrFMTrfZTW87TYZPBE9s9Y4rfS8pvRr7+ygNszmjvre9IAD4atkVefnjJzy9fJ6T+V
BnYpjCOErl8u6Lo/nMDOP7SrnucENu5QtI+m74R/s1Z6idcniSD12ZHt2XLSeV9k5G1YpU/yJEBi
DsH13bHI3p2z+MVWREW1hmQ9ER1zabaHyoG/psTQfGq7Ymx/JSPyTFeBzoMQ/b8ZnyYDbDAjIa26
174CalfmxgV8K1fwh4n1VUsg/vft4vxDX+qxOHcCx7FDj+Pi76LOJmFplzrxtEn98VbXyUKTPadP
aSZ/RQR6H03nm9776JWYHiXq0i5lxLiBRaEy6ya8Ih72Eeung5hb+u1fMxEbsw+nsK7YEsDrt60K
6q5aGtT197wcz9VqtexGUP/lLTVqG0JBZStd/0FuaP/DHMm35/h8dkihHS/Qd+u/3Z0AlRIr6XoW
r/XyJWu8amu3E+E88xofRD0S59Rl84YQbj2M1GsHfe/4RcvBE7eEU6mBaxZnLxDdJsy3B+196n2F
s7YxUK/Jz//9kfxTIsnXLHw8aDgG8Cb7yov+b19zVxQh9Q/Sv8RwCdVeT+A/X/FtiI0R5u2xXiO8
G6yrF4eRu5GS+k7qXnXJjYGKBbY8vqw/2iqVtvc/ZJIeTBIgGArKgLT875ryxs5n2XL3bkyz8O56
eOU1O+kAgH0adyFpGggN2sjGBkvW7LE21ajCiV6NmDpFru3lDz8icAr/5QvybBumhRXy7Orn+t9+
SJbfd51kVaXUjTb+mt7d5ZwGZ8P2zrw+oPzcPr2gVYJo6Fq2ykQyf2gChpb7JcjkcPCSXBO7KFCm
BGV+W45f9GPAbOaWW6gjOv9rZZUgdTCrbV3kOOB2kp2cgE9YDdGeHZOBUzsbT5lSBTrRj9ikZRrS
+pK1MNH7ckUNFKzmA1C1ExFiv2UbMxtVRyK/orMeK/sFe2PFRdFFnKwUvhCj/tI3D7XTRA8zeZed
gwShNOjtIlqgOyspxN0yTsGWfSnQFOy+XZV9z9zEvEygge4yuzRel9B/Y8WHaWyNxmMjp+69TKaP
qpj6s943DHZh7ixm5fBiOHqkWx+k+wxeaHibm/iX2/YleyFZXTwuLUYk/ln/7DDpl3fDCA4/9mpx
7n6Hce5sHGcav9pD94VZOHdV/tIELQylxLvRov81U4y3wu8vVeiUlOWMLMwway4t23jSDtfrXIzl
tQnXE5Y0Y+8vknSC1Y+JNsYV0yACrgY2kaoTA+ZB4t7s7MoWaOtYxe5hqRDEUOn8FN3PNgjzWxsr
+aAZy0uAQw9YRF9AtzTQpPeCVY/JXGuyCf5QkBAvpI8lxY/A3+6haNGhWGNyD6H9MUHBfse/IOWK
42CbpIIgoMZOz3oZupaEGynGctPTomKItvtg+dw1m62DOSQ4UaZvknY4zDYIPhHTUtlSTjslNWde
rvRqlc08bGK3fPbwQRTKRMjfzExiBdTpuektQ+51pwXQs7LJDXIcP51JODZOSAO5awrjdXSKDyDA
4OGVl11Lq0lRGBm8VbepFz+IqGJ+yaZtpp9i4mhchT1yDPbsk0P76nQ70P536A4EVR5L0ZL16d0o
PqUsSgKmtWCDOYK84NLGnehsx8nr3hsujAEl6MY1wv5if8mKxvqUw6URfhP9qOv2WNf3DA/DQ1sa
t6wtf7YWtjqPX22IlKjrQSy7qf00rsm4q41GsaN5kpcYLQ96o42fN/f6EjJWYnqrdDpzHu3llNjX
wB4PWehGey2kwO7Md+MMd227ro+xeQ5t7FjsRj/cyvOwdg7NHcl2/TyaP4loQixiP+J1kvdu3TzG
w2CerQRLVWq4e5Nl4IacI4b463pbM6q+cvbc3dI6rw3JMRmj90enra5th6Kn7jN7j+1S7Ie2OU4u
YaIeJuYT/fJxHGDZEONdHoneynYoT7SIN7UFANAYSS4xJoSCig8pQuA0KGEOjVGhnxmGL0nNrMcR
0c/CuR+ICzm0IA/3bsaYtg5zg/kjEyO/XU6dGi7a2A5ZoRpMFwgPk8mz41dsBKL5wM4tvUgjflOM
slZMJ1EhYmyn4WeUFsVlWMsbCPlTNRnpSeY3SvuDaMT8WGRi2BVr/MLSezqpT3/pxNVzGudk4YIg
y1NvEAAUvDtrkjxU7KfiWjUa2PNZwCXrS0OEaeZgtAq6UuxtKXBM+qi0AxG9t6gfGWlcvRbWSFpF
LLXBGJ99NDR3o2Ucciy6V6JuiJqM46fRcRrihY29ALNQJBamaGuZrpWVfDFXrJtWtGN8DkSrRggi
Cov5+vBD11PagzYqcZODj/uZMkytFXHK6cO7r6cf4+AwSmGRrnc3Td38Xtf6m0M4991QlvFJ1imR
cJRxTeT+NI3OQ4TvBodjuSIpZQ/xXRepDZNGppHudslEdZ5wvKSFYhKv58UiH1nXGFGqVDoF+Yia
fzUHvCupFbyCxWPSVLNWgmxrFoOBO5pkS0uld80HkyTUgeCfk4j7U6KUekWQgzBvRoymI3bCGZ3H
GL8NPX6VwRk8XF5EaSdy3WX1yuGubqn/l1bpKyCY/Cc5sbkcBbu4gbeB2K+N7hD+JUixjq2BRLFT
pxLCAWdSWS4oCvX3oZuqoWebZUaoAoKQyYBEyq0narpQZNZMinEpd0nZ8Xk2v41i7o6jcnsWqs+Q
tgeFjBPwVDrVt6gx563lNfdDKK0zjcbWDXizpAdwVG/oh3q+KlF9Q8D9sZa/oK+SLU9wpRXHt2IJ
ujO5Pbe+L8djgnplojo6GHbQbromv0QK6RKHSL1hp931YbuVPaJePfbU4uqUJOUNLEx23+DU5Dh8
6PFFEy43D8/NVpvt43l4yWzKvySmFeuUvVyjEqSdFA9jSF1sOli18hWOhkzJajfVj0vvKgxE5GiL
WeAE60mfjTYMprMnKv9m2wD/iI96sBDFlWoAUjKc4p5VNQTIs0/Pvd1TjdBYU7eWH4VAMp4bTFGA
3bFtVqQrWYlNWrGLWIP01zqQ5d2vtSKqB4IAPfljMbNwk9gI6tJ5fSZI7WjwlnPkAxdh2xeqLNO+
K7Z24VwwnYcHsxwfTcNJL7lsQ1QL6BFNAq6WKLc2ONHg/c8R0AWfSCVllhY5SdfErZ76ycLM37PW
G8TYHDtEdg42GVYsfymlGZMPnNUdSH4RE/kzhCy3EfPrZ8ZdaoRVa/y79xig+q9ZVNYH5gG/ChXY
5jQsrhqmU8iZAMi69fAGKsOcCSkeVkK6UhRCqtYpCgxS4bw0l9L52TZz8SiewpfVJFunUdZPVpWv
IOUhF6gRlb4484aMK0cahKml8lB3ZoskZ73UShJaoW/fFkHx7jREc45TfS6CB2DEA5jZ+YGiZDpb
lrChFHnFwVraeF/apPy6PWI/dI53Vi3zc21b9yWzsW2ddEdVcGy1cC4K8veutsrdjEQRAVZ/bMp0
uKuZX1Wm0zyZU/WTZIOT+qVGqzTNTgBztfuR8asxs/nRjMr7nGutXWMbfSRnAxiCDyOqy71WVknG
F2BIjsUEYmOeTqiyw8O8IDiRLEzv2qiMCL9FnOJK82Eqg5Uf5i71OSORbPwu6+WqR2R9xSw56R1a
dVHJ0xTL12mOhxMCUJIyKaUmwPdMRn8NhWUfmFyQkGQFati8Q/A63y81oieAVRfPNpnhMBM8wa9a
EKu1lXak6zEdAhmP6b+/11KubjJK8l4pymI3PY/L+qp/38CTd0Yd5ZwAvd3SKLCPSRkddVmZxE1y
1xMVv1lz5v55AouAcTQAJuKHVHka7hBXJPtW5b76PqbTSsinKJBUDk27ExAi97JO0ltIU3kgS/d7
vJAw1Aw9gCA3J3/dldzuPopMLfTy8DgwAEc+ExneUaGIpXgsivX46XTQalndRouC3CwPMQ95JGTh
Ge5TsiTVPcEMu2Je5B57OHc5aPwD7OWDln3Nink38MySMMUhxOpGSUfiGUk23ILK+BcFMiOsZ5wt
41O7H9ZARNeoOZAuzC6H69waB1KiFOTPBvf1be6ro77LMLUcCJ5CAYagB4TdqCIjAIgq0fMSsJdz
OtDBGTZNcgkaCtW+iZ2tO6JX1p9OiSQzTebu89XtB04RKdObfps50tjWVizBVq4hVr1K+lW1GYYj
ys0JvshuzBHD+J13WoFwb4Rr7LWPvE2IATEHq9gAs8cSGG94ePsDpqub/t8JPV7v1hqt8SpwbbFk
U6Pq+ID+v9yOC+8ObLjzwGnW165z0IrZVJRPCUyqR5SgvRv2MAfIKstc8a1L7PaMrZdKgD4wl2Lj
p5SbupZCntRMOH6yMXlhPHbX86XfCFPazQMrMrE4YPpjf7Y3E27coSJRqOx84jYYYt55AlS3FRUV
fUK1R/mefJEhy5ORtIEyIUQzEtFNv1d6/jia7Yq+ld9T+iK+QTSMj7YqslVZpq8L7aqZsWzQtnVH
iH8KVUKUhWOc8nkIj2Zkf1rB5gWDzViE89VvzY3b1OLem2KsBQ1bs0I032FmpGcjYYvKDvkpA8c5
DzHnamr9EmvhEnWPxKryu3cr41T3QzQagMd/9Rkih0hc9O0fi2nZlkPznI7ecG1Xg9Wt0pLrV6Lh
ujhYJNND+KJVYyboBeFjI/yrZkVZRR7fiTC6jU38rKWCweK+t7lLZpBSc6KohMMK0s5xzhrQNTO6
PIMzeZnwVJzSer43EIGg5ki+y7Q/SnM5tN1s3mc+SxJFuiTQqydlReZHGbKyV0++nkkJBiZdl90n
bNL5rOULGLf8klnzHjsmOTeD88Ty970j6pj6FL1oHC4ka1g5LWJaPmurkadsT6m7gBEygao3EZ+Z
s5I65mSAVEzQDJu6LpU3IGjOTCRKkKolt+J+xBq3b5nW9HYz36PueJ29NL4MLg39XI0ny6iHPWEq
80nTGjIRweDKkjdtYpiFVR+i3ieCQ7Qha5kp3KC2INV7qpw9g2ficVuXQYjWOw9JdVxD5wmNYEUz
kEx8BW6+MWoGzF207HpnQUIjiQhn3sO+kAzKu4Krh1jeEgUUzi19JyZ2jGh0YqBeGohgcDb9GGFh
HtvRPIy08NeGFiZjHQSDAm6xAw/Z8kk5SAaF5E3GX2MMnUMhLfS5YpJfXpriEme5QTfKC96Jwdky
G7gsEbAPAA7vBvD7TbksN8020TVmGdB1p6Dw9b01+utjrkBNQ8qKCe7v6yLGnNo/umjQR9ZizZmr
L41iowzL8JIO47wLxrTaFkbNOC91ftHyvRUtP6Pe4ignBw3ilC2yG/2dBdChea6jjkZ1sj+PAW8O
2fJQet4XEb6lTHLNZkHhHayaF/1J1X2HJCYqqOjz6jKkrAY8Xm5UBRwDEjHN7E8POfLTTWdaHji5
WBy9SE2RlbPFQmG1X9PHbOQ+SjMadZu9RVrjCAK/zE6lm19DaTuHkj5oGNz2UwXfD4DhE/WWlwMt
+HTWr46erZeyQTmV/qwimselkhcch9U97dUfkK3/bYDsgHzx2DTZJnyFv9En87wdwrk3uQ3LbofJ
n7Ik+WmpNU0G3vFcbWaFtdGXv8bqsf5VFz+eD0VtddLwo1AUqQKgcCm/GL4RH7GuH9HnmXdksCS4
pOyPtOBuNOPR2yXwURn55/RYa0ammh2xDnHbx5zcpasw/+hk1vi8v08+QSoCRgosW+AR/89prOhz
z5pce4a75X/FiYhBJV9P5hS8SouuDZipvbdMxrHBqmNiM2I8TXHTkgkVML+FNnA2Sq9l+ZaJsxFQ
9/itgcddZqdZdPsZMeMTUTMEVAwgaNsE1j/yjd4/eyPqyqV3T0sC57BJ45OuIQJvfiq4oNTfAUWn
CK5me0ldkjMdZkRb1ezENAZ2Uzwze7ROfVFeuDSrHWFsHA50PCYKiu2QeQZwbe9+FQMiGXzlrlIm
mGNBOfeY+xHThkWWO8Mw5QaB511edMOhGcnM6eOhuWSlc4T1hEGo4nCvwHFBtRyLC7yUazkjt2CA
xx3kDdnT3BnEhPsqexIACEzBc9N5ryTmHm0sGMcwJrC9cwbiBJRDJ0AA60ZolcPhm6OYhqQGzMS3
LNadOXbRdQYGmj7gKybJ6ZnEpzeErO22DrEdxFl1tZMp2zmq2nEoe2rbLojAwD47tgj82NKMWHhT
Ak6D5ZZMqYcktHLvcYyirUJ3dRwC9wc+bRwAql7NZY1zHbSUhVyJ0K1ebhdrgEgrZ249cbCdukIM
WUZ78rCng+Ss9OuCqJyRgjsWEVuDvNtVk/M5GEwVLrJfIDBkYttU81dkPNkflr/2f1np+BiC2HkI
h8cv+PsTW3AMpcxNP4E/jJ4LRmxrspuNgUJfROQBEQ3jK7xhpkD0iZLg6+/WQkTVqdFphZ73zvQ7
AGeDdZXzeMhN8lbT1ozuehn+ymkVtsB6mj9QTB1LLTf+83UL2DLQLijoAdCTv3EDuP9Lun3gaRqt
lviDt4uWkZo6XO47DGV5FzQvhaC6GQz6QC6QeUM3vV8rFKDw2Xj2AWjxoBmXtu3jTT7Hv4w1hwbm
YjQO2LRhY8ShmCPcAx/v4z9qniMp/WPin/R+IOhAcg9B6uFgADHliJms645XaT2nNTqQJoWHZtaY
7z69C17+zVjpbukekBZ75kOveGEI/1TZha87lzN3rXFcCD65CvHNNurHIC6+2hNRKXYTv0k7+BZ0
SA81oHLoOQlyiqEtz/ohq0NrU3cg9HpQQ395FKo4B60XDLQ3xXZrQsy0ZMHtySbT5XhdegIAUfwY
U+Hj1ARpJBYvZ0T+pfJY3i7dhPPD+82ClQnu8h3Dbcm8DDh19i6bibbnpI1veigSw6Ykr92+U1Po
fV+HCQLxJy+cj3rJKxXPy6nfc97knduWPk74sx1SBSmyHtNSvKWKV7WWuMCQuX62CHOTnZny4bdS
qzfZox6fcEgooUecWgj4ZVvcTb1DNaLwrXoEWSsVmKI7diHHTyknZgc1GU5rb/xyJscn4jvxSfj6
XcX+h4yj05ijEaJAnO9X2gYL4/TncD2zAcwu6G+F274nGXRQXVe7SiLmN4yqsowZqiIqTOh170Sd
PusNuiRXr2GitLEmcvkgVSCMmJjPsgKlNdHowfKN4VR6zoMAeUGa7theJCiDnOXSryy0GU7tncR7
GsDfH3UD2zl7265wpKrfXtZRuUct3ibj/JhwAZogWyOT3YWSwWTk7O3WXO2J7G+BnNoD2g6u2yo5
69/d+A0Tp3Z8Tepz2fMnwNi9W3rTO5H1SKrqtFlxGRxYQTFYSaKCMAOSjvs0tegPIP6T7wWxBaok
CUCog7l5lTG6brFrsb59cliqgA7Jn+OV8ZZOrwBK4Ww8pwBpUOOt6a6Wn4V7XqCbTqyQzHooP1Zw
ni0iIY77zwAAqcQBvoV/4/M1RJgQk6zqrnVAdYUmIJP4Csxh3jYhWBLtEGx7JwE2GX3EK1t1dMeo
+kwfx1vU4gxsreSe2DgCH8JXaCH/AtlHCsY2966xETGmUl39e4JUY66ovVGOKLEZBiCz+GxU9UOg
R5zk0M3bOlfRtgpnajLgrkSqBJ7qD4yY2rgxyQZqYiZM4ienqL+Peo7SyCv7u8wIH+eYsGTbn8Zj
5xTPzYo6ei2jNzOmNexybCedF93iHn0Zuxx8+GNFrmL3w5gXhJeBj/FQLgz0A+znm5Gp0OOaMO9z
GtN49cfuV9LO2aXDS6JrgdDEVTtAo7lP4u4jDZf0s2qvyTU1Z8t+Lt3yDdYnqWrYIbee0nq2Do5b
t+fpTfIWqd/IrDM2MRYSPvWwFl51SGTVb/0G/nEx9re4TE7V3Lov+F33tVTDx5powoDt4Z+4MRoL
85/Hf+iQlCRc1xGu6Zp/w12ttT3B5OV57YGp4HZlfJstwrq3zKIhErSf6SvC/2PvPJYjR9bo/Cp6
AdyAT2BbhfIsetPNDYJNNuETNmHy0bTVi+kD50ZcmZAitNdiJmbYZNMVgPzPf853+n21bjmaXL+n
xD6efYQ2OG/TeWoZqpIM4crjqZ8QR3u2oHUaPXBHXVVUZuncvBSO+ymMecf8Xp97nNVcpdiEpXuE
HAVjomB4CN0sjjzCNVEwkSQw6NI4Gr7CwSi9F8N4T6hjjRATBAazNN9LZJZDI5K1XvV2pIPhbrA5
rhRanIeaqUUsgXXMqB3/ufCL1HUhkohu2yTK3eUVW5hVGfn5Q3f1/yZj0Z0bVT1OE6bddH3dO85L
MxnlPwkyUqPn0kD97FMjX3mW5WHK6zdXM6b9aASiIstklHy5jrG1Mv/9B56CrUBGa8Vc7z2ybda7
H59KU3rxrsNJKOpkOfzcT6YVtvEj4it7rZAK73pG4W2erXU2M1uCXtDYx/G+BUtJGKanUbfooh+Z
ZVpEzOBZRhUGrlhnt7aHlvlzf3dkX1ECGeqNXauXkOK6i4g/lfXSFjw86NVz8NdtRogQeJgg7d7J
9VDnri7jH69IDaiwoWsah3i+63r9Nidju7U6CucCI9nTZ/JzgPxhK0JZV5fFTR9+1o8/G1SjGaed
bRQnaGt/GrKqW9nSJgqRkk1XXF69BVVfsS0HTMutaFFFv7WpFiU6NOAbZj+ZeIT5seRQdqwOidtx
7Sm2sj8SXTKR1w3UdLK51d/GfqM3dRqXh86s9zr17tn/Ij1mCL8I+5hLsolGkTVViwMOKdZxblrT
oQh0zSD38/g1dxlejsT6J4Kq7dnfOrpb/dEpX0yGHBEX7RenHTYRMUaayVGUq1V7Pc3OMbZFgq1S
Aj1u/OLm/26/CP43N4ggyAbNzxaha9vh/3rCnExQpvOMeO/Mnj77A22uP/8CTFMi6xUpmSbv32/7
+YNB+MPetTD+eVxeDvR3PsRLbfcaj3/+8/E///Xzof/5m/7zpzNXDPsQd9hLShD6jZS4YEmV5Dur
hFCTEQClHxY2AEAgU5Y3/7x1cN6nLCMctb7pnw/85z3/8z5zNv/7vX1RH02JA7QIi/7eygjNq8YK
TnmQyZxQnTiWfmtcK1wVD4scvPvEvifI6T38vMUebHnTO+7jP++e5NXIhWAyLYiLUbcHipLVNat7
CvTKELEsqZfhTGL8kKxv+/mDn3chNeHNa62yujrYReC+34zS5n+kwfTy886GnVyXmoL0f95rfdd/
PkoZ5ffPb/v/V6gJjNb/5wq1x7/Nf/uvf8rs8+O/bNO//3OT2vqR/25SC/4V0M8LwT203cB0aT77
d5OaZf+LMjTY7muBGT1rq2173ditdWnWv4C6BYFw4SkGPOy4vv7dpOYG/yKWCoDcgvrmeJ4r/l+a
1Eil/K9GYPy/+MYxbQWYpGgwWYfF/8EnRZsxX1pO1qQli7cRCFQWsvdl6mfgpk1wmvq8YUNkjhFj
/kPN2mwtlTazETyXQ7yPFm1QNvW6Y6QJJ6lWftcSv9pWVZwG+jhogn0auNgjnRJPX4bH3Cy2sWcC
THoEJfrpqdo6W1ik+ICLWTFdDAkHaJCZWzAzl2SQ7bF1S3w8gcfFzIHTMe3nrqNE2CrYLNBOpVij
1YH5oRJWMA5E86z0d1nKKKos7tB1y7zWrWls5WR3lEB5j9LEim5Degdo0EZgUDuqb+Reo67jWxvv
hK5xu+fZGRgCumtBIaRKUDFFRUayAw3i9+nB79UEBR2oywS7C7oLXRfZpXJtvfHUcEF68/dDmcBR
CcM4MmMGHQYkOPwhhWnDjCm/CMAnIeME3rfNEfVMhcxbbNVffjhhR+rT776vfg0oFIdp0f7Wzo9T
Icn429WdQFCk9j28hjO45jEYd/HQ8dyxEZfQ00svpFISt0K4AEBuLf0nL403p+rXavV+j6J57lkT
hjYLDhw0v9DVj7G7LyS5r8nF9gD5Y2GNAwibOriwoodjNaHlMspq6xRP+ZkICRwXqV56GtdQKt5d
ZKjQ/1i7DDZjWuwxO5OrXTvgJeTGcOEkCRF1oxK57Ks4+B245N7rovDBr5BiwWgzddU7bV4Urz6U
hfWUZZCMyCPOUVzKP1iUqVuR1iNGfni9dY9+i0mMSDTjty77fRjPkfRxuPiw8znk5JwJagxbuVHt
BwIGkcj4pufwwdO0To4l/mTt5Mc4vM3y5aXrabiX8DxCq9B0iObnwZr1+hMeL5UDBaLyk2iqXBaY
bbzB8ZTSU5pAMqh5VbrG39rHD2+fu2F6S2weYIy1NpVl736mzyaDwjYOsc8OyR8p0xttBBIA4XJK
Y4zsQNFNvEwJvUQ4MnKXZgy74add4NggonDCJ3RN7Po2TOqBfr5pOzXkdQNnvKZ+/62d5Db23OPE
ztFksKWRXiYiOy4zVepcu78aDR2LQTfmUCS3leNuFxPTgcvpgaID0+TMS4wYFs+5ZmllUee5SCyE
KsYk46xdEH1LepF/TDaI+5JdLgzT8Ea1oCoUaw3fNNgTs8t3c4ApS3wzJt4NroRNNQfA++l+V6RX
qM7izoCZbt5Lzr+MMKv8XIg3Q6iVSeUTbO2APTTXNsA32PYYugqaf3vJiGaXAZiCjBtA1cL5c7wp
39k0FO88TrdRGhjH2U7JphNVpcZqr79KL2VDtJoHMl5OXVFcSWYCs2A9uukXf9+Q/bnG7vCw0HGE
hDx2a/pvTjlwNeGNlKNktb36aW/8uTJuk/kmMRvrmufq3GNhPPYlpgyHvnHDhFC4epeN3nmKJ5es
WvY8cM/bmcBzTq1V/J50vHMTZYJT8mjYUsHTGOLphprEhvMnWeTgXpiIEJ3zjraJqR+PHkZNRnky
ArY8SLIWF7zf7laLjlc8R3tzwZFgd2UAkWa5Y4+cYXhYtqFZ7Ud3NjYWRArbno4xxDzhOh8yM2N2
j8kun/UdV7HGSB+cnFkg8xkg2How0ZuSjR9dBj5Losylv7dXryAP1xbaZym6YSuq4HM0cY7g5HuK
TfY44XgcaNhI1l8K+DimU7f8zJ3lZY6nR0vQOVIktXVjG/RdL8xmZ/e240gcu9Z944W3jjN/OuRn
aYOZzB1WLeOZg82mGZ87khZ31piM92WzcmC84uKN9u2cdvWBY/sX7hdQkWyXLssCi4XKYp8wJrJQ
19MoFM7cp8ZxevFhS+SJ1exY4BsAAMiycRsEDCCqMBLPdU+pB5eAQZlZF1G8RnKu9qmC8W/oNVBH
pJYHm3aeThIZswmJFiClduiid+Zi/BpwDmyciTsvIVm9Ce3yS02jPmndbpMErE2YMzqIar74GJDR
x0Ejus1wauuQrUXpWqtUtETwYcW+KROElMk3jqEO/uaqAc+WjxqTDXVm+jevC7mRvsA+ZKfHJHWC
I2XfhIuRtSunfQxGK9z2eOlyn0koL3QeiTvaDDp+iW6BTBO/sA8FgBfEh3zK29PAHW0GzD8bhFXS
LD6KaXrPenvvGR5B0Z5xktkVhShrXIZ9MqCzmqKhxpcgM9xu6Kg+8VrgbZDiDyLU32Y/fSD5lOAf
VzNa8thNNMAElctmJzghgAS7phUfVcj+Nhj5LS5lc8E1fEPyoziq8BJmiT4Y44V67ttWlDnUfkUv
EiRHl95q43sOnXuaNag3ySZcx7X15Pvkd9kBbPLeO6sMJlbiBq81PTaA8a0NAn98tMj8C+qJ96ri
tW6AW0ptL3Jru4wml2wthUQMBno5+nYCGKbxntmv+Nt57OpI5DGWqJn7eK/pu6sWsGhLt3UGCzU5
AIrSxQN7Smye4GuHCA2ruhR6mO5iMryUResoDwrvIxNi5+dE/hffONBaihlSqg97MCinLsimFiyK
ln7euQyctMjgq3UbKXfSaeE+IlhFiZbmruqzqJor+zg5fA3zxN6FmCx5uRanBtkzlbkGj781HMUy
8dSYq09T9jeK5kyrJjWpYBXAL8TnAmroNjZ5+oyIgFs05r7tE6hMk3XSKbXBnlWfjNKjxanuryMd
GUCFlNwTazkK5L2bBW89EivDJ71w/TZtuquac4omYk9tvDH4aJysPFoFGwJdYN5DsKGNVMVRsQTt
RXMJmEkYnjJ3OTP84Eq1e3wnfLrWo0au9lkxsbolCdtlnOJqtc14PIAjYBFt9BBB3ZzS9iB1vP2c
mo/IEd/unJS3Tei8Q96eD+Msij3t5PhkZmLV9nBDvNol34chJs9hH/z0AwF7P/S6zd86YBTUVLvt
ztAU7uYaN/PA+XCkSvBOShOCemVdEYjvOOHvCl2UJ7YzeYSzEiJfKo5Wms97smTc7UK2UzniwT+f
olIuNG6cidnsT0d3sNzHmo2IdtuU1e6ES1ggGkmRDxsX+m+1vORZhIfWPJcVGBgyu+Wj262WRJmq
M9SFcDsHbn8MMSFahZPBK5ymTVxNNPFp/USbVr+x2rI4QgaaIqOKLw1MeNrr2+SMEgDjAaac3yRn
Ty7kpmvvgFB+qi09nk0HZyR21FtX4ZXF13/tiZPfGwmXvlTiRjvQ1Fqe/3mcq+2gWJxMBSQCq4EX
SqnwB9OFvoYTKfJUngvtymPdMUCIpdm5jnkyx+YRYHNwoXLhVPp+fqm8so7wGbS4jzILCJRoElo9
+5beqOSaFRW6apn1RNjK5Nhpt+cVPNMk4bYA4kzb2xdjws+EkqOxCdlYlB98ocZRdeLkEeo4a9P+
W1p5sAvlsl5S8BBzN2Wd7vgSYmRmHGJLffbQiClIN4poLIOjnDAlr6ybrQbzcjM0JjxDem1qU3YI
YMZd3g35LW1lkYN9V03iTBXHX1PT5VG9TbDBN4Ecbqq+Rxy2Oox6QMWw0FFXnxuv7KXx3Ol1jJiD
w5i2AcijXFG62F08fyFPGB+lPw/baTLfYdRjvBu9cQ+0eDtXsxf5VV3vhmQ+YO1wKI3gNjz6nJaw
3Cf4jq2yznA2I02VwDeWhbuHtRw9N+z2sZXgoELw7DyOD5QsZTrwADGCpV7gzA0lTksHk9ACT9Hu
M4JYRn9HASj6lEFejxvDX9VKQGftX86j5b7k+0tH4Ap0/p5bHz1+jtvjaAwcDbIMtkU8XbshZkYo
X+um7bHxyD+Zxd6n7RRDko2JpDbokM57pwFOhzna7UyHfES+fJR3OHU2bYO+hmXRihR3p43RRIlF
G0zQYP9d0Mk2uUQKkxM1P30c/CFtXG8nb3nAM3DXYMDdKmN6Rfqnn3ZYXgiUu7sY1S0i7s2mPEAd
rAv/5C7GfUh8pzBIIdnQViisXypsvB3LtLzpnoS8J/lydowQGlWjKH+bIAFkWt8tXtAeZp9yA2cq
bgT2PnwU45Mu5ZYojojSzs8jf5g/RYs6PtgN85B0z0odR3LcF3OJn7E3J+sQeVGxxTZzgT/dfLuG
faw9TsmdxVrCg+PeoP4m/WhF1sKhurXq94bgMUM7+TLPGvbUMl6WynkiZFLcgpWpmRO/3ReXM2I0
NSDhp8nwDoBgwSGCtStymuTMfmdhr6Zz3JX5i0rnVSMW4Dc7zp49neTrVwDvPti2EnYwRJ8UARcR
skRR6/kF7ATbfHZ+DOmz/2FwB0vGACwnm1k+n/s3/p2Pr9NcAt7AnLlVRVsRWqD0KF83t/HSnlxt
HpJW/A5HY+tYFVvGKX4Ft/qn9Dg36XX0T4mt8t/JRCLGGR80bd8rh6K5pJO8S+hgO4m5P5s8WR1P
w37J4Iz61cPicyvOGi6sOt53Q/vhGe57V9K42sYHou87Z2jhLVksGFPK1Zdx+ewX59tQ9QVHZ8M5
feRJY/qAqtY0MsYhYrhcQlXB5iMx+KL+ILOU235og22q7FdYHhuEdY5giX4YcyIhRTLdjXXusF1j
DM3MMSZ81kSNaCGCC8KqcdicglkcHL++bwvo2M44ys0YO58NPuCDCijc8cGd56KY9omyCd0GbFMK
DlPbwovIPtSohbJFoM/vZtM9oPfS1QpcgGqiFYxcPSeaxrDC49ESfoSt8bsTbFNnMLwjHASk3+wK
7oQpwu5vaKJ9Zr9wdDzzth+a8ajoVtuMuO8toztYmTp4ffIh3LbD8Fb8mjVZddbev8nnMskF9Hrp
5qNvYK2OtsVQbxv5peO5V5X1y5BaX0nIcd5JgA5nabsARYDBPXmk8xt6rUWMPNPCQAREUpIuYuIs
FxAPiP9DNHeqZsnk+RujMHeuLRHxSzSUrPbDjULh32ppv82de0eSBRR929wvYmSg6D4kxlni17Xi
y4D5j6bLCZblgRUQwyjtY+CoHWPgwfTU2pOhyh0bJ4xGSbwVw/1M7pZjK9atnBvskK/5BFA1bk/O
PQNYP/rVK5kpLG5eHke+aL/hO3c9AhSrWLa0zZOUtsOF6Wv88tzqLGyHFifrg0BoMhLoVNgIvmar
6c89Z9atV6TvBQVYh9aWp7gPxNFX1AOqvRvDITZiZ9nWklOAboBPtOvRPpO/MYHdCY+yMp24OwPd
bs12gvlbNhXxe1D2k4X/3nfONZ2NMo69C+7Uk3QdfzXp25GflDW8rAzLtltRtRTLclerc2A8NFkD
PwlkVQcrTbH1T/lidDk/zYX/p8N4u2P5Rb4eCpxZ9mxeoZBB4Bll8uWwJaN/FZlDi/cClQYZ7ts2
PbAIHqq8mEK5C3selk3QXca+fvVa4ltU7VyQkh6nAPEGlgT+E35hbg91uApFwwvWAvKFS4WEpLf7
eQ+7rzEeQdS3WYJEBE+Jk/lb5TW0EsbxLp1o1iOmSXX8zAXUxP5LoFBYRp75nLb7BjJ2cl0RdafF
7R91r9VLqYx4T6UObmu1sm/F8OyAErZzst19O53HmghSyGY7MZk2ldkTdrGDO3/Iu23nJu+dS/9v
3r2KovgsNOhk4CTN+FGWALFVCYe/dFjihvKWEwV3EB/XoURDG6RHXNcrmFXc97Twit0k89vAHSpq
opt0o2vvT2vYf2LN9V+KKep5C/CD3337XhAdHfHkAO+cIxLqrCW5QUey9PBtV8l9rBZx683ERaz0
ILCEcdponynYyY5+m9wPbo5LpsOvoFcIXz5RUtn1POPlvGvsAVgTcJeqeAX0OBApzR5r7PrbIE3n
m9TV8FdcjBUD/Y++HjMM4TW/Smr4Rt6+a/olGta4jG/d9gHPsSAH9pXZjbM33PyNGy3rfC+5asu4
9wI7vUyqD/azhNq7aDKhmXFZaJKFKbNmJDqwPSP3tp4EmIF4QwIEX4gusY3xurifySXFKH4bDRIA
/2Xz5KswhhBmpCfOHcgp5idcyH5jA3TYCxzPm9ih+HcMcGn76DMuJ61l4F5us8uMNGaPtmyqc2+c
goyGPDcMSRGlqNfdyp0tARAaDXiBwVsiaNvTpiMxQ0c7EEeb2EtjlG8rc58n2DE3XU5W85sT1GlE
BYRJt5/D7OZi8y3KY9pyqvM9x9qX2Po2uN+baczv63zmxspfzGfmAdEN5V4gd0HBWG5GL2CZKygc
ouXuUCScg5SPrMlz1E9hRrJTnDAB92950VVXcChI7nlzEB09kzOcKKbdh8Y1SLZr+S7bJb2xzASQ
3PAXIO1g1TxlgFrEYpC3Bh7sKWcAKyl5CDxr1xK63vC0/6inxIwsxUEsr/Zs/Ktd2fZvVD599y4g
+2QobnNUn/0Qdu8Q7qDz9hxxq0bsiplEqI+UDP20guW/QGcdpjDSK4WnFXzf5FK2ZY+uFCAo4CNx
trg8OBIv8/dkEGexC/PEfevMQ+IWtsO0jzN4EaFhI+mXTTSxk3NEVZ/NmgYUnef71MQSMWYzD2fd
3KNvP1mwenAnyYEnqmGDFJ+zCEMNyllZn6n7HV+YRo4J+ewosxOcHCL/HnjtJ8XyqHCkQ5nIv3mJ
gL0lIg0jY9pz/6F+noGFFUiGmQyCouGYVLUUQHJ4vB0DTF60KtBe21ATwowJq17NQFiz0LqXMUGX
n/+bU/fdpKc5hZBaKDFvg0wZ274wvrQv7yvBwzKxUD4CPaKZVvvZbq7ByKQiau/oSfkMTLXbunZe
7hbvUuOIuaWDGmB1SYHNkyEVAjuss/Xh6IzZK9FSdrJZZFbUslTFUm0KkRDDISyQYIE8upqiKTBK
7sasMVJ0S3lNxg/RBkUkgV2kgFu5+uqdKTATdGsCuXooamBCRjt/2IpjW9gmBxEr8zgTqqElmhaH
WRMU5bqsEr88FzmSedZ4Rx8r22Z9eTCxVM3dELa8HmV1NaEWAm3EM2GpujusAJjYCMM9SLc97YCc
UnKiN6Fd4bpTBdVndbn1dGHtLepmGpqsD2QW7zIrfva4R20lwLXITT6dNEcfMUH3jXVsH4RRPgPZ
mBBQ15qgOX8c4pLbygTbOJups6n4pPg8Otg0lBRF7eCe0wx6uuoTLn0EpUFiXsAIFm+M1P9CKbfB
C2ByWsuzQX2hVWn75DDY+9byTu/StAcYi/+S9nEHMA3nAWrJLDRYVS9JlFvxIz/hbl85Nj3jubjy
BLB2tVU/Tu0EGHzM3hM7k3ssX9usmKMBOvBZeK/MFlcv9O944HFG7PxLkizBJkhC68Cd29vMBMpk
ABZ0cqrdYGefpTu5wEyneGtq5y6GBBapYOAVOiKqW2ivJcwStBiaM+eDHqoLugRRp7Kot4S99INd
Ok+lMxwr4MeDmghyNtWpCKd3KhDeaDiad2n3ZoUF6LgyoaC156Pt5mFJ/LdMIbGV8KGjRQS3fcY5
1Men3XOWx98kaJ5he2iWZbhthv6pJLa2rW0OAi0WwK2dqgx8evgIOexYlqxNLIMP1rIgT4S/TgRc
A8W8eo8Dxqw8yHF0wuPhFdDpyBrax/SPSdsBbOLV8+smOARUiLfVA2XBE7e16NWWVGAXvEawD+0D
SVi3zVMci+G0r7V8cRco+Bgy9o1dvlnZ2F5wF3qUdqyG5grzvq9pMQ5urAZo5YC6pLEARBiZHwGJ
0XEsYRIaPET05Kv9qJIV8bLwmMsOmWTlMdvOazXcOR6rT6wcSb68jRR/oq3BKqYi/HEagBtwOwCT
pbmDVXl4P6Dmm9VzOLDCMqdSXayERqe4XZwtTVjvIJ0x3gR4CyxWT3Sg8smbjvJbs3sJ5uHZWmya
c9saXawhWWXGxoIuZR+4kcBBm5xbDeMuYhLHNrUoE9uJi0ExYeEEmuQDnUrSjfLW0Pe4kVCOOaKd
G07oc21vzGAEE8ZrcfIrcjlrEV4rkd253FLhvwcNFg1p9MFm4JZJ9IdYXsN+avCB1U3CC5iRijoa
jVDtchZJHNybJwHseDcn0z36/A2Ru6tFqrv3sHTXcYwOmnp418JkJ5vsPTWaa1H/oVS3oPlmX3Xi
La2GW1Or7kC6412nzjffOcTN2X5KwGFxSBgfIWV4xzEJv8tuvtgxkpUUvxz2l3HcPRCsuiEGOIGe
nh7lkt8Y1sKTVpEZUd2l8OWpilNB6GliEA4xCCe982bGTGZeR3fS+rhadVt60AgLilZsbHeGe9YC
Bq1S+za1FnhRymLV7vrNwerxi1hwTTJD4zosEuatDtvtlFFUH0LmlvYFowtlptCUKjVCcbaqrQI6
HvnGfIVFCZOoD8stJp03TJ5MUKbzliUej2GTk8dKvgR+vTGWNLnlL9g0czNcKs4jRLe+alqcto7N
0oxF4dtiYifrlNNui5aUW9CUn4Puz5h8Yszf6rscDILhE4eSUBQvpmjtk4yfJHAIHrl/Ky+sz66d
va0Mb8DdVk3rKG15Hj2qKBcPBcc0kDGRAePEGQpo0pRk7KqMPvHatXa+1aPdctMYw68BvCGArZzJ
0fukiIoWpFT/alJM9LmcmTTSQDAY5P5GO+ZDYrYKG1UoNgSHkZI6jJnabz9oxEE8KJ/XBxyiOL01
Gc03B24KEdAWMfyWbhsSYVkrkiBkVun05HTZcijSctsIcYMkh8Ohyc7cYD57Oe6tlIgbTnz0/yo4
ED/knifBQRlYvSJreu3A+iI4+XdNSoWKUm+uz9G7sdvpQHgWlGRvn0vaIrala1wD9ijdxNU4QPnr
6pTEOGTUNEagi1G/Ou2BHMUHnnQy6mrMaL6V4TXrq1ep0BaK0H4ryvLbyJ1Lo9VrVtW/JpVWW6dk
gurb5dpzyKqBInQp1gKbgAKosyVAMvgyZWGi4J/yRX1KgfbdfnkTRx4PFMnG7+xbq60AR5B0yHT1
2VD5NIR9AfY6oTXKE952XJiistBli0Wx0U4NNFnKWJ3oBYNzGkBIY7+rjF8d1r9diUtl6/XDp6yy
X45HMXbhohK4q/MKU7J58oFOUAusKqhsEG/hvUaOyO6E5YsNkuq5s0EV0Bu2aQqgWf2CMR20XRhg
zJ4YIMKpjCiJoeCgBv5TnZRZwTPuyVJnUZsaFn/hBFIBeYlUZTJoaztjcttVUnwLSkwjR1v8Cqvy
fg3KTbQjYtDGbVyyxmDLnJB/gLpjcwW6HGbnvjzBVf0kp3CePbZzUxikdFUWYGRMdvFqTcpYmKbp
1+B+VdGvsXjgdOPktCQWA4nD9zFOK3KB00VvF5fBZyTwDbbmlgHsVBheZGmf3uBy+DXz2tnbcEuZ
GaoGLwwsSGHqj6Ixhy359JIVMuOeT3VO5Jc968RuPXEG7V532OUCmpqKmqQK0cu+YHBvQlcfbe+z
8Ty4t4ld7CoUqZ3vJe6BsMhb75jxtsjSNZje3CsJjK/k5rOzmaX3rlRE1GQONTymuUXbpLhLWGCG
y1cGy4uRhiNs+aeDEQ1UDD+4xzYY9RhKFDV7r/aMv4fw29blzsT372hgqMWTnAPKViZKUBAaeKzL
eTrYQfzb3peieVsGZKBw4BA289O3lsG+mRPnkZgTrErY4htpJmVE/EnhTyXqSiNA1OTBU9FK2tzx
E7Ak5EwWtHkU+3Dfw3RtlVTbuDcxlJK8qNO+I3MH80fiC4qovIfcKvKe1QwvygX+Xb02XVAVrrYh
ueSNK+Inn5VlUwsZIQe+VQYmezB3leoeJ3fC0p6mHHfk8C0aHK0Eu1C2tEJS1EeiDj3XUZ7cYEGV
dkJb1oxmCWr3ZLGnPvsG1ufZfs26aYMtKKZYYfzkN3twIdCys15/bknUjeojLlEmxp0KjYiYmYuR
nFL2Pn9vLYgDy2hvjVDjIndm2vZ4XFbTGUP4ZsDqswuV+4vVziOeAblvlfU0xc8obSAjwy/LPokr
pdEnc3EAR8fNsTCaV9lMXxregq0gjdtMk3bL2r0dMBNh/6p2In9LPV56dFmFaBk2h6Nu2s+zgzuS
hbvN5nVT66DcuKlxaB0KPkxV3EvPuZLO5PxJ75qh/C+zZ7FZh/Iva8H42ha7gbJsprqWGcV9gcrh
U02Ow4mLkDl9ByYI8Y6Ad2TjmAK4INftC3jR2PoyuDdix5BvtS531NSNyAi4dqqAfazHEJxqcqpU
DlRg1yyLL52w2E3eDqzQnZchTtp9b1jXIuj/ttyFIQELRk6ayLaJMh7iLP3OtX8oCxGcZYw9ehye
maS8HuKvhzvAp0RxYF1j9PWtMJE27Uk4wAvXvBCNKrF9U7VVhe7Xf5Az83deQK3V6FaXhrDgDOx/
D60acn2zTxe9NfjOCGND0wldyGauCBPSTUiq4czJtnYWdnm2xRxKw1ikZ6GgLF3SsWz2gt3VNhjC
98JKvnJHvE6YqqywfvOw8iT+ly7AfY/QvVLbOOdN6cMXaF6cJP7EKDJf4O0TA3HcT8Nxn7ALQhFr
2X5q+ViOnji5GRyYJE0HkA8WtxPuMZ796rm0+BGJAghHZwClV+znLQdEfDh/oacaB8N1ruUKsOZJ
+rUADyI541LF3YzQn8b5nCdVcjAS9Wc2UMWRmq/d+gvi5pcih+J8D9Rsb3ynXIH1mMIKnI3ZehPq
AngYZgDowKg5lDbjI+ZY9g0aIbu1cogeVbcNRj88zyq/2BoVH/Mjxyeshqy3Dv1qyzCBMFaIWFjl
uL7rUnsbi3qZoDagm0z62dHTIemmU8bVw5XsF1Q6jOudEEkRMuzX9NvrcW9AMS53hhWLg+JVtcHI
XDUt54zbZdbmNgnQvKXdAAsA6LDhyPggCu75E49by7Q4MubLGm9nbiSt8RJO6UqBKQDOF/2MO9Pb
xpWkuDgjBwHDZNd1NkvJpn+EtGRuUj8BnR8qmyyPOKGlJVsWWnexm1zKhl1aaPOpqgmgysAQFgvi
D/patuOv2WZdInGDbTBxWJtSlRNn9gJueMVdsSlYE8rw03MxEhZS31WldhnYp2FjlRW1BPVvc8QA
YoK2g0GV7ZuEyk6Fj3rgwIFoG0ZV68ob3+QHYvP3RkzWfulB0afHuNyDdsj89Nj4zacvQiaTIaa2
0sc5NQhur2Hv3rK63EPXQnKocY5UsaNv0woHk5jba5HrFyLPpzaHflP1T+OY32LI3vgzAB5cKFEV
Kv+UJRxfHI+Bye3SL4w5b5WwbyeaDFljUSpkUrjHD7/bViaWySCMDzDoeMqE1klww9gwhFMvxOTG
9XieszfIfCgCEjVAJACJx7XgdKwiiO09M5K4ZGP3Ek/kwaCqFgIxrprrY8rzaj8vabNx4gC7P3t/
XtkZ8a6w2qRt+Kdcpms2oxK2to3DvXnxxpRiKRFnW1vXv1JnXUsmHnwORn7aBWGTZzW1A/Pbgg/g
xBaHDHODQq3dh4EqlNZ5bpa3eEp/YYDAO4DOas043byhPRhVv2Onmd5M2e84EM2pWVAjsJTlRvgI
VSVJVz+D4nWXc9gDB4Z0SqIHeXUR+2ww9G5U/529M1luHEvW9Ktcqz3SMA9tXb3gIJISFaIkUhHB
DUwxEPM84+n7c0RaV0Zk3Sjr/d2kZaYmAjg4x/33f0CZF/nRFvpgtg11h6Sl8TEKwlOpYi8ywYmB
z0LhMJrdQ+wzPalK+mlnTHCR6oMHnR723tWqs8Sz7IyugV0VOtvSFK4JthBBm21g6VJh+bB3EwNM
aGaqmwQwghkCy0nZ3ldKRyqpHtxVae7QRg4Fi9X/bif2Cy0DNX3THDR2pjS3XlJ8ktYQkCjyfIIN
shzzogJK/wUgj3H+pDKA4fhQfEt/AimkmBvJMIWx973Ww6/1AHMWWsTKHkCYk7br1uhFdnkTfwsU
Js4OBilEABL+zv8G78SourH064RdSGObHzEjvKXp+JaJW43SdTXuTFAYEk8L7uHDvs6GQhPO3bZq
qMwjtsk1QYyAuDRkhUpeYmZme+Ru9AnZxkTLi9t6hhgwJwPesYmQYVSNsshguaX6nTpoqOFsi/n3
MN+Xre2gDoL2QdAS1N+ICIQyP+iJ1x/VKd2OHFIqQkDD6eYXit/5RcT7YU2GJTMTTImdCQdheSYh
uAeJn92dbg2PONn7a1Jc+QWKh6sVurE1aO24URraSxzMSCkuv2S1z1sClW/AxgKetb4Gz4DOXePG
HihEWLpdsRvRcK6jT17XHB2SVOjWw4+EK9urJks/a0RJMGN8S024JZiJf3F656Et0l0wt481x5sB
K3Yaxx3HIY7XHcVSd00dJo2+7yC3dcjIhKwBOmt7lzYOnvt8YqrZgL50qf0NjTD6HyNkju1eq6GH
eZiVjPQAMAcY62UdV/d1ruJvpbwkUXw3t+3RTJw7E3gBfTTGIVmW7LJ2eGSrHGmgDlC44WOLbL/o
m3APm3HjxVG2jYkAXUexBUAwF18UC0sfLLgcxFVnxwpeZvKpNv5YEwdcVp9GxQmPueLdkXvQHurE
kINIRh41lFvrW0vy6NYvY8jdBDHvQkX/6BGmxeqFA2v4NMtRc9I73d4Z4TSskpKuOdWhTnXNV0KH
H234RpDyIB4kunOvRw3Onyi10V3Oe/qCfGNoQOJBioYlBZLAYmdbu7RD1RB8VAoZMTG6GULz80io
LXJhJKyBbW8SNOf3BC/d/Njw934O8hOXCvaAzDrXhq2lhIJMxRbrnk1JEFwAT4xsqx4/kO5Zrxga
Vxn7TsV0LSwVUEbXUldljGbf12NyEAxrB5Qqln+p8x1XwRxkEJPFsuEfOOTgwVGHH9vBvGfPeOpU
A/2p3n430+jqR6NzV/fmPSFVh8CDJxKiS181dDnA96BWZnPvHYYsmh/wKsDAu4fcNZ68kNWY5CB2
k4cGQHUGMZMZ5lUPgxKkNXHW6NgH4qr656BK8BWPSfbVu8jdTQ5TNWte96XLKZnBGWhIbmfAoD5a
PsSwDjiDUUsaMISvMYJKxvBjKnFoJtrQslmGqSlUPLG3xwso2Sua85oNnNBlmbxMpDRgntJya4Lw
DkECGFR/H1kdZC7Y+q7puExHBUvdThiSmqr50uKFPxkwfV1DR7qAcfzWV7JqPynhFfRkk9Vkr5FX
HMcxartYo7ZAEMAMNjhY/UD0mfCFHsemfUcW+aKkjXrIYEWjV+Zvo1dds1s3ayekYgWvBsuYkgO1
2SveFe0+qF+JUNwJVkpGpxCgmdBPCb1qMAYmjA86lpE0oaKMPtiKH25iL/yquxqjr12K19oGuGmb
tuZ3ffbjbeWGgIzpu6qagEQ9rVSE15aCwybpJVDL9UbHJtG+8/XAu4dHhnsNE+jCyHbZ7Lw0XYJX
q9evcIl8w+th3rh9cos8avlcY5fyhOKj62fcQINDGuxqYr2VNx+zk5Wv+8SrEX5770dMXVIOpUnc
5JhW4/+NVpN2gbmaqj9httVAucH1Wi87KgxciODOH0Yf5y+7ruAiYo+tzQHOmVm0KUsH9DzRHxMP
QC6a33QjwzkS6MKFLqjZ3bah7F65k3N0Iiv7kBbmJ6oz9iiKwHuqpeEZNXnLeHzcM3YUZ4MeMxoi
EyBJf2vKVMOPOCENjCI8jC4wJnH8cEjvnREWq1BIaZTmasfOeB861q7X8aUtMxBl1stNDdgY3Mp4
iWGj0B1/CweOHiOHIqMWtLhpUX5tFAzm8YJON7NvH8NZ60guA7GeOBl8/Hs2syL8Na2H9IkpY2t8
U3JMlT1nOyRITfQ23xXIfiPdrnZOr3xuY2rlbj54CiO6RmAStEp7MhpnwuhFFBnjsW6HxLAqUXNs
iSXUdThIOFKPmOntbJw3GLBERHBTpiPD/jSkWD3M3m3E9f9Rh+OKOwoD5jDTdqV9bMO3LgvRuWKm
O7rZplPmL7aTv4Z2+K0UeD3rUtD2tdb7/v1cNW/oO0BJyZuwvGvputn9/6jxpsO3f/7DRer936vx
Dk363vzX3fe6+I70Lm+j9v/90A8hnmL/oVsW2S2qhgjI9lQTUd0AMvDPfyjOH7anixAP636XefJf
pHi2/ofhaQ5f1G3Hwtr8X1I8W5MvuaizPM1Q+af5/yPFs3/WzGKhoJmWbiNsR/FnOIgCfxbi0c4n
Nn5wROBVADEhW0aD9TRUspZjEw8xlR0JP6uKYqt91skn3fDOsT+j5SlKvSG4zLQ3yhCAYgFf4xeW
4GNT3Lmoy9U6PdL3UF4zBIbt9x4zMGl15EuBCYBQQVdwxnJESN3F695V72YbUZGP21v3fTKZ0jXJ
jcLx6IzQN2ove2SozV7pVCcDJ66VQUMI5n726pHlPjkThOceH8r0OurpfaaaHzsPe3PoJZFm7Cry
ajfImNAB4A4yOuHnVsYIfpBftaS4ahMtsvy2aPpqNPXjXxbF6YdRwH/lXXaiFG2bf/5D1342v1lu
s40i2eH859k51i/m+XkdGWnp5sZ65gOuOi89Gu6Q/Mgg9nn5N55f6itnatcG85Y1EZnrtspvpg9z
BDbtWe4FFG9sRB1uulfk92qlf8w97qwSMf2PkT/g/QTTb2vU1mOLNRO+lfRUWRlcsO4/YjTPQ8Dw
kDuZLLYb6NCqaFO7T3UFbxuTVAwUXO5I5qMClE9Z4lyezh9t3znTSNxi7FG7yLlolAoD9gVayCZZ
tJ/0Nrj4lZsyC0hK8ocYfFr5JbFOnTphKxbjsViN5crzDOb2GG2SdYYU0MKZXJs5ZDBLxqSOIfVd
7isf6pIhVCfDNOtaF9mJbCF0nq777inZNgD/ZOflQvCr7FZjlz14SjvtdBAy09yHo/uWMA2lU3XP
gCRXbQZ5k38xcxXXhmrYjBxACJCYmkEM+th1ONfDlGlWtRznidWhqQB0MMz0qruQxqQZgSvx0lp8
diI0Pw+We0XQ9FjoxVM35CeLexM2yncjd5ngQ/IZi3MzsB5ZEVCCmLKt1YRPNOCIvHaRjlERHuSb
8R34EMyhgqYCH8O+cM4CHCthdFreKvr1KzXDLlbGr0FD5Lod39TKPxdA42u7xlwbMRcNZbF2cQQC
8w9uds+z9QimBwUgQVNpjwYW86XJKpN1jdXhSU+hwWotL7Tdw9QavlgInlDbeCQGYwQxm8XNbgxu
hBrcprzYd51xqeVquoSdwJvWkVsDvts5fFhnZ5fisOe/AE5dI+qmjVszxlcJH1E0rlspok+TpT1i
VwWgGkQ3VGnHziIeOYleejX8pPivjZ2l6zhTb3IBSuQl5JAOACmBeusBkQcqS3pvxIJTE9yI5UUU
2navaaBvnAnxLCOH4q6p44c0YlIyWeMpIdKntPjECXJ9MtGGxyooXpe1T4nA5lFRJ5CzRFn54Iba
+3J1o5Vcf/++uz9Hs8jrDgnaUdFdm7hd/i0GwsRIv4m6gsTfBGnxMHarPMjfPTfLVzPILSNpyiL7
lIRYC6uIRQaGsPFIC87s/VQU+HBGc/zuGHgiezXuBCEVROFTulC+wOIuXqwXFQoto6bkMLWkszvq
sbYIxop746WMIJVS41Fxf29N/qRauyf5roTA0TSHzxSmMNyj6LPl4d6Oe9KAryly4hktX589jUTH
ARt3Omb6aBAzHKy6MnsPQQFWimGjL1LubWzFqado1MbvDtHQc6qfdWLcLBLrIb8zk29dOKHKmIPh
9AABXJKj5m8V3mvzXADlcn0zn0uJSdzOneggf0YfILB0zTdTrrd2NAQn9vjNJU9sFTLbWeHy2/0n
bxcVkfxfrL1+PCvDMdC2w77mrJOv/0WKzm3TozlyYY6V+sUTu3RuU4sdc+kX4dZxL0OY7pGLX1Oz
paeFdFYxO1glxUTw9HiW7/ZmHtJoJDkyiPDgQb1yav2KYkxZpY5O9coGpanfFSd5t+lzNMV8R1wD
8zoydXTe3C2tVrfO5Dw3SfWOycgFuyqGp2zsUZWDMDOcAYDFLO9ds+j+EiV8hQv+7thqsdac7L01
nAP14efUZg15YEurkW1pVQzZGkfeLeziTYOnF/NMbiCaf6Afk9E1t1T3Jx3ekX5pQhTQTn/CVfCk
u1zp8pU5Kp6tvDkREHoscIQh0QzUlhgvmBTMuzOPa4aZBlu2Z59mFeaFdhrZ12hZtxVhypYZo+EI
+bZusE9EVR9wINm7ibObG0zAbLkCNXbgVcUMB4MmuQurSxOkPU7lEYQYWlTqDQSAlv7FGVjycawT
ca/io6V7frKfQ53Nv+uwkk8+Q7f/8Ps32ZEUu385//xYHabJ4tAMzzXVZfX8ZXWoHbogpUKYZTgc
0Hl0rCz3lA3uacbkC5yh+OLSevvqhPFpgLKhr2AeyktHJPUBWk9X+vXK1rVLygZQJOpx+aIW8RYu
4XA2XHUYUZbqHNWkeJfv7HKmlOOUvSOrYMdTWSO6uQvEjizp0veyNS/RpF+iwSPkwTkVFpJJLMdP
sQbFTMVnBBkKz1o+ABDXpdfVI+MtZeU0vMBj7hTrwlDwY4G9MvCX2v6SVKjmWlr+lZK795n+xs9N
6xKZ9iZBf5cT2aG20cGBCL8i6bXYhBMm2wPsEhBqZ+BtQJ2oQ5LhH3kDwb1W7pZNQDFKgtk7HLDd
E+aap4nNj3y+y+8fkvfvHpJj4WMu9bUDWf/nV3iCusOV1KBFdu/CWscmy9A+gEWeeid/b5zivdRZ
Z8ROMtmKAyYgrMdIfwBTI/vBYKMqjfRddmb5fm0Gc2AYcJdVKe4oKcdjNLhffDC1WaFisVQ22pwf
gABMArJyrwYfUYa+eD7gmryWdgbWsjwDxU8+FxWejDwr2fADOBvBaGHiahEPSzZ03wA6kejB3S0i
fqqwhwuZIRfaYSAPzTy1Ph0kvHQ8N6eqfURPsNdVky1IzpQOkKUn4YUNIxzYMApZGvzaHKZJPsQX
CX/QLN7yHFctgAZQ+pQ9G9rw97xRQCFSMs2Q9lcFO42v8HSxoLwqJj2wEvSPLaNnbA7dYhOpKMrh
WNNCPMjzQ+98kg2bDA9wlg57Ile91Jx1Y8F2XqT8SKv3x9S1LjXhi+vnqmcB/v6pm87fi2oLOxLe
Uc8zTdeSVu2vOzc3MBg8DeqEahYndDpXtcquDTxbgu9PNC6XOvRggSgF1Vx2LHtlazOjMOf73siP
fodoIyxPzDZQ2G8slaphrGGmVFV7gb+le+mt1DNU3JF10Lr2lZolw+8pmHbkzjNQRN3QvsdVflTs
lLzCmArMYySwmqll0InAe6WMqio+gVvEt7wOEIzGVNE6HTtdOyQhLgqPJI2ZThwByJv1KcGdZdOG
g8eWCekaQWbBBAUia1ecp5iQJt/FEcEly+BHXaaXb8kI2QdZtuKkz21gJiwNeEt0Q+YBHZ26zTGB
WU4SrKSyTZoPyZ4AolVnluW2mrqrbhVHODJbbrNI5rgL5QDRFJU7hAsoBYXFVDBskcuHlPfMuMhX
6M5zJCwTs96ZSXBR2uBrp3wcbWsfkg2GKs7lrefMgqXHkMkm+zWhN2JgiXehnmML7MNLmbzBgnUd
bAcmqGvFkZGbcgm7XW3lJ+oMtvoqOgeJfVwqar+nmwDDua/K8atCEk6vEtM3qcbaHLkUlLkYzNbB
zndiBhZGC7OeopmjrKTsw7ICW0EK5Krgd4f+Vp39M+M6LEXd8GZk1JlLX1FmBZaQzpHYdApjhX+Q
0fmqNDAI55JOS9/LspGVVEmVOeqsOdaeW+ZXe6RGdrsYIxpj3PtWQrgUTZSeYJMfN+c+cO7jDvd0
BZ9npTwCAFLWxg+Fm1wDP7lqWXZrR+lCUu2eWQMjOz7zGDSfMts6dHGOUDL6qrT4aZq0RJ7k90aT
dvQhU0Q9f0jakKXTnqEDoMSk5bOd3XTzSERGxlQTysUwejVto2b6LPFtgPMoS7MbhC58blztXs/j
F/owcE1p5dUQYkHLSkG8LeGoNtQF+UjwGs9j88WOUQ8NORYtcc2V6ObgrCjFedqY0g/2lRnbtbad
s6mYe6nufZ4vrnF0G8pjHn3D/fVkc9cUMz2mIeMwbmncxbhOdjfoy7dCbo+qfYrb7GOIkfayHqIZ
HVaJA3UHxccJ5lPnZtdB6vrIoamRR2MM2RsDCGNthQlRS97w0LZOsklJ9sJ97yFALJPzxKMiQLKT
WS9DF3/Es58OTR52a85w+bRP0tIs601ab/LPXxGwfanl26R3mwxcLW0LlgZU+SS64v2K6bJ71rGs
GC2YJ/lLZMZoTd2tK9iE5fNY6yp8AT/CRwAZee5wNxH78hfLN0eFLTFkMCpV+0vfaDcDO8cg5ger
jP5Vdhen5ful/w7xsCDld01yPRcNrQJDxQejCcttjiuikbxhT3sucB2rafmXLWKW5K0mza+jXOCI
+TlsAAp+DrXR6F4jx6CA84JbHjB1SqfoaGk02UszmUQJ8s4WE1T6xz5Kry75aSsl5usGhP9i+lo2
zZvWFyelUMGAnI9F8BDlzSf5c4QBnGCTbEfEAqju3HOAchg6OGR2hRcFRfNt4FcHHRIkeNX61iPO
NpY5EH4O9A1cnxsgjxlV5RRbw5Ndyn+0/O+Ud5gX4+ZOyhlV1r1WQ5Yp8fYBY3U5wJVXwYAq2v7K
rfaZPV2Wy/dY5c7IWaQasAYZjK1QFkkq9GrkNF5X8nTrObwJIpSoIC1k3kAdDNf29JJkLPxUC8tN
RiQYY5MtyWzXMipOXV2drOnebLJTA9cXz4GV4+Wnpgd2qqyNrFhZlkqdn9wIGmTJywi6t3dSa02s
K3+J38EqTubghLXMRUCcVsPmOczVjz3WBBtNgTEKDnQK9fR9LDvoozkoHODxDf32E6beyYZpIE8R
F85x1cqnawR5QT60D2O2u6LVt9/g8dHH+4jb3NT9YBOvSUdB920YDECZiKUQgeDkcpPcWv1aOMbj
0KAwiDaGh/V573vohur8oR2stV0KasAj9WWTXuLiMEDPyseY4e+yd0Rach06ONV9ae49ndvbRd5Z
1iQz3r2smCbH8HexVxVjl+Sqf7EGJDOyUywPWdfmBkVhcPf7mkH/d82eZ1ElWqCeOv35zyVDbuBK
MqsMdXvP5wxXkw2E7B7S/JZo+7XhlXfL0Y0o7qoOyTVDsMqcMN9Zw4xrlryUqPN2ld+91QGKKY80
R9TZcAU5PC0DYZrCMl0s4INqNxFx9R8uwPjZOG3pR2wVHNExIVA52q94rWoMATAb+g4BdZbDKJ10
xmfaD4yJvvFbPToHnbNvwW97c0CjY38IdBVZhv7jLB2GDF52/1A21AZ6lB6Xe158jIjaWs0dBgO6
tY/lDDQZL0djcjP5JmNAXoUcuJbVJQ8ya8dj4bsmwdTtfvQILOHF//0DM1xBRn9pwEBOVRgrsNlV
T/3FNhwJNvFKISHemRwT5L/2IbNsOVUtXjpHtoUFJKxDMuf52M1k7ksjv8ZddJNTWF5BKb5meK0r
Mkn1196lOJACAOfrk9yoSfPvTc861Gl1ono4VUFwqYDVBDf1Iu+uVTa6A32TmRSjXUZOcmLJ/V8O
JGtrVd2jF3AupZl/NmKOBoxcYEnxZzzVfbNK9WtgpUepOjFN5I6HGAR51UtqZ6cQk9MkgAQ610TK
UYdMrn+GjET2LSwe5CBeAYyn9+Zj3FpP9hSjTk047KS4LEr+Jf4SmArVKpTyBX1PbesBF7Dr8kXF
BfEscyo+3sFJTTGdCe7ksrDRDNdjne4Kmxausnpe9ZHNocaJKAyYl8tWiMEw+sIk33XMmDZ+A03W
Ml7GQGqJGqcEeCowrWQFYbqQTTt57ZeDO+j4c006ko4Tgx0VB5f4o40/U+/mng3Fqb5farqM6h47
+GY7TBBcfCW6NTT10Pya7ehAx290xm/V7OzK1KOl4+wFbEYHY2CHUGB2tHZKdBjj+BibbP+dxqGu
YKZmKeF91AaHYAJYxwYpg96iPcjLImeolBcec8+pfNTZiQJmxEX2Rd54qdMtwsdzyqnRYwNaCh58
65Fj8Nnmll8ncHIMQLlC4pw8292MZgEYeRfV6cHjvEnlqAgSYHtNHjXsW2gcGUhJbj5Us3WL7WdC
3BDaCCyMtcteikkduHeB3G2TD6vG7WfYM0c6Fco6CurJi59pUPfACoMoRPkDshPJWaHOc4JDD37P
4VdfwF+7D5CpKSjolPNSzS+FqvdSWuWD2WEUxgJwUxSuUXHxGz5mgW8Di/4DXGJ5Fxrf3svqDXv+
jK8PFzQS//o9WmZK1CAMLHcfeFJZ80yMmfXEa+M41necW/RuvNdw07LGo6s5Z4P38kclzbc6lHys
kk90R7PAzgvYjWjrlAfpSX6XVLEh+81EzlJe2U+GQXBnZ8NUr33S10oSoe3BOpS2ck9aIsA9a5kk
uROi9acizx/JPb6CY5/w2/qBiMvxRPJIcrecWq7DoeS6hXmXesaHNAVaVo3xUc+dr3HrUGNBGQix
J+hwUV1ZRbVTA97DSW75Uk0pan83G+43KVvlTyNrwBVAbhVeEyE4D3NdGSeppM0WI+J56Ylkpyht
vrEJ+5NN/wQhHFJm3XzK1W6zHKLku96W6mqpNJQ7+laSNUAq+pq9dlkay3Zsj0T1seFz+yZcMKsk
JCSLZSZNSMxZb1bYfkfaJuviL73zxQPTc4N6L8U3sW83X9qiZyAifiLN4UAGt4TiVe4RJLE9Xc9V
TuC2oMQr2EOjKnzS5vQxpUoJjOiWsGHlU/4FO+nXQtfUVaO+YOgX8TL60X6ZoUntZbIgiodBUMul
wNIy/bPZhYfllCm1+mFG5SsDCSmbFLd4d3B1WW5l5yNTsNp+t1ztXFPoBPKeGsOrPuAD49e8Hlwr
5M1XL3+pIoqfpfHKsSSYUdDe1W7wiAMupYRT3nnL26CUmFLSnUhrszxKK6QmxTD8oZ/8k2x0BZDk
iGV0ydbw+/NLV6Wi+PX8IvACP13XcHTD+iWlfbZ0Iu1q4GVVn492DDW/abBi0NWL2YJLERADsZa4
laQ+V+PzrAHgWjPYraQ4IJKDmRXKYEDQo8JWt5VC7iQQj595J199jwlIWc2Qy1fd2JIvMo9nAYBS
shjXeIJA6QNoDAIEPxTIRHuA88yaWUC7d04GhkB+92FWp8fYAzLWhPGGFijgAwE85uA7Mk+prPbZ
qkA0yxzSultQ+YCRa6BKC3It+Hekc1m+GBDFUbUxDfYh9IOXpNXefOw/vCGr70hFe58jkDP0UNMa
R7JNgWcys4LqVXXD12AAa8Ja4WCNzjVEC44bJiNQ94PTsnCSiKkdmOYco95J1VtQaq8QQVolqO8M
A8nXDjkcMQlwHWnb609oI2F3YsC+RnCFd6t8/KHl/GJYTaLOKcT2aTUq5kXg/MnvXxXjTaYky4xF
s+JorXXfqKS5KtwKfkCErjvezZbjoYLiAjBrkEmS+6HwG1AZnYAbp7j3clgXTcSlFFV8ySFutC9p
Mj7ITZJsLiuzT32y7q06pGjPvi0IYwt/pXcOPuSC9Shef2YPjESUBgbtHhPaAH0ysDByovdJy/BM
chYsURmNSxRoFzyWgym/BIX/uXKfGjAJCfkCytNQ/4foMTK79UTi9piO47lwtW6L5d83OzlXPEhL
L96jNtlBI38SRE8xgkNRiP1mcSf/PYzuBxcBC68fYyOMXheEr08+lNbHIrM+4nnJ1ANbFSxRrJNn
1K8hHjZVzw0n4wyfvfp5mTMogi76EasmVXk2ValegqA4JuDuoFMscNvwxE7uTyh57M89AiY4odxr
KK2wydPvzDIL9ELsG4CsxYLoCuwc4Q4wEXpDIvnDwLJLbZqlniZxeS9iHGLNalj//r22/l1Z6tKp
efJKM1n7pSwlAzdSgwwGaZhxFIbpichecGLx9bc0hZlb9dVBPJ+b8zqqb7aXHUcUfpwaDgFbgjXa
Cxjon2sFd9C0Ixm3qujqKAAp0xa4Q0rQpd6R/xMQnRwp04dSZRcz1e7BTrtDlTu4aWRHObiXEq/1
0IHqtCqR7s77NIkIe9ee5EQiJG1TO9VTqjMYDVzrLKfk0udChWSNVGhbMuOwNDLLSYQOQyJ4nj1P
+Z55/NHf30BTMPlf9kUH/ovpmLqt0ZH9MnaLzHSYu4bTsNXNi1VvnRKWR1ewh8h0xffTT1722SUF
CQE6bQvYsi3DKxuP0SIk0U9mLEJ3gL5/p8oGOOmveB2+9sF8UWrmGhnO48QIQqOTV1WRCaSA9jYj
pmU7E6ReRi6sjTlNvgkEH3WMQJsRW4tYouk1aMSEZ8PXh9+OZ7CJMIhodxmbuQ3r8vd3xPjbSWFa
tm1A6NE8y2WELEvuL6OmeehqHD96WLr+lB4Ma4dhAVWIXhy7guqBacCayu3sJxPEkb57LZ3x+Qc0
KiiTNuV7wLajVFFsi93ahZTomXgxu/ZecsHUKYLT4ZLjMcPGqKIjc8IP1GvLyH0ILIsIsde67T/M
kYVhsjRJZEFaa2wJfITss8yb9ZFRLIOY/7AYlgHNT4vBtBwVjhRTc7w8OBJ/vvSulv9rcNigtaRO
orKynemlEfsY0LqZJGjCe7WLGu4jTCPS+jkYjL0xdXfkKzBFZXUuAJw0B1LMIAR58gPEeA7hgvVj
WCQ3L0v/Q2uq/Q1LkA/NY+ImejrD/l8+dKTWeFZOnrrG0OqLplRnZqAAO8WGwHSsiGh2eofRi+Wd
Gvwh0z58SQIqRStEH4F08i4gNuL3S0jz/kY84DPBMqVfRtzgAB3+fCMxPiGypiMDOeqzq0fs2FI7
CqLuGuO6bzh1BVkVAlJGiby0bwtOPdrBkxe89GX7qcAV0xGYtZjsM2mMp0icqwfzKIiIgJ2zbj8V
7nF22fFyAzCoIgAEUY6//dEFp9FNI3QyyGd8LcODOi6UF19Wqfz45E7Pnf1laa6W7mQhNvWKfg8S
u/FL5Sw9UQuW4AngKDum/A8XJTVD6TbHzYJFsrRlNlymtKDyjkyym1uARc1tHj3F+ZANQFljAu6Z
5UccV6wJtfKCd0CHfmdyQQnEqpJLkj5q2VajqDu0zAlNsMsFcl3aky6X/dFo0OJKJ7jMU6S7akgG
1iCeS2uoauZ1Rroc8uZiUgMqrdgYgeIOv1CHUqU9zYX3WYYN6LyEmQOMYsXPtD5IL+mGNG/4HEsY
K50V0zrtAbeyO2+w97Eefupq5VD2/jon4cpKGspmd2tEPtG4jB3kQS3gJdF2R6GyxFN6CkP1EOQV
Ymy62GmgUu9G42pjeg46oiGvIOc12iyYqg7lr/NNoGSZaDBOFIjXWQs2UQzpzQiKm2Ulx5DeHueL
p46g4hbm17JoQhk8pEb4NoXNg8D5CQbqeYPvtZrdcn140bE0kr2H7BHmMWq6y8mvLcGoZdyzdC6T
kWDvaP4AqwcEQ5mPj4PdZtwoMr9DUAgCYtfI+t7HXCcBZ+lZ5RCsfP8xLMnAzZBB4taAY7IAUxlR
VJ0KkD8L5qEJW6yaUgiJhz78kwZHkPEtlIlBhSUkbLT/MI421b+BdIwkVVPTdPInTV3Tfqn5QUpT
0wQUX8vmHRMgvIB1/HnpvgV0kPZeZi9WAlgx3GMVuNexx7MU45yG+XFKk1PIOhnzHI5QfpRJVte+
Y/b3bAE8I7mA/sg+X2mM/4jfqmVwJEMLgZPlXZHBlIBfpeo/zSsZh8qMydRIXRvxDBtV3dy06nPo
14hv+UUt+Yvld1k5A3Oqbn4V4NY2wpsMTuUTuI1+htEpZ8Dy3iK88nm35dfdfuBpdvilq/ErCm1y
uhbeYhgzHfJxgJhCUOuG8PgtBNr3JDaZcjEe8nFZJwldQ1kx71kTOTGwC2expzBc/iWYnmBhf56i
+mqC7a1L0tIFQpBVnJkQ9ALAKW1q7hdITDAIX9z7O0dZFnq5YFtUUQnMBs+vXgaLjWN58pg3NSu7
fPUYUa+qFKzp7TsIMAWnzAkEx5NX3DXKU8PeOaVQrKYY+2F+aijiq2xOQViQSq5tl01KnlqX01hF
ztaoHquqO2t2tE/n9Ll3Jn0rKIjCAlxWhAPsw6LGCgqzO007qwP+MTJbWyCjZUvEAlt8nLFG8NIr
VtIUdPFr0siOJd8IVf2+X/zBVWat0raGyYcEd8emdj/EvKrSJC+bccZEE4fBYyZ1H5U4iERyCFJg
+VfGdUxamEwI9qVn8btLOptgYB5DrWWUqMko0QnTV168XBwVHCEZysXr5IesatorLsV38CtZvt9W
zSfTYBcTOM5xgyusZ75ELHPzpHhsjT+G0RVjPF4MnA0hg3RruXexIgMJtjXukxw7C+0YC5KnqGDk
+ScnkgtfxgsCEMWx8l3rLVrGCoGyzANZF7KUe9V/qb1XqbXlw80t4zPMHuinYkyrmjeX8Yy8IgaU
RHtUccTSvpZ4vKyFPNAypCNTHk+914UwnDToJmu6tVXac0mpXJfK9w7Fww/oSgcSrIJUeZEPPbTO
pa57IFvrM6ks14ljFt4QByQpAjRO5ough+qAOE7FA5jtdjkTHSydXF/5+gPbtAJn5T3Kx089WfJC
nsYuXYNlcbegKTDCMBfgBZisM1TrhWaN9/pjayJaXyaGzFNk3pK46bNZ99to8LcM4uk0KAhVTC6g
t86u8lCND7mAqMuK0himz9RKMpiVCVYrp94yuWzRkWpqfCgrSi4ZAwv4JewIvzPwacENVMjJC1Zj
G+0z1h21cy/gmBwIMiaS71dLagLakJnzdojPtR/GKyGExqDd+kjGgAxDlwNBFrOMF10eXo5J0QKS
DyDXTFhLu7wK2rhgcUEbX+WoJb+W4j/azfGHBC/COQpLzPYAquTNafJXM+se8bC9UC2RadY+afgz
Ki10YX6pVJryi+OaP9rivMJeLWeXTK7tEY+2phpXmuwVcuN8WcILgrTMRztDvzd0fsovwaMxQ/tk
V6+u+Q10+D0vkrug9x6+WRZ2Dkuflc/Gvnc83PXR1+JuittM3H8ZR35xa8KNEHP83D4jM6Pw4gUs
mS/ZtuhPfPgR8inxwCcck3xp0Ml16+HQ0iJs2QjGGDsh746LOpTlsoxoyz78Rg5DWfIr5WRvKI7k
Xia8fVlinjWcV5fq838SmaTK/u81ILvoS/2etu/1XxUg8iN/KkCsPwzDQZvn6jpYgaY69Al/KkD4
EgRHlTmeTiCSbrioM/4MYzLsP+iGLLYJjy7D0GSS+WcYk3xJhQjE7MhjjilDzP/zv7+O/yv4Xpx+
NFXNL//9V20CHdbPnbjtGKbBL/QcuMqmbnm/VCsBBlSJXha3GHBlvguULd349GI+lk/GPnhw7qx2
NT6UT9M79KZP9Wt/cu+Vr92z8lV5MncF0NJb91y8Yw8U4P9J6Avul+jxngj9cfbla/jZaA/NdzNY
d+/IJPXv4yuROv6NylHH3hRKGsQa2E9QQ/4vZWe2HDeyZdl/6XdcwzyYdb/EPAeDDA7SC0wiKYyO
weEYv74WmLerUnm78lZbmsEYSlIMAQj48XP2XvuXd2Sh6Qg0vrNxAnmLP7SrVtM2fkqfCmzkC8q1
TfUtSZYK+E5FhNJCF2zNP8tbJBYAY5pV+E3nYq1rnTR1HsTo2LbIFfwdqGxSpp1wUX5PoMjDGd5T
oaN27rceEz9iKl4wKpTZHiE7BlKGwYzvYz5832ZDMaPhkS7LsvSWmGMmzNj0bKoVmapac/M/A7Fx
DwV2Lbwm+R54hX1oLtRl7i/eBOpM9TTcxov2Hi+DXX80NtFNf5juJH5uAGNu+m28abfmYXibjsNK
3KAAHeONuyq37aW51SgPPmgFji8CfdfCee0fcXAzt3msgRBdh7061YdhF5E3rD3joGAsEOUHH1qG
CW0NwiOSGoiH4B/RRyzYvts4z7Yw8embAEvmbZy6VwA0+gsXwvsIxIGOtAvVsNmyFSLMBi+fQZVd
JNgUiBbRwRIvyH9DlYaEjaIoFSculSPPfvVIWskUEazRXLnSeGxcUGOCNozrnAr9eZy4PuU3QcJk
VvFEetWZpg5LZs71k/US3YeYNxsuo0/9DVHygEzDWFMiDrC/FME+jH6+KSz81DB3D6Yto2r95KyD
eA8UanqJ3purDqwUpon46Lyl9UsQkel9eODR0wsakWBnGCuax7RfGCGuI6Dj6c3SzFWl38Guw2/Y
ND41CvqJYtOQfVAqlsQNf6xF067WKR3WFacpTbaQjJ3pRghTVd6CkHCVmypv5mzFho4BZ8w/9w7V
9c4emC8uzeSm6lVIvfKdC5GB3eCMiAUNzdfmTterEBhjVlChYDSOGFLrRUGnGOyrsUHikrzPkVVT
+CIi9hIrD2QvseVMSNMPA3nwg9bv2zeIA8NyIhlmO2ZbQObZlrlyH6P4Putau+zY6dsrZCX+mmJA
ndMTSBf+fDzUW6S/bQRs6l1X04pqnPiRAeQ7NOA5TsmEaaHGGi84lNJtWJrIyBb185yZ8SmP4VE8
zAgCySyAgm/tdvhJD746Ji9BDoavZVp+d54a4eEt+qEU6szTuK2DE/1uP78rG5C3casJlCnJs7T4
qJjBDa5KhJLCh2czJEDnWKnPNV/h2KXo1GnM2fBo05OfmbvhuT9BXZpj35LhOGmdO4/37uEpORHk
4r5lYfbTHCla58oUv2blPtjlPu53FT61YIOBFh/4+/iTARQxZ8RkLfFCZTPmhQbOwt+NjyUtODzx
1iEY91n3rXo09QkI+xKiQfFJYJrq1u73dloJHyvTwp/N4Ivk1B2Us8r6h3ym1PqEujw0P0OSl5z9
4DIbwTu6w0o81cvRoXcNIHkb1uvEXJrwpRwuxiKNd2FJ2NzRHN4JxmYE8Ycn7f9rtb786NRn/b/n
n3kvq1ECu1BfS8d/vdp+lpcf4rP56zf99jOsN//8vasf6sdvLxCeMbe4tZ9yfPxs2vyPv5+lav7O
/+n//Ke18j5Wn//nf72XbaHmvy1KyuK3NZeF7W+Wafn5nvz46/f/sUabwT9cDOYB9iiUdyypLIF/
LNFG8A+mdgi6TeTFqG4MGmr/XKFt4x9YM5kWGbbJ6unP/b//u0Lb//AC4GQ6vhKHNZ/pwV9W5L9b
oc25afdf3VHPxDHoO4QYMEW0dMNz/9Iqt62OuXvkMhMEY48teFpNjiUf7R5RBjAlJnUwSuKQqY0x
inTrd6Q8NWNxl85A4RoyvaE/oNaRFV9rDDUrCWVxmRdDtYsrc6VXr94ErPtPJ/efZcafy4q/OB7/
eNOcTAofyor5RPzeiSxyvZHGCAFDWBa6YdFfrWLCjsLqYkefjcQeTxiOtcIH+RD5sP9KxIk7O27/
qEp/q3d+eyP/r7NHqiXVEmpNIH6zivxPbXULm2dQONhKSahKVlk0slI6OgNJpYP/wzfo1e6voGf4
pgURObpsfFYO2VJ/fz5+nxf9cTrIKscNZtu2630J0/70LsI47BuG5LBTKzSQsq54EGtn6UyMXAVA
gb//bcZcVP52z5hMoi3+MxyPOwfM/e//ajId6Phg+Vk2htVeyEKPu9D+oXXyKjUGxYaZEYsxRe4d
MhoU72j8aeppeJoaILujwQ3g6gfR96+xt2rjMj2GsXnubQPLLpESUDANsOj5SJXVV+SmpM1HOWs3
mefsDZitO3cmLXBb8dCe3X51DhFEqeNQBS96O2iHoq6jHSlYMFbTNHnSqXIsU7jHpDKAyTWXKA/h
xtXtpkVhuzEIJjgV2VkCLTqWEl7oE+lz47zhXmOq9dcNRMqTkwcvqu3tVc7uz8FMYQnAUUWCozBM
YBbErtuspBE56ybsfkF8GA4mEB/uvYe6V9s+hssfpqmxNYt+C5+lIG/UaJaNFz+pVCt4XxMNRdCX
B20OfJ56ZEemc0ahsQ9zU+17ZyBguIVx6ol+lxMYvuxls3XDcboImzigrM6Cba5bF9UP/cYxEsJx
53wJvCJDfGywTw4F0nvDIW/CN3WPnV10z7ryntvb3rfjrWPX3ydpim3mOa8hEZVB3uTfqw60mNuT
FBlERUFQDTORIGrNdRFpyFVQweIbqrO9DrDkbBN4oKygOHhRRB5fkxYQchGo+gLYRTlDRap2B+xv
PNYavCjLU88DfItjIInvKuFFGKPSD9KxASp0gB3coG7Z3/rmoXk1qrF9qcDutLE5wjgPxiflYQCM
y85YYGRED63kvezJ+xi6yjyWmnn05JhuIwvqUNZQ+xktSYqWjuSUdlO8taGsUT5pxAMUlQ9uLXoT
Zjfy+51fYSC6A7sajE3ArHZQRTEgUTSgVZU3oFzyZvfam220L6Ph1wfdMoGZaGCUdY8pqzaWwb+b
Yv0+wPPY3+kY6E0DL6FvOkDufv/MlYVniqRCtWMnBsSXdN+aqjvaNuCQjjXece2j5dOslt73pMLP
h0oovHS5eeuJdm4n0d9Jlt+nXZA8hPeKES6zYHTuHEqpd0eZ5GJd3/WmaXlqahbbpknfRRMQ9mJM
jq2/+TcPkfkZ8ed1h02prrM9dHFFopD7crn+6Zml6+SU96RjQFcDt2IzLDprj94I2rCtSXFSTeet
TNwxWt+R79qdegJst4D7w3VZZX8AJv7bx7j9r2+GRrruMSp2sPpwrn4/uXlDLpcx0MjVHTInPQ/2
zqB8sR/biL2pIBYWUah9wm9hExHhj6gKdGOtNOdLPEBK6bLqzY1riOrgFzI+o6El1cPicw1iIE5b
uoBWRwOaztkDzeclEnQI7MxPy65kjJbq1iaRNqqmdjx3Na1j2dfaSQk4LTJJLQJpybPSDP2Xx6ho
QTxB+GpGgnyUIgbBWIXha1E138RUygfb5xT+u2v1rzcfl8sDGsHEAcfxXy8W9zNS+5iNXMrMZ5Pq
5j708uakKRQgkQHERUHWY3dU6s9MW9+Twc8+g9SZkbVkKHYKga1yvGtY1+N+om7IBcEaVV3kV9ud
00ZTnwnA6L2CmS4uUmnDIzwD1Cjh9BTBCiwyulCVAmqmEzXzWM/YGB//0DYHi/3khw/tyD7is7Ic
96phHbxJrEgXKw42X6+yUP1wAjGS4OWywYldnj/zWXWTEPZ+ZF2LOO1ODvmYCxMR21qPyJHpGUAK
4LnuU95DGWvSEbI8m9zCl/4PK65uRM5MnxE4nHRONja95Db04iqpWHb60BfbyvTGU1L2yT7VURbW
0rd3tdtWfNRGNlF6S75L77hLgqKrs9ANDn6TrHk06xu9s3+VKVgWX0MTxDUpNknWQAvre7yFLVuO
hOHCLQT2jD4mqJgQQyho1UOVl+FDVHkERLClCApoEy40nrPG+qiFwtgH0q7PJg/HVWPgZLHdydvV
mr5R9dwJZ5clYIFvqvn0GGyZ11NiA8MSpvmsWvumFbb7FExpvbKwYsObY/rRAmH1a+P+pMGu4spq
zmOZSfeRoI1yQVA30mHVgnps0kdNJZJI2YmOiQ8wtuxHeXN9a7zkkCKT2IkYAlXybNq+fzNtnuEE
LD3HyVH3zOboWao5mvNX5Ml6+7+/xf358fn744gBFVW4S6tMd79wKX8u5PA2N2NNviDMOecek2bY
1AUTPcYeuxKWFZJX+4GJL1IIxK5MDCOuVNAE5ykwP3vdrtZsLLqNSh1Gb1N1dOOKxVIkVMCuU1mL
rs3kYe78T2E3vVp++1i2o35zKLxvYoaTpYN4s3QXNXVPjEgfTocEFPCGrKwWnTyaW+mA7BnFMD5+
HUSWbXwpmquXkx/aVOro+J1/yuEQ7joBS5Xiggfa9GGNA+HVSV48drED0l4oRNrjt6alG5arLt4O
1CCbPirH7w0oUS9Lqpcx1adFX83yDdPf14NGX0ma/TFI/RcvZXFx86DZzxT2c+ZC4bdBUNz4uDjL
coQyCbrRIZaXzM4oCu3ZCNjSTDfXui6sl9ACdUTHUP7x507b7JLGcJ8j4VaHWHXtv6tW/1ocm9wu
1ry9gdIKByf4y8KZdeSkohJCZdZYmx4XwqvbuudwyHgMTZjOQ6LXHkUEsbEBB/2A4Sxbln1o77Em
2lI6W7sAMm2OsKyrwDSf/v7Gm7uuf731LFvHhICCWceM8C8PV4uJa0zSnrbozTnu0PYh3Zn5AUD5
RlImUbMh3Fz2liDpdk7ebOzoVaW4xTU1Pdcefq6itA5fBxkP1qFgpVzV+njFiBeSYlKHR6Z9SHYg
OzQlxuwijJ89kycwlC9xmvJInN2cKTaVNA0O6mLCLbJnM3OHraC5EpfXsRXVMTEdMAGRWb+MHq3Y
qCxR0lryFKog21ZBAm6/mNKlKQvruU73Uajo4ZjA0BaqZ3EzhVzBsbIBTfLq6yCdiDSolgIu5GmK
0BdQCAhe/R4iDsKHYYerMoAuWE80fZN6YK7tuOLUEuKzak0hHgtvIDp+aA/ITrHqFzzVWrd41bKa
Me7gLiNyxQ+t4XWnWG+gMTudRaxHznMv0INXsNvvCRHqHzBXl26uWa+x5dCNzoyKFIrBenUnVVBW
NtRYZnOTjq6tg74e5zjL/Lnwfmqds/OKBuNqNT3W0IpAWNKxc9vQPbqaiXGhLj8co8rIbgmNnZ3A
6Mvj2Skd8gNtIwyS6CijXcC4ayKT0DPUBHqM/sAAHEfGWNnbBP7TsYtj4/j1lV6+6jEZDIxekk3p
1/bWNi2Ns9H6Oww2dJasJgRdFOFCclCluFYbP4Vueybj3oiKBJOxSvciajocBeSg6aDpiWtPknPd
M0HOPGWwkohfSByXwPPQ6wahedBw0S0HzI7wQYhN7fPJ3AHNr89NxXg57j3vnAsjJtJbHe1aH64s
nszhh/RHU5IHwm3fvWYVEOWQbj4w7TgQIPOFlOTRhe6yT33jqGRuHr++quwchYXQoURdgnCIrlwC
8uIin8ugmtc4HZzTSMGyEHltPtqetxnKIbiOZXJtRlWQt0xmQZnNo2FpDUzdB3W2RNlvtUJ+Tr6n
sJ+14aEpqhxalE/HvY/eEfllU219JFH9PTpaKuq2IEjlog8G+4IKyNwmGom2ACbyJaux7g8E6tGE
q5ewgNcRHZsn6v/iShWxsorxZjVj+dOjp0nsySQfqlSPIak00+rrf5i0Cr2StF/XuhmSjAWNJMgl
UY32GvSz2sm9XxAeNZSFvGplFGzyUGHuA0kM2TtJDjkROisimsZN7eTeLpKIzmstNJ6MkEbsWE8W
sffAnWt/0re9KMVG0/qQE5ADTSW209jmkZNuOlmEK9vBd2fLMbpqbO4U48zPKYKrpMNEDztdP6J9
h83danLtlhWpA73fX5V1oZ1kXL5e5B1hdFaRVMsYcs2lSzJn38fpacrQmPQUyRcA1eXChHC3bGyy
J3xT6Du9q8ajrnnjoVXATfXS3QGUQkMRDh3x9fSXJzUae81Eptnrfrmr4qajdCYYGWBhtApD7kw7
xXEqTHUrIivbxTh5eGS3O71igCFpNLBPL1DwlFgye4ibv8YdOxx/PaCU3FdifGPc753ZFS0QdG6d
RDTbKpP1tw3/3OyUFeZzp4R1HP7zkPd0k1TeEuWq59eE5s+jlRYKZULxEvmd+IFPhp513pIC2aBT
k6lVHxufj1zga2fukvLJNirSmpIFD1ogwOO6Ds2A/oIKEDR73/XEIc67HIl4yICCJp5znTKjWNZR
hwMF+gN41mw6k/PHb3ApLCe/cUj5ZJVnoq/pXnsYvPoY11Yyk1B+fV2DyqE7gXKIjC4polsbih2h
CNng+W96BashklCUh978RdYdOTNRxOjJfEEV4x+G+aByGAJZThS03kfBLilGZ1sP8Jgx5tqXPBMf
Y+56F99HScvn1FhXXIW9XbWkfqTe8OjDnS+sYnjpg9FhyiDqfa+qBqsOG5/Rf0xRD0MLraxXRAdP
eTPnVNrWq5VymS1dafsMxV/UwQ81e/2lqL0LxLnx2jhkZMhgeFCN5twjK7pE1Riu8DnXz3EwHcil
KNdlo5ubyZPlxZgPTjaA/6lIq+nM13CSZ7Y9a00zpiPAigr8gjuRw2y/26Uqfuhle/VYka/915Y/
tcqVxozOUMCCCXKt1ySsuiD60x7ZHfMFv8purAU1hBAcfmY4bL1AaCvu2zvwDR2OjKH2uC3oJTUd
eRyGfLIj45xqWXhzLZQgI12zjQdt9siyUR2HvHE2U6DEFgTHfnSQe45ufMZjE+PVmqaTABqy7NjG
b2WVw92IT7ldTphPaX6G5Pkd2z57NbVa8hAmR+QUjWOyV4N6c5Pp3Uo66y3BrUnuGnIjqRMhRbLX
LYxQW4ZxFa5Szh1c3jTcoaIF1W1G0U44pXFWY+turNZlHEH/zhc1sWoBcw6j8HKSrv0DVVe/9wqP
B1QF8y3wkx+hM6qD6bvFY5Gqqy5T72LqnVh3wxiujbxTG+XULEvVS5U41fdEq2+DVGpXQBk4eErz
l105rK1Ga4/B0ONMUYG7BWtp3XJX2+cE3nLbEWSjhWS5q7p+Gudl2nW0Yzq8whsnJNVSz2ZSV+wP
58QLPi+54zXHsZXNmSk5vjmg+U2i/E0gpX6iz4icpvH0C9IculuS+fE4jA+TLUJ8mVBP8sLf1BCR
DkoYKC2+rE1x3D6oOREXPo3BlTC3rbTli1X9SPzUemq6Nt1oZeDe9CSAfuq161ZpdI/srD8lcvIv
sRMoVHSV9lN21RJsEY/KfurpJxQ0bYo0fnZD40HBYifopicnYUxSzkg1EFQyaTQXa/vkh+qeJCOP
FPYgWJCdclwZgP5Xg0gOFk/u98rGSOAh6BgIXznoGNOOLrkybdbUpwh32ANxl9q1sW/cg+YbzZpq
lUP3ccOAgGlrZDxfPeLvP1RFAGGUYG0PBvq6IsHGnHSfYFdsh2wO94ZKupU5hi6Zv1N1CIboI7em
GLDAIHayZcelT2N6LVMGpzbPgXNsREzxfcZyvsueoazyFTuX9IgiOlzKpMwJcyHwyfWVf7FHrpBu
+ukOFthwFsVHj4oGVZfGKLrV06VOjgzidjIAO+klh24qh6vSkL4htgsWTpOP7ATYpzqxyC+0GYZX
9xue0OrVp+VymTJ37YftoTeQ1601FHLbZsATZQXuJ9rYEvJswO0gH6OgRVX7nwevScKd4gGV+jHP
d1CEu0pvn3EaF6fShrAHrTyAW1Z8ZMYQUjoVmFn8+rvopoaYJ627WKr75jp0g2sbfQ58b7EFeGA9
fB18zT/gmfbZj2XmtR6+SzyQl7hIg2vaxu8D/vYNbGaSoV1jp2IHAjT3Fcad9qIZBVIoPsa3TPf8
fRK2PzUhm53TaL9COxsfQpF9IDzWVkJL5KEspdy1hUlgAjSERTBWAqOJrIlk17tTXYHC/fJGiRop
p59E9lkzyGmIMbhelKONqO4wFytNtCR4YzeG2VWUpXvypiK9Cd2E7/HpG/Ho8J5CwWIXRQ90+Mut
3rnaluXXOqadbjN1Kr7HBttwjdbX3N+oV7Rhwh0JgNHOszP0jH0GAEryfsysPXuTUo+dAeluPpmg
QdyD42kPpNhEV9YzNAY9kQyBI95jaEZpMpXrQYz4En0pwS4MzhGC/Hm0KKUs23jzB0OtB2V0h6xT
1iY1IweygNWKjTfR2kgYPzwMZWrSANeBRX9M05hsiqCpl3prQ4VUc2onIRTf2iMqVgIbauRV01B2
9KE4Dd4vc6yDqx3AO8rKaTgBbR1OZGEvDHcskcoq97Gkt7Uzuw8oIs7FaMQmnREBqRlgwrRM1hIv
dn+kJA0EzTJkSPSNJFLA3VVvrBrgEguYJPLh6zAPX0JDqJPdlMGRjNYTuKfmWsE7vHZ7HJPhhl3a
UwsS8cWZ9mNu1uu+ppSpncg8GJplHJr5q6YiCh0u3LCeRkHEB/72KnYB2MyHuE6PqYrVFTaTzxQw
bdfScAGDdQI5cPdQoRSF/VG1e4uw9aTxsO32L1NUWBhdHcTvGHHJUgDnOthWeIgyme3qgF/YurTW
EzcsPiz7aiU1HKa6G1ckQLS3JMVCRioG/MluItXMoNOQKh/H2ABr3WAbv2lqnWjRxnjK5h7MpNvf
4jIHzmr7yQYzYHwOipZ7ldWhTonuqesU75Q9dS8U4vBk2Ayu5FS4r2Jsqo0a9Gz79bJ3tJSHaehc
VFf7x7KM7pEnWREivIZtTYI8bK3+RFbpj6CslqAp5XOVdSkTy8peEPgpN+A8+RiYWdFgd48eU7Nv
roHn5tfxOnQoapLc845jLD49XHzbRqvfBVaIJg7Zp2RZfOwCD8kFhf+qNpFJDmV/LuksEDaoUx/a
pX3gU21SyOgW6BGkOmnFfpX9WwCGLbYeyV2hpqgK526Y2g+dhLfR9VEskFIJ9kgQspGxBHyVUL6K
P0zoHztvzkSJRrvYOJMInmpaV/1UyZcaIDUOUJf8MlO+COZOaCzYEH79T4Y7OPetVTQ4+qs91k95
7SavIo12Wpb6hzTU/UOTBQLfProP13W6i0OY06Jt4veuyfRLn0dsklNBxyIwTxKW9pUJWnwggUit
IDOMb9YMOZmS3jmoyoOTmE7jVmT5gV8pT1U6dXeJMWLhyMDaQq5qrnk8NbvUbcUSjlV3TKwxWidC
z95UQwKrHT+qlHY3ze94F3iD91E7SQrUwxk3JH3e7R4bcTchYmoKX4M56ngPndX5D05ZpAe34vu1
sdPA5Mv6apdEZ/hIiLo4Cvce99VZq1Ech8fYTc2NFyjnFnaE0JQ6Eb9wsazD16FRuMY8P973pR/e
pro4FvPPMNQ/cIXfYqaJu2mgAeB0ejou2oGQdrqK4N26mlF8TfXk5OW1p134NcSizQLZRqbZyWxD
nvYafQtIRqsppW+XgdyHrxB3T1Hcdk8SjVqetaSs5+mLKVuSi2VkLQ0wKPiRPHGvNXcVOLJ5rdKw
PdW6j7bNWHe9dD7TbO1nbfJJNxlqTZS7T9oEmbSIMnb0iuBwXR3RBRu7MRO3oQo/CRXSrp3tiEeU
TF0iho2RkTsQtMgIXFvdeOQTH25zv95UQeRd0fIXj51uLUaQAkd9PvhWz6amC9y9G6FTNc0QP3xk
UBT4MPyn+DqkOWFH9YQcC6jQsms9eei1adj4NYIqPTeANyXTq1CC+lvWoPjQwi/xSOdb6SiqMmQz
1ybGQsfWMN6l2vhsTNLeQkTRopWwwEHFrWMfA1JrFqkWwWSYgmAVFn5CzAE1dtypJ80Mz9ZYVCd8
F9VpyKqCUjC3n43aG998Png0OKbiYSjYUJS1OX5P0vTDIQjL4q9YBFbSnmSsyXOeFGRdT+Ghhu9x
qPUSy5Ast1bAqijLjd2q+qycaU2Dr8OmFBvkFjvO0e3idF0l44egHYX6Cmw+diN2JXm1N1PZXpCG
tBfX09oLjYlp5ZAAch4COFpFpIb7GJSPWmffJcDmBzcw2jvMTQTI2vRa9+wPS+R5k7KSE6t6ekqV
zh6kIA02Hi5J0+lHEbMiU49hZwKK5mieWCe+/o0zYDwFZAC1AaZixQfZNvr4GldefG0jsASFLs51
IHagsPoXu5dHSYP5VzY35GOfrEHNfB6GDzqdPz1tcLcGFlgiCUxBDNl8oGfPuQrYbtEY6wuKMcZZ
cpt6dbZJcd1sdUdTq4wnwKGOrfGtSpBzooe+x+MFYm15SWXenSPrR9PX4j0cMQMpfUoedOOWqdx5
QgdEXrPuovU0thbZPltrnlxLdDELs2Xa0pO6eG2iwLsqs0sPPtvj+YaWfPzflCMAaoUN2yQnv0i3
Z55YZz90I0WrGZGlK0I94/PwXbWl8zxEGUBTwznCfl3GnNi1MzcxUYjcSSX0HlL0PiC+OCceXeAj
soduQYNNrbOhn9ZJkbs4c3KAF6NJnzXy6UjWLG8lSuD5FQ4tIj+bZjVrmiAgT/5rzLcuXI30Zq+H
7hhnCNi0OSUOV9yAXXuf4ebz9Ulimwgb5Hp0n2xJ2yAz22RFX8HYcnZJ9SzM4igLki9akoFRFtn6
Mta0aR+6PfLBkGzqySDkFPsY3jrx7naatjQK2znbIn+LTaYyIFRAQyY1CUKjpKGCXbk9m6IDuFKN
5SFpx13StT7F6ESgXjPKdc9EdyGykugMIjj389mrgsKlVcIpVKP/Q9OG7K71hXoNPUKjypQu7tcH
ZT4gRGMpiHr3QA2zJA2p/DR9NLMWJPFn0x/yTWzH7wETyV1BQNVu6P13YeAe7OPWf/OhIyx8TcsO
3uwx893k4uQFMYUGNpnURogaopPeeIONKqaG4hawPJzJbhteLRT9rLhrGX0P2368NOhx4DUP9lHn
F5KS3V8cRhxrYmWZI7TxMnL96CCCJD/7hMjn3ki9mLA37l49gzEgwyR1/PoqHYr02Iq1wdOcGwi5
9CC67GEqNO3WV2F2rsf4os0eTPA9GhWiaxAp4tXnISnkifbGRhSG9aKEvPt6oj+6Q+KeGUITJRSR
8OPSat0KkwrW1Ln6Bi6ku8XYhdHq9KA7OEy8nMziAlNgiQTtiQsI8M3WX8hDxnRJlhBel49CYo0m
m8y6THlwGLOAeKMIUIQ1MJBRUd7OC2yz1OosPJadvoTy8UFJp90dVEjkYjfFoUxxlDleQcfCtMTG
ZK/IHYGPxBnaa2b62t0A6YE/Seo9xb4Q/ka6FrdY7zSv+vSmAjbIqsvP1qDCW61H6iGBFUJsrHYL
ouinKeL44MYjwa+t/SLsnmo/pR+2qHCjQirAcVMYEWUC6GKMteEWgn58D8iYsyP+OXFA1O84tfxR
371qZvvSJal+imnPwNvI1hA95ZIEtOlNekVAiEGi3/Mcv1LQ4rL5emkkwl1JSfRS4hW32EyI1dFa
cyOjeNzy+FyCMfAuXwdsRjuisdw1FyZdRIQu2YsmSuJ1zt2w8ycbwm8tv+d0zEjszaPnKKTz01ol
y3hdb53SadipzD3ngCDz1kfG68J0eujnZBkGcBTI+At2RtqXm9APdg0ZR4+9Ge9QzdhrNYns29R1
zOBG1MAERByypEOknubJMq9t/yHSddyUAw2p1A4imDvetmFTSnJEKR57L6iWmaYHO5ByZ8VgB6V1
VR8VNUoIhtbM0/JEspC+6DMaLwxgx4eGnujCNMZ7FmXmE9UNUZOkp/W2POVyrLZexlR/tLX0sc59
dWp48Fv9tHdJlb2IpM3wvZpAG0kAzvqRZlH//etFUPev09Dtps4yjl8HzVaIx2q9PjCaOpcg+b7Z
sQ2kpIAgFB4rrWxvxkATdBjX5LP6z6GIZwNtbHG7SYxFAJq6XRpMasGSwQRX04JDPjbJLqSGKQtX
vOBMt5ZmBYK4p0Y4g9p4Kwh3Skor+Yji6ToOzXfHiq1VmTq/SvoRJ3ZK9jLArvpi+TPVcPb3DSTp
DO4MT88J6iHEw31E7kRomWUOBxev0VK19bSviXmdg6ScJ/ZC7qrpxn4TlM+BX+aP+qTLp0k6PuUX
Mvas8SGtZLaOFAYbQ9QXm6LvuxMROM01MdnKRPMBaPkminxIs7MUoYF+su0HQDJzYNDZL2mqut5j
BsfmOkZdyfya7y9LgvZarFzQXKpop1ToHIZRTsfYKgIaKQFIPE48hQySBU8qhpJlc4AAz+CACGO2
FOUrHKtgnVjcKIDpjZNCGn6SWO12RVWjj1ALRT1BGSwPocuOqxF5frHq712KHcxtve+17cJEnwsG
6fqUrK2ZHZw+I8yxoodY+5F7+Do4KstXalacf/1EF3Izlqi5B3OFgMfbZaL8D5LObLlxHImiX8QI
gjtfta+WLe9+YdgumzsJbgDJr+8jd8SMp9zVUyVLBJDIvPfc+NTFZbji4HkDAYFAfiy44hWhexji
W7Wdv9JTLO78AsEPV0UXDmtS38EFtM6G/38buwjFDnCnfYa4ZDxYptnwNGTevmTWli1LsG7c/7FG
VL58SHN7z1ho/jKqnHsQLp1LZbvpKZ5na9UwqF9wSR9pzTnmFTkdoBnuRBt/+KFrPx0yjdELO8W0
datqT07fCtVWBmbWJ1zVmO7tTszrYTC9nUFy3ftgnqNOp1Q4drxK27C4pVsDmEbCA3/Lnk9NaZ7t
JI23ZYRkuIvEcJ8E5e5vAq1GQG/Cp2Pe+I92qcxtW8KZnbkXn4yY+HlhIRB16podsMdznsNf+2hT
h+gM66kkDuwz9Pxj1AU810REU50174BUTn3Fqmx5MA691ZfFjqK2X86lPx88fwrXpsbJ3gU6ps/f
Uuca48mjAbmpuXkcpJIds4UmJ3VK9tuhmlHn00u/9Dn3vD/uLWlM96hA041h9tFO5e6z/zdIDhva
yVMTHHiPfogs2NmjcC6xKXeD6745Wad3Vo2ElZXAtmlOEjBHpTjE6/oOFsnZzOphQfDM49/REXD3
XibEyJJ5OBzsyqLd14BmNNBf77IRGEdJC/ZucsSTiPth//dd1FqvGVv9KdYOnbgmzt/+/xVuUjG2
1n0Y3IgwPYCeOfaja6DJvEogGg22JBcUA44I+pFMXLtaMbGp7tmzcXtMzL3tDm7fbUaFu1aTEYBU
jc9qSCO1x3B6GpibvwDfSU5hbuP79xk9NqXNNN9HXgiaytuFGWsiz7t1R5rEWtPBpxUlv9phwrFO
MPp9Iw5/7U3bhyGd9A4T79p9iUL7JRe2u+ssNEAN7ytOdl+H3p0aa/NSUR9fZO57x8JND37GShz6
yjwWRQoWNjeLl8JtoGhnKeHaOkUpmU5Uw6S1oo4wtyM/Jlyveb6Qyg4KQolrpR3rvmja6DmTkNVz
dy1lghDDztI7Svp+i9UWQMjt2zpG2NSbgbMV0ywe2Z5+xwqRXiiSeTUEhPxCcFbvEZ/WFBXzVzN7
85LKq7qzu8ZZQl4uAaEIYz/ApNxlA95wMjyTVdpYyV0X95d2UDQzM7xjvtdDxJtG0mnwcue1Fa/b
0YpWOo7s098XFxP6CYpQu62m5jMfh2g3SpuLKzemrRpF9urGHeLglEbg37fNmO/CiraQoR77NC+/
A1O86tAk3jMmQSG4leMpTIMPLSsKrTbfqyzAzhuN7wzfo0MJOfccIFPw5m566HNnenBoxALTW4ow
7O5ACchDUfjltkCytGKTJMjCn/NTePuSliUJla3Ro/WYo3Mvz2RpknUbD3sv9Pnu74tsqXyJoMQi
4zf3Ie0ZeE8A4hKl76LCXzvCJ4x9sonknFzioBphXbHX2wT8clesK1Lu5soUH8C9n5s5HC7Cir4h
iMN4RO+xEjWs6WKQTyRaniKzby5/3w2yQkxhZBAjnGA6AChZ+L2FrclzYF6n6Nw2zjx5h78vRdy/
QaVPDkqnCN6wB21jP0HP6nYdGpySkJwBFPcNjZlecQ9n16ifj9qWR1+Xz32l6NfSQ7+olMmbUVTR
huiI5KBNrgi1aeqW286i6eT0WIVz8DgzHF043Ln3yBiCRyZ7UBj7kdjPWO6yJLBPQKzUoz2jLnAq
72fulcCuaBhMlwt2rlzUjIT74sUoTPgXuhm+mDLt6x54WjViE7/VYPlUJee/X/19gWMWn7mpPCs8
EZvKVSSsYkPMC3jeuXmFmkPPo4rrLbF18c+Q54/2QIkRCAdrZnSb3mVSHSuEIxn0SlY53/398yLy
zVWdq2CZom+6Jtwxd0YLXU+51Tm+ha9qozKv4wR02xhc+VT4qSbbwxm2VWWFtBV9fY14V9LSEqc4
0fqqWH7enJ+rpgJxZSlOGMUcS8kf3y9XJhFIK4q64ER/DpGeGTsPuTdHuzmgETCThG4NGmRpr7fK
brAEyjK+1CnSvq6bFZr34KT5CM+W56WHroe1Nc2TcSIjqdtIGFrLOJISKDVDiw1DsX9RMylCSYNk
V4iiOdLSZ6bSwzpXbjZuBr8H/S3n4eTcvoCgNNf2iHwyap1Nqep079VYwLRBb0u08NOgp9ctO4Mz
4icr3E3QRc1dIUiyVyX+Ws1O50ApP+tkfGuJzDn8PVnM5/dlwgueEpZZBbcdicztl1zXALWYGPQ3
WWfzeMv0zeNh3U1lHp1L37C2RD1ki78/hWb5sHUfm2PtpHRABM2kpQ2Vcvf3/RwyEdcOk3ZtGux7
jpxe8t55AnrmHmI1MdKa+vzsWrRXO4UYuqE6KCtvm0iQGaIjEgQDyBI7okdmiHbDXcPwPx/iNZxb
ksZddQ05EREDL41+yxCCFkK+zysoSGN5iTFcBDGT2f9RzIsSpVozia05Q2Ke/bscN0M9+WtF4NRI
I+HEWP5+NI2vEnVFVppc7ZR7Et1bzkBmmsgTGvs9Eg4V2gdPYf1Dq7JISZuW9bQuffWGNufQ9msF
J1QoxFgTRBHcp9LdF45B3PoxwBrpvaUdl31E3IEQ6zw/yCG86+dhpwVGPg8vnZpXqePcBRHRlPsE
VpL4sHvrnhEgG06yFvQvpyo+hvW7U+UYnOiZQGmPSEby9aFM9WHIcjoTX9F5bne5nDcCAMMA/5FS
8FzQFG6jFxc1LZPIiXciEesmfqy3PjXazPWjmUCTISNJcyLP6f+r2X/smq8OeAYGDdoCmBLDYdup
b7edDv4+FeU2EGy/ZbzJZjR8I8DTMFkZVngf/APLvsxnumTPc/psinfcC7uuOIhwH5lEeZXGFpnc
MtUP3NmJWj4Eznf1WU4EVcrzUFb4G8tlOR2C/iO3+1PogUvg4+eYXrdZ9222JxMtgHedrGHlO/0q
HfpVKB9na1olBCkHiFQJYGfblefYIFrDmLe9NqhYyeCgahi94eBDrAnzjOTqG+VyWiY9k+2CFjCo
mYUpyX9o/N0smg0HB0nFxLvk+dHFR5kTfyXbDWiRZR+9RsJiEoR6s+MSf0wy9j1+dLuOl3OS7otw
3qJ6XLYloGCbtmaUZ+vMpTUrn1KQ5nUJujDPoj2T3EB055k+Mzn3JdbnOltmCZ1PD63dWOxRMBmh
98Gk+mTjmLCVhdFXMaohlaYBZ9QE0So0aM8R/u5xTyFRAmN0av/EEYZyjHli3FSsUsPeeQMFoauC
Z2us95PM70vDWgdZis+PFaY58vOfnMWCFOqOztvGSi2uZcaidS29tPfD9DWlSBfD+DJXpE403ac2
s22exs+TyaQlPsdzvy1wqLTs+G6+K4sM1Cf3SjDy+3xAcZ7Gm5h3tJ6yd48zbZx/UIk9weo8FoN9
bYcRA+30WSkOlnp8AtBs3fFprGfrK9ELxij8QGTEKj3codVZpaNzH/RFiTY2X7vjxmPNDrlxx/lA
hhsHe2XUe9ka63pCpIosQNvZqqlg9dVwu4VbPAQqIusVdxaBStzAaeliEpqSg6zFKiTWPQu4oPXd
corIa/DkPiVbvUSvk0U41WnQ5fG5SZJlg7bNS3LEpNmhGwmeVDgSQ2KEUReWIzsWIvED7oityQCC
jifGcmbpjFeOZZXMCyrwW3qEy0uwPypp8HmM5zTFmm3Mhy4Jd75JaxpzuIOa3PcA9wxskVUYb5lk
7mSZkMmkGI3smOod8JlsRFshwJoIaHUxB/awPiV0cOPAfwwPPuyTCvW2aqx7saI6IMC+XI5EEXcx
7B4XdG0XIbty78fSR0JX8JYN7NTuGY0hvm4xPNKviMlkJIASE8dIv6nvNrHrHwq7fJIzko8E2ShL
C73wojBwiTYZsQz8qdRjryl52AOxe15HsWERujvzcBUOIxganB3+SSJOHqNCvKk43qaMskx89uas
jvbk/ytMYxWM76P7WbfVl54BZJcsSwKRl2gHfuNo2ijwJYNhHFmCF0acy1T+0CxClSa2IT7qKH2d
ZsNZhInaDG39ndsfOSAHaOiMg+QlTQPCQrvwiAJ141jxB92NZUw+IR9Ar5Z50m1U1hBFNEQMu+jX
gQpKeGzTaiNCWt8qXPlWu5ZV+xXSpN2puT1pMLL+UEGVs+jyMnzp0OA0kwFCnCDopDrbNeocoj38
qN1VbrXWnbWyrfJLswOh/d52GP4VcHWOlU1CF4e9OBfN2xRxc+Om4EgInX67CxlTG3K+j+vmJLLq
ua3UfYnUjuUPkca9t8n0bq16Y+DIn6uRnhZMO9/8KRx/m2ePsaJ2jhLaNRZoAChiUXjM1bSDSfOS
5+3W8xFEjxdUiCQz/moz3Poj49Mu2EKL2QpFuvkN8DPUTJXyEWCOK+4dFlEj5J54vt+WV4zcH+pT
/BiX+leOzppdCO8uZGncyvUKow5txQoEThxeZ4FwNUlhcLQArRsWsb+YnWjf0gIkhWFV2zYiv55p
tPE++IRueYwHBpdCGOJ20KrD9BOTQ87B2DxkUfHipSnlFPuXSLfC7g+RLKlEaQCUeYjNHok0/ITE
QLvl1/tGgkhIbFCHHbCNuxIKfJBolNfFE3lVK3fI90SwbzPTONUWyXfAfgCHRZu6ZX+yc+/A5vvg
g2rKueLFVr6ms/XDXfAwCXMjjeBFme0nWsG8Zm4RbczI+M1Fd5KyXbt+DFnQe+h1RprFuCvscQPq
dD0l8q4jgxPlp3kI+wYMwj+XmFIn+iU9ZnHLuk7L8Jyn/Tbt3Y0GzOol4aPM6g2xbZfepc8flSsj
uApp7YhVA7OnSpQL7R/wpGn8Z3PCxF3fAffdotJe+BATgJ6fLAwkGtIAju7raJCYIMf1ELJowqFU
DASmRz2Ld32Lnqq1c2lSO+H3EyqJCDpStS9qwr8DaY07ixnPVnTHeJDeWpFXLkombSsR390IZJ0x
83IhFIUTyEa9rXPGGxlJJXmKDAfprfzq0UPSSVu7eA2wWFnuvJFubwG9ajauNveuG90udfkSm/g5
hjloFV8et/chj1ZShgfiGFNbg95PaJJX66b0XxPqz4oV1HKiyOGlsihtYnPfGukmbhLCrc1N17X4
GKAwpuriVfF1REEz+DWhS/4DgmFE0mTcUHC5cF9b+sIWeBIDTmTvQouxYGK2TsRBG+60xCuVn00X
DHdORyupD726FkF67fzhGOdof4iz8fHWI7FK8EOqPj2bQ/zoOOhaOM+Hrnew4QQ/RUYZIuiSLchL
pIuJZsPJzN/Rl8/x7KbroZXTvkOusppb/akVn/LM/Iv5GoSXesBlcU2D6jANFpEI1TJOqJCiXhbb
PoYFZbgrk+ECAkKbIjRhJI33YsFwMTn7fn0s5+aujJp/OTaApTfWl9xIH+QIu8QvgK6gRhiqJl80
FnIrKFpRJUgZ7/p4GZjclzW/QNnzr3bqxxLV9kIz0YtHYx8ko4R0BzZF3qLBQl7IBENcp4y9Hb+7
Obp/PWB0/mD+or2qsY8K4AVjwe5F1pxpkSOHiKE234aQ/OC2ejPH4LEAQSQUwi2el9Fgg+qx46/G
CZlW7V6yAizQXGcjnmyQhMgWl7Ukw9hx6dODzYrb/B9a8nj50tH+umm+/gkv98lcOhD+Sb9T4NSZ
OiaP5UT/t7XTpemWDSpvLp6JlSxZte5U9EsvMBjodVh3Cn9bYTRiyi9oZ07GGom0sxBC41Uq27WH
3tSqbY1nCzpR0/JP2/aLCHueqeSWy5PNK7PkQlnE3poYu33s9b8SdQM9EgogZ4yzA6O4EeyHFJGL
JllR6Or2zSueSZVHJTWh6i45j3Qi+6WviTszoCC7U/AaxrmBYLCdCA89TRKgemrbHXBOvUDCQcZz
EDGHM5lnZdO4xsOZLdaNaW3DCoYPfVVvmTDqWOXgiuyC5ChGyfZsCigx8zso7XiLOP6t4C+Tt9dg
Ebflam7Krs5+0iS+WTHUsE1PDNQN4I7ZR0X7ZeFX+9Gn0p1m99Oc2r1ttpe/QVyKyE7OrkCMzAw/
/ehs0KlImblBaPEytdO5bD3EgF5KpeFlyWokjESlLMnKJTXb6L9qtPmR888bj0GfPudRfPn7fzAx
hjZvHJ24PNRe+TnE+tpME2ml0BgnWnVpHLB3GTepg0Czk7YB0cPtpmN6tqCbcGlM91cO+Tvb3G4o
xj3CDUqsyD3iePHpyapta+u30Yonerbiycfsw29PxJ4I53kYoQGSSmUTnQ4xUxreroYdFVEkLR2a
dkvCFr4rK3669esWnhDOJmVYO/Ttv0a7cjEiAN8XKKZS1z4GYnqwqidzhHZkps26q4Nv4o8hBYX3
lmG+Fj5pLi22C5DYSIT68uAPWHdwy5fA+8Wbh8ZAm6pfpNK/TAqruxqujZIQCULYmnj8mLGeswEr
ZNqysCX9koY+b5+Ve6eOKA2mV6PSwF9Ha2TSmpzdqL5VIsUqEhGtEpR/pVn9qCnquISPv7X3JS0h
wdq4w6q1+3++s/HovUnGHxC7n4uU+S5DnY8csTNKAUS9pm0gIks4BXz7ayp8+rL9XUb25YKE7/hQ
XHyPoeZQZKw00nDy+JDWCEAQiJB5A0ydPGcqTPjz5FM8MHxqFqntfMQZz4DsvKUaGSyCUyWdLV+p
nEI5YgMo6eMvDU2tZ+vhM6t/zELqBScwBldcwYsG7x3jE9z10wGofXOcGFgEtqGXhujGpRHXq0kI
jMjDi8/8YKVZYop9ICeVZUPXhYu4y7Fe2fYis5pXGVK82REAbcxF26iYPkvXfWZujntIfVOHgGr6
apkFc+tp2iW++i/T/DETxbTcnO1NZLjEXDTBThfwxt0K601DOkXe1J9B5b30eJdhd6idTXjCEtln
tnBm+zI4qLXKJ7/t1sVD6mK/axy2GKLE2Rif6ix5V+nwEjoPquPE9Mq3PI/RhyiFBdjNKKeqEsJH
hyAJ2hjj6XvfcOmJdM22nLPXphcHI6XPTl8Zzzjj+dY3T31jgRKO7Yu8/VfZ+dIaS3dR4YwfEibC
ZvXpetzfM5uQnzBjT55y5B4ejRmoIvfEBN38UxdBQzfPuNFIJ3/AtZwk+k4TGNn0xXEeEbgiAjDc
8WPEW6nD4dwnwSEym70boCrwnXu3j9ciLnapUb2GZlMj2dd7MeL4AEgA7tnq8cKo+ubZPifDzVzi
QUPs7X41Q/i/dRbI2sNsS5DTR1qm58piGNKqD3ZJvS6H/FpFHjpHQrbckCusit6T0CeCC53bsvdd
nl0L0mISAON37vNqYoEbzlvL3tdP3zow3t1h2mv1IEvjPErcHZn3mJTGV46mzHCflUUDwhbfESYB
DULLjxjHR6ivx5GOZ9MymW3xN1BD2ONzKqCVBfPJiuYrfqoTwWv4ckyekSDjo5YgjbvQhmmGotjI
uKhWoHy1P/Idy73jUB+5dms4IxoP0TBJk9OYrrqXOldcLV954V7zAIUtdny90MQaVYVjrVIUi8sm
/fZSJvPxDCVLjv2LV8NcC2sERV79Jur5VSXnvvSuJVUivgvD5lnxy5F1MF2bysajn8b/HFFh301I
4km0twUIhGVJGI+iYIAMIIaWaffGtQdVmU2cnh7ilRkV+75OBxRUEWOl9s4syb3owJ7xv1S4L0Yz
0FOie+Z6j15Yb4ZBvGDXWkdu8jXa6qOqMmR1dr7xDTQkWhPoRSy1qoGHlaTyce63Zc2WFwG2rrhi
/P0McYlVs+4fYsSUBex7ZzxrxRkV3d5nLkmPMVxup1eXQJvn3s72ExC+ICm/WgoGc7TvIwvtK6kf
bUKlkgtNtEEdzOT3cWNsODtpktWpfjLK+tvmk8Vb70Yg+/ocQzmH1qOT9gQgQTeFYUQ94oLZ9arh
QDQx84HagSXMBcc2d0HzkPZGtLRL84cBxCFsqx2x1UT/ZFcvbb6pN2gjzb+3Rd5ReBXmm91SIE0K
13SVcrsqvrSKzzoQ3ypL81XdN+inBu6JCAWajmSNm2MRgycUGhrWQFQlz1tKNLkYKLmi4gFOzGbo
aWaJmUi4kE4GhNz2LZ3FAJHbQGeTJU+Nw0PYOd+312hW1r8wjT6riEx6Lb99y8b+xGVktFpjMZUC
q8wM29seViIJlkMZjwslE8Sv1K5sxPm/wCfREyYEH5cTjW+d4x34QO9w3e5tFRO7NUSUVnrcKEJn
WOJbFN2HeQboEd/ack4ngNfam5k+l2PmfPBJwYU4dj46p1/aEruMsgbog354JrblWvok4g6thUI8
P49BwJiZFN+yr7aVgQnB1hAXe9fl7uZeCPP5FbjJcNVab9bI7AyG2Lb17U1nSEYnDix+iBFvqBdo
BFbDm+0Xv6OL6YGgYaQdrQIt2Uwb5FTjklqPoCJasCIEQTmerCzCz2u7D3ZC71iZ2kPPwOdTWBGY
fq+/FPTYFe4aOaB9MyoIJ03EOy8Dk4hxAkDZVYClyOAUKXA5OTxiITU2h55Stkbi45sh+RB8CpUG
ldUO6BAtor7gGhirSXHlGHX01TpjuaYXkAqvWteVMy5Ht3TXc8jkw2nmgYYpOjeHO/ZSxG2HFd2P
9/meC064DmUI5q4+Vm4HosM6k/p+7ybtpxUDuS9Q8a3iD1zkziJy3EVruAgINLoHbePXLAHnp5Qo
gV98xaXxUA9sRRVdZiRtpewd2tYXP5UEhHROtQQMSV/OA3aW3pVBdq8HyE2Z29Dqcp7yIjC3A9He
m86c/yDTwWoa1fPgk0Kja9GsfUbMR/vmgnANj1icMjoMpRls41LdJbN0t0nDYQLjeglaKdpI+n3L
sNxjbeCCVJg0/RkHIj/s062LkNg0h/rYNR9TfnMmKOqDUPI3GaWxH7v0GI9DRmVH4NhMmkBtfqnQ
UZwk/Dti2oFLsdZNT1HnJP5DICJzac5WtcwzcZTOCLRhwvU0KtTlNDtHy0uXpRf/ZAxYF0GN4zqm
r2eG450bMsy2mXKE/Lu5130ST0uLC6EtJVYZ+T8ieGPEz4t7gQ9jLE1TpUujdLalXXV4K0tiiZzy
w+uiF3S4WHjjmfS7uNpOhb61EgJUbiRu1V1ysUP0B0PPzUoGaCaY3skrnStrPXTTD4Rpzkxmzybd
Xt5WQohloIlZbU5uY4y8tOwXrduhqapdmjf2osCzsag8zt1uXE8jUU8DoJCFBVraLPFpNNWzPbkH
qm3u4k5Tr6P5LossY9sb06GrAUdm+fQSQ12BVnlQA4VPlXDpMjp5RVeKrA2XWcODCGJIP7c3krKq
FWXLDbBAXY230dvmFvh0i4uX4cKVHbmKVnhyEmguCaNUxOGUVFVlroca15Gqol3oWKjwi1eNYP+W
Bv3qMT924BuEcWqs7AnQTA07gPEgKheirKF4DpqcCy5Ft4hUvAD+6O0rGZ3oCp0FOm05+/Hy3lMp
mTBl/tlH08EykyO4/k1pMs+3u4caT1tkB6fmZv3hLxfq1kWg7+YON7mrR/Ju4NJUMmFhe5yIds5W
2YwH8NaGuiSqgzmeEwCBAo0xyWHUfosWDFtPkotVJrw3bPVfQdr/Uh6+h2n2hZ+APE4NEYWxRcp4
TN3YvZX5z+dnW0YQaYcBsV81S8z1tNpMC49RiWrRH6DauJg+NfIPyAD3DarTZT8vb4Kz1d/vpkJ8
01RrFhgv454JWBszYC9bfogu9lYebK3Z1AcvTnFjIcicb4dTRbB4XYlntKNfJhmHqzi1914L5D42
YYuq96JodwKUemTMa9NonxCUbR3qRDV258a2V3M+v2b58Oq0zSrl9oiXlbs51210zONjW2DvrUZw
4SI7lDQRWQb6w4+TbYRrwHJoKg0EBRzrBIooU/qlKhMcRviMFlwbwhizrvdYVqm3cP0VnlBouA3u
5JqlIrr20YKTTuMdOFHgVnRN9H3XbQFNgmX1i32t8se8Kp8dC3GicXsDtY2infMXRkHF1pt+FrNg
CoymE6dl9jBXZMP31kvkzLvAbe5nIY0FYbAyN3mALQDvNIq4BGQLT/NHCrN/mbxvSw3hou39p04m
CHIK5i1OaECpsI8Ray4CLhjRUx264aSq9CLrkWM1ns5gVs2ueITcl/CjFddOD4emj440i1AuvIR5
QnmA18ZN/RdXf8g5vdhefTSc5klW1cmKsXDLYWPomTdDQ2/yffXp2MMHbB/ufhmtmNYICUqlW2QE
6cy0sb/vzJFBOUUtXA//Nk0zmuCeKoI13if4eItVoprL7Fj9Ms7MlxYdbeiKFRa3HtII1XEaUcSO
Z9LTh4Xx4RQUejXeElrkiyIZkfazsj3pUoeN0XsWACwUD7YuOHLnkNhjQAWwoiuHXnyWQsGKFast
neiD83DfRmwECbvoY5nt0Z3romtWs01X46mBlXFoQv8Bq86vaOS5D6ZvcDT4vP2nrGM8xzgHdSzZ
nX6CztqZshSTiv8JYes5U4rt8PZpusKGq9DkLwDbmKmwASwCdjia3BoXjy8hJhsfwxD3e5mixImg
9AGWm9dZtIaMGqwxeEYLGEG7TmZnlxJ8Q67ktp6SI+HSnEg9dyTyjufmVLD8MxBVCyB44wocBT2Q
TRBHd6NhHLSf03v2xVtb44G2GE0mH3nXXSiD8wWCMh7mNDhYmhEeJzdHo7e13PLZy9AF6uweqMwK
YcT9a1UZgrurxBsnyb+tfO5hMQ7FsFdvuem0a6u380XWNuUmnuYPFM9PZVV2DPKt7zJghAgSlU8d
QLKra4qKwNsqCaxJO0TzRe0LIBh0bbj2jhWWENS7xp51t52rhjUQZ/1CcXRhAqM/PI8Lz/a+samu
HdpeIqx2IZaj2jaRBkyfTUCT1quyhbpZaHsSQ+x0XjW5hyYhsZ4zJ6VsyeM3mlWfLNitMTrNGq+v
omm1r22/2TtCvQ5elu3GpMUZ4DUrVDZkVQQt80BE+r1iyCKgs+ucdiKW9cWU2/i4K+udzLnXxjl5
CRNpMZApXjbGI/lPGO0IAA3loZum+0AWySIMQfOp5AHD3q2DHD3N7Sacxa8rNY4Ll0+tnOW2Ndqj
PwSvVnWJOx4hXdN9ak3WBkqXQ62Cc0FKaqkqG6QhOpOyYYswXMUelzL0tYuzUaSbqa7WM6Qk7q7d
gz9hu3Y5hvzVhOB9Ydr+VgfPRZzD0AyQVfTS/LQQNKW5pLKI9W8z+KvghlGKTf0cWMNZ627pK/4W
N4yLhfBN4NPeiV2Vtldrq4UX4HFpRfOG84S631IPqvSWwBXrtYzi13EorqGVHhFjHeeMqisZ8oWw
KvyuULmWPs8MklGajPF5khaXyIwWSmkV30rZ2KDxADDa9mK0mMAArH569GfPX4bNXSuTBx2UuAK7
lwav1xLTFM91DVUdMQQ+3/4Dds2HMa0b5M8LvFSebnkHWjbG3gd9PfnovV8yUaxCLzxRhZ/iLCey
JKmXbYGfpQAsZRl0yvEXRQeQuZzYEXXF3x8jitcpF0+4EqjZvfo8x9YvWctqmUwEmSDIyFx9N7Vk
dAiJxybVzUsU2EdUeV6FS9caBe9CKa5+LBC90vDQ+RE+HMw4mtlUnP0poSG4SJ2Y8MX04LvTkYzN
dKlyTAWFMJDnZVB94tek7og6Kw+60PidmlcGgpepNb7QvHErQZUUviqc6UkYXpFZferO/5boiebQ
+Re/p2QfL4yJvltDIoC2LYh549ZT+ZtAewqOkefAt8AIj91XygGPYDwl+1AHa3Ti0RJek7UrjTqj
kkK2Eq+y7JWEi2yRWuFT7ElKqn7rdpyv0mL0JJzhn6qCl8azKXhSC5h9520KwiNFjj1j6Lovgp12
xuCsOqd5GNT4w0DkbAKIAeSzM4RkxGFLhtPNjqToa5a3FScNlwBn8o9mQwE5gBvGyzZeGagZ3MJw
iaHZaRC4FG5eLL36vaL6H8OGs3XCDW5sqwSnSuB1vA9ZwyFjSNJMuTEn9JGcPjh3hbnFbJstABcW
61oM6aFlmK25URHsLR+9prCpy4sSSRB8Kp1yWgdTtrKURfaVSXsQgeGK134lOxOlYCuvdlHfRXHE
GBnQTqZ8MkwKY0UbtluJvGqX0Vfoo8zKJEBkwKQJRXB9lnkInCJ2b8IW767O2VV4iiVFWIXHdGqT
zVyf3FB+jKRyIWylWp9Fvac/yrw2gIYbMhkuu9ZaTzmbat7H/7wB63kEm28RlvdD43HfjNEW4r1n
LO2SIUQW4zoq8qtpBAA3GvtmlTcW45VnjM3C4gbDukvJGu8/lOKIrXMOJgItaOz2NhnM0v9qfOec
eu5d2/BjxuSybS1lfmOcvu0yKqeahEACbLcaSctUdBQBm1EgCudg/sfZme3GjWxR9l/6nQCDEWSQ
D/2inCdJqVl+IVQuF+d55tf3oqqHKrlgA42Lm1D6GtcpJhlx4py9146iFxvsI1Nli18z5X4z0GPf
+BLQf+ntM3P4wcoPUSO4CuGBGiJjs+e4GBAoeQwMZtoBHS9cNPHM4WuYefgBEKEB7sSFqcyeRaLA
+HEjA6bX6GxKSmG/uhvzxtg6gc5uFubg1myc5tLCDr7pkFJtRdztisgN1mPbLdnfEMyC6nbIvLc2
EuEaTXgT2d5G2EULM9CdCZDN8OgUxaGRq6yOkYGI8CnyVLKJc3Od21x13zBR4SQVSmtXeLTKRx/1
wdxsCppoXg57gWLLgOCh6SfS9UL1Uz+lnPhPbC7b0E4fDQjIO2Eutp25M66N7cOuExHdJqxaqnyS
NLROUUXawZxb6SapGlxwsTPsO829EOmi5tSn/kj6od+4UpUcBpNwo0JG06Yfnxn8Fe5wpYD3NjKw
/6zzOd/kPdG4eSgerFBN+7bhMcCYAtW465DDqxKFXTpzvnEDiHL1HYG4TIcHugs+xR2juWPpZsYt
m3u5mrwJZtpytvOnO5UzXo4Z6hypB8qN3YIXJkp41Fn01CsaGMjg7TUgG7EO2kDfZKJntCpAlVnG
gdLqZoTCc6ObNn9FqkgMQQQlqg8Vwr82RPsyzUQzvI9IzY+JAPhLvb2KSSTe+N48n9Bf08VIiA+Z
PfkRykKsbDW9R2mR3dB3GjehOWFtmYqTY6xbUYeE6nXcwgGJDyD6YrhYYfqMQ44Jh0yCHYr47jy6
ICqQJvrxpi1hKAH04BzRYuxhQFvfO5k935TCkjtCj/OD0UB8rRgWPrvVvO21dWvMafYXK9MWro76
iMcaUm5eDRc/T75HNQkeVsjftqyChrY1MuvxAvn3W+Q+Gb4gCIPAqS6ZMJKHtLpXQT29BZX75sn3
ZvyrAkJ6/ptomlRv+PUNfL5PSphoxdmNz30VZge4r7SUE1LCSt1GJ0W7FclBBA3bL6oXS2fXICQ9
teb/ayXKyrj7fEFHnx7CBPoY9tsb5OHOM6OjcgMfq74w/qZJV9ncCsV8zOH1nvtZ2fcWPmRgU8mb
Gc/fjGZ2CLhPkROmYlzh+JXnz5c51jFS2WKb++pxatKVhr6CzqyaX5uZc+KQ6/yJ3DP+Bbf78O4R
atffm6VgtP0W2687kyarEzBdg/9j0OLOxzdx7QbvAFp3uq19sFd580ZBhkC/dyxybbW//3ybSKva
ge5lPexmdTAFm4wlAbRTqRNYEttNtZ+cVNAetS/mlFSHwinHS++n8Spvu/KcTwN4NuWRaTGhW8Xe
8t4mJw+mo16OBcyq4xtbme65cMF/arYDWoZU4YOQ+T6GqXNjV7I/oT22Wd3y96YCXQOQpLsVs7p6
yjYuQY4JrhjH5CKaYYExBoKZg2tevMIHjyD9t9CHgpIkKSlsMUE/WcQZuQnd4Kn0x8dqbvKPyUQo
T8qXebHqYr41oVEf6Zr2zL9C94RbAsFrrCgVMXZ8SEPfqzirrmk5PwnHgVrQsVvjYRBsXPUYb2zI
nNvCQnYzGiFSuxF2SGHRhuhkSr0X6y2iquIu9uJ+55FIv0V3kVLqZd5dt/ALGZlgXy1QNnmt9nYg
xB4K1ZJDiD0JE9ZYrZNaojNDvr7BOUBejh7Je1GB+t4ZRXYrLT+9Hf7vT0HWeAeKjr//XMp0PuQO
S6QuxvSUZli6pZk2rwM9zUS08Z8e0+G+XSErcE8JSJgNy/oCl6m7/ewgLwGDmz4UiB82Q9XC5vbn
CPhGqHae0+0mh9idGCzNFIfjgaMPTyONAXZ+RGwLb3QApvMsQra1kTF5FlqvJI/RbWV6zekzWtVN
1t5jWikPPPUmYpinym8L0khLGk4LJziIn8ZAa/4lktbngl+m9IqrWQMbVfaI1rQo+TsNugiQtBuD
U9Qla+nSkgFZbZT0mWcP/jFdbFJjdBsnDf97EQKL76J05Y/jtNUNZ8oBhExgxMeYjeZkex9VOALo
bu3oyadLqJCgMK0aCGbtZgTG4+uS0gvEevS3HrQl+kUiv4MAvglrs9uOZqoveICjlRQzPrckg+0K
A6KiAcSPieP8CIP0hANx2muZDS/uCJWqnNQE8ngeXmzbeAcNC+Nu6qMDlLJ67XIeeJ6KaSHMta/e
IIxNhah55yZ+9oqA0kkUckaT1Dtp10QRxbBZEuXhMLG8fenJq73YXay0yHdBz+mj8fppVTOMwJIw
wcgYgk3MH536BsRhPMFvjHtjOmufKY7wpzUzoeBoVYzXh7Q9tLKKt59fTzJ+z+QY3ltRdt8QW39r
pQbxBoFjPkoWjbVRJ8V9OFwCjSQNBFqF7wOe00RRumdyHxDdo8p8NxgWUvHxxcP49JgT4c3DF4X7
UdFJ0UYyrmngYxoc/LtmTPqtnxse+jsXdMOQNpsusNFddUZ2terhNKJ45jiSMxP09UWxHY3RcwA/
7mFCqwRW2fqgLjKeRcTn06I+xKZp7EZFXueccJzxp29VuQaTKZiQ/x8DqOlwm9mue2rCxZtZWo+m
Rs4yN80ewBPe0c5xdiNN+oP0UB6iHROTP+D7RW/kAZHeT0SIe3jOd6Yz6hN9g35bJ9TfJbaM1CWn
3iZ3YlZNdHFU/kbCqXy0J3JHYwOnq+9Z2blyS0Iax+1chhu7B8Db3lnPHAub9Dw7ctwFRu8dc1d5
uNDzFhLDMN7bfomnwnFg9XFERhS5rv2GtWU5xtYIsq4D5g3kHwTAMtpYW0GFgBQpUDiyr9metbFN
Wg0+U2okNVNxm1TWI/p64qAW51OZo9ZRHj2rxe/bt7q5C0FxFZZFMw0zUyinetcTjIHRViyuUkaZ
7axR4itugSIl1MELyp2Nn5mpqkNAu7/Q9HsubksPwPPoQRkyjNl6yqPlzPYZrormcF0xi17cSE6X
3OVFrPfjREd87ig/VVofoPDVQEhrGhgokc29dpZuWoZaqK96m5l2UmyGhbFgcRhbOVp4x8+3qJgO
NbzJq22X41lnVX/JzSI804BcIfL0A7N9nXp7ugQl4W5175tn7DnptrIK1A/uEK2tFgmMkTO8UVM4
4CjmG8bp2+/SsOtPuCQ2QH3Cl6KAIJMFMHO6SAYv1mj8xY3IB11kEkGQDmewXOZ2ord39ZE8gjea
xAtBQYdqIjBrRMFdpzp5HKO7wSxAfqcaeSZdzOqcOX2+gwTKqaEBAwdiH4InWMQH4afBhdn1YxNw
W1nJOJ3pqQyHlEIHsaKkj7HwpjjwbF1bshINYF5nJYOt16XJqkXJC665y17MjvDJcGi3srZpK4l6
PGINN7ZMrO/8xdRFq05uGZf+9clY6qpmX9OIMu0weXVJdTDGebroYt0JI8AXMoZbFrdzVC7Y6Wrk
83FKKjr/Gcy8foBXbJeB9ziYbGGZVVoPvTPdlcDo2KLoZncFVDJCt0xSR9a9ie2yargn4gJwXt1+
WLUu7gzZ7ueQy9XPfwQmSEHHxZffTwSuRV2wq5eHPJzciAZbo/cEGw/3mXsA+HqamFPdVnBzOYoa
6ghO7CEtqYeMgaOl3dMOT5N2eMo9CTop+pgbs3lFUInOswPAlmmcPoWDUowYsQLbMYKXtN31LS0F
NW75veTlk02Dj5hMUvhi9CQVvjsRhZfPnyLFl0ebw4nL6LlVUX4yaYaskZRk36j/X2konScmfWQX
w+GzKwRvPZ1altoggWxw4xpzchyheDx2eaO501Oasuit2xx6K42b2yqta7aHyYN1A/k5GFV725Wu
dTsqkN6+txjVyCl4DFnU565mAmGDo2pp0t44RIo8OM2EYyXvQAg1WQdTXGCEiP3sgwyLc+Z/DHS6
C6+FXqKDnBSfRR0ThShxh1NMdrDvccp1lxekvymUiN7BAMJbsCLEqcyz2qF+gQKaFh9/r6fLotoG
xXjIWZFvqgjem407ctNp13nEvQElQkYvmW3YDCfkXjHEWzuTCo6TF8fAD93bTpJgXxQtYhOEKHRp
K8A6i5TFK374iWfv5Ny7a7dvgKgKYmSirHrK6dZD+peUvlANkAcPyfnzRSgf8/bkMkh28v5c+oSF
w5UX73PJzKruhLwVJfIoXDXvU2ebxE6XLGBoeNO6hOsbf26Isb0bEPbdp6EmW8gdmjfwgi/RFMcf
yg13Tk3yHoqnBxeeAck5yMKhvj5+vpsXd+QYFU+f72BQA41vnsu6Hm7quqk4SucZc8qSaWOYV09d
nLMYa/xiIT2Zq24dhoQLYsrwlpopSMUlU2G0pYJKUNNlLtqs8tQTlP1c011WdE7PXujMlyFOzEuV
Ou4KNUW7pq2UMMxPkyc7NO+7yFU/CPhZc5DF/Hn1HGP6iDvaq7R1tohu8ONWo89ctq65CMtLjiTi
NCLcx1JVIw+36tPnT+AuKRIiEimXPycOpJDvDlS7v1DuGcoicl18ZwDq37Nt+Uc/dP1LLtpXAHrm
QoryL+MQtgx2C3sDFi2+A2agD/PQPE3LOxchwI2nmn5nLqglM5n/pA1YvNjWtDglQmcf6yh5TUtQ
RoBOqlvVhs9ALjl8GhDbR0PpN3dKnimrsXMhS4mUaVwnYTI0iNEsZp7iYzAP8CGsZUbjn9ww7R7C
of/DXkTNkapttIyJefp8SZafDLVIhJBOb6TXwlyeGVVoq7H3dm7K5zo1ovU0m/b+k7dvxGW8zhC4
79OYWKZprA4+xE0mhx4PUJbZe3wi4vx5gBAt86WkrAr4/3PtsE1rcrcnMz7L3h4fJvAhZoujscnA
UplRe03SNtnHbhzvTF8gORyLj9xGJDpB7Li6kf06MAy8EaOt3scpXSdtBPXEL8SxsmS/JtPIfh9F
jiBt6K7Ebtu3PfcBIw23Xxpu3RYzR3DnNVNwiR0So5kFkrXJS+Zy/ndij5Znb/xItEcsWC66K9S6
at264o478EyhOt2aVUJ3jwSZP0wG3WZKny5JoD9+lqZ5q4E/ELliEBFqG6Z1REeSLfR/Ov3Z9K67
+jdpIvaSalukU1Dkhz//5//QFuIx7ZiCRAfb5lUveUP/CDdyhrxPu6SmZvVFu5/KrL/3ltugG9uH
3kzbB6Pzu50RuaSlW9/gs+91k/aHKM+TE+P0a7oc9AhUFAzE+Nr+39vCLHoO8OWfeXnUlac+yqHy
1rYzOSdVJx6XjNkn3GKiIHOm+61XJhhBguTy+ZPZeRTfkc0jKqv+aMwxx4s8Pnuc/R4oML/XbKq7
qOi8NYQLIIaie/LR1wO/yt17X8MUC6EsrjLjOUFPmbF6G3kz+CuXQIc2ks89GrSNxTRPsEJc8riU
63SM3fWvMzO+JnqoJVNYC0W1qaB+mEso3z+u7lDPJHzbwAygDbp7W3VHzxN/0RAwsH3gaPz1v2Z9
DYfin9PSJGqQ+thxXfNLOFSHdZgDBDFoOX6S7/Drb2w3ab8XFRamCPL9wzR44S5U7beyRYBsS5iX
U7+pqzJ4ZSoRuPczY91jWQl5iFT6vUxSNApB6h1im4Qdy6vsazmPyVJp/CbYyvmaT6ik1q6tHSgw
ltSmQ3L0vy5VnA2a0QCx8a04D1ycIyfnkCi2e4piwDupJznd831JY8u1k1Bdy9epKLrLxAxvjtnk
slHVqwxyAY6C2tgqxxYbTuU+Ipf7KTXtd9+pqnVJoNGmSomX9VWfHBRIviAco50Oq7/MhlmIjUh4
NbSGtcp8gw5qw95TOGqmkUAiWVw1J2MuyXvWjYciS56Vpf0XR9abtHC2UUbvV9Kg2VBFbr3BH2i4
4rPsqqVOLqE4l1heOSOY9jZrTJ+xSXxRwt5aYWheImsqt0MM57Uu8GuaXkpYQtVjzBdY5399t6DM
/unZp4XMRNy1lTRN8TVQMxGgjoTE6CEdcSt5ofUUeLRKumg74tLDmUqJ2sHCu7OAxO3NdqI+wZqU
5W6DEjBf03mqHjRpWju/rJg1powG+4ozaVOx8JXj1N+3oM1RgyC4DNL5tdbxfJMTI7DucgYsYHOd
I6Vte6HT5j4FIqbDjJrUATiMebq469o2P9h1TdbwYHnPTVM+gqvqvqfoJy2aY8ltM8fiDRV0hOGy
Sv+wENFZoFV6e+ki+I1xmSbaDG5onZo+Y1a9BOR5OM02Au7wPRbAO6sN5A1tF47VjW8+xMIWd4Qt
i7Jeh24Da7AwT4CXIblagXF059I49nIKoOLQThwGl9GX4XpHx+jMQzZEA26CbBmQkde1iRo5ryE+
1A947+r1jEFC+qYAZZ61t2lroYKJBKoGTK1pcW+ZzTl0o/JZdL54aGtnRbvPPfQSvRCmiztmdtGz
rIzqYFlhSgfvSD9n3JGZQ/0TymEPKURthoDxhGeYJfs+JsCANeMxkiNSCjNUZA/wE/Kk7o6d2L3h
ELE3XDc/gVNrT7++w9TXqCrlSKmEcFj4yG9X1hLW9o/lr5RSdAjOIUhn5hNsYvF54Ns0cL04YODY
7YZ6LwHhYgwk8DABaXvTckTbxF3lrzoZ6NvCsC8RzLpoyt6CGSG4O3+A0piWrKBIZ/sR+/p5ao01
zBzmEATD5K3p340kk2Sm6s5G9CqF793jsJdd5XHBzMUqD0krVJH1rYkBVugjVJw3w4bm3bsezRdI
8YyPg3Dz6+thL2vYvzZbRy4huUQcmoDXXfNLgq1JXg/0YdSKXgUENFDedDSGHo+S0sZqCIY3TyBT
8cNuwLIK3k6iJSSy2z05sJvPmku9r0Q30DfvX8M0mNDYmeoWCW+8NgmwAkNo/WjxD0CiBIwxru2Q
r9lupvKpd46mdF4wdBhY5tl5IlM8x2tamWILBswA9Xrvz2CV4rS8xiYPuyFwq1WhTj8wKUKVSohX
qBL9EETvGOWcg+95EZZcEd8mKjyOpsr/ikXnrg1GXr8J0f1c+79eNykt1irT01y2L0UKB9VY+H5S
YEFhJs/61OBgDopvVbMkYC1HAHvI/EMqzJPFOn/hoHUsPgYA7wnqmdhdOVBL6EO6+TMP7I8ifo8p
Yq3QfkFOYa2Gfpt3ORSFVrg39EzxxGrfW5XatdYuaUFHZ8BJ05jTzAWzfcQj2Jq97t2uG3TYBblN
U0+WmeADUkh/i5wligLjWBpxlKhbljmQR5tJ9Nj4e8BUPp0DpnMy23mRZ+184S5DKOePIpbdWVjp
Wiomgqbp5C8cOe6NRJT3vhSw1fIzxqHmoeuj25Kj++rX96f4mu9FncIybwnPRFkF4GQpFv/xvCYI
HU01BOVKmVF/HnsdHeoEv3SbeKe8irDPqTBjdg1aFBDvqQim4dy1+iMtYljuka6vIq2jlV8kzBux
S0DuHpw96uHf5jz+1yclIG0pWIHEUlz9+5MyI2DcgVUUl0A4Ar8JaUuFq8yLxZOvy4+B2ci5q2K9
obchN7hxDzUxNHfebD46udNtiqFPaefE3zCeMs3pMibFlS9/U/79VFxzPV3LYv1zpW0q58v652dY
1fy2KVbRDFLJtAkFSshIXgcNWZohTohVmeHj+s23uFR5/35a6LTZlku9yX+F9WWVKfNW1RO8DP6t
aufPRci5lOYHJJROEZ4DQ1ZtrT4tYbEAgsvnyTqo0X6HZgXutTEseheYNn/zoX5e+hRMK8+z+UTK
1OpLedfHRV1bE2CN2GkPna66SwI0/xDQHNpMxIrsQ9GNhzKNW+Sv6jBM3fNvPsFPxbHDduQ5wrYt
6bpEuv77lmlbE0Ym/clVGmN59CBfY2vzIXrwTykkVbtC2bQ+k/5AA4VtMxxfOW/ue4e4F9LF5G8e
Nnv5Gr58TR73hek6WnvC1V8eNrdDEWOlEXkqYXcJnb7a5UkX49NK9XtaA8ZHCnMw8yi70AZ9gl0o
XsHAQi+PlX1JjFkfAbm+OlmfHjjDCFoRSbh1SJVxGJafYDOEzPM8CMB2I7pNKyL/fuxfhB0OCWdt
KQ8UfLDuGITa/kNr58ZfbnVpGxW+EN/2Nlsj+IolwYYDmAFTOU7P49C9lUuL8/PF02BfMscm5Rqe
4UPtNt4mnsP7lM7BrSRG6yY3x+htlkgejaYbTp8t988XI2p/KDfz94NsgvNvvuefHzpHUNKwz3Ic
4hT05fa3ExnhbEKoEORDvmRNbuQomxcXUdABoPu8xoHd31hV6Z0L0s79acwerWWs7IY5TZI3zhCh
8itAbq64uF3yx68/n/z58XSE41ouzC3para1f9+HRl5Cspo5ElS4Cy6uLq6z2XSbcKzgx44dA4k2
D9Z15P5J16rbukuw99DUSESW4KGxtPuN01GbuFnv3xXBYrqnfP98gUaN4ncyi/3n27Z4iUAmSgv5
PtHdwUPgvteZZD8aoc/BXvMOUUmnLlNzdKtNfaI4cW/pHv7mVhc/HYMdR1rCJSBVcMxzv9aBDscl
kz5ExDArO7JAxHeOX3mXAZJzfD/hy9r7QUGyeePfQsM6EKPUnOTy10Yxf2DgfcPSwpl2TK+/+S5+
LlCpyEztOKglFU7+ZZv5x4YHggFqAe7zVcc04WIYjQc0HR2yJN2Gp9PaGKEazzyS88EDaLWuaHm2
+buZwQoivKQ8h/M0n7vBlLeoaXKgmJFa1Y6rLqCM7MsytqcTpv1tTqWf5T1Qo3n8Fnf9vHGwgNJG
ieyHsdFYV4ESr8GBwI7RZH+1TNx+/bv+x+bu2LakgpK2JDPua7poVSvVMGWJVtpyVkTg0ahuLXRp
ljbukHlvx672HsIK2ic6x9MYGiFAmbckk+suKpszMWvydhhbvBEZQhcELKSzisi9+/XHtH7+SjQB
4ibFmObTUu39+yvJQgRL3JVLfDxGEmoH6vF6al9mnzlVRp5GMBXWlQGLuKZxxsG/SNaaRemmTvxH
iiN6REUBxd9NbHpaMG7UNB86SLSgjXmxOZDRxFWoNzziV3794T+jzf+9pvNAc9qRrOsW1dSXtceI
DILAmwnxO11rULNIwrtufGo9rc4YnP7EcATeBUFjWhOdx4lfXPKoIqQ7xtX5688if37oOBAw32W3
UyZ7+tcLmajEE6oF3lRfMqTSN0XqTS9DgP7Bs+0ByDcWR6NIj40r0rs+cPUJbuuL6Xv0WOPIOieV
a1+9TgAR0cGfAHOMg5PXS950OG8skQKTq7rzZ96cOfMMFZbzDsP2nPUc6ELdR29pZ5JxJ6GIJJU9
nrPMeQciqy9dWcOcRSe4NclB3AZpw4jo/+PXZ2flnncXC4P5pfbCd5akVZ2lq9pyf8yzrS9EFft7
DswCuosy4CF65bYGAHH1CkuRLDr2r8JhquJ3drQrypCJfl0uSeDoKfvQfTTsiYG8/U6cU3pJaI2s
GiMCKbW8HaJCH6NEdg+OQN44m5k+Z65d7+sUNWTQWKXewF7fcLQPlfjQZF4Mk3lWaMkLxLrqN51A
/XN9TGm8nDY/y3nKnn8/RRMfJ4QJn6/8DnDkXN4llQ7esFGlZ5mB0HfZ3Xa+DSmLr25cWWXxBoap
vZhzgcakSUm4CslTaMc4evP6Bj2QnV7CpV2WTh4eAlDdtoFNMSEIEitItOeXHU+q9WeYiFH3PBSI
xZqSiDNrxSK7IYUEgL8vLdSxAdFamfCuOU6Eta1LfdsYQXkkPCMAG9WZjyrDlQu8ddwGg82i27r5
baBaehygAkzSN4wmkC/4m96JGn/qpU9iDD61m6poGrSRor5Guiz3Lmq7oWsW91vzJM1EHxLIZlur
S+zjBDFBF6F8L6Xv7JykI7tlyjLOYiHDSCaDmzhMmoOdLRjcDZH184YLGIL58HpcLIPz4kVuD/1B
zI/CKNUaL7+z+/Ut/F9LoaPZvOkcS5ruaqkk/rE7dVNCAKNlwtolotIufeea9/WfZo6hL0dws0vs
+2y2yl0Tjwm2UCIM1GhdIanJZ5cBXZfXRyyr/sMIOx9Cs3efElR0KlzkegMOrM93NBznm19/7v+o
cDTeUM/FISst/VNlC2YTM34HFVECPq7xIcixWnVTE2wSswTLyFexzwFXHkRhH8IQykPTMM1pgNGu
TMPxTstbvXyPSe//8N0BKUc7kehVW2ScY/ZbxVOHoMkij6E3W73zJT4xRhnUfNztLWbWkwjc5J4Z
8LBEzI7YA6xvMkpnphSNfawVzpVf/9L2T83UpYw3lcnuanHk++xv/+PLYnQ0ZSoC8+mZhGMPsBtO
EYnAN/0UdJuGqMAD47P44vq0TtwhvI69wqJb6wcmO+b6M2KmXBJPIfVEsOPhqROXGq/cgdTmiDPb
KffQKBQttuYVuOdo45hFcpltLJwtPkW9sZI6Pgyj+EOFVkP/KGiIUFpBASDvPdw3Y8YIBBzekXu5
OlR9X6E01c1umnzyFmrToiKBoOOFVJSOGRLV5fZXz16VpCK+yX6PTMZ8Negl0W3Dv4Wos/vN/f65
O37ZPV0LlqWrbIv6WH45Edl9A7HGzfOVE0eSHYRkBVNkcHPDJryPcpqGA60AoO0D/B0j6R4R/cTk
wPf5w9zN1s0UlNPeM/roOljYlgTqYM4mCda5OtY0gchf2E7kLm9VMRQny0qQCvR9/OzWdbw1XW8+
9T1QEq8ShYBfJsJtETB8/jzGYOT0NoOfW7CCPXctfAzen+3lulLFHrXkx+e7IbY8Ak79apXpJXOj
NsWegAf8W0vjKIDK9buH7T/qJU/TX1WeI4HSWl8WidhD58hMHIIBwTtocp+7osWZYSFO+HybF+Xe
joLuvvIGVnXDtTcG+NyDU2bOxqEVv897cG0pnP1v2JRVbeLNLoB/pIdUD85tYCfDXTCf6BhDJmAC
Ty+3uB+iKcBLUm+KGFAaAv/xEMzktsSmRuIjf/NLip/P7hTnlst0yNbKVV/PdL3vOHmZSPQdpZp3
YZIOBydy3ia7eOfm+Pv50Gp6iIp+XCtgQafA8cejryHQ4Oeef1NL/zxoc2BAe5gZqFSxBX5tSI5G
UUWsT5wBjHRHNVU8ijiM7tSMPb4JEVrFst6rcTJPYVa9l7a89KwKb0Y3nv25e+u66Vw7o2JX9tTa
7isiWy2F4IHGIWPLifxcAs+b4QdEIffbbxaq5Yb491PmCofCgAtpOxx7vtSoDkF2eCYnPPYdzG6U
We4WMPzDVA2AccM0vJ1ITr7NSWz++8UO6gHsaVmtRrBQOBOINg1BKug7S8r6ld+0P1aIwmAa8TaS
NmbD2QMUeWoDBXyfmO6tE+f6aQYPWwLHezRTUm5G36huHUO8135rP7QEytxUXp3eeVcbKfIrlXyx
dSxL4GCZ23XT8rgjaiatNcjwsnhPZBAMt1GRT7vUeK3SvjgEUN5XiWwcaquyW5W524IUNZxrQqpu
ELWE0zNu/82i5fxcZjNE08vV5H7QuEH/vUmPtlOXI7IxdMEgh0FwLGhT40j/w7hXYCw2ZqjVKs4V
UPYahxTLWnP6zCppIIXu/AlPbqcVTlCzCvdTDOp9aUYYcxvdy/k+NcBJG6KPWIuc/52LGaVOds7s
/kQmVvN3VCayYUotg6TBglr69P9eJpkPxIBeO0YBNzLLhvc2ZlJXaTwp7RC5z23MWRQLz7uOoDSR
MffBqIX+g+zTh2oAM03+BsZ2REMxSL4TTPFqlSJD2hnSA4jVBx59YPcyotuPE91uzLqTm8RysVyX
Yb7lGGldIH2zKlC9NRFTxal6nMHPEnkLzOE3K4X8j5WCQbLlIJ6SdPq+jlhcI/fRcrAcuoupcpIx
DrXO6m9lNPabXk/WFe0RJIJN5+CaAwVTdkN1MkpCHgy+LlBNYt77E26TOQGO3A5Ep2mxsdQIipN8
WTzHnnnm383WYV0222KywquGEmLXc3zXWCyFKJuDR4IeoEiiim4KDTNihooKJvV3va6fe4hLD8nm
P67NAvm1QkxawhAzfA0ojr306rjNH3Hm6vdq0Y+EiaePWRktbs/kwG0G2RKp97F2u+ao5c3YdGis
ZReSjtPpza9XGefnbYld3OPDsStBTbW/HEDo28MxIndqVQ3xLuxxejWtMT7YRCifjB7GHuS/h88/
CnQJVTRyyDdKGyqLKLgYpSPI9k7lnRlYdyM4BGJWonvhqr9KpFWwj1NnmzDAuxHMtm9qNq9jVWpI
tLF/qZJW3MjZ8O56UxSXEaP+Kpyz+YOm6pHEuvTFGgxz3xLod+O72QdhveNVLi86cb5B+wyJ2Bhe
EjP8jiY1v7NJAyDykNFQ6q9J8CIVqWzQUubuc02Kw5H8g3oTOqLY50Nfoyl1g0sRtf5N2pi7tCyW
83PXfWMSGt1CGTuUsYOELbgzRPCbIz9thp/Wdk842lZcCUQ9zte7n4dwYI8G3NNMdb/HAcV5rA4n
41LDkwoi6+ImXn7OMAK4hJBs1GxMBz0WYNVVNNg3JodZS913/QDQuarkfpzXmMSg0uW9sxVE+f0p
K/HBgj1SxWMOmcsAjaZbWzCSuvJxSNbeDGZoNDv5nDs4nsLOM/+UA9ndQP5XXmfSMHAQOQkmACtn
MRJkINV2bquyTWrhDij7SuyaKsN6Po7lQ8Plox+IuymAI0L+xl7MPuPiZCaiMVcQolro8mfG7ktu
zHBtkLnif9A4N0y/WcvO+179L8LOc7ltbOu2T4Qq5PCXBAgwk0qW/Qfl0EbOGU//DcC+57alLqvO
OiiKdneLJAjsvdacY1qs5uKyVu+Dz0y4Uk5iAMZv0/XLNyKCKJSEQFHmSJzYjSJ78vvCPxdkDSGc
/aZniQ7yWtMeLCyKTI5nWN+TV2idSOeVCGLGuPBqOvQl53TxcwAONDZke9Pa7WLLLZjTIvrUFtOM
vI3MWMVGK8Lzgi2Fy7COnAbO440x0LDLiJk6JDB0M9RyEEs56KEI+ldkHi01LTMqLO4vZpe/Tq0v
nTHsRgwvm87NuIpvdfqIV/Je0WgWMv+yWj5osPS5eLUxsPI4XWxKyFsA9cBxnBM7SqX80M0JtMxG
rHZ9OWnuiAXCVTMpush55XGyWSdlOURLRPuociooaT4dolrrn3LB00V8BSOIzCcmJN+Mjp6X2nld
x4pn+N+hEaXXv19e/mMBZsn8T1vuuiKq/jerXjGp5bjpdbaVmXImfRxWSJsaxLCMJKc2hGFpcTe+
ILZ7IksWaPKEhkeoqp8F66y7StCMPTdQtjQtf44C5YAoo/wGwIUoXiy0mv/SyvDbl12XWqofrBjW
+dufCzDmIQwDac6p7I+NN7977I+LTaBsthkz2J0pcNKU9SKSYaVgdzGXbomlxBJU3D/E/TixaG9C
bG25hR5Kx0nCDagj/9DOCWRh5m+kGB6R3UfLIyEYBK48UurJpZyeq3yEZd4byJzGiRF29vD3D0L6
j6W5ZdBSZmnO9vf9WA3VrSbRjeWTCKPpbCqTtPdDhsB4C8LtaJn5vs7V+k6zRYQGAocQc+y+R7Fy
ySbp0FmJcVf6Kr6MzA23xITMzJqS0GStQvDqwgqqra9d0j6EYT9f0ITPT3rK9srUiYPm33wV41A5
kr2iHBMYUJsWkR8WHn7U/fIfsCb5Uc8q3QmFqHPnsPhpYMG+1eKlFiEuVmWOOWoMTv4kZ7d4rrnC
I4pCCospwJTkb2yYd7Mg6J+18WXo8tHTqsbcKYIeQ4bo3VyMGy+SE5L8hsZpVUA4TDWzK3GQCqY3
A5oobjw4VAMtVuhNlQfkpnNks0EJjnBx34QyHkS0BwVyUBKiov6Wz6YC2z4QWDlKma1UlvRo2GLX
T4/S8rjq8xYFSHEqsznlLokMhIDO5ED0Sf44VsABiLtCTyZkS4CF6hBP0n/KF0MTA4hjgo7csWoo
QIWgspctfoQMoi+EbE2nFM/+NovyBVBu1c5MLJ9Na1E+0vi7zXjQXWREI0YIiVQkZR6/Qovf9IOG
OGAKBTIwBiYaQtiBCTTiZ7UB6vn3s+29WtVAm8Ae0BBltrym+farE1VFWsnQoVS57vdDDp9iVD5V
MNHtNMmDysWeOLiTVaWeZCQT45s+fZUW1FUrY54sRjrACYiETaEBiB7yIfuaoH0UUS99D2rtmCI8
/CmYkHviEvQVbikuisemDCZCgEdksVxnbcACndcU0bOGgf0z4q5xw2hOu5DnLd+1pLwZ2QW+yHwQ
GR2jBFkehlU7H9TU1+G6iLSotJjkroamvEX/1QUFVbp5phO8rVcjV95UvDZVMxPS41tfFG1xZs4a
iHuyQGZO+oM5+MqhwMaVb0TSmj5YvFnvelm8zTQVmNohMlkGqX/uaULwZ3FncMMuuuKZfnG2E4y+
cTS6XjRZ8uEktSQgFkX/2ol1z6R6nE/rISxCLFnhvZdvo3xr6uXY1bc+uInSlbIIqpKuw6VSD01w
NaSLJV0CTJe3RocZwUUshEigwVGrFnzAwXL18KsQCvCbgOA4WlvXPzEYHv3MwsYTJjrtdUG98be/
9lWHdDovBzuumGItpUsPSviotkvJaxnaY5I9Uf30FGVPgfC75vrZ958a9Xmsnyv1OU9fqEJ9zqYX
Kk5fagFvAySyT7nwQkHU2Ah11g9EJMEwtCA93K2wcImysr5kGepGjG2vupqGO6w57VP3YdtHFt/t
Ow02GQhmUcvKMrqKN80ySZNpQiRo2yUdgeSBVHC8dBAlh+w4WgeFN0k9cmxBU0cnH3MZOVPNqRFO
pHNpR+IG6/LczEuN1lnPL/TYKdW8+Pmlz5EaXk0TI9GVmjGKWtfSulbFrWZZPd/Gteb5ZvpLldXd
9/kY4PHdWx5L94C5hJPynjzpcFygumVPTZupezkJTgLeKsjLerUPSiO8BkWCBl6T3ELeCzTkDuIC
uzsI/cEgdd6Hlcg5v1RIOIl18NMjZabHBCU3IRHqUa8IFz8F/qkUl1IIp8jPUn4GhTVBssJQmV4o
YLpyeun0S+MOytFKrpV+mfqrkVxL/Tr015zASf2apDcqSm/xcCuMpcLhlhm3xLi12Z3Sx3ud3dVx
KfLtWtmRx3tq3cXxrhcPsXVvpV4+WsR1JJ1Cj3WRoHK1IRzPBLufCHFPLJLGBckQAxeiS3KXBRQZ
QVcPLg4L8koftPxBWUvKHyjfgFz2YBp3zjKUfphJVeOuJvd0WEpMfleu3X5Vqt2siJSZm7Eew/aq
RDehuaoKiWBXHI9ZdE3aSxJdo/ZCBS2740unntvuzLHszk2yFIYcBFT6cFLXSmGSWUfag1RSH6P6
GEZHhsT5cBjyQzocLKKB4g9k4e9VMuihUA1INP/YSlpv/QlZADusDlVknXJYPIZFYjp9Kw7OiInj
cZq6+uI3Fi8n1R6ZoBNDtmj+6qHrCJ5QCYanpyKhuDiuT60HAoCUs6oco0mzSIE3kItDvSDBrp/v
oWU2F6HrdpWESDucYCOmkGMAiBTTl7Cpt7qUmJ/imgEG38xotxqRlueNDBT91Jq6x6Y3+vX3RRbW
od4cApSXuwRw8UY1yv66HnJseteoVwO3lRt9MxWvMyvNS61U6Q0DGB6Y5LuuVumnbmzqfZN9IHx4
v35ehuxoxHQFNbPCnObNFb4h8xexd7HVZu0pTmILwdC8UxccWjSwdRUnsDBzXeF/yi9h3jfs4ck5
mUjhGrPxUda1Z1PTkjt2t0hjg6sknaOWnQbrGK7XCKD4ii6P1OLig3uTtFzX/lg985sjBpdQkTDw
eLfFNekEF102Qvnpws5t55q7ZC0/p9hXHFXFxpFkpX4jowV4shW8aKjRwXDQ2zT6rKXR0xP4u8Rq
GzI+rjapD9WSJPD3dYr8/gbKCIi2DIAHXAbm22FQbMwTOwpgR+0EQrjQMbhogRl4nQg3By6NcZk6
unCskZ1BzGPQJcW0TRa2NGwSgaTCV63KaneQOhXaTE/ewpCdYgt1ujz5nwHXXNti/mj+8l6mw1tL
4wzdIJMEdNBvFAPMloK5qZVsG4u1jxcNfKCpkYvQKCnxe/A2twxeh73WHvMGmpteTa5WqehAM2M6
5abg1Yj4sdx0xCwP3Bf//qa+F7Dw67EwUZFQo6B+NwSYsUMTMAm3Lez88hn4N9FaQx3TMvAHR20U
5Mhs/c6+TqQhJrGL3DNZjBuZ8aI5fRGjDtijT0+vUHXGu6AyPEsz6XaO8gc7vPdNSH5Ta1FdcNte
RZhvvl0ZqVdjDd8znJZLbIUC2WpQ5hmJVuNMU+t0YxpztqulVkaORoAUnio8/D0s0llert/IFJbh
k2S3ZY/vLSSStbYm4yyp8jKGMUGIdD0KhTCTRCdDlnMJMgK3E1GboO8IGzZZ5gstHEbUki896mqs
2P3EmEsWIosoDC3fGSFblA8+ov847xUk/8gNGVir7Ar/fOFiVtI5RUe3pY/dH7siNom6bGm8ipss
Ur7HiIV32JLx9/SO5vNqzRR81t9/Cf0/rhAKFzVWQKiI3gudUmRcZiplC1Aj3IkyoTUQ6r1Wq5fU
lDI4wPakJc0Wk74h2X5YQncoaeJnsiC+h8QN/4A0cWiIHzk1ItzJgR0uHWGop3KrfivIXLkj6quu
S+NkwxdJPI4BcqWpzoZHsNoovFub62fplCptr7CZTriZy4sVdAQpZnjbp6Vd0pYdmRJQkpMU50NY
4duA17w3zVa8KaliPQlVGW8UhO+4pGP/yTAYvDSKVezXP1XFNnY6fxO3OaItwyc9EWO4x7Ux9gLy
RGx/VIzrHAqnQCyrFwO7jJSF4pIwQ48ukh7QxpwHEdLiJGaVh5DEetArfUKeS2Ld3z8QDB/vr9ka
sxqYEHQ+DPVtmxoabdfRcCpBnyFGmQPrbKro/9ZHpdrddYVl61JpjzxwT8YgNbZLdel+bve95Y2W
x7nT7mQixdulBsW1fHdSlmLtBDOVvAa2LdhpStL2JFQccBek+0TDmay3z2N5/FVicFSUg7ZWQshd
f0CVSEX+XpGW0qQ9oTxTi83NW9S1kkf5rRd0nunTHCYU3h0Vd1YIYXL1xlUbl9DGwnBJUJyRwrCR
jzz8rtroRd/zHuAjKUp7qg33vrafx30dHUwNBOlBrw5qdejnA9vDzFwqobpjmB4j0pW64xCcUuVI
IZT9VdV8UsqlivmUzScDOgu5oFBJsjMFniSGhvfBRyi//wQtrjkIBxWdC7D0VrRaSHNrtoyMt/XC
mPaN9AsOqIgucmDnteloSs2OT6k+dX1eQp+bGzKmC8sNlVx2yjSF+zla0mbn1CBOb7R3on2oh4Yr
Yhy4Zdb0LKkMVLRAgmtOLzK8dGkVXsqUXKm/n4vrwubN8sFEasoSgiv0Mgj98wqVN3FZTuB0kZ42
49WCYnOppEOIfA6PG9awmJnQnZY/LrzC/Nn0yi7p4LaHfpScMNAWh1hPCRwL2ugx9n+oYZWdaQxn
5/WRkKbTMZANViR+ctCL6LOACelRJ9DMDo1WfJgnTbErwmW8iqXRvTxhw8w36DA/YfqrbkVhVLep
sSovjGhtG+lQ3YJAvYsTTHLVWqJPzU4nga75HsflfG0jQbyh5Ag3hlWqn3HkpXaZp8ieMjaGczSP
pk0TR920vFiYYaAWE9Uz8vZZhr97xlBunGOjNWDdqPouqy2AFCgpAQdqX2Mdt6yMV8JWiFXfrBIU
CX/yht5Deydb/SfJ4NYtzmqkl0vXvcA7iIc211DLQ71uejn31HsqEtyNhzQXXDJ/m63eJgZwRauB
NQE4oolkZYebEwBbjwk5UfriJmXCSzvr2ffILL8jWwaDJvu8JR+tgcV30xLMsszvuWdqJv6MVc35
L8kOJDBBzTKJDCHCBEU3iMnh8ySuhpWHcqSJ9i1RSNCMor05LeVP+9LY48Y34wOe8bE5zM0h9w+N
dIAsX+XHfjg2OdtvTJ12Gp/m4YhlmSqJaotPvXwym6Wq4DzLJ6qszl2wVI3yfq2+4qq81LSWstDy
z4Z/ltej5ZP9dM7KC/QwwdpIcFzKSyycqaa8RBLCystQXkrhTNVrtcKZ6tmD6iQkOQ1/Z61BOlMT
uYThGRWqGp718KzUyzFVT/56ZFhDWRKAnLrU7waB458nIxa3ldUU94wEM1K0p/iRrFJ5A1FQvs1a
+alUAJIdc5qy5akLTlZ5MngwnzTU0taJq5dgnqy15OwsrjUOy6WrH5ZqBzaeSzX6eUwufL+WlCP9
nOnnNrnEA/xNYpHPeXKJ9HOgw4dZ6o4G09TO+lpCfFmCO4et1J9l7Tz353GtSTsrBmuPc5f+rtE4
UVV6JlCiNU5ovWXk3sVSYXGa/CM1+MdUWsqvj2Z9NCKSdcE6HBR2v2x618qKw0x6gbBPME4re63b
k9wUfUJwQ61raW/m5oFdsfNKUKcsOxRXVVz0V3+/vv1HP56TWuJ+bWDfYPPxVms/inOvxXLHllQ3
BBv/+Z4OrXiKyddaKwTQQOIcjrPFTLgUUTlBttTou7NPvoFbKG44LIVbXMAwHrkJSDhxKb3d1flu
qnYKEb62ruxUZQdS7Fc1KewkwqsBrbnEyRu6W0Wehv6o9MhUzqFUagjRvChEXbpUWP4utIAUgvhW
2+vhAUNhrsbWbpgFaLhyBWQjl/ZUKe1BdyftPmr3geWFZA3zcpAXw69pvVLyJpYGqTf4LjX5bsot
WnEDXkixlB+6sO2oRtxp7Y6wFnB+EQnXO0rjhfCylB3+v1/VNS41c1PnFc0SwxVzsJ6AaYfmh5sv
VqbvFknsw/E4qmwbDeSeb4QklaT3qkCSHnk2tNK3E9AVedvDNw1sUBWUUtkB4lTJjgamsjb5CQGX
0gAQqNNlzgAhu3GmzKFRS0mqMzaOoi6lrWWwwlSdRHCytQoyhiGyrUV8V8e1QXAM0OACoCmHiD+q
1pxWYz/h9NpSIz+2BCnQgXEG5jSowCFcs+3OnRA9Ivw8InuJZlZsig0HNTa/q49sChydpW5la1uJ
DKOgWW8lIFhrBaDpg6UYbAmlbSZ2Ky5Vr1UKxBvafuLkhOkmePWWmitnoBNEv4EojcEhmIduHDWZ
DnTdkifBI5tOs5bEICdCCeMsQg7ToWglUdFaAWsYaSllLWLPkUG2oLMcQKxEPFJy7PSoeWJnih2L
yFzLLtBuTXam2uBklAmNkp0WdkQAYWzHPksGAoW3GcigJZ5mC3E/nfA5b/GL+55JGgaJjHyugT2n
tlrZ8M6RHsdA6yUbEhO0XBnAnWGrgUPEDDWvxZhpapz8JUFA39DwcMjjZYCoTA47v5RPcOItcgKN
UKClMOsvfn0+Mj5ubalqrXx2Gg3+utNpTtMu1c6EnzrgZKW1JsaGWJQjpzXtKHLgCwXKUhIxiaM9
NMze7Da3+xx3iI26BVyuqSKxZIG4HBch27QccwNBB9HMtsW+IyEj1Y77pRrRrkiH05YqBP6I09I2
Eoea+ECH5ThQslMPTrceRz5Hmd8EVCW/1VKsPCn6cBEfOt0404EWRcX8TZhgpMZHO11yVMmxDEfq
HQNeXe+IEiso7LjOUC7VrTXHjmnZsDHRcueqnaq2OtlEtLetXZNkzfqNz5VP18cut5X2tHFwRXfi
1uo/aHOsWsY/V6iKaqFh0jVM4ssl4c8VajmVaQYHGLmdL2NHVsXwEZN7+OjXitMPQ+YR1hCinDNF
BwcNy5NGUl4F4x6gJ/F9Vl+pMt+ZchauKab7AQ2gm/QBy1SQaGjsw+v/P6QYO7aG8WoZr0n3mnX8
a17n4LXqXqXgVVmLMDM4rivK9ZOQftLVl27+pNQvprqUr74YPPafqXB6tg5peI+n5yZ9TqdnaLyG
+kQ1DROQpzB4ioMnc37Ezajlj8ZapvEQDkvFw4Oi3pvkQVPvhULMD8TmssgIj4508zGZBDI/Cv+f
WI/yZwIcvRoh4g2tDRqvro23KYbsh7/fSv+j9YyCDD2AhYtXpYn3ph0m9g2EUH9p3eXGVS3xpK2H
KSU4p0jRLBUDSu1xkl/EUicatNWkY1XFn2uLCzRpNYo9sEISJRiZDfFTROQk8esEwcY2iVrbpxGC
G7DstaxIO80H1h4XSwxikYn3Lp1ZilnJMdNG8b4+1fDjxgCeSTxtaDEVMQloEZCmGWZkPk7jqG1a
tvOpH78QFa8dST/79yGS7HxJpZ8radPLA+tQonpxfASHuhXMJ7MjADbta64h4N9s+Lie1pTZc41M
/YMT3Hjfn2H4gy2ZtQvyB+aLf57goy77iVjPnOCVyX1uUZsWRjPtSS6lRmufSfvZYn2yFOuWXxWA
L7YwbS3F0oVi3eKny5F1C6Wadndh8SL0v1cuyBkjY8fKhVIJ+FlXLixe4mRZv7BuCcff65be37Fu
adf6tW5h6VKwk4+8bvSUclm0UKnmxVS5D9alix/8XrQsRj5QslE+7YAmgp0ywtN6KASUvL5TdegE
zUm4dhDNzn8/S433O3OFpuiidsTpZeH3+fPdTMgIb2FcloR7wVJJ6Q2fGjTIp8m89UgbYfaV02tU
zyiQjd4NSJUBQW3Ox/XQ1SnznDgZthWgOa82owHDE4K5JpXVr60sbUvopbY6F51rMKtieosrk+/D
jzBd+F7/e2p9vq5rf1tAgHbWPyBx8ecoT6SixNGusXLCAzqCSkySt485Hxsm6wnLwasFWXqbxeOL
FcTfi0aLnTme/MdukIkCiWbGJtpgHgJwNczS9Vsvo+VJYjF/lnNBPXb9Eixc5/mziKb1bH7XGxp9
RWUlXwhf/up3U/Z9bP1Tz0DhuUYisaJDyhxxmmDNhmdFMnrlVn6WGrm6W01e/9TEStwkKlKHRAO6
jlKwcco2K5/+/tGBgXq/5EM7g3hY5BNkC/rmsxPplgotzeztIMklfXWVjp8hF1fcHV3hzMwyLLvS
Wfs5LOXr2inXykZCYR3c1lSNvuAcVdggd/OwG9GQKUv1w86ydmaCs8k1rB3RZGqC1NhVateclkp1
N15rCL1uLUFjhexRTMzICR8GTys8Za1m8FA34gydC68YvLHweoLEh+UYDV5beMHgqYFXooAscI96
acFXxYWQM6wVaq48ulI5AeMESwXwHcF+k141fr3aVSCz1q41uXLtZrqrTW6iu9Fafei1a9WhZxZL
laHXDx52lnagH4C5UC48nNHl4E3FUjRWUozSxVIxf4UXEXhC7ymBZ/WeFHjwy0ZUfIHXB8uDQHMp
X11qRtNYueB0NOj3doEdP3bT2IXbTyUmydRLTSQy5buh2w3hrgvZS3ww33rPOqE/qnPvF3XLkGTr
LTIsTY007ysZ4nSLnlzMEtIQ4qx9lBjE5eB1PWIOzEfdiAUURHP0yLCESIwhyjwNjewhrtARJTIZ
PDWN6C+gDo+NDpElbIlvm4xZuobBZ4twJPiW06Wc+vZEeyc4hzO3o7KwwldxGPiAQtI1q1Zqt74E
r68XQVeA79SvJhryQ9W09MWsPnkOzPT78v+eTtqWcZhxRTVNblXOjrkTLZi3vXqQtZIMYBpLZSY2
R1H/Ki3k7rQ1yfsIuBDM4UT+zRQonwNN+IFrov3GyPc2ZML3MNbmhyLhn1W7MrlBkBU+Mhy/n1kA
hLC4HTFoRlu0DnP+1QUyyHlJzU7k7Uz03uu0KTy0CMZgGkaPGhhdMZx2VW3Nn4ogKunyQKggE7pH
4x4lBDGhkaoUXfGQO00vRdgAE9ZAffWaz0o+7M9aIhCT1yr+B+2r915jGMCsFEWV/T64/lWY96/f
O+TDLLG6oLRTDRiBU6Bux4yxraBU1QHeIZCaMd7Hkd4/oEmzXKl4ph+o3omzFD4A9Lx3KqI/t1Ch
y7iiuK2/JYlJyTiryZAIwBoxlqRhWZz1MvqOsMHcaamSk/YNbjey2sqLUyJZIZlnbjRhLEkhaS/D
9VhZQsm7hOQYY96AnpWBuzX6Pta1iK3XbH1uU/Vu1lb5gZeH5dy7qzCoPK7CogrlV37XEm6DPG3y
UQm2w+yL1TYAFIoCVphsU6wkDKcdFNFi0XQMqkzLh0OnsO8MdXKj1z8oNCSIUQYXg4zEndQb+mHu
lQouWGHZcZ7lIGgDGgyLL09ZDijjmmsXzT8IZNF2VWO0R2Wg678+6qThtRia1tVbwqsKPf6E1nfa
dwXJ6WWJwhYI5bEqev/Yqj0kEz8edjoB2swsUgtGLf26zfowF7PmIBo7tN+Z+VgU1li4QSmIDsMY
jTCnUjuRvJwz403ohTSwqtfnpikubXxPoT0vPOWx0LGLMNRzzLCWLrHpQ5iddGKbQiW8VbDDt0Hd
EymCTPy2PtfJhXXFZyw0/++JmJ4BWgqDZA+zJRCXva5vcqWVeJ12R7sexC0HvUw2LGmJp5lHJ46N
8i5mREuLIkmQcdFwZ+uaS401/RgqUnUDwE6G30gie2oJu7aVOk/1i/ZJUog17AsTm5D2T5TTS0ln
2PV1lIzeYInGBiuqYudTTwtLk3pApoQBKMrCEm7dQGkLQiwA4RspUa1cxA4jqiMtmNXHzFfYj8fM
61IdN0IikFm44C+J7SPyr5NlIKEWaxO9iV/1YTDsUaaJ3CFPgH/KbTIxxKfGrINbrgjyi2p9VTU9
e84AaweRr3iJ2oSHAXbXYX1EJ/73ozKrLK6+ffXL3GNk0CmqtjT3ZTkPTt7gdWzltj8CkuiOHQSb
YwZdnZCb2XLJRNkAMIy/pJhidr3VTvs5YXUFyu4TtsFzFsaYg/1eYSTa+PCS1Ck5EHcigo0G40yq
dP1NtJjgNpN5maIYtVGWtxeTBcn6UzVls21W8LH0VGiZNkoqJhqtlZBmqv0mrFGkCwBW2mB6MkQk
IRjlbq2FJVfXZ5KN9KZgPM/2qWD72SvFcIA3OBzY8f5+JHfjcMgtTmL2rtxwebX3vi3nu9lJ3wW1
UQ9oxKf7r+fTBpd/YZ3Wn9bnJ/pNZtSSx6LOCMrY77ZWOt0ifD0HSeY+Puk4Oriz3S3DgN0uoR4I
lMo/JEFP5uQszkQxpKCGN9HybLQ+G5I4lEpIz1ZrukG8gzsh4GUKAzLm16Hp510uBLDYCq1BYcY0
Ed8d8mBF8GEu0TAWubQx4B3JtC57Y3TB/V2rPmvOlsg2qBhEz2oHXo/8afZV3jhdbhfeuXGoqv36
Qyf+hMKh7cWpUyUvUJfl/yCRoZ5On6spzJ6FPNhxIzdfa/x9VRkN+0xg+M6OMg4q64i7K+4361Mz
BITTeuiiL9Vggpqu1D60Vxz6sFDyG4aZ+RJJNpC4Y3Xl74O5/GhaRPVUiTq43ThXx7YqfnQLOpYz
M3ca0jUdfbEZDbVJrk5WXVd8OXMd2e2jSkUjQ2h4IIDf1tGRbxgzSoiKoMOboRLsW5QSG+ZQ5U0k
+zpK6/7CSvofAwriQ6WQkw6tszklhJsdQDU8MqRoIJQZuHpz2GNxI0AWVtgYZ6Geuxb/QW+WCZBT
iaU7W3kc0ZiTlvNcVKYNGrOAwZVEl1IJ8G5W3XxMSEw7zMQYMhydEFLGTDKWR+sBrTir2kmZ6ZQZ
n0whyj0SUbWzKdTaWc1l5ZAX/bMptfNR0Awcw2zithim5qOxJmmac0EYui6/lFn2qdJR0YetnNA+
9dmClSq62DE8KkVTH8S2L7YqpB4bGB5pqq1Pz6s1iYAh5oK1SyHCtIrEHCuNUqExqyqna1Pi4Du8
aaUW4E6BmtdC9ke4DoyJboVhF+N0UDJS53zyhC592RcXQU2Ci8HkXNqS1t7NQumEdJ12vtWgmR36
ch8bzEOxARleCBVz06uSRXps/fvQEVi2QXcCqV+bt6MZ1MudImy9Isu+q8t3IdYsKI9FmXtEGzfX
QMsIyGZlwQQlRKgSxN+MUf0HQ4r6uVf1jriJKXypor1f8mlMpjExVEvnXwch82thq2Xm1uA7sA+C
MiYft1xirBPAfnNRH0Fu+rOWXhC4d5qtKjknxVbbxMn41YrCkKzNJrwFNNCtSNAOpTb4DyhLTlID
H1gSem0HMmq8jAtRf5rm0TY7wqPNWdz7RgUw3hyHrZCo+Q5eVmVPRjHRw/WVcxJneynrJpqb/T+W
wGZMLWM4wItUBBXMg6QEzB1j1T8wKP+hQA9yxhijUtKR6CapQfQIvJ5h0mLbyMPGf0Q/9E1MYuOb
FuTQjwMymHuLgMIlnkU1e/MkgzC1q5HcuDEUv5StVfxoapUYeiN8Tf2+c3wdy2eqKVsZqQofMAke
WSbgbvrfoSRM7xiXmkijPtYdLVC+z7paPqqjquwlhTixgnQUF2uueewiweCklh9GCV1vERlIhbEo
eaw3g03SxJP3wW75/bSWJFXRgCchs19+JyIhTks32454qRDN2SWsZY+3VLRFIJpmVDAY6Y4KCMIt
/ywRsBY+COhCObm0EBmk6VzF8RfSXbtt1VuPRSN/ETG2f7AOXtUDf/ZuLRbCAP90RaEn81b3N0OA
8Q10dFtWyTT4hfSiazknm4/CnL3b86jG4XEAKubpnPX9UZbJs0QNZGljc4Xm50y0C7ZKz15+xkns
hPRy7SQlAjAiBgkiZZjZpfQQjC7ZLyJQfRb9WVaQ4xSNKt+U+AcwNyARyrCBihk5Yqv+MC0f3my/
9PGrmDGGLKNYHwCYpPopTCScRUg/7MoIadSX0xYJ++zNWDloMkSFC6Andk0ds9rUyC6OicmRSleO
GIAZYf4aWimzY40zEHo4ADBHb6pnyR+/p+UkekgFlIPqA2cfphwc7wCtAcfd49/PDF15u4A36Z9g
vsbNrtNZVN9MzqQ8he+eGPm2HCX1ifTNWfkZWVr2GCvEVhl5lJzLSLh1xXdWa8lpPcgSu0/ixCVP
H8z+VrU/kzHHhdRo53GUyE/CE+rT4a4nLd1bg2wbS14SmB+sb/gVjCIS7VRpiUqaQTaDdF0dRIEs
fSZGTXyiPcsqHKvxt6m7hSbfPiklE2mGLv8YZyS60DBDUJC2P3GCDLumLyWnnEL5kjXE7yjiL7aE
UpmsQwduipkRRU+QTt2imB6bLDm1Ql8cQjkaXwj+dnC9GM/ZkHwWNOEWNUH/tHryev8nWZfNBy0K
SdLev+GYDgxDBWqJzvndiMIM1EAgCnEr1Q7ca0NZylorgsXNOLVeKqt3k7rrhZ2o7kZhN2XuLOwU
gkhbMhGXMlhvJ14GqR8hgDObbpJ4MJOyxMPLS8lINGuPJh2B3WGDpcdTDM+c0V57erw3DC9gkWR4
frwXDI8KTS9K9rHpcR8c7dTkZuzlplcS5yzS3PQ60WNZxYlJGQ2EVc9qPLxCQuMZltulnmW5wlqy
7Ia+2/dL4Xvq1vo/xs50N24k29av0qj/0YfzcHG6gZvJJJWTBkuWLf8hbJccnOf56e/HrOpzLMmw
LhBQ2SVbzoEZ3LH3Wt8aooDlLr5m+ailWW3nA7Gapd8x/wT8thvqmbzQSXEhoXYfI5nmp6WtvHII
6ssqyoAFL7vmZ1l+e/lqQUtd/Crtp00Um0TLOkb753xlExn3+08KupY37xxNDrzx7KQ0jFXjFRWr
1OUs5OwCnazPhnLWwRwq67LrM5oStz6HyqomARkm1TOCkvSyqmHTtn4OrKwh9/xcNeca7Uh2QNQW
nbvmPDTnGRlJdJ6aVU8iYKJH58g49f0pQeyJ57c/zfw6W1cGSJJ7OBFQ8xHm2Fz9vZQKaM8RKSAr
GVYpIGvOD3+pAbm7W4wFLoLAkbFWtkcIqJKSvgoC23xdfX6FIFCEqxqwGyF4BZVN6G1Q2OxXV0p8
ldVXznRlTVeLua4x2k8Vk7y9Nu2Vy3Lrg23ubb7WB7M+VA7uWJSghxQ13mUl/ZFFvz9jLH8S3XGQ
p06erGpdjTxBBKyWU3FZjnOCN2Std+d1TflZc04Dcpb83OXnJj/XaFnyczmei/ycjruYJJjxHI/n
LCdd4hyh5SNYcjg7w1lkZ5eiElgwH4bYOLXcxU9lNj44+kmNcGycmv4kjfVrRwo9v87Wpdo87JNu
H8f5aPJKz0fcWYhGh/8oIZFBstBDIoZEBkl4MXpIGe5RQv4lhhw5tZCd9h8x5PIfJeTPYsj/UUK2
Y6Bnf4shUULm8KguSsiUhmT9P0rIv8SQKCFVovCqv8WQ1q/EkM1ywLOMEpIlSCTRVz0kSkhERclF
D4miqJYvxJALYiPnZF5WvIB4O6vOidXzss+B8q3lVeclh7CUX8zjWoSb8/efsQul6EUNgPjZpiHn
0p5D8PoaPAfmPO9gwlXbOo9SooRs7b7I3WgTTZV9JMIluUZ9Xe/aNKrYeyYSFjVMy/0a8g78yrhB
Cq4TEFkRZKTTAiM/bYL1NGU3hcv8HdKJ9GksmlxxZea3puXezBF5WF0pG+wu7MjSJd8a17NxtMWE
DoGMy7NLo7pKQ/Rjixx8RQAFUoay9KxcRI+L7UIkxAv6TjnEIOrtdmMx59MYb4ADQ23L93/qUaLr
a+qkawk6Gby/1sw4w/IKuVuo7D9Lyu5mF0470exarPQzmuZ12anvXha91xGW+Uz57IeGz4TNFj7d
HlYIE4BowIIWRxAXQdEHsMVYsxo0NM7VQLusxA2mPsiwEqpB4QYON5vLatzA7APJGdQNQFmlWpBr
AUfEVT+/cwr8LgGAA5YsgygKKIWSKMB+nUVBbfkLez9EhMWPu3Wh5Vcvq5Y+hbNUdhmWY9royq7E
23tZIWNVBxriunLiCdt1UWqzyNw2Bc0jDhzrV0DbLGJdWaW7g00Ne2pI/I5Fr4/02cqvEv8BZADp
czpnC81XXX9OgXYFYxr0aTA1wXBZXUNjIWiaYJzX1c9Be/mKd0M1g6QJFjPI52Ayg3RefxH/Z8kZ
cwfBbYFer0utgzkJljoA58ECVDw4PqtzCFvzZ9UfGWL3fln6eu/r0brgZ9X2jpWou4hV7cJ+J8p1
JZ9IiO1c9GPrasgi7jwCtSE2tLWnDh7TatZirQviOCtsdgngP2J/5x2Raawh3E2X1TUQJH3QG1Pj
u4ZPGogw/MhcF14aKRl6BlERxDJIuFguq+6DoggAJ/SX1RQB/sORklYN5j5w1WAqAqEGC5eBFhh9
QG6oc1mzxqxxYxcBy70sQUY3/wRXyGUVFqo1v7JIwvORnV8n0h+pEHI/6XzaMRW0S2sXW7uUq6Rf
V3xZGIFsx+OrYIqNcopT5Ez08LqmwTOUdWXEi1teA3Hyssj3iptdrO/EuCNpInN3feKz2oSZ77rq
0RcamZe+q/ma69uar7j+xEXi+gPXCZdEE/RcG1wtZKyxPQRA8kkfYqcsm8Awg2b+e1VzwAK1NJpB
xuXDhTOvK7oswWmkDtwp0MgUrwOFIVoSzHUwcI0kWMyD3iGAw2endTDWOb7VYzTzixISI6kn61Ii
Hz4mS/Q7VAqy2rkcV7lMknURs4JqmiXadXHCfmfHfqO8QweOEc6w2aR0jhCvBAnJnE+imXHxgYQ9
2EBGTlUkyVlXJsISLM/q6vR0+d8xU+W/foUCc2o3+F0+LFrZb52Wit4c5WPd1uF50MiPzEiV/Wys
JvTOiunAm8LYRsJGk+EUzX7irZ51G8JoNn9IGuO4TDK6vqRamVEvaQp4BSymQysjerJt52xMSzw5
qdbf9m5S3OvZSnNf3ptIvwXIOKq9wrOZhzEQoUp8uWG7TSizRNjkeGtRDEBe5Rarh2NgmdbHeP3d
5X9psC6hTLFS4xBFx2E4lMbByddFfG2s7Yc1Gnhvd3srW5ftXhX9ldSumF+kMPrMddkkD0d7m8F3
ta+sva9TicWkza/LWQ7WclicA13bMTuy+uw49EdFX5crT3V9suWprNfVu6e8PrXuurLiHE/npDi3
kJQrX07ncDwLa11pdh1flqQbNFyH6bWTNhHh5raAPTZpIGHpiXiw7kR1DOVRRuvKjEM/HMbhYOcH
N+fIte/xJMMnjT092zvdnvOh5RKXsa4S9km9Ltofjrkui6cX7cW0rtLaq/Eht/Y5jf3LmrIjodsD
T9A5jP1Rpbjp6Vitq8I7XNMRPRnLSakPCbCeU14A8jmxounMiouzWHNq3zkl/EKX4MAxg5zEHZtB
zxsstjoXY1hlpM/TGkK8N4iUIiU3bqJwFN5QVvr91IoScyt0BUqgRwu58eLEy20IkvNDSYSILgk2
z7SqDWi4dSAo4XKOkPZ3E87Sm15qh8K02wfaft1DK9i69La7tpaCHStGh4uV9Kq0l/KTU2d+0hvP
XRM/lpYrH2AzNmSPrC2WsKPbED+X+TB8K5D5zRbkjgmL1ApnoCUqa/VbmrV702BT60atvq2A8G2X
oRH4eOp8E4up8FLTaB74mFrU3eNjaXcfCZBgKqXRWqVjiM8xqi3gbHp3vZhFtY2LxfzqhOV1pD+C
znDXRM/+UGfyTnNGO7A1zoR9oZu3cy5Gr1HjT2nR2Gc8lCiWGxy+lUCmYJfHGXoDnoBReWwi7QD6
2yIfMAfKNJcY+6rI+qIJ3EJy1m9mZVCPfaRMt5cvSU1QYUWDaOcYIYEWKejBvimO0Twr922tfuL1
GQ/zkDMnjE0k6K16QnRwP1mzAjWiBRtrOcZGZetChdasCtQ+P+gjIAvZx81982OYgf86YIBuL1/E
LMODvk3Getn2obEc6SsZnyrrSAVsfC67sDrM5uSgh5TxFyYhn5Qqz667aLoByVmxpY7KTqMlQgo8
FAllaO4cOnV3MqTxFKY1QJIo7KMtd0mNzCdtLIvrPLRKjA9YGSujtD7jSXpWhV58n8r5QGiPBNNs
nl0HM8Lvbwa/OCHTelkZrgr4OA374MsdsLMHYeVmS2yCnLW7uENeEi4Yyx0Anp8LRf2+LHC9KpGY
+HOEcp9QPGZgkHeEWwhsBW4QO5EEWHbHUnPEjISgDzRSjv/7pVt/i0maYTfO90AP4/usVO0vaoop
uBSkWHdj794xRXgeK+cszY9u9hjOj3b2mMhP0WXV3SfdAli9rnYkOjvIy89p+VlJnubkSVc/D9NT
d1nN9MTdLGOTHNvy2h7K5r413dvfv25Azt/U+pT5KCXxPANEhLr98oUba+JyzRnb5aCIm8aKBn9W
FisYTHV8cmC3kokNXzkdVBijUwagwaZ1qA6HPrltKgceT0OEuGqUO0jKUMk6FV7QDMQ9iqNvutPK
2yqR2laizbppe5sUxwLGc6PAUDRN+2Rp+vRkjroFdUfbVDWvR2QjsSY8svsgbfHFBR1DxcHJNdHy
jnBV8znEJbtdLNimgvCkVG2vDavjNqVX1JVlo1+ZYa5+aPLwfukS/VOvzVe5KJTvqvPNUWwwxc4y
k3HNl66s51OeWTbZ6lq+T1TyuuY0/ogMN/royrsuzjNOWOR4a2mytaamuHF7NMQFAavbwerBVJjW
eFbiKT8xnN4aWv5MtOf00OZxHZgpt0bGLOWV4Qh5q/I53EBZRE5lYNEGL3vU+2r5Xhrll6GDOEk3
vKPKi+i09W0bNKu32IuGatsLZJ7bJCuId4MH31fzFyseSzT/NNImxNDoTy81yOWLpWrJJh2RFr53
qby+UsA44LnCokI7n/TJtb3406mQH95Xo9v0W8Oa6qs5FI/GMP6IFiCYhNr3Z4QEJRF7Qepa47bq
0TP8/gG8pR8wSaDW4yFwsXKve3UsleRMtiqYh60eh0j6pXno7Bq/XdeGgDhQ6hcmPfCkoiyt2bkc
e/TinjMyRKTaGzXpDYRpI81wdk7/lHfYAzNEGgZl9ii/w8XM4WLO1Yd+ya9+/8jftO940GxJNuUZ
QiX7tTgsQsg4qDj/txSpKLwsIEJxHm56RzE5Yut/MuSfz6LHWH35d//r+/R/5HN5+1f7ov33f/P7
72U1N7GMule//XfwXF5/zZ/b/17/1v/8qZd/59/e/f99+MePsvnH+d5/eP0nX/xFfvzf/7z3tfv6
4je7oou7+a5/BgH53PZZd/lHeKDrn/z//eY/ni8/5WGunv/1x3cY19360yRE2D/+/tYagIo7/6d3
YP35f39zfar/+mPblF+/x1/f/I3nr23HX3b/aWiWa7qQKAzTpK/6xz/G58t39H8aiIp4r4g8Iodz
TX4qyqaL/vWHYf3T1B1QJpRVxMCZq1m6LfvLt7R/AsykVaJwO3PWffSP/zzzF2/R/75l/yC9/LaE
yNXyaF7rmujumlCD+ccMkl3f6KwHaU8LwoIQIF6+KwdwBIlTVn65xCUB2CNJm1WV70GYWNvJTIiL
csbqsIQDCbpd/NmtFMwcGk0qCLJ3ZeSq78FL3zw+LmFiSo2Ltt5CP/ZyGxjKHo2FApUhnHEazXNA
p3ym0pLf09Dqt21ShLtUBVsbEoiz67PoW6ZhltXr/WC5o2fk2lWZxHeD9d7+9PpTxu0fQSBTRj5n
PLjXFjoKPJBsAmz4iFBqW3aGp03RWVWSBSifvS/7zOZEoy5bXuFvy9J3OweYJyPnmDQMyMiOjSUG
VM2XDEFp22XVNpTDO7LFvwIsfu4z8ijJ90D3TbYsHETzlU8k1GCpKoUlt4Yh6TWUDMGXKEzIGhMg
cDCWFHtiLj62vfwYmZQlgmyLHRLjm0bYxod+EnJfu0aE3zr9cxqptWUaXluJ8jmReeqZndV4jk1H
xuYgAH7OREsQ54ItsyDuL1ZRSxBUTXWmNlelE6aeJhIq735mjtiayt3kPXOm1fwsbhcvT/p4N6Ez
3ZMoxYjWtlumDkOgZqXtLbqe3Y5ToW5SsPx5bU/n3ha3fFCsvW6nzhW3i2oT4gBxTbotxQzd0yFZ
159nhqi6Ex9Dc1KPvJVXciC6mgmHjscB7gvxECiKpQj9fqq0G4Lfa5EtwECnyNNlXG84TXS7tO2v
wj4vQOCsR/mqPOS2iXRpEM11xR899Hq5TeByIIE20n0rGdipdT8jOcu3mdC1kzV0nr0mXOCgzv3Y
gGUt0qq5GjjouanyqGZK6TEww99GkjnPWmv2hTW3Wzm6BwDrtCUpZQ+aU32DZ0ltZMzPTmbjX6QG
8KUR995MlcxIt3iMzPKUkmRytPvsvRCDN5rS9ZoiuwAA6Xr4h7j+8iPZTH0S5RaZ9ED8NMImThmi
9KA37AM3jYVuYIIqeMw0DoETvapw+rMcwbCkw/ge4fNCFHh9eUOLgCICiW4l3L98KA5JAQQSR5gt
GfoobMObPHdxYtJjRJZ4zCAYh6g2/X5c6L9G4SPiG8Mb3TLyVCsNmWovGm7E0cCaV03Xc/nk4HY6
5Nnat+3tH4L7OGTMjoZihWKoTB7qBa/fOFJR2ZjklLmm1zRGg2cm5KdaqJXE2LwjPlVX3MCrZ2kq
zAi4HaD1dl+PrtmHqHsnJ9y4kkl6T3l2FB9GC+m/Exk0gPUtkxKrO6YMOwetzuhHZpK0yhgJTeu8
Uxe9YSvx9pOUQ4YANzUSmLn/vCjM7HKEZE6I0caov6Fg+FOPbP2u17MbtsvMk5rVBuGaOCYyp9wM
MQhTRYTxZukzL6s+EhsQHWB+L15fDQabxzsPjw3sF6+W7Zo6CmMaTrBVXj6+oox6JxWV2OjjJ4sC
PdB73dlYznK2pwx4K2MhsAhPq9rsyrbZiVXiXTwGMtFuZNd4SlTzex/moNDEtJlnoRy6PouvlrmI
bri2t23bN1djnuHcLMfykc/Hd+RTLYPABAt5OIP7o0JMOUBH7cCJJqaBJ461MZVPf2JWY2Mb5HHJ
TPk4Tc6dybfBbWafHTu6izWRIdMvm42Msh+zk84Y13TaHdV8tphoNwtC/ChTPacB09A0m7YzGIPT
c9shONqE9bSVHPsPdYIZMlmqp7KDB0wfgvFGioeV4AMcGNPwTZ1iVJ/LPf9UeijnOtthz1/dSaZJ
6lTSw8KtooOBTRyDqdMif7NO1SC1szI38z6BnZUMw/dELeSB6w3LKFs9ydcjhYOJxkTR46ux1tqj
09cPdtU0D6E70INC3cFIUyki+4okG/QqyzRuYjkcEmrjUHbqIW+jAXpkg6TOvjW6lR691P1ulRs9
jlpse1Zm3FZihKmXa9rHlLLDs9EopRaGkarH09wYSOgMfVY2YTlVfh7jDQ6z3tmmNaD5egyfspE5
AoMPoBc4e9xyhw0bTChdh86umGVO474T94IMvZuuWb5lvOp+prg3cV2oEOZijvrVd6cfxUcMFkdt
QUJDNNEnkM7dxmI+D/8ZN/sqZmQX/NgV6o2jdLRmQuOcVsxZkFHGvtvxrORgMX7mRkzId4uQoSqC
1KHlsiMaIsQ3PSBcrMmC4S4IMzv5alRIAZupyr2xz9VNbNY29xeOs2P0p2vl7cep1D+UlAGkZzvy
OCkc1dS8nm4bOYQHd7pr1xfNqc1PnKk/SbNN/YGfqDX2cxYqLajFjsDzpu3OatneTupYbp10KQOt
WnhJaYZh9lK2PHW5c8aJ8VwqeF0lrBMcX7gYlfFZBygbpUKB8RYrG21B+GzYIQVBdOBzeexID9HZ
nTZDJCFz2eMPSahMThphoOV2voEj/oyEVtuE9sL9cXJqeMBCHuTobEpSMRD9E825n0cq00SS/24M
Dt7gLmZWhpsQlIFNuHiWE6AmyC+xa4FKZumU7SKb5j7iCfPSqh+GpnaDQkYWp3dORQ7GbDo3dlA3
9Y+0jfb0HvBllsMH1QU4ImxnnxLLcTsUobFxExgJ4BiTTWjFw7NpXJthdFPkU8cR4b9e1eovavO1
OHu97zts/CaFuUIh87p4I52kmLVObKSFGguAGRkqbrVxy/hWY8z70eJ5Nbb1kCZd6MWz4yIR75at
E1XxO9OPN1g1Nn2LzZxEEOQibzMEhsZVS7YhsRlbhYChKaHujSZz06jRUwOQ2Gsqk1F06DJmGopy
q9mQ+mniAayF3VMtiVc7Y9Co+GIwNyhbRf8SJiRs/v4Ve4PUWx8m4CHSVlzOMm9KE5OQnnjUc7Hp
8h6YPZ+JrdSGiPPAmOwij0zN88oOvnFyV+wVeF3bufqoGc3yOZfaA/J7Sq6mey6BmNDDVfsnB2Dy
hojm4ao23ftkrOb9Ow/5F+cIQrtUDWHaeke1X73JDbK1jvQkQeXS9Pu4b7lVLtrkNT2G0BxZr2cY
NWgxxUKYL792jB3ymlrEYE6tyPJrmKClF3o7gK23by4HMotrEWGepVGeGvpG5LGvrT4EuxWNx8vx
MbXI3Rqc4twZdYMm5L3L5Zfvg6WszwncEQDJVyVibqHrjQ1sGaXijF41hRPBpNo5gQa0c0e79SeF
c4at4U8zLbJ5Modxf60+V+RbioyaS/CzN8XY2gGhMT3KtvqrHIjOrkPyrVC6RydUv99+/1b8qrCl
rAVeBUiUfs/rjo9lRk071Xh8jGq0ifYk9sidu7NRn2rNnr1oNtjtsGp5rUSqoUb6nk9+sakdmb3T
KL1QFF999DlZKlDr6RxAeH917J2yQsyo1OVW6zMlICfG2QgHnRlM+mGpoTDMnCX7Dq/Z6EzqVinG
6jZuIqZJNqMROzK9ws26e6V1vnPb7B5id/q0ZDhQCq1J7iOz/tAijKlUCChlzAfT1LodCQDtvsOg
mcThsnNsUg5TV4FtV6fQG0nBlRBUyh7he+MY2RXEyU3ljt3XKUJbHtfSuC5Equ1HZ/mRpRIXJIJn
i6zvTU/wE07G5trK7F3hdrdtrAxMEUSFR74PDz3T67Lqm4MkZnA/GgON6CnX/KjL4Jdl5Lpl5VHm
1fexZk9v09K8ayeSJ5V+W7pV+tGW7j7Tp4eG5stpcqGMq/r8tdKq92pf/bWmkf0FHhhtNdyXXCCv
pbv5WJW61i5ig3qSYUdWbPpJbY/5kHYbu7aQvZbiJCuj2zU2o+K4GH9gi0afAQoz05ZdLoXuLb1Z
Hkdd27Xc4LnvQLMw851mcY8NjSe7n25oInPiBIq86/SyBKbVceWTIrjrClS+NfQHH6vZUk1bFd+F
N6RVce7TsGIDFu/s/G9y+tan7NIIReu6pt++7sOGTZbJWEF3Zg+Mg2RigM6Tyq0i27uGgxkEV6Xc
ditebMA2tZsMbC9lZKXnlMq25F6wScOkgL6ihgfAKmU8fJFpMtwTyX6VYaneFKV+LXIyx0scABTc
uF6SqaQKHJCEDFO5bOmOGLvRLKJ9uyonyZ//JIYCEe342EqtfmeyeeFPvvzsGbrlKMQuoxPmuPXq
AOHalUiTchQbvAZYTlO9vWry5gPZHxCzq/i2yZ8Lpxr2yQBM0FkKC4k+160h5uxRagk79/JUq5F7
GzGpO5L2anljqg0Mg3XScqP4QYAV9SEJh4exxTeH82C6nQeKG3tGapT2yhgQ+63SeoNlY0b1rsxD
5XbmHnzWELRo40IIdKxrmxFQ2larGvWmMyS0T4TATt5/RLgeMrvwyci9lzrelhIvy9iEo1fQHNt1
IG5D5FibvpRyuyjOXjTZyVUyrH5gfRmwwkrCgUhtMSjvnWXX29nrF5dzOrYqgzu1ennxf2rrOxG5
bHU8AR9dQP3EKpWirJx4I01cHAZnR4F5EluYRh64PsitYPzOM27v9ZlL/50Nfz2qvnkwGm8ynQys
DK85f/ncKFpT807P2HbvaifymQtts6olMUVIWgCrqV3TrjuTs3YVRl5EuRhk4jkH1PlOp/NN4gcg
LgoXOrHsMEQbv/b592IZ8OJEFFZrcTq3ScJmLRVshOwDBe4OQHLuhuw18vS0ydoChsYTtsY8WMVy
r6jrUUqAmzBEf8gnzv5mFLW+kqj5RplwpVW1wsfLar8WLVokASRlJ3A2JSmnw9+/rtpreAdPZe1N
05RB4+hS3Lw8grtKKPqyxy3tQjR3i6uu6wHL4z/d0CS/NRkhPZnhVukUODVYz4gusxH90rcqLe4N
oV+VSXc1CHqmLrSJjdRNcaijKPScZIYa32qPA9uQ6ArNF2rBeVM0P6bM0Z+w8L/zVN72n421Q646
uksG+GUS8PMYikgvNR1mnkrW9Lk3K+6IzT8hBEJPn7j3p7ErbxpZP7rVqJFf1Hmy74eH0QIeHVNE
mkYhjkYYPRZN4x4qVcxELSWEP1rGIckTCBKdNH1Ka9fPClBHbjHepDZhNF1Izsvvn4v6BtB5Yb0R
KW87NPsRMb1ql1kMpPOxp5mOEQTYVFaWUDrDRyK/IeEl+S0pIACSStSTWHW2dAxmRHsJHoVocmDU
FPFtOv1pJ96i9vUXTUMClkiVe1QLqAqZ04a6b9elH4r0oViBvgrho5QJZDLNan/7jLqKEJKw/ZxV
EQq50cj5wMt8PwAk/qBZXLFuosvrqWuGTTmZ3dU8Q2mh18kerFkfzRVKDFgkY4R6Hwr2hmUNQGQH
R6HaV86pqJenISWzIOyq84J5x1mn2Hak3s+y3DU4JO7tkOAkKpxGMQqUJNNwmhrb9OyFQ+5kzIBu
Nc6f9KKdpT0VEafSPlqgkGXKk8BisRmG+KTZjeLXpkkXRuzxL6fEsih5gAzyPkqqW9eFG2oJRdmO
ZWVvDQUgT0JXR6KMQ1kGU7zjfG4VveYvdopCVMyxh7yBDj1NXbPuStC7NM2MenGu4xYfDlp84F8T
JbK29PkXsTqKC8PZh12Z7Lv4T+YKMDW7cryhFveZA2xCrTa+WHZO+yjNR588HI1AkkbZCcOpbwvI
OrtCNqY3RBUOcm6naFiUpzadyk2d1R97pTOPMaOL3IZs0uY1GHf6ZJM5le+cft5wrNYr0rDXkBbd
hoX+mglg5441tjObnq1Oy8Zp4YSJpjePtpHoXp/am8Sl47JRnbuuxd5BWtFDtQjnEJpg0NMa+33t
KA8GBm8vC/XYV6SyN2y6MXY+/DliRodyCjFZ05uGzlnXe26y7UZ3/hKD/ItURfsgU4W+Rzmjo1WM
QGZDDq8yd48x3fYtluIlqDMwKdU0/ZBFl9yptYrRvMeinsMyt6Nwb0xcGQpQIQbUzjYbCqbtE6os
WzvYnSHOGd2EG2kQVmIBBkmlUnyz9IY+OeIF0BfVbYcbdKtF9nCKO+bEYhDiKpw6PA71p750m7Np
VXKn2sWwq2L5sCyG/qHGRUvx0R2MqBVPUz25WzNGq9mMbDFQlAFqxIVLdJmdfp6jJxCPKEIZ8Vtq
SKg1UambqGsSLyTI/TiZyx0hd+pJZ2zw+z3nl1sO1FTKKfIZyN1e99ef7vfctpKi1SCV6ASHbXSd
bo2UscsGwzSIdDUu7NZ+qqOEhnp0jIdM3MxtpW/DErNjnpn1lZqZ4AlmVEgDbRCttM1bDk7LJtHN
0R+JvdoSCVh5Ojcz30yO6fisTfCURK+8x77/RWvZsHAWcmcDHG44F8LFT0+mycU05IzOMLpk8S7p
knNsdZ+KpPzcGaHL9k/AGu8CNL+6iWn28WFb8NFu2iz8MusiujNXkaYtQIKkeXvUXLu8gQCPhkfb
o+ifvwzgBHbCzL5KdUCr3S0pwSEVNpU+8kQ8cShtiqeh07+Ru0Z1oKKSXOI1jN7+LEgh3hcI9jYT
fetwTIsP+kC2QG7imArbkjPGYsJXa/wawM626Cb9iuY6bpSFvBK3bzwqk30z28jJ22x8zw729uRk
8vmmq4sfzLLJ53l5HcQR7dc2YVxq0tPYjmN7TlrzSQoS5tIhfWDidPjL7C1WVGt81+3idnww+ulL
ipN0l6vuu17Rt9UfD4nBLcc5JIzoel8+pGjAs6wPnUQOGGHhGx6jikFBM5LslcYCjyMkZTmmpIq4
IxZmEdENdQdIi1nFAxutd6rRC4TrZTVqYgZdh/v02agBX92dh1CYMk4zmiYq/V4ecEsKQTE+Slqn
6WdYVGuSEFITnk2/XZLIy1dneJvwoNMCoA/B3d8J1dpNnQM0SczlRsTLh4mG511D/s+SupxBuf/V
OdxZGeacKRuHklDo9I2XTVzgVhyKVvWticONFuq7yBEePpS7TmvuMvDK53Ee73+/Qejrs3rzrOnZ
WasTxsQq+PJd6CzFngeH86XJCDyuxxU14uxdK+79zi1gJ1YkpMwYm2mLGaknAPHcFNHyoe9LJjxV
tS/T9KHDgHmdSQPvP62tfZ2S9Oga4K2HhQKjN7+okeENBEg+0rYPSQU1wUirQGuN3tiSmTCQK8nT
06fPA+XTOze5XzRPeWMtRvAOLc/1UPnyKTLOKGIiyUgYD+0vik1XfbbGm2lpqBHXVvm8wAGA0LIx
a273zVI9k5la/vX5hg6jbgAxJDzMvt8N1rIXyc7sy3j7+zfijd6JtgamaaKiNCaNOvO9l4+ybWrI
CgMtp8wcPtKBCCIF1XKqLcALsk0qiWlV4pgOI5/EgmT2TT9PDwjBH9V1is5RMhAlYsU0GaftmBqd
V4zJtOvtu6S07SBztB5UvvjMDe2d+J8LxOjlJWSzr6xT4HVnZlT68pEr0l4QxvJBngkL2NsrDS4B
f4iJJc62VjMWN/mKW1hyg9BDLAejbuws3UIuUh6gPrwbRP72zMDjIYt8FR8Q9nxhG/50m8jjzEQ4
SoHau3DPc+7gfjoaicdQ1VvSST2JCEnFKOyHDAo69Yj2JYZsHlyOaZdJP+7qaoKze+kB/f59/kWX
Ezkd8SjrNNlgJv5Kva8KY8wLNMEbdwzVU6RMGzeziaKXzlNIXyTgtBMSQFc31IIkSWDUqeXHWTEf
fv84LtKTV++aQ5MeBRTPm/+8ut6QGSfmWHIz1fv6KVzcbNm0xG/NY7MQEIpvRmtVOr+mk3vxQLwS
8SQEY9ecwkaYQ0S3qjp42u7DqK4jHw5vQRXiIVkqyILYtOnemC7qQCR7krFXoKhQSBNKfdjr3FI3
aLUA6dVm4yFEyXd9PX4SQtBcBjSPGlI/VY4sj0prA8TI28VfctfdF7lxP2jp3bxW7uqagJ46nEp1
p9qKsKdHW1QPTmgqnGBJuU7Cttu4oWl5tcDenre6OAzhovm/fyV/oQ9YyVrsLPaqJnNeCzKQ3YRx
lDOcsYqi2DuPoa1NB9BiTUu7lDZr6RmNvo314qCMCjHjY3l7EVTXbRSSAJe+J528RHW8emtp75AO
yIGZS/3ifvz5A1CCYx0VMDrT/yPsPJbrRtKt+0SIgDdT4PhDIzpR5ARBI8IkXCZcAk9/F+qObvUf
f086uqvUkngOkPmZvdcuJ3aOYscaQ7OOwbTkKrYNAQLXuMoEAXnmdmaLBVpgpeodCnq6SBu+DKOg
x67wvzPZzGd6t+zBWa29gjxyLRUOp4C+jKV+lV51U+NfnLQ6CcP/pThLxSgu1rDYJ78llCBwhh7N
zWMDIPJhgSKXkPd+44Tcb4sR5C+F0TWJU7UfbmTWO7fv+odN+Z449pQdvdyvd2aV/zc70T/u9//7
EfFd2RFsUwd063+MnspCW0upOvTseBzO/+C6BssqrqZn9Utcd5wZ1BpbG1I/rYvPIm12uaY10Hg5
KDIrNbonz4/7oHvMmp4MYVVUe7kqnThNn0T2RzhVLmbG2d+RbPPDoM06m1X46TShfWFLbz4Qiirx
khPFrMT4Nna6hKIflBi8LQJk+60fLzQr/yqwcYRCaXIHEtz7K6Kv+pSLqb6mRV1fJ3PxmVFr0Meq
th8nnz+xZGJ3Twzmb1LF22OQ9XC7w+W7d9fjiDup7wk7y5S1c9wFJikgz51vDT5cm+FNDFsWSIAh
ygZlxmL4atnD7w7jXyf8mD7DiMvEiPTFkX73QBzOzg6z36vtEQjICIj1OPKngrDUyBegvHNSqCuK
CKcEL+XCPjbGKwModDKhPHVBqS62+JOtn6XaJtWtag/RFp37v/8ROf9lBPP/aIc20TeuX7pHk2Ln
X5OxFr5L1CEAhtn+SLBOGIfNt9MapLyRMOE1UTxXs3Fd2zxRaqAKK5qbol2wOtE3hCV442JcrkjH
EvhJ+7HXT4Uuyc+204e6XY8Y93Hbb+PDsC7GOLT7Hjmn+C+Vwn9A6MkkpliwLa5c6hl0qP/3vkUg
YwsJeylB8Nlie2QWrqr+GGjS0vDQY8gK0vBxhA2fDqW+Y3MNDNOmVvVus8LVN/w1o51g4pvotX1D
k1iTfxF+/ZdTcfso//WGbYgVvngMWeim/nXP5aSFNv3I49IAO9v5hn7JFtRAcgw9XKIZTOiC/S+2
jTqumOtCAOgedZcaydCwAvz//2W2T+Tffxe0tTYyW4+8sH9/Yr50K3gKdUZnYWzBGDgvm//SPlj/
uZziKDG3K3Wbr2Ox+NezJcNKbBDMPAlXk5AaGktyDhCI3ciCFHvmFtCeGnhkTutlSNV9XkyGJOaE
r62olnFnpdVPNMn0RkAaulGC2rq2qwvr56qL86azT4NjHSOKuCF2eFVvsuNEmXPjL/q7K9hJDdkI
vhfB8LaIspkkzssXz2eB56hjkTFLGfednOOmmqOrmY0c/343HfEJ0e2RtYY1aB1/L0u/o6xyLvb0
1KdivFn0UByCpp/jeXbeZ5cOxRqopppixYxZffgO87VI8Rco3CFPUnGYKx42l4Drs7+U5AP4v+Eu
r5BFu4u9okyVMoWjn43Q1uZPR5rWqakw46Dlcz2y13U1kJeASIcDLd17lOmOrvMLZRKhUPlzvvaI
iBBN7arI/t0HPF15Wge7whvw/Rnmo1cxqaxVdjs09GxlPuCM26Kjq2h9kIrwzLXMbhq13C4NSo1x
ENWhlfzFKy9F74WsaxLh7dRgowsXV+yVYLvYToLzu2jzx8y/sIOESVFcpy4q7qaazYkxpU+GNuvE
1eX9hObp3G6ZooGge5AmvmhXuNa1gPqyZ44AtCuD4wd1c4hueCl8eJFEocLnuQYbeHluVOzblbzk
RmdebRnasesQK8FAzQMGIb2L4gDOQtc4atvL+B7n+r+9vv95ymw3owO3lO+aPfi/rUJ60s08Blme
+L778U+QFNSEPyoInDMtVhdbX3hml8tUCueYsqFMqqAxbqqlb3dSrHxd5SYi/gfNVxrLpu2jJ7QD
kgozUZFb3d+wIC5PM4IX3KPQEmeSORM3bL76DlEgHWI4TAbFgh/Gc6cCkHnDXS66Hl9oefVXkNST
QNANldp8t4Yal2oV1Cd3sO+KoDBPtlZ3cxqpByPy1iMgnga8LACu4ZZ8h3GDeplem13y+i+rD0Fu
pu4Qcpkle+/OsyBsn4MwTy/uxvzMie0+cC2DuW4M+74spXOvoxIH+3BXKnOJC/AOd1ag2rvV7j6z
xrvTTAkRQWl5Fp58ABH1YfZ6OWbgo8uy4tX2QKxWFugTbuVYzqQgdAvNXxqhcMzOpUfh3GgPdSIC
KDjgu56fMJ2YMNv9NraTQsQVCqWdiNbpVFhZxcAbopnN+FFR8XndmEQZbr1lYASOuMrcr8qdWfR3
HqIPbyKECMJZ2KLMdnRzqKl8GBLOO6+LKOqUn55nVsm5tLxrR/N4BdGZIbskftuvkYBkFc1A1vyX
Xt0Jrf8YSARAbza/AcDfbW75r9ttY+4tkMMLXGFbdp46WyDhVGu9EhI5HcY+SPx1+cp7NE2h2elt
hyH2RUGv4tbBbzTfa+L0BaVKNJ6dGQ+iAWDdWfNPG8Np0hXWV+BMfHZG9tGmgu1WxzPe5uR49Ma6
Fy0rcZUbu8huzaQcJAjR9Iky9LtJ9UOeZi9dg6J+HX9xkcEhqh76edJ7EoQtJgfrvnTyVx/nTpK+
MbASYFkkKmePoU7Eo8+WcIhTEniMhW8h03DxFrc9dJU1wAU3vokJh8O4cmgQM04pUqHpa1iPlqZx
cPv+BFp5I1pPKu5874H6Nk4LTMx9/TQHzbjDMGSDZlzZYRJjXM/PbRr9tWGCwXpLyUFMUa8BtPwK
ljxeBr8Ey1hQ/btAbRxJp7w6n063G3kq48nk40EyICWKCZaYXlz0eE669knX096oILNbQQo/Qhfb
Z2l+dANZH2NvZ7GRD9fwuUAmRkYqGjMyGEmOIDu1Wx1yyLucSjLFyaJCvCuM8XLHfevrbtdbUp89
PsfBIr1Et33J8NV8XyroF5lcY1MCpZDek+LhIKMEMBGpdgkWuj3yLXSBbG4a1tX70mtNNIgeHI3g
TgblpWgyGxO/IIe9zN7RNMLjMW6NEKin2/HhoJ0hGQKNC3vMyzizEJ0WZo1VViYOBou5YSexcuXv
rM74wwn0ttT4zAgIBYsJeB/Lcx+LJaAoJAqm9P17BAB3pduCRyjREhsQ5sqiYtBaOArnaH6f28YH
S8srqPXdmPPb0Mv1sdeROW+0aRIFyPWnPl93Rh0vzXiue0rvrh6JVc6qt2wKntZOkElYfBq5/ava
8uog+/4V0Y/biwcekrco5KdNLbDClP5lLSyirJ2XtJ+LpK6xfxqZ/J6J0Ix7jjs/z0l7wVzk+BHi
3urVdPJTCfKS9nCq9k3b2cnoE1ZdflilARKJHxWnHVH3YBP9cjoJTSfjZ/wTq7p1yqhN2KCJuHEY
eRaZ+JlVywfsNi+llfRBdmuX/NtxkSSuOn65y/PsPrPKj2htn4oU7EowsVyBdXx0eh4HPvkp8YIH
Xbj8KZQsECt5X4ROL6mmXqRcRl++Ot925x1Cra7jYJNgU9hrEsy4I622vOY9DFNTvedrc7MOiAyC
Kv0lHO8xs2qan/AqTNmyvbIY2vaeOBiMZ+PVPWUlpGPLZgQq6zXf+A6QCqv1FMze50oMAPXryGov
YFcXQV7s7lfOxG0pVpG3w9CwSd9WienHXFuEas2AYrNGe9IW79pirLwUz/+8rnyDORAWCJl5iZXK
9wh3400iX4VXuZh+onSMx0DxiQ8hkuIAE6afPtpyeOblueMhzPZB36HlgdmBTTQjkYYvw6jUfSaH
jw696E7pv5stPx4tqjUsSF8r+AAe66L71Q7ht+c0NWNRQBYZUDzfqcddS3wDpwmQew9mndR8LfWj
j2qTuXX0QRRBFvHzeFRqSY49JhYP3jKacduQGJubP6IjTqUrqrc654/VxXrIxYCOVhBykkXFcRLl
Pm3Eg2MCKMVwD8A6hIi4rrgNVxK1TshparQH7VkLlx8m1R8Yz3mH7fY18OurrtWHZkUXF86rZfQf
Yx/iyY1sCsbpO+s4sXp7uWs4raoW5WIq+KKxsx3Dyf3rdcB0jClpqpoDMxNPZmddgiZ/iqrsSYaO
m1Q9p3wIL78sI/JejO4bE/NjHfS/G9KJphCyglypadE139hmcSO38Bgz4FMvV/rENOKPt4zfsnM8
1JOM97vQeLC74LTMHLcg4OvdbdcaPLhmuPJbJb4Nx7xIQaP6DE/jEX2bi+CRr9TnHhIwElemaxWy
IYuNvsHSK0HzC/p/2LV1O+K044Q/BJFm/dxmLOWIrOB2aI+wYh988ctoZ7yFRsPyeq2eut4gB5BQ
jk6mcmd498boiR3IfBeHYfOZl0sTMzOMdosK9m2ovzqhTqjTcWRMuUjWkYfNKuUvI1Q/KuSRNZ2a
OLMJTVRGLFxd7oyFJ7UM5qdUDM+KAz+e0g4pRseKdmDMzmzoq4iCK4azg/YBoq6eUWHLf+3GKMK1
j7YvHw2YWwMbicV5ahr7D344Z5dit0gaOV87V3C5tIcFblbs5zwzym+TLMQm3nTOvJsmNFShjvbO
dOjsTMbezI+XBxlR7mhZxMSXlcmMXGf31VCEESpbfNdaI6QvOEzTNZnNCReV3YdIKOFd//Mf/Fl2
Xzn7daVE2RSpdoQonZDpTcrzTCX95YdSJKSwU+RbC8DYvIqp0r+mLsMqOYPUg5i8yeMXlBArGI1t
UlCPoFgs4tkNk+iXNvphDHaZzfSZFDuslQhVPIOzoDL5UpshvINaezOvaqdh9TZ1fh+k5psyodd4
QY9uf/LeGMIxORVMXEmm4bLqXtk//LEW7FOYRVI0O2HHuwQkavxom7xMNJCwOFp68s1cHu6hpcph
7CRMn91nxEC3jap7z5Y8z1bWJGFIqCwDk2FYN75w+eiSMJ8Wr1XNkDH9Hdbmu9ryjqwsn/lN7LeU
tzsE4LMTYffhMk8yWoUKGtPGFPV/2hQBHRGql8rVXSzXOulrTtVuwBEzSud1qJd3ABQFlv3sz6yy
52Xh8ncbKBwjL7aZ2j33nObrYoQ0WybUAT8nPabMmMzBml0Do97TSzAMq09ps+CQU0kzrj++UHiz
bfDVHU2jDzCo9EtI2T7Ow9WWVy1m4m6h7MZ9Md4b3cYZ0ajjKIdQofJ2l2tFhUaJsDjRt+rkmxnp
4ZCmv/oQP1C15jTPXnZfji3VHIHk+6F6rCeVkshnfFcmm3dMExPYaG45WV+DqSeWpTSfxOhgplEf
68w9WVXtH8NVPBu9CcWoCF+6ARMcrx9WpfkjnGHOTh6B4Q575hlphhDVrvDJL8ie+oFlW7vUcT7P
+S5zWeey7j3YAzUcyQVPAMyXpB7/dpY/3U1R/m2DSeh5/1LLPZrEOsQ8Aq9+KjnbPGwfBo+wYONv
5abapdC4ah5SNDpVGC818jee08KKXrOIKHdvApi38B3Szv5m5HrbVNHHGKHFqGsz3K2wRuKoIxYh
woUj7epjjpDFWfzEU11SVSHoYh/i8eBwSdhlFcUQMnpa9C4tGVESsAcNiWRd84BamzH0KhGraN9K
itrimirK87iq9RCU5aPVV2+Bwx1KyNNzA8Mll43aFVSVsZcFGWvZZT5m3XcGqguZoHi0Jlvvo/XL
lfLHASV7cOo+gUGDywheMK9yBr5idJLGZJ2xNn2TzFpztserv3REKC7ebh5y6peOjAI9O+rQMMA5
BAUnGgd6zCCFYXHrvtfI63KWRRc7hNqdFqpIBrNJ6iYbE2shu9y2HoTsAASzKtmTRnHpmanvs7ly
SIMBf+rW5tljowI33WGibps5yFbHjskAIfNB/1imrOhz/IPCNrSjaRz29fxOTkWFJIaO0limQz0h
OMIHU6IK+ZJZnt/LTm5BffOKEBXppRbNTvpkCAzYXmSuTuy8p2tr20CRQrJh9Ser4uwAUJ11kIoO
EAfLk6GDXQRt+eyJ7HaiS43txWOQJLHv+K76k65VFWNSaJN+XU7W6uT/q9VN7Qf24q+RTzdHzhnp
Oll2Z5Xmb6ZqF98iJmfMVgY5wZCYYf5nKeuLqRhG2Dx0RUUiql2Ir5rcA0wMtAZ80vFofs1pQKag
07gHu/WeG118D2DP6duiGxe8lFf0N532qdgbExgRnMF57b7phO47YfecMwqVuSb9xFDDH35hE9dC
uPFYPadVZsY9hrbElzwRLca2JZV/dJ2StjJ4D36WZ7GjjDJ2g+52yHrUY3zVQa1iEURPxhjNsbY4
IKR/zXPc9OPcU48sqMBsJoljPcL4QJoUZQMruYUTix6aIp5TdDX7b8yVKe1iW+wbJoacZrlgUz2w
wuZlfwZKrZKsDd51iYmgIMiiHvbMkPPblJVOK0cXrF/NHTH557BG0rd62cRb0p0NScRy5xYxzoSP
KSIKQTT1uzIFFdHWwuXEgxRDbSZZVCe1Z/2UOdPMShSSKRfH7bScGWodUot9YTvJn37IC+4CQTqo
Opk8b1ZlHVZYa5wGpOPMM/R2g5iT0OeWS5eezuw8SJzkKbhy0rP/VCq3aQErJI1h8ysD33DgBakP
k+u+D3VE6A8Ma4pa63MMGFEFS+pwagyEo2GjY32ev66W/jY1FvmK/B8FozOe5GYX5DBCIQjSacn+
EoMBWG4KT/UKmH6syzcpypPvCaJkxqdFqkftOYrbMU1Gb5EsewL8yIDobsqM/CbBFiRTOEnzXL3Q
TEJvwYdjsZD3dX0yAdlmEJ/ioh1ug8YSu4LoaDWPOyAqcSQgU9GQ7SanIxNEi/KQjQPGjthavB8V
rCrOu5IU9tm5Cm9BUWKF3nHq9HGZZnUqUE57q3oQFn+PiXSGyuApFRulXKqOADmwA8fytlpBMk1W
1FxqO3N/d1H0d+TRiv1ATVygDj9XTX4X313BFnhmELW6c6wc79ghy0Z9gLXA5DqQEPfZa1YIycM7
o7OiW5c4kUbVJpPjVxytfNtOGdx5FgHq6z/jira9g6Ds6ZFYv4W7NDejmgT6ZDBKQbyUZexHptg7
x54FrbLxktkSt7UdPUN30EnqLZ+l6H9l/frbnsrqOKB9jdccaXqaq5rVZXAXUH4x4mZJNy0rL5yX
3o41abZ1CLxUBREnQv0UEW1KWZ74279cdVw1gDgd/9GYqW6L8p6FYZu0RU9Y5DLckSfs0BnZM3J/
BuGn2ZX9QcrxJYM1mmbAe4tlTaZqCJJWMebMeWllh8k9x0p5gmREwoMAhlHUGHnWpxqtONmxy4eA
zt2bGeqNnEiaStafZWUUuxwXj7GhZo3JuYSubihcikfZ8TuTPlzGGgikM5L9HKGfdcqf0c3HnS9V
hbRt2EVzW4Os6m5nSSPuLqAwKZCyzdVjLSHy2yz7WvNooRz2ajLDs+XqBB9T0BcXYaTvPd3nOWVt
4xqcsrqVTF/V+MCF+Z5uIwnhtQXNhkeT6EKnlHSwTfjZNR8rYfK4ntb3uUsfqOyHeN6CKxEGHMbi
mT3n0Yd5FDvrhHgA8mo2U2qFzInTj8aRV9cTc1y5rUjUSNzMMB7dpmAiGYDsNpxbmqqXxlxm7pcW
i2POZ0bpYxdIlWku8+E+DyLCg206Uscm/9soDpnHLiYordt+sB4YnP32M1SaPCZ4gfLgwgGJgzxj
GhgU3BDOt+tApEAGu8sbvEBr4d91pnF2u/oeAv1njbd5GLLvqGX14Q4PLqHX0CL2UCgf/EEms9/L
mE5oyuf3FiRLwv9emBWobc+1D5ETWsL95Rhk4pggNus2+8BUuxztJj03jXGv6+BXZyko8hbAK8Nq
b+a2UIxhEkyPW5m9Wxu+akKXwiwg9SItP+ei83d9md2qoE4c1kvc078G7V7reXJv2czdrnQX6MjF
uYuEuICDx0WR3TY6iEgN2XkqVUfHTO+ayFh3gLJQUqQPZt7aMfUQ2QXhsRy3U6e/V2YznbglWeMG
oUZyWZ5DdymOVfaH56tyDnq16OIlLA1JuEBj6c33KEsqwIpwA/kNMp2n1+LMj3KNsKbBNtv3ZRyG
wSNn2Kes5njSz2nD9KAWJoPfSVG1N+N3Wc23QR2cCFh6Z1Jl37mu+ARR9sn8GjZ8w3LGV/aKJltQ
YDdNYml6f09RPnZbVBjVepNEfPRr/YZwjxbEOBAN/kXjOR+IP3q3FTRahGrdtSXR6FpRbqIFtC+i
89bD5GycEvNHbb/aHMa/cvTBt0qHr1QhLDE7EsCpb7lO3sdKBrceUVJx5yiA3ogf2Evom3oy3ueN
huMEcAOMYZAYbHo/Kdvyt4egLKiJZ/Id3l2Doq1Bqnz0QpM9uQpR170agoRnLyUDvRp2WgOsHTv5
YZuq2g0rVGHpO0y8070VSagPhsNL2XG3kcie2MWNJZmDaX98IbOGgRjcHJwrgYkl/Y5OK8eKoGY6
zCjb+R7h3E7RiCQdK72vimmOO20/kHFlXMu2KpNWc505qeecaqhvsS4BhSomxmUeEcyVs1tF7U9S
c6Zpo4jusZeKazWn1jVsfXClgdM+WJn/mk/MwaWxma9UXzzahJm5fvAC4o0kvyQn7GHvo6JiJWoT
59wFSAihpWVMwQy0Uzfe0N8UaK/XmsMARQnm83KiYSFL72FpkAabmYHghlWTqt+jVJPJnhvcqaHc
VYHxFgDFQQVdflJlmxdvVrqmpzeHDX5JgpVn3QWuvKvMZjiWJgoFgu6ceMXyWFbMKWgMg1j27i0/
dHhZMiO42Lb81n5ZHQaj3hLEFcfM0jFKyVsGHd3oH3zP/vSq1U36GFdjDanTfOSqAK/P8hHlugz9
h9EtHoocN02IRKlBLMGcb4fCp2HSwW516NaLsqJjWUTLY+R258DiJHY0afLSYlK2QBDYw7OjuUuN
u0Awri6ze2KnqoNhevKQq4o5ZNOW727jlUkXVC9iEwMNov9jJKlR17FjWMjfHUpALzoUoQe8FI+t
Dr5Gn8CSqK4Tey0/8WU86sEd99t4iktE3Th426ieHy0Q50pnV5uboxjc9u8wwYaTe1FN75AZ6r1a
2NixanRuOCH3oad0MuJ7Nd5t8nWMYO3ZnyC1Z3rtbqpydQpFee0dGqJxJkA9H/a9LaGDFh5UE+hu
NaPONnfZlQwI54LaB0ib31edvKxUI2xA6nkXhuriDNP2ITMh81p9V3nWX2cZ36KCSk1Wrp8Y5nJi
9P674OG5s1Xx2lX+OxeEv2OBeF87XBWq5xXz4Y2CjisTuKxjgvCRyVcf4evALJRLw0IB6f8uqukW
iQkojMlt9kreFiRIpBg0rVZwFpDc3IzGL9lkL1XwlbpmHOEHYB+O0i2oXZw4HhUEDl7mxQUwpDS6
Mef7kHgaDtPGOJaleXIzOBWNQtSlAuOhm/o2mXr+hHDJv9pF3U2ONI6hyQKj6fGtIN0qsfw37MLG
+sdwsDyZRvmRmUy4GxBIvAa/Kr+p0Xy7836YzVfhAnX36/Czh0BDLUOnvxb8KRoCVEKB9ZeN7bNv
GwQuNhE3k+j3feDid9lSzUj1WQW3rOQenyIhIfQMNoUOw9s2YF5bXVMVPXnDdDOEl86dKIH5s22j
1hTyLSWhi33aqgG844Ecg5c1y3gmXDI8xYv0h6dWbMKR1AMoYOHUn+ci5ORERscGj1Vo5L5nSKv2
7RwQ2+helDcav5EYw7/Ap4wBTMkB3pDFZgAnXpwNBI4sqFfNcZRnrwNX0E30y0WF08prCkzAlJxx
60K5TnHD9a7d7HLHqHadbbwsFO1Z1HiggNpqPzcWO++Oe02s3d7VjEs4vUFdTjAgl1oyyeVWm2af
JIl0PVocMpBR2IQSwhICddFmtrN8dmHexj1whvKyKD9DloftTY/9NYIKmfYQ58d5Gti/FonK5/TM
XPzeza1b07H/FM3YXXMj03HnBY+Gkr+q3p2wuAUVW5nSPJQzWRldUB9mszP2nMHnybotM05lK1tg
h3Bjotu9JXf5tVYA0qlnPCMqb4rFO5pLlB2kyzannM1PxVjwZOmwZDiJ2WbMxwtH3EcGuhF/rEe0
xbzT264iJRYzabR+D93p1yiXj7QhDtmCc7+iAIv92k3vsE8wjepj1ULQn8boVZtcAI7zPvYGkX8R
Gdhs6U9+nXmnFu9yINcTVLzosgzh11BUz3ZITiLJIbSrBTl/DHrppEhsLiZIsG1wRg4t94gtrsOA
sk0MR4udE2gPZsxMjYBQq3wPqZccVhvke4TNh0QbKs9Gh1ffJzrFmNfnaJY3Qx0Yx9kpPG7phgly
8ZckxRZjhf8pSz+gZF3vRJq9aaXgoFug8wJeWUytGXVB+CPzmkWwy9+O5R1zM5vrJEQne0IDaR5V
7j+kfn6otEHikFJsGHzTQThU0oAv97QHAFgYXe/6xRCHfp65qEHkW4CeMMYSe5N2JQ42b/wd4fN5
DCrjJtLLuVemd8dY9DRazGg8b321Q+jkmeHHg8P93C9Uz2i0LuCWke511UvXiuAoKutlII2eCBX8
nm1P3722364gSbXtgLpsPkKh31fT+YzqkbIRtAhkprecyIyTy9gpbmAa+GPpsfPqPsQCTYBCi2Qb
91wDoGGFdrI7ukk389ljNPOzCI0bo1T7SIfPTcTSOBwMRlvMHsDM8UxHlEEI+vGJyPyG94sjp2SJ
r0NbHHTkvODOw7vkv6ORYAgxiSed06pUPCx8MNh3KJqs9m9o17+hDw1cWq1zHsT4i8uTpXLONl2m
4Z0/doADYE0Z1FBGCTR59DgWwvHc1jA9yZQaEluwPvVzUiE0aRDtT4jG45grL6ONHb/8UsibtAX/
AWwQy365rXToOdcXLQb3VGZ7cLnwwiuMoI5j4HEhpsFlwoBp8nFEZJO4g3M/dsM7bsRfaGBwt5or
M7dFswqjTVZ5+G22HwNE4ipg4os57kASyTfrMba50Bss5fyJzI4EjyD7gThxE2HLOFEDMXmE+Z14
dtjjjDoH2vH23cYO0yyGfYhsyURMZUL26m5i3cpFLA+QQl5w6kUHLpDbPKs34LfNvSf8XxRcVw11
LB5CG78oBwgbCvaAwwKfrtnmtoFF94IhimIzXDtW84R7NytgrNwtn2EW4GMe7pFOMgX6B8PiPzTN
tpJmU7nP6nXZV3J+KSkYChc61Vo0fzoXKbfVjjrpbCZfKjqZFNHxOmGuczXDKEyT+8rq3HMFPyhg
7Q8p2tmhXzmEEFiL0rB52sgeBBtcsPPDhioJItyuupz0QKOAqq4X3AKO8Vj00ckKLwVXP/ASEYuc
nSOd3wnY9Bvwhh9gSDn78Z7YEv2N2Hv12AU54TvsCKxhQMdjp7plnPXG/xuaoTJ++rUt4yJvTpFe
k5a3fSHmI5iykf15wSQjheVIiCTTg3rvaMpqQpgZ61X848Z/4a07jqYmp9AlEGXS4uA4f/q8fzZH
BtElelESj1kb1VXwlsq+BAfx07RSv6nFPcMkeB7k4l7SzP4Y+uwyCJY0Vas/pANVMhBnLW9XxjWb
YKiEzsVQiE1VmTXvVamhU1mtk+S9e3aWx9roXxGofW+B2glZ0T3bqZNfwmZxHYtVFK45TjYmgou/
MB3JppPuurcKIcDZKTpCNSnhtt/DLSJB/odx9O3pJrAMjJrup0VSacnYr1fegISErIV04NfnpfiW
Ls7DMc25W/snFV0t/tugIAS0ODrMeUii/tpb5rFci1+ezs2dYTIpz4OFxO/AqTAlOWPsWNWDApw/
MuVMQO414HrpWvLQQVI09d9cYp8ox1xkv9sMj22D944MKK5LYz/Ajdx7tkECqhoO8/wKtB3imkVn
Nq7VUQ2fzsx7bXU9ucVsM/FaZ3tm9k+s8BHEhztTTf0NBLG2gFCO7zVPWImfi2h9XmrzK202B4YV
JgVM9seoNq4cVdR7Rfkb9smfMuy/MEcSjUKAd1a8TmH0IEbGRTCS/VjYTrL2S5DkDp+Eu71wteoc
RhOCDTujLhYRijievN+Zzhf7J4upS7ptRWiTZQlgz69qpivsOaGwlKRl2me6WFoetbmYUz9K5gVf
Up43+3wlNbmd3S0i4yzMilk4m02/J70a9WLsT8SVmE4ibSYhbpSxu1+dP2UOmr5iKdgaggWmHz4E
M3U0PgZmljPbw8ipaZoYNo8y3/P7sON2+Io7V4/4DOTJrfORkLrlC7nH4An0bqkgRALaQRmSLt3X
eBsW9L0iZCCVaYyh40Kvy/kSVRBNgsXmuGb0WGwzQnbcFwxwZKp4ZJaEapHEmYnnypo8VhINe7nU
f8i0tfPGkQFa6PSUNM5xDf0brNMoZucucWbNF5ivX37dHlA7MxJAAbRzrMHbyWjlVzkzWyKmnLOL
Ab3oSZlbtUkITIQabKjewBeGPF/gPAeoUk7j8cqAkRzLnuvURFM79BVYoBAGUoDOjRaaKtrWPDni
ZWYVzhzrf6g7kyTJkTQ7X6Uk90gCirmF2SI0M9jsZj5PG4h7hAegABTzfCeeghfjh6jqYkcWpYq9
5CYlI3wIdzMA+g/vfc94pz/SWsl55XADDl129JEWBWPN3kjm+rOSYUUmVbqaRp7VVc0qBkyVWoUq
veqh+czzd9caEN3SfHovTT9FjzW7GxSARNzye64GGy2s0Bn2Zrl3Twr0tAtRjNCZNhNDXwdhQVck
LBIZ0iGGt++72KXPnbm0IMdTmrXsCzJ/2/jjzegQlo0A7EYN/hM2LvAostrMLc59k3iWHuWTLPhR
M3qixXd7akrCN6rhVeEOWnNdcSczHVmVOqEh4awHkavHwagZyz/GcLx5MzNbC0pi/IrMLtE0qA0g
vhxJEoLC3pA8Drxp3Qwz0/uGzbVT88nlC8vViBwmNhsT2/GseobnXmwp5DDgzTlzwxo5Ve2ke/So
XPQCPWXucJa0GgMoCyVcXU35rir6iz+CwqXJMjYjaB0k2YScCgIxotFkUhxz2Ie4WBVzwtBB8uPY
dEkh8Z/ATEHudfmXqUUvg+l9qZCWyGiX9JOkeGwQy2xQ/L457BdGnYGK9LStk5ivVlYQWDTVwQAo
gg28Hq4LD/2Ygj8VSPbgnFlmhE++WGUQUKCh8/pFVgEUKRaLGq/tt3beo0p0ctrkcQgXuCzKF+S3
WiX3UnAPhh6PmX5KqWqKaxZ3as0+zGaWUN5nomDew10bg1FBn8Fate7DS5tXr26EYiNKBUuDEgUb
bWCC4INL88DmbVpVCGS3gq3kyjArK4CxyE9tuzIoB3NfD0wSBXvfkIXw5uej0pMD972fEJEHMzuO
7a8hafa9mbJZJxHDLOYXRi3Guss/3IyB2tDnyykreZfLtAxU6pJDZQQ5u05opAQZjjweCV1kZtE1
ILGkaW/AorAuGq6C9muluybjBjp+Ht1U/rZbHUz0GTRp3VqGHYPLxQQec/KeuMwp9BjOrxyEVqh5
83Jlt8WtkqSBxvZ0qjUSu1WExsFEk5UX2iZVHKtk3MhF76Lt2yWGNLQL1Chi3jFwQ3omCffLDUK5
+hQldrtDMR+v/RptHJ3HluV/ckYbrfz0hJgh3OP4f3A6X0AYQSBDSMUq72OmJY0k6N3UjVWioNwh
UIFYk9FK21nOXhtnem524VZEjKCcId3gdKMZN6sXDe0qrz/Ti0I032NDvEMr6OFFT/omQltn184h
73gIjCtHshwG+yvXTlTcxGNirFSFUKEVDQoTxASB0YnrFJIAD7VSxiQckA6hoWiogf+g6UCp0Oxx
TjSbfIw+MkRYSsMuanT0sIyrXoU5EaOVU6VlyyCFlPFd4tUs/at6E7lasRotBq2tIdh6IFULsN5z
cBYQOZFJb7xmrI+2pt/VTVrfWD7w1TiiCRTs/JGmvwoYm4WX1YHhNc0BwzP3sv0+uwNjW53JtFOO
j5Wk6QCdx8vojrdWP3abEakTGNaWNsQkANW4FwI5g+Qg3TlN2nMmUIZDqoIoNHbp8uh5UR6N4WS0
D/4Qbdra/1xoh10a6KTOcGObwxYFK57judz0YbbVJZOKOK+ZBxX9UdP8nhq5a0Fs+1RXBlPWsef7
wa2gp6BaeBxGYpZ4/otOe5zZPdrdwEYC6EYKc8gr+r3u4xoDa5jRftCToMN12GKv0hQFGkr3p7RJ
X1rwCmSSCH2T5hGSIC+/aLD2Ittno8EcmkI33mlumLGEPxhR992eSmRWy8DXzhbpkVF8d9RMhswI
RyutgqHAnDxbs78e8S78LG9CH8ALJNZ2neTVI5fjDLeGUU4Bo5zjykFUUX+6zfTmhdfWoe+qFe6l
nFCFOvKZBLLXLTLguGVEFnr8iL/D2GUVa4CMzoLsHwYqUmvBbPGyAnakseRPGT6ObGqJSyPYm1Q2
nUm3HONt6nbUMCGLaBVWGjI3ddK08i0iQy1yaFsZllMBcpCymsr4HRjX5MOT1si9RQUazCNyhzCz
2mPpxOGqZo2tEWS0kr6Zb+QBPaW1nszoYWqYBGnzk+tkyaZBVlvhmONEF1u7LW3AuCD2C8Nsg2zk
XHFSQHqIgO4aFzmH0mw4NEpS6apd1lfEiWMx3Zt1wb1jqi+E1nBTUvmNOdyjh0Cf6KPyxtXKazW6
r7R5P+ANo+Rh8bcW3YzJcCz1QKZdwAAUe4BWPanYeGxjhJ+dBSU3UzZJQAlr1qS5QS0m10bkVDQ7
jHzFyPDJZlgrzGbnIxNfaMLdmheQVEanu5eshfYQvT8y3/7uOoKcS/tUpcNnniXNRrCipkHAnmMw
h0Yc/cEPXx9HdOgrWnsUEcKGAWb8qMsuPmdSvTsh40cXZRu6sXG+1X1C9k7MPrxrmcnbuGdy5kmQ
s7qXvoYTSuJekS6qax9mCOu69TnLkmxZ16b5bZzY9qMT5xdMEj+kYDpjYwn96D2OQBu0YY74ORi0
gcj70t9FNkokAq4ulVRkV+vVoaO4HRzte9wYao1fvw2A5jARkOX7UJnmiWk041fdu4L7sE85LB0t
GZ29ZR2gyvZoHllV9qLvT1GT7/Q5BqHIuLdITAA0IMGwBd9LO0XFVBDQhzqGJwh8EzIlnSu4A8z2
iwe6B657Nbv2OiBAIqKSNQ+mBjb+KKz0BTKNViLgqUUoZe2QRMs3EHZ3YTbvb4DjEDZb82OwHNy6
oTkcsBKXwdxCB49xnRFaWKI6DZ3LAiEosmYJMfHkRthsZ5XUkDe1THnzrsfOxHcuKk7bZrQuadqI
Oz8Uh14RcylYQm5HMaXb2XlJXQuepqFJqL7EjY1815XHlC1EpeVA0SVchz52mQG5zW6yCzdArbHp
m5xpSknYRUSPlHt6c1AmT1JV5w60c8ZErvlCFJQdYElCQ0fPxhaxDtD6E7cYz/OmlEQO21A2S00R
cM63oozmbB8hNK1DPbU2taRuFoaM98ybmYilD7bSrSCDlraeehM5Q1ucQcCeW3PUHosPDVFwgAoo
PP7ES6bVJY2Jsp7i4SFmirITs+tunRqyhpS6OKASvUn0UKcMm2EOVG2CNR0hDeRQl+0up5Bf1VTy
zYiQMR+pvAD3RzpOttTFnJSgESulfhBLLMEsTZRXLQ+5MI/R/o++D9a12siMnR/+hdUiHVvZeHsO
oTHqgdu1nIkQeZBBAi8tBcV/PCdyF4YZsxKLWNSqqKEbJf250Ml3bATDvLJx2CSQhGYPDk+IYpgD
SyT5Y+xra9+4rduBe7vx32VqwIFOomc/r00cwcZbP/X61qvK5w4a/wWXMtMfz71NGc8jV7wZ5DQ+
YPZmeArvLKLEeLZc7+EnzL+yvR/gG/K1YMsbMZE/d0JgaoQK0o8ez4SIt9WIMNS0NQOlJPqe0v9e
5oKyQHRcLi1styAckOZPRshpTjn7ChD+kBn1ZRpBNyMwpYSe6TnSJcgKkU7yLolzzrWlIp8r7+RF
yEV8s9xnpuG8DE28ZmQXflnp+KoldJKOeWeZyEp0bNSrqTbE1Rf5l1pI3UxNkf+PqrvU2BPkYsNm
4k+MorLvW0lGScUE36AyOLqL9JEzzLiiZ7JRbcR+ULbzGea6euYn0y/M+nZCQECcPe+1ZkVLpb5i
38deCxnOqSgoAvvUfM4711qPKSnbo+BNpNhpL26Dd0HcEvnR3CpsqRtCtRoiWr02cFQbrpgYFqc8
iraIVEsmg4Ngn289OoPVr+HuNsjEurNmDpgkBm2bezFTv85LArO4x6HQP1NBQtNzSXHl9T0PgsV0
hSDcKhkKdU8ATqyr3ivCSOgWo9F6rTo2pyUEzlWpXH9D+62e58Zeu3ZY3EskcE1c6rtKyGxXJb32
HCux8QmCmBM0BKHOzhE/DFs+BjjaHk+990C20nTp2qUGcv02QB1jnQxEChOd4DdtsQ64JNL6VqNf
Wl/Ja1ygN+kLDodhKKK9Art2m3UWebasZYJo1u6NSOtvNPx7u2iU2cbPydFEBB5yxp5TuFcIRumE
h9DugyLKUbhrQm2EWd27s3iZm/Ri5AQh9mMFTGy5S33sz+SAoYMbfmQMsSO/M06R8eVB4Dw1qPnm
Dt2jO5jGJrNx4PHoqg8SHgGjyTcSEs0jGSBB1rfeq0KVXRpsNPVcVYQqW19lPla3btvj+nMtLRiH
vGVsZY/3XUIl3Z8Gn7lpmenJLUMYnOLpyqjD5Mg0atzbpKSEupPcIwQ5G8QQrmhIdOBd/eNkWqeU
TmY31mxMYcOtRaQZzzi9un0G4MByBn2HSHqv/+SokABksVZB06HmIJymjwoB+w3++ILkamkHccIi
v6/1N2lh+V+mibbdp3dp4YqViHV1dts5o7UgndlLo/Qg4F9RB4X5jgasJ1dW9jc+rVip+dqOFRDN
qcXiqtH7U++hLG3pfAyh7Qfuhb1AJF83zsYrbeJsa00E5qJk59bbYm5ASBd55fknzbO2k27rOSOU
7yhDkG6EJjVVGZ9BQB3KuXzL++ehn+RtpPpLZ0A0QguDTpXyGXRC/8LNkNZwMxSbmUEuKMDl4kpk
g/CqCI2HVIu3YG+OSVuVJ+6+vVN39aGx2A3Yoa/djmwACQmZIgLmeILk1vhmpv0VHO+RvojIgxaW
vNbaHjcRAfMY/wpGkicG8O9JmnAVSGUhTVisZ+l7HWom626uJ3wrzH/94tPVjSdgdNyuKnslNNc+
gupnBOfcOEY13KAaGYPQXaZvLYpwHi3mrZbmb7rgJJ8Al59nzuy9PS1pzG1/YfqXnnNvKraE2x8n
q3LPeYEA3GW22MWyPmkDkFPkm8UaFgixRo58SJNsOlSDgdp0zPOr/unMBOQww5vO0ciGiJEUazYN
B0cp+vihrtkwm3K4sywtPbpwmI7KZstlNswbrTzTEAZgnErCikFi31NhdOd+RsYQj0N000F12Pkd
jleK7xUgm44ogzwZ/G0cMrb39fcqVWw0qnS8TULvkGOzf85TbJQ4AJZjD1dNXyZPymynwOwAejUZ
+x5TLCQ3h0VfNPXtDSOHeK3i8hyzC1g5DDxWOVbOtBkoEAon38/mXJ4S5X0bKZo2UYk5ZPYTfzP4
BNSA/i03SO0JRXBo46Acf4PajLmDtqjRu/RjSJ4TSixsV9JYgzb+bEx4s10cWsHEEBbdSUx1biZ3
BD5hU6S341YCQBI17TOu81U3usztEuvW9pvx0i2YtzIuUOJRrLv0td08JSx/vREFCtNXb2JET4hW
f1RPXVZoX4Umj7JOfvi+6ChINESmqh3etInLLMyOqQcrpWtemiobSUhi5QE75kvHVsGWxKXsmFS0
0fDtcVdQCk8T0vTiwdU0+046IzMSwSvEjhQvUs8t7r2LFvC2kcbz1vJQg/s1kzmZPNrW2F8tfgOn
6q+8e49RzaDIaDtkjyYoUMO+1DzVV0BkPlHCbSYMme8WB3YTOZ9suY0nbWo+Y85avGEvMfaFl3FM
H/uq9I82AjTcBR17dNd7ZVm/mRSaIjj38+uw/N9UGrQeYdgdoywkQcGZdax+fBGSVh6nGkWbjpHj
u0Z/08+4d/PBSy9R03/KbKYwnpaUXMadJ6uApQ3TZKO5UrwjwjlkWnEcs2F6BfoWMMCdGQUlKcyG
h1j4KPPttDkUPuvbotxHYanOumAqb7hgyWQEjrfs7ZuCweXdzPrtrIOWcRjUENndRjkbw2XQ6HDi
dmCvamtRm9vUgfP4LdNSG9Emu1OtXMaFtn8sNRkfCORVK3kEkMsp2YDVmynuVrFBOIBou1ea8RhV
rAnkbarKA3DJ1zDPUsKjgbJWTVNsUbyd6fL5rZUytoIwh5XrlszfWdJo+bO0y4ioLx4y7AdwgsXt
SxLNxtmANi6pbIqsUHSSFu1+WaXBTI6Vzmii07xDUg3+yQRnjqmEWJ04ui8a23nskDUh1lrih/MJ
gIA/E6lpfijNcY8JkmnlSI2XsLhRYf/QhiGU2JA7tu0GYkms/H02ci/AH1uHEzQMBLdTrbSjRoIW
alPX5VVoygvJ6RYFy50yeDtcC45lAkA+ZyyzlzkD1ijRb8aZpQNvpbsx0xptm2F/koiJRGViGkfk
yUo3Cuzk0sO066aPWsXMnN4TfWD56pPKRNB9i8cMgq0GgHWreNzUOHTRC8bHPDW/cV2wz2Xsnwhr
2rRNHthp7K6b7sWzcJcCbmLKwE+ygkpNEkwX//AoJPQ6tC9O/10AmVgnRqr2UP7BA0ni2vwGCbLp
IXsZi8cOGuFOOdMT7Zq2tTFtbQY2KCT7Fvh8Ad5vp2ERvDTEfnKSnLsoLoMBvTs8F9Th1sWcmmk/
F+Id3jL2F+HfcrwwhvHqbhe1XG6jMbrI49Pq5DZvLo67iycmBrNqOkrkiEsVnKwrW0PSQJ0EDXCr
67pEXQIz0Y2nN22QD960qC3akR0Zg1RlIetQkROYjsqOLYedXs/AvQZ47D+P9MxlIdrp4FDacD/r
P1smykKUAs/ez8xkN0+4yFi46A6Tstjgch0Yj+wm1XwOHngJ5ptHzygezZCUN72HaMs8nkm6Hr04
Hu0UPDf16FGhMMlb+C7NJMK9VGZz6spG3OsF6o2uxeEco3egpeYZVbBFkVNjnSc7YVSKQWCkW9iM
CRwc4AA/37a609mcaMVDVXCbcOumdMYg651E45ZGPnUqkmFrAtq/n3ReO30EAy0RRuF9W5tJl69r
3vg1OSbzgyYn/ITxljFUj2jwMuqTdU5K9BFIU+MLujtWFTqhLMMca0FseFcSoBYZnVs/VTYp2mn4
FNf1heeQbyHebiRNfkwXsy4dDUGrHToMiwnMw+OB7BrLu0/b5JODnhFKgXw1GVFPmQk5y62tbUKE
XDt7bpxzk6WHnpQererNu5pMr3U5HScncb/1qMHs+p3t4PRd4a5eSBXgmCh1qZ1aEjfC8JjFsTob
qdZvq/pFVqq9CUmSIeGKcHEOU8Z5JiqsIq2d+2LBL0+iBSuFkWzCxHjvphhCBdfPGYaFb7z2bZvf
6mWc7rPRqBc55m1HSMTD4EIknEc0SxVTyptanjxzDuD8ov1e6hjhHMklMT69geWTxj+I1k+7a5fH
R6Ib1aVKhubFRRwFsnOyb/uYC0VrweeK5n7JskXXJvCLxyq61SJ11JLsNR+y/FOG4lhnwHD0Mboz
coYmpe1DGybGbWlU/jkI6SeL7hcSEnJ2w9WJhBH0zMbPRL//hIZDWypdFwPnmk0ewx/2/VHuUyzF
AQCz4kgrmu7IduBBgMChxL4RFpgS6mnYt4azj4l9C3r/ZZp1qkh0l6XwdnUHZzKSk8Huzbq4oKFX
w5I2wfm1aam8zyUijKBtGk7aSg3/4jfy/iFvzkVI5JiegEPj+7r7p6gW9Di+kRSMJSe9fhiFe9V8
nCQsOi2AH+t0dBmecnwfNDLkMi3f8qiWO361yrcTIFl6dfFJAQnzQIyJdWMkaEJDyZBBdszwmwbm
dj6bT2hYzCNiOygj2qjtIiXsa9T3S9Jk8QL3u8FEwX80i/W7qXgKTImVn8mJPHqH1jaLu0ZF5VGZ
XAcEyKgTe7h3D3Hlkc6EDUwFTqVvfQa3UOijybnWCv+wieRso1wruom1ERysDg6mUvpnb2UjelUk
ohkIx73kpzyKSZx+fqpjvjeZ1xyaCs8uy9G7Op3GC1JnttaF79zO+E1sRPxnFaG+MkBOk4MStHQj
J2UXxo3bzEQmt2RZEP6hX232U1vPysmk88ShmqAKTh1K4n9+XZr/wOzkXYTFZwmIheYSifsr06xk
5pMwopRroGe3rVl7+2iJhsRCctYiXBEhgVJn4eU7EFrtto259XPDXKiK+MctHcoPZ0bRo73PSAuA
DemNPEfTfYfv/xISDxJJMhkZnJFGN8eQCYe3Ibce8XD1W9nV8Wa0uoeKZ0Ztwit1zBblfwPnr0Gd
Z82qvepi2MEh9P5F2onxf7t8PZfEI93WobrZf7p8nWayEjimy5uNR57SptjNZdWR9DKZnOA8ZueY
2aqbWRSgg8/k26Y9/hevvr8EQv36WLCBl5GRbBmOIPPoT5hwbJP64EQDirc65eETaUBnUR8B8dWf
Fj0TytdznXVnd6z1l7afn3FcoFAbxy9c4884w/035cbfRlE6u8VlB/26wmA9AAI8oDasVu0ssKcx
3UYYrtbgoqBEaRTgs9Y9S1F8ODPeWtciJGuAKG6RQ4W3E/tpieYNSzlz8aXwa/wT5x6iiZCcx2QA
N5D3PwZ6+ICSF9Yss5vcwviHEpACrGsuKIRWjZPgDhkk2LIxqKZpOJghhpUOldaMHXNjV+Qy2T5W
QKNi5iCY0NGIOWvc6E+ZfJsitLQWls91muDMaX3rxYuJSUr561BfPPQs0tqZQZRdaB/Lm1iQxbTq
qM9X6MtKRpBY4Scs5TM2wZSnANE79xHlI8gUmLyzfmWAx8I4Zh+NCRyvq72vGziZnUFrxLo4LHQ6
Ac8ymdw+6WipJn6BQEnCeDsVIwwKAabljh/0vdZswMEs4b0fSJ+ToKmZzsT+8NrZhDxB4GdeX/qB
Lp1H3N5IhiC9yCWotGnUOm2maNsu1XwUlWeErWdMYffKAHPeRAThgod7tT0cQMuThWq7hVSFarCl
GvR43nceQk4kQTUAvKOb4rd3RubwiQeqQqjPUui3S0Odis4D34O+KLTckUuhx9SuOcdZ5LdJ7U2s
fYa9PTsfeg3RJ+rL6+ASZFznz5ZevUkNx904QBE2UflH3SDXwubfFbh4kO2WVwGdY6YTbnAxQK/J
13BmH5rRQDsnEOiOxqVSakTZGastnejYuby0zrQjDaTc4k1CxgjJdbQgAvR2xQK5Y047kI6DXwNS
T6HieseCFTU1KQ+cMa13LZInuy7VTnVERDF6DFSLUrmr+Nk8v5jvacXme8/CjztlSXIEzYw2Mn7M
4aLvyxKVVqnp4akSvJ8j06ctuouCjO9whOMooArJdDdHvX/CZ6pdhMCZbQ3FoXR8dROFs7rpk7uk
FO6Ri14/tYUJAMIwqVOdlMuzHZlp5JLhSxanbF1sIQ62IaKLH3PZp1b5mhhgHoaCUWhnr5fHqM8h
BRTU4V2l/c4KJFeltWi/ALUuVjvKvAGTXOJfS9rJa9y7D0WDBiCcHGTXi5pCTx1Wbllz9S2EAhJR
TJCbVn6SkfVoGkN8FbH60U/KO3gZhVnU5teWdEUmkPHansQl7eJyl2gOcBY7zneGgShCAkU4YKNd
3NlIvH3gsE5IJkWO4oJ9282U6XCeWU1uWU06gWf237HxI7vJGSYRBSIIzvzqVY/YpbPA7VuN4209
RAZGTtYJyfFOvxLj1J9yAAYQCLAbdHQQhmSkQubAfeMxqhhj5yzEYrZCibV2lHgfOtu8ATrypA2Z
d8xlhtQrAq2lYqs+oL1sy/Eg2G9yKVBUtP3U7j2PUgjhTEQ4cv4+OjXhQCj2YCQw8FFzKG/zmu1b
KE3jjBvdszuH3aMFVF6pH01nyoPMtHLthe1tYtKPocigQXPmR6zw9SlHBYy5cuzfkmLrojvKwn66
LUMHOXdiYxTM2uQkh3ZapV013uleFLQIJx6AZHR1kt1wOjxBWGxum2q+n2ES8URsD1ox0wtjMllc
57yCXqhuZF++UVeAEZV2tnH16KFuk/e5KOA4mu/msh5jXourIS43eeLwhg0JkARZk0jUGxlDIsbA
P6GQZTrelCU1S0rS2sjGM3AbDwhgVby0ldHcwWg7TTWXb+7EySYZmdySkJOvuzFPD7Jgd4tyEZC2
ZjONKjhWdIgku3kiv7B3cKShwI9fMFwHrg2SXB9Nf9+UzM77EuBT7iQvuaPMQKtcrmhYEjJBrwHo
Mw5ywbxbG1BF5pWnHqsly3IZtf7z8/cf8ppcTl/Toh3yEbsRbP9r8TO03kQadp8g4gZj0pAACsA6
G/CE1MYe29KdIymBfv6b/+3b+G/RV3H718O9+Rl3+q0oJ/aMcfunP/777qu4fKiv5r8vX/X3z/r1
a/598/A/Hv/yo6j/cvOwffzzZ/7yhXz7v/3zm4/245c/BHkr2+mu+6qne/hNWfsfOazLZ/6/fvAv
Xz+/y+NUfv3x27eiy9vlu0WyyH/724cO3//4zQQo+PeY1+Xb/+1jy2/6x2/keHz85fLRfzTNx5+/
6uujaf/4TXPt3xk32KAsXNvwlyDr3/4yfP39Q8IFH2xiurAN2+FDeVG38R+/Gd7vSwXLO8guwCMD
Agp+U3R/+5Dp+S5RdjTuXDb2b//x2//yNv2ft+2XVFrjV0AiJaIvHEM3DbhnnskP8qdSuSlg8EBU
4HZkKNO0n6WzL8qLX9yhNcvtc9xcVYk4Tjt204aice7tnZGClNAz9Pyo2bJL2n86xt5Pz3BnzHDF
amzlA7HM8ruI3GY9/t4Ol7iBg4rjJwQWp1Wooz605M7CDd5GN2nz7lrHHr1sCuLvODO3MPfZj1Ld
VPK9tba1dc2iGxZ6SGBXprnTO2BSz64JUJq/ay9zaK9czOfFePLQNhVXoALDeNKM18HeN8jF8vrJ
sa4Nno8k8NRdT/lNCZAS/0lb4tbv3vwtIoRIbhvHZHy7b5yDBXmufqrFCUeMHr0P6gZxYDF+mfln
011cVtX6q1k+zc5tZVHXbhrnSJJNBaQcZEjP5sLe6ATY9A/0CNhM6Ms+/+s33I38VhdN8aP98330
y/33/9sdR8TXP7vl9h1hVv/rf/5yu/38kr/eb0L87mHfcXUyGRxiCJYG/q+3m+H8TuYxeXyk5ljw
ui0+8re7zfJ+t0EtQ90X3Fc+8cx/v9ss+3eXAEnuEE/onq673n/ldjNxlf3aGwHe8SG5M1rg/4Rt
Wkvv9J9GJlFCFKCVE9GQ9Sn8s9Is0a/br5YjblRZXfPBQl0AQKvzJqZEGL4DTrBtJruTVqTjVpa4
DJIQXuPi6WP6hqKvgwBded6tXoTULIsHUL+Qbr5LRrx9OW3CZHfoKCtAuLOD9MqKwh4DZRWg3ANp
8bPCd1pS49tFYs4nYJp4NqxUbRrXzTckyaJ6LckpadHy+hkHX7K4GavF19iqCVsGaKtDNIMrKmxj
PxL9uaJFIZCBRdfGhjHnpeFh7GGt4J0sMVHmmClZG1RBjL1SLj7LkOH3ql+8l2pxYZKzgB9zcWZK
rX+Q41OIYVNfnJu96T/pEfo+si+BqRISXtGhjYjQYjfGDuHLo5UhrmT5ou3SFHOmnkPClZF8l4N7
xjc0nKhs16x1eDIbRydEJ9Vqw35kW3wsKhXvx25485h0gGE+D54ZFJbPwBYOEie/YiDIcjObh70X
p19ZOzyaA2aAYurQB4OJih1ITThC8J9+eS55rxMvB5KPD5o3OLC2/wPTy4XLkF1mMR18yycwTug7
+P2A6qIIo8DYwdWw9bfZ+ZaZSRiEKt7hk8+RBsFYJFdoM+UnPWQhUBsUIAp28DqLjxhEgrJCD+1P
Ln4FB1m73nR3aNm2pk/YlmETTFZUNd1v6x5Gzz1IaJAowupF0g4xvAOePisW5JHJhHqM3Tuzy9LV
MPUvppOHGBt9ch9tnHoe8gkW4GxrKOSwYBdAWG262QktXm3+oDLx1kYdP7WZeDXCt27haGnZt8Rs
8VXobPRKzwumUBB3ufJ0TR39difsctw6HdyC3qe9NVS2Slo8f2y3n31teJKaf9uW6WNSwTmZRnaQ
qgN6PprvGWnu2PxdY5XrxIs6iOPwrQAtaGsRdFly9juUwSqOGbeJCRoxxON2fJG5R8ZW71/wan4h
Yk8387VH2b1FHE5kvcnMBwEX/iTH3MDKesIglZ3rZcsKsiG9Fd1nMtYI9lBfLjqxjYU1l2hrshWZ
TO1IebhJrTehY2oxAFmUekE/NGoBOcOYfO1hCNK2YQ3p1Ns5Ml6Ic6atGckZnrzWxW8HhWNqq71E
AVmOw6fnZbfCI43BSHLqd99eK5EjvKoohLXvfsgKMGmI152X3XdHhmVuj2qrDNry0Z21rYgRgVej
vil6Sfe1GAoMMeV7FiprQ5E+2rTkVyAFVZB1va8s1fZVG2abya9g/fop5hd7HiAeGOV2inzEsr7z
yd7rIUxKb+voeoJQFoeyN5GY13jlumdRDbgw7o+6j7DFfLZyyusW/CFPYhGwu8ZAofS7dkQrECdB
PjMK92mycKROXBiNR1yUFz9bjmVgp8g/Mi17GyKPLb3bIW8f3Y+0ZEVJLV5OkBuKjsz62rWuIY0B
6ne19VOtorOEpGpLJAVlzKu8XN7ISBeBRrWFMlcB+EDfBCrCnNDLI6OfQcRvjWTnxmBX+yXyOB/Y
eeRVTqPSL08zaOWVoa9zonW5OvH+9EyBLFm/mzDu1iaBzii+CYkUZDuyrGWnMiAkQMbI9lJznjSz
PaWdgAmFH1SGBi5NbCbLdN7T5euUQ3OaJZM6W3m7UEQz7yZyixDDg+N65aldci71rIOBlbpQiW5b
N5zOaf+USqfbVgg9MBZ9zimDc8yGGMIKeCkdS+fcvbV1qHWxdvAN/KReZR3ifmLq2WS8ThC5dgxT
wSDi7NhbMn7qLORSCuAa1G8g63cd6++1PTLBMNFcroue6TOUlajjGdDRjGFIbiFHiLsq0y5j4sNo
lkCla00+gePfRTntoyehNMy59mJk+S7nJo3Yp3ritRdn0+hwI7sanCBIBp6LyrQ9DLm711qHkZ+N
jttV4BOTwvvCB8VawP7eac2NRPmwItnnMndHTeDPNW27WmMgw07cX8oWEbYK0TNrRIaAz0GxYHgn
nyEqEs7R2syOvANYLaGFrrldXj2nY+4ScVdPqNMLwXPBtCOKPFu8gp7Am4+oHJYu49XBRWxceHdj
WzDL7p2gM/NiowDmZaPzALODTtKLjkb1v7k7s+Y4tTSL/iIqgAMHeM0k50lKzXohZMtmnmd+fa/j
6q6uoaMi6rW7I1y27rVvGsHhG/Zeezrxnny3SH1btf33FOS6P7ofGSHBGxcIR2WiBkcJ16wJij02
gvsGyhbwkCnC6Q5+fp1m70FkPLkJlrhhJLKhLeAn9KT+cpxkPjiuu4ndjQEU+wIe4UwHq5pyxTgO
uGOn/NWV3Xdo4//wHECtkfNzNpoE7gFpXz0x3CEEhFXfhlttJEbGxUg49hOHNe/0bAopF9AbrSrN
3tfVuNctEEWIb/Bl9O3F8PgDZ6JLDR3fWYX5CeaDctZCX0oyDkc7IJOF/VkeHuMqfTT5VkKKHZD9
FC9DjKSFLGH4rIi1my4Qey1zbGjD5dY0wPjU7oBapI82YSkDfCAmU8p4X+S8ZRmjgVox8DKU3pjT
7i6of8dg60bd2RXxk7aIX56TMK1g4hs0l7Bp3i01j9NNZejzujtJTndTZ2hrN7eROoGnIGNsF8Oo
0zDdegXpVF2wzqyLtC38/jpBjcAqDZjRn41EGhSimQfLFP3AmXlzQkomVqAC4fFAEO4MloGsjSRH
vG9B2xkr3BBT0XxwHKzHgcme1A9tXzPyCLpmZTbdvQ3rmfEw0uGwwk03HEju4aERziuiGwu2odyV
EfpIQcqcHzV4bmTVrPv2PozhAFzBCCA+TYfSzOY1A5ka2QzyG1t7gBPE+d8YR3a81cr0rCMmkGRD
dB3rOsays0f8RnupC0oMTwQODsRNplg3DgLFouRAdiSxBl0WPNVLz58rFImhJ3+EDikNtEPhliZ6
vOZms7j0lCx6aaAWu+PjjD2ZkAyfelj3q645s0a6z4qn0EUmucr2zxJKLiMylS0PtC5wL7Ublysv
/zSz5AZpc4IFZbO5KRlfFh5Op2HalnbLgWhrOwb6yDIk63Z22AigSrDAd4vXMhbcoSLGriOeBw2q
pgY7Wq6RfmQeED1tumV+h7bJDn82NYhBXAnolJM1BWcHyt4qD1XgzpwBfTGd9ZigemwOJU4XqiUS
uCQcFJzh2JONZ/iuLqbsci8QbN8W7dPipFq7Yfjq9vkByutCwUHWGRyCNVzysxJkix6j0jB/Qzrn
/m3vHhxiBpk+iLlfpNSzROAM8WCX2tp2GoIPgtyazVxpR6RV1Rq8YkTZ6yBsNaqnYIz9Kvkq8nJe
tTDRfFXWQJ69FhEGYgQeCVoupIEZNMMOeKeNpCcau98IJjZSYWe1FAtJNZ3sTv6gBKNqjdpjOBrh
xiwNriYSv9H0zlPwjMlEAeHSr0Uk20k3960zvzEAKZGEGFcOSXYyTYMnNHNQItgF2nYvE7/miN2L
FzsoR1B5xHlOjKmNAk8+ORXbVtzYgV+U7j5GwkXsPWoMZ072idTOHcPgPeHN7wKjRiuKFHEdz31Y
Jj89JpVzFn0S4yHWFFKK9FysEDWDN+jbZyQiHxlSfQKmsi39Dnh84WxsaPe7RYzK4PCuD0jTB1SG
ejWMzOecn2mh3pkV1kmw10NrfAF7fIo6ptuBu3wnHwRoxYylg53ucDbW8DF4vmLwKXmPpE1vL2IK
Ti2rDIisOQFxoYNjGb5O0MV+G9i/JvYF5JU14tCOvBbRN0lJzZ/ZAMYyjgat/OmG+rfNSA7Ba4X7
NSAxk+2QnAO8fLENWy3OrhD54205FvtSR8c25gj4DPlDupXOZUT3Ymn9LrUYwQM64y1UpuNmoJY1
56iG85WRUZP1vCORKs64LXw8cug/wAiiFpRaHqMYiM6l54x7GHG41icuU69MVn2bn6LpBGNY7Mx2
PIVgI7ms5HJZSXUczeektElkMgIo1+1Q7rLCgZfpLl/2XFJd19SLRF6s0Tj49ei+CSpfokseRs3e
5BUqGlM+GpP9O8+bJw2/aWaCZCE7jH6AZ9TGvbdiqnxr+S6s0Bw4qzEjlCcdxm3ljt+BZlUo0oML
FozEH1suXl87hwDIsF+ywiCFG4NsbG3yAp9pPQXcNd15dgPGyDagChcnWmrGcHRpLqOYRUiZPQ0Z
Z4EowWSyp3kCoPgQ1flLOnpsAJfx4Kq4tEo/T4tn4SdAYjSkRGvkxD971dnMw1Ni2Zek0p5bp7iV
S/xp8t9ZBesqgBRoRLm2zatgn6e449ueZ8OOUcINUq7s7zyGLu7I/LtV/C/XWZ4Y4ZEs4sDL4BSU
408aX87ptHxeXGDAjH1/NKPzY3InuTJTBzt3BJumJNxJZv4o6bonj3lAH4ToVcyIdKzkZNftebRR
PHsuz31sFcnBwXWPILNsQSD3vT+HnYKymfuFSKNiAbbj8fdbVbYctokZgn00wY4h8d4gG3Cx1Nm8
9cTZrXpnCzJW37RTTFLH8NCFzbVpKnudxNLeYELjnMkhACD4DDQXAaGtmz7Tm0dDJR15LbyaMd8V
Ay8eLaoy1MQLt1Vh3BAXdmvi6j97Ez80WmGFDiP6oSVZGf/9h1l4P8I3IUbmebjhkJzW71ZPhdPK
8dFocCI7jed7+TwcJgQcVPjYBi2o82uc9KjqmY+gByavILUZdRbcEUUyPJqLRdRQdMfqz6qT0QTv
6sWEKJmw9cLAEYevlpj2LmRvTOz7bDgJxpVRml2akvBaHo/obgYZK11a8gIDMjq6qbF2XPc1599d
zDfPZftEHg8tRsvkEWi3zLx9M9n7y8FKWWLgMyZhNji0BtAvbdgs/fA4Gn7QyidzWi515F5Cu/8t
+w0pvHdsk4jHyLRZSSM+LCNC8vLo6gx0ZFkdKnAavpTtBe/jc44uzJsiH50w2S1l9K5P5Y/ABNNX
pjqpCAwJNBWqx/5m7Wrej7p3xc4IiBaebmNBO4xZS882ullDMlPZhd3Jm8zPrs7RsnsM88V0ykIH
/Zn87VHbIoPY1FN/mpjIFkQ8alV2HMbhkPI6JPTDX7zuocGdMgf3ytGwfMCvydpfVIFX2ylOUCsf
ZMDsqUnzVzJqLvF48cRwMAWa5wEfqa49IpdH93l1POfMGYeEuLJ59+nLzXaYdXd18NMimnVaKOyq
5pQm4aHmxe9nU7tl5W7BTBzy/F7r9ckOa0jEbPfy0nkzrOgREtNzQ/27JOO+sugwLdQiq9nViLGk
R85hri1kChThKaNISJtTZOwck81oULo7zGYk2VuUR6bmAgnm/deYjJ4jTccPGuZ43XUIeRZkadxO
cmMbHOotNtien1FSJycjGJN9OaX3/MKR34DVmM/WeBdII3KHBtwpu6MnnZckRIEcdCWNAa8txI9x
sML/GZIbov3QY+17NHmfSpID1h1H3iK/+1acw3I6R8jdAcYOftPn55FkmVoPBWyx8IPlLXGk5ufE
xS8Lh37XBN6Xzdsoc7Zm3f1yBvewZMWJJeM24b9aR8GPwct/LzoDHIcVtK7xkdmG55BdVvYdajEI
PJPIs7I7VQT/cFmMV5me9Jkck8lwL7LVuFZUUH4ggx1xmptBix+z1PkJvRqjjHagcdsGEkfXUFof
IAsOdg+djRwVib8SuGCesbNwNLERYBjnaHkwXAPwbszGkHSmpH0LFaU60sc9QQb0PgOwcUtcUu3X
kr270T0VcjOYzhsLN2BrxeBrS/lHrAFaPo45gnT3yayYTKJIjDzcXFBKNgBEXicZnmf5kA9IICJK
fsxa6ZE0oWmBGt25+JYClq+iJKOtoSlMihz1mLuODLARgi5LB6ThggiCCvdoptorLgYb4MdcPbg5
SsS2FOa+Y6AUW/pv7B+cxbX91mSes8lZ+pasvehRGAQ1AVMYd3rv6Yaxo9OVg7dc6fhKNogxclQd
tFF2Ue17g7DScKH+pE/cpglSE/SGr62BDs6lvsZstYPrd5eu7Q8YsYjeWOzDMhkHk+IA4b2DYEO9
CkStIM5cYPq5dRa/ydreT5QEftmOd+KHtqXBuKgt5+EzDb5KCTPP9JzHVsT6yq2x2A/0J0i2YVvz
YTtslswjPVECcQGZlwxfoIbQzKAL5gBFuZX1JAYOjAcaj4l3yN9JTOZLm3vXoqf5DOzfjFBQygF0
6druZ4MjuQmJRgotqsmqxHzk4bTb8B5z/L7pJx/7DhSxuYiQiMDJCvoQ20nLWB210WLz7Semko9W
lsW6KKpvI20+E0a3e94cm76ZOcE44h8yrSWfEeBaItoHSf6sl4rnCrkyYVzMuHMPm1adOG/wwseL
zpuutumG4tC+tWVTnOj1LAKTGOfA/4yvknUSL3TUdH01Xmy3hP6T8lFQEJLi2qDV5ttxzaf0amcE
BWkZKzKdeBIyCWYi8ZRHxSaaBefCfDNqm8W1Pn3HzOTCBW9r0/ImbmwFHGKGitabUVJbEUPfi12M
qylZ6mNLsf1QobZABax/Qrf8UeZDgLqPIbCZeN95bW/JnsE3Cv6r4czQJE2dy5xozILmqqFdoFTG
WWRS17ZJ+z3rxnPbcnIFUh7Lwk19tBNoEXFyr4yYUCwifZlL0mBkCe8Qu52CVSa5qHbTS7iyHGAF
6aUoVWrAAsKDcRkYm6TYgEK5UKH9TgbVQqeLhMnOIC8IkEEmZOYAMCRCWhA+hn7f5XtEW5syoNjV
qJFWVTpSAsUNHCiGJmOqiDD6zPDRFBm2/wXYrEuRK4aXMo2sR40bvFoAT8/hFYZBpf7uExJoXVsz
WEVpwGBIYyoD6o93RE1QptZpGRQEBA8usLEIQew2C+VXaBNm5AXzNquqLxMvptD5by0zOpw4tn71
EpJ7tYQLh3nE4gOGBjiMZWNX8XO5FNm+7LH7d8OQrUyQauXMqKHFziBa7sg+IxMmDX/WSaSjfe+2
mITFmuzIxY/R0rXu9EMS9cHwAQN/0WNbjy2x9gZCCmqX0QdRJv2mtsIbgbQ7HaPTlseLm3NmRmY3
LQtVbcZr0LY2zcj87RWhQ/UmD5kZGDTidIUpEmFGy9eIBQADDwUwTiNsyySaAf/wi6j/NqS8pHV0
G2sKzbEvDpK37xnswLGt4IhoWQd3FycJMUjNFRglTxQjvk0v3XMtojNm7VsaUPihPbzmtkI2o7lE
xLMeWx5qRj87LpBpLNbK3OdlGmwlDSH+OC7ApIXBtquzB1GP17LCH96kLCg44elkNQKfIv3MVIX0
qwrleH80kY/MOmEN1NrevjIeg5seu/0DW7N+lfENZB1VPQM+FX5W2WxLFutc2unPEOP7fvR26HvQ
VXmPMZCildDjDy2leon7FbllbKZrJI+Lg4w6Xo5BV9freJC930GTOtZST/cp7NWbsUiIxwaifEpt
IFfSOLRO/IiwcMQqzlif+Ehwop9xUFxLbZzPpXEilMm9hiR3EejGCn5ml8JggSiw2fVtb2ACZJZX
TdpYIkoi20xVqrrA3uMgJtSSreba6aghjKbe9X3hrZ2Y9rgJTQgy8PZXA6DbLnvC/M4mbJ6P5AKv
KqaqxFNfgH/Va2HZG4wY6QULwZ4EB3maefbqkTYaQb67cxj+A+Pob7bW6Gp29tBG6Rmy0shv27qh
vxgBLLBCOdybmZAP1MkIvJZoXQ88p32kPdqCZxWxlqDA1baD16Rre2CZGqX2V09UHWbggay14CsU
TOGZFk37XG8IkoYKEJAxA9iKjyRyckHnlSZmyx+WNwJ3CEIMG5OJrQOkQ7Ao4CZe1VOGSgIqLXLj
2p/Mr4VOTrUGv9JOToCbMkXGdr50SebO7PW4xgeUVGPZr5eaCSkWoG9UoC9VrE5yikBM+t464f07
NfCmJq/ZNwmlODyPD04UouFl6AEn8IaVgXfEaSv2vGltkBkFzMhy+ssAHtmAnjRhFgqnI7Ix1IWp
9Z4C2N4tCxlOi4MFNUeggX/kBpcqRPgdfaci1nYdHViTJ7/QEBKKh12uBhq4zA5NnpLDLjPZRoh6
rwmpuGuWq9VudKOX0KkYAA6CXDEQIPNs3WfZDbyOc4823Nxi+qU5S+DVmaX7mRotzR3w7zVoFh0+
YHqOAP5tWUky820uhHXBm7PgSwGJw6xTRKcYvBYuSFYQaHaTMCASw2D9HQ6YeUyDSzm6m4pZFyLP
d0PyNoha5r6CJrLv9PaYNN3PomNqArnLY3DTvsQB0Y+tEapsvoksuwEwW0ShxcaYPeUgEdaHbChI
L9rMRWeAQOjtlYhoBbhnwQVa3AsV3U3IYN5uHgVmHMutP7wx614brX92o5CWPsiRhFM8YSLUfFGo
bTVP7z7ogyN3HQLEHOpEHKSk+3Ea9BUrCZ387UFSeUHrIwxZagYCY8aTODvJwMgCd/vH5appR1ka
8qJXOLgBQK5r7Boo1sMjSeNPbtjKfY01csiYzLr2UJArGm5IdkB7jEKMoZLzgWpxPbrl85AFN2RA
tCXuC3ROqN/zi2f1t7lI705ETlKzzU3CvrgEG30AgicdDn4N6N6KHOQrqW9eJe+h82N2UeIIoogh
rcV3GAc9xCaEADgSGmN8AC0RN1R6kZbbm9lBiV7CMHSd/mfZOpgqypfUdV/Jo1PYoJxYquFE4OfJ
yLr7kOPFK5Ot50X7ui0upgnPM85/VnL4jWD0ezbqD8bTKyIQn0ym9qtQY6ZlyaX2a0auMGezSygY
DVa25XcVyZjJiM2uNg0aN7oMagIo8jWnucEKLQJjuNaaGIVRhpU2KB5TPXydlmofuelpbLAGYNXF
MGvck5qEtjZX4MvZ+0VS3tGc6UERi0ZWQG8GEWA31FfGqk+9OevAAqjBIe+bvJ0hgMI5WTZDB/4v
YzO9rvOKxhEoXOzATCD78bD2UnTvTjpCbkukc4gEggITFhkWDlCDbRzFz20Nu5O1y1Hkg7cRDsvz
nMnUzShY9pZaBf1xmrtTi75b6sQMB63KKCb0DDHuwLzLgfSO5O8dQ7g84w541oEs73NefVjDKm3b
zbF3DXVJ7gm9D3qZq8SnnHfdeITV5+66fn6G1mxfOSB2pHACCgohctheEGDzVhs4t582JBO0hwS8
oiASiUEtpTgyrvmcxM2ysyMydMIRBp+jv5AYlBvzTs7TmzNTJ7UOyB3muXe2RMtWX4hkCBZrL9ll
UJS2Wy+nuFgQU0/9cMpiuFGlo9/TiD5+dMa7oxTLBQkV3JWAlRJCEIEgym3f79qARSDje/ZUI+OW
2QOFzaiw6ukdsJav4l5gTGq0r8SRbGlF9GFSHDm9h1pO8PRAKKOfVJwAxWdqyHUdJipUkRdIEXgy
IYvh35kQumxMq33DX49V0GK8F6chgpImS7eh2797KUWg2k0ZXVw8YI5nglQ84So41BDr14YeZLtJ
0fsRlQNjnRDZ81CwBudNAsPI9naS7EZ2p0OTwX4ww+cw7N48pNm7ZLRSP3CHxzJeQoZF0zNLGcYw
LBDcIt3Cv0Spk5X2Xmbxeaz1Yu8WciYofHKZale7oQ3z1zL8pclpOfaA7/p6qXcGqMgNfzQygmoc
aKGBCbmk5w7MB9b1aJF7rGcLx40OqNPt670L53NqoPbzxj4ARYER1Ds+rO915Hb2ttGqA3jNeh94
lKxNL+5VVm2z1unOo2Up72uEbAEBF+N0VEVwZINNmLLZa6b6FiTgT+t2Xq6iL1HuEpRz6hbepklv
5IdQGjuBmZA+Ljy74fidjOzTtEXHNrnrIQkqiRCpxobG1KVhOFvm6AensnrW8cODgZjsYxYka0+G
KKhm4rYrOEOE+6Dsj6Jkmy2HVAjtUBWvdjC9EBP+InqL4olD3QiFdw8rTKe2ibFyBIE2B12/RjCq
XXpqB9BVNCYoiv2QKnmfyvjKGHvYTVFB+MhC75yE7JKqJqq29hJAhqOYyM3kZBp5eMl1x95bbFnP
yeAs53BAoWUJXWPzmC7HgUiHMLams1JOb2TQM5Zq2Zg74ENX+pjjiNGhYPbMH5OkW5CkPcCM5wBs
MSsJMb+MDQuIoO6eTPFLNmSEJ31UwrgMk31LrMeqAOabWdprijkKvTdzxQkycQq0e8Nz1QMICF9J
K4NussT6GYZ2AMBtNTKv3XvcbXvjTXPcV7z2yZ5pr8bjz4S6N+MDycQuQihk3SVTn5nds4ZhbNvw
+FP4y11FRuwqq8HAGKP9YIfFFu+ARoAM6CUGwUEArHU2exLU8hsHRMK/xgfXAttZ6zXj6dqmgB1Q
o+YxMCOar5MDeYppanbVZbCqh87ZLLo8dL1yuWOpQrE0M1DWEOvp5YNT6+dgLL4mo92IWUI5dg6z
pe1n14Gu4Z4FFSHiq/ZrAQTH2ER8hQZv5nrQNngBjhPIeBKzp1WiJW+O/QYRkSmVfQZHNB1FZa1C
KDHbJKQC9ZTsxLQJmCJ/6AdRbLuxyMKdnvcveEO1ijm4KMMHF1bCxhh5XtG36zABIMfPMRlddpu1
Pvm4lgE/ex7NepvZQ3IMeTlH5JqyD8QJRYXw0ia4OxYzBjUpeqZ+pLVmbPH1UvN2bKf2Qz8dMuc9
4WSo45DXCJeQu8YvF51kqiTKDx4d1KKh/TNjjAHJQBKMdGc2yNG7l/PyMmEdrexucv0UHJfPqnFH
2souQOK2jmKN0KlyxhnOnAvOCsBkBZkyPqj6KzA54rcOKHYXOuktmhjwFPNCrL2GpcZm7sIorjAS
cuRl6svO3KHYmbdBwR2qx4z1iO9gnATgbyLUlEgWRngLrLo+mVmfpgl8hvQ8zrNNuux8Ve5UWi+K
mOSG8IYcWHyLQkeCYwj7mAJBOQ5dumnwNLAmolisbHKYk26npazSgRn686T9yFhgIP3hA/TzeQag
St3m1r5lFL87Yd+HApJgYiGEQzjht3N4jjKv2/YdgDO9hmidoV6xOB4i+WZAXXvFzrV205KHQp8s
ygnzKBso31ZCIVqQixO517bJ4kvGptcf9OWCdxomb4t/vSYDk3C52E0Pwsqg5vUeVq2S2IHGct5A
hzCEFcZFFpAz7Siy92kXHdOYhbEsQFF2FWYkjp8HPSxhQFD7LTiRqXW6Uy5N8+g1EGJLxqiUp22N
4KmJtz1O7xyH1NodilNelUd+V1rSnRsC2ithA48RFcVaDtPR9bzXXNWtfWLRSabDl+dRNfUpuzlU
fCszj97cjkW+3nis+6AjIocYoJNNCuZ3IytlOIwoBwWn3qlmXkLhUZEKl9B0rIMpzY7E3n25GckQ
xCFTm5YE0tnArwGcxnunw3xEFePruaVvI1deA7gLCOIYt5hWwxtdhs/UxRDcRcuSmEy2se6WlSUj
LFbRt145MRrCchebrxnJe0YEY5TFFtTspr4DLrtlnKhbdtNHwVhqnXpau3H0Y9BLZZ73BlCSLlUV
azefW+u7g/oGeNb4grv33sCO3VAsQhJxKZXi1jF8S1DoaZ65SRYkZB5bWK8xy83i8RIH9AiLOxDw
j+mr0WtcKyaFCBqY5VYe67WcCUGhh48yd5Jd0eAOibv4xaiD8C12i7tOSDh/qXU/jBPpVKLcebLH
6cb2eqET39gTR5MbFcFpkWw9W/GHmzp+pA10j4ikK7y8sI1FZI/+TEW4HkqesjLVSDb1hk3uhesU
lvMZGxr7M1Rw9JQnSpVuhY+q98EvwAOohlMbwCRDklbN8wWj0rD12FjYJBJRlTPgBhi5m0Zv0846
chvWBGnf+VCemIsZrKnLILI3Von/KksDHuOFN8VY2dfc6TO/EOQw6CJjlTHlVwrpys86QFBZ8m4o
oXGLZEra/R72/0VDq71iBXvz8mqCTU3RWCk7eppMtg/s7QvG27wGDrXB1Fhu8sZl1cTxB8bxbjnD
gHRGPKUYJnyLeHYGioPca3kJYB42bs5JG1TyBIfng3DPyp+C8RPqC8ySFJEpCHBm87gR9frRCq96
yGqjmLzHQVLaZkCYdzH+TquBwdw6XgI4rdtVwWsR5fXZiZmQiCG7pX2pr2OD5RoTkzi1HqrO/VGm
ihxoIAwwbdeXDRrcOUUOleTajtV8uiNVA3VZbTJ/EJvJLJ8bZuyomApGpNxLq6xXodJz+NzPAY0x
0BWkMNATpdHAGjUeLGxUiIPn+GTlfXIPZfVYCdTDIcbDTEuArnVadS31zmS7wFgiJgzAdigkYkX0
wviymQkMMMLL0CWHuZrfbaP/ahn2ryby/RihfbUqcQDAwDP/e8hVFkER/fZUNkFGSIEoSSsQrcut
6rWQiYr+eUH1aCB5UAkHnQ7aYyb0YCH8oCMEgcQyog67SluHKiEBLBAMmoS7j+/QgOAOB6m9wymG
u29ZR8QsNCpvgY7gtylIYMgpeEx8biqZgbBM3n7u54zHmdwQiLXTd0eUw6QyHfDf/KZ8Jbk6Q0DH
vBvnFtd1YR/mHqPW28/EQ2QqJ0JhEoDnQwMfRnZRhElEKlUCupDKLUcoCCMc/cW3NuRbiyAK0NM8
WaqtVxkVDWEVQqVWwEOtV8xUcnoCb18SbaGrjAtSRLQjqUrvkcq/0JD42FH/omUQ3mCjZGgjSMvI
8kY+ZmwitUntOUjUWJyNE5GwwQ4eKhGhG8Q0k76hcjikSuTIVTZHq1I68g40JDltiDJVhsdoSmTO
xHoExHvEPUPpUCV+BER/YL4myJAwEEkoSC81DkJiQpYRHSjTDxNZS7EuVZaIVKkiXCKjQSYjVN5I
r5JHXJVBEhJGUhJK4qp0Eiwe75oGLtKioJ7K9psItW3qkGjSGg5mwi+tAh2rU4flKvtkJARFjCGT
36h5yOVA1qJ961ReikNwSqsSVHKiVBKlEIFSsW4yuC+MN7sys/Z9/tIRwmIQxuKpVBZP5bPYKqml
nfufocpuIdRl2dXWr2yCEUS4C7oGyhElb4YRwsKpHqkwYYMRVeLAqk7W6niyiYuJZXANZDXvzWWi
PiBSxlLZMi5eYYIZqlc18WnHzM8BvKTE0YwRuteAgBoiHSp2b+Iz4E8cibAZ/2TZqFQbr2jnVWHw
lkwLZAYq+wbLNJeMNJyUPoK/KkWOS1ROQGQODNlLSFc/lijyDZWqM2MwzuiAdOvAnVshjSN/p5LN
11yy81mm7iBURg/rxmEPE+QTjhs37mSy6BJELE6fAxqBpCTpx07FKamb76BsCULm0rH+MU4J8UCI
DRxwGtkLiIpyYxMhhAYAY5ZKFdICyeqSnCGLwCGQHOF2IIKoacgicgklkoQTobiL7zhcXz2VW5Sq
BCPIgRVUtX7XjCgVocWk21QlHqUq+6gnBKljNyc0KVAxMqJOVVKSx9NeR/LRVBlKjkpTakzIDYFK
WMLk320rlbpU8kCXKocJjam+D2dWeh5mVb1NPhzTuILWZfGQyx9WR56TVsW/LBf/sEp6IoyeQDXC
n1hFPceGG13QiDJrrKzL4OxHQ3vOS1bVxEdhyos2ogc3mFDAVCGmmpa2dWLIxorw1LTk4ZUlMyFi
qULiqTpUoDNBcesZ017ezfsgv05l8Tx17s+KLIej5GYp+bqtkq9YN6p2G5u3SsUyxeeIn8nve+9N
05dkix+Ilxl7JzvWrnwHkKQTSkR1XrMkmb8ca3jIieHyVB4X3Ej+sU1Ioi3PIYj/XZQ7XzCZj5ZK
89Incr1qlfAVj/qPCmAwjTTpXxExYJbKA+uCTzMiIROA91usEsNCosNKlSGGFRWuw2VhEjYGPLiu
iOj2iB0juljfFiqJLGUNtA2a+qEkpOw/99n9vzS2Good8u+drcV3/I82O/Vbfv3V1mqIv1iewwpR
Z+cuHf7/f3x2mmn9BZWnaeJlonjHU/e/tlYp/2JbOv8IzY2QAmTQ34x2kj9QN4SO/c7RYfAY8j8x
2pn/CEKxLYKAdakbEEVsG4GTsP/RZpdYWeSR69hsoqpyHyPLvXizlZ7dhqkItczGs/t7VaXfmUyd
UzB3xbVZTH3bUTaMEBmRvKAp66gnzrZO2t6U1k+125CymqNdWXDsbf/u6v63MfcfjLjKZ/tXW7Wy
GfOBAa5KrgBoENs1nX9G1ngylZL6KsUVJMajXQ1In2R8iiz9lTSCauWa63QYQt/xgt5Hrii3OIuv
aQjkLEhsa++Q4vXvP5L6Pv3TRzItHQ8canABj8xRRvO/syoy7PbSEVLuRhvwtUQL9gnDPdSucbOX
4gZwa/jQBudAvU9rEQ4vmmyMKzvE1751d1PiPizg74TZf9BGnNgvzpthrJYtQQKnNpfgi2cNnV0j
uAn/dqP+H5fSNP/lc2PZFI5lSv7P9AzcnH//uVmapP1StZrvTJR5silu/czpCcG8/rDGHLhB9mxp
Q8eQhFduaI3Zo4GLl0wMSLGgz1H60m4NWf9sKUpbb/4epHeWTC+KUVsY/rfvczzOp3//sS33Xy+4
aUiHO5enw5Vc+3++afvaq/IMXFvH7YvoxSbZ9G8/hIXVHTCZHP73S7MTW2dd/SBNMJMg1Pgp64TA
j5iuUa38zx+gTWDjXAywHPI1y2ivm065UlNUKrD7z8/+fO3PL7sqIQI3KpEBqn/lzz+gdUIttdxq
TcQPVdk0yPKPGtbJB0/98OfLgmHiJhzKH9Ogf3SBvjwCgsTfNYIcdKz8sdVYwmZi6Oy9B/pYoBI/
gfBkO8jN/siSA2/KUsafhYGlwu13blQb74x5CCE3Aa1YcQ5SdApIRvOGdyNezHPqMusBp8DurBiA
fcR/+7VuJO0jbdfvusuNve1o/bWN2akWC+GobVixE586tlh66hwnRs9nXLnNyupwVIVuWUPW42sh
DWsV1/I4G9FwDqQ+nP/8DFcxZHNcPEc1ifZgYeFkcy3vOHUwRlzPmHwe8PY0JQTGhkOHLVANSlL1
g1kyK9w0YYZU689Xh6YAOZW5b2gAcFDl4O4MsuTLVTIl8enPD7amWcybNIbPbWSe2OMaf/fDYIPv
DudbWzftLe0IYkA4/SZYpG808oY/dfM5jgztHQ7/uCe6ttz++bJB8njnDvXbrAt9n4hfSZfqfg+u
/3UB+bbF2QIIWpfFq1bT50HHJV9T/RLPQIAsaCBvx4Z2FzTiDJQ79RvTq3dprLVPIef7pWoTVnZN
9/TnSzkTBwWn7U9/fslEJTmMjlK5IiSmkJzugVlM9xHJHENDXvV//Vqew0UbLf/PryL1ryURf4Fx
CWb/z29g5CXxszILRNrzglIAkK/OsnCqF+uST+Nff9URsXgUc/DWuDqimTRcCOaGjXqqqD/8JmL0
yA5mpUK5HvT8v4g6r+W4kW2JflFFwBRQwCvboL0hKVHSC0IW3psC8PV3gXMi7kvHzDkTMk2gTO7M
lb68cvzZZus4K5SCVNhA/OjzXyOjZ81d/w8h+MXjttkKf9XXUnhRapobLK5Lje1j/cdIiwCQaXRI
8YAxrkksqlItTUSumsjdMneeNipF7/DXjzAUfDktVTWDann14licxlSGFM428SmHhMDI5sxpdnUK
mtEdRGgXyBnsFSduJ9qEWHmYrNc0YiXmpesRI8E4Z+dFU9gjPLlNosF5LZw1wht1TxNlz9QVVGlf
4HNMSJXPvgYdI7l71mnpXCfzqzYTxcFPureoHY2jV1S/e69PgzEto52O0uiLU5KndGISvbnbe2dx
KNNQQn6jfSxxhbNx8cae59TiZv/5j+ZM+ZEi1sbQqyPxPuavML4ZTtbVraiw1nRFhgHLjMN9qSju
whciXqRWM7x++jMc84twOtzv3fx97dQa3Zx8GuUxl9AhIdTWq2Jt8Qpkdpqi5MqMG4hNJT0XclAT
njrX4XgvSqkuGBGIKcjuAY9aHAzbRXMOfeeNObZ1b0qFq16WN6yM2LD7JIGJ7ukrLUfUU4UIBBHz
Ke2Zr5MVB1VHzhSCQHKkOW28xrW8ZI7/Cuy6+orhqWQNGG8RmMYHWKi1YOGULY/OcsKtBrqf6izD
F0EkYFE+REffeslNqJoQzLfWmiPp654kiHWIkzrhThuPu9kaL54AQpXoggpUs56C3Cx+2/jDKmZB
J/oQL7ZgmmrRGNBCkdwVBKLWtA31fYxFHlUYbo1e2keizvEOEGC9g6GWHX0Qv37RmI9G19/9yu0O
FncVJLF+PMZDog+gvBjNj3Atzw6w0DJOE/TuxILqLNzyqRKuH7KQ78b6wUuw4VHN8XWyEJr+EH6E
sdxS7uG8t6xITc6FlEZF/OPp/NWYs48GwDEDFZ8QdLw+Hpj2TtmI+6HDpV6PRXf1MryrJV1JO+CI
vxruEBSpIm+EOQInve2/pNDDzXXtB69G8v75UUbWIYQTh6vuIhg71snVqtFsFDPga7NoW790lvxo
5ml5Tz335K23dbPTb/k0XWFpprt4mp0NR8bmHC7ORP9WYh3ELF7F0gZmKeenqwMCDOYlLH3jQvbm
ELO/UwOEirrt4jG6VgNJ+my4+mlj3kIL52clJ+9apC7kIhDb3G5HqojDTlxNbRwEwx4oXYDV6eq7
VmUIzLrVv0Pcta1tZBezDL+3ri33BtY2qLxB3RXLo9Jz+xz96aXpx/AUu6OimmEhd77Mc0JLo4Hj
OtdXnU7bBhTUAjnlbEU+lDenAhDXGfGtWz9meKb4upNlL+R8nyvlslJON2Z4Aou8JvVhy25b+dz2
M5VzyXQ7/G4SCtmcZC8h3V8CEtrT95d43ppTKHbhytanCRXJMt+K9e804oNi4FSFEJvb+QJV4jfU
Rrp+MTdA/qJFrxO0AISjxKLg1hvLftiM0re1rJ1jlSHcibaL18v+LziBCycZez5TwdTUyYVza3uu
vDeD4vUrcZmfuiNPaKUNo11rjUv1Q3coygGnTZHrgDz5A2YzGUA7S3ei4nex7ckLzGS4mM3yNZyG
iL29VsEC2niHKme+hhwmmNb8yWIzudLys00kLEAEn0yflYmpf0XcDmb/dMy+xMEhSiZiM/a/xfuX
IKk8wumyJrSHZP4WKzWSKMWbkacD5us9pk2M08omfinMeT5nGk1/meJqT8kpPRYswYtbzi9Fkyw7
EvZqi9kbr3jT//aTqNjH7YeMl5Uh629N23X3XLcubv3bsGh0jAFSU8jTR2ezai8xjChgWS3Aaio1
KcsqD3Alw21hawt/eiUvPS8EIP61fSEJ/KYiqSxj69JL5+vs5eIsmvJLIzuFCxf7UgM0IYKrX5rR
shFUyOxCakRhuuPXn8VLH3csFQg8G7fv/D29aORu4/ak8zHaqyl/z+zZA0cPVm1VlmnGtLurP4X/
osYvgqlTw3mIzY/STdTemamEqjlX1NK8cTkpCaaRs4eeFu5jh8xLrig7w1+DCWMoSfiL0mFcqywB
zwCrR2M23S5sfmlqkcRY/8Az7pzBDfsEoqVklEqYMrTw13mpKt/9kCRaPCHfmR1deGr5R8FHdm6F
zM51pbBsZ6O/5Yxpr7V5G8dW7jGKlQ5wUL82n+8sPY1UYg7HfgTH0tcYzcz1JRjhdCHZPRyzrs8C
tzPej+a32y4lW3USElAnksIYszGEhduGQyQeFyac6lSkENDqMT6v11qCMD7nR9xDqrp6cIlPix6z
jc+iuM2mEOKmUMdswln0eazo17NFIvdenjsMs5uh3NPSmJxiK3lyCvduE9fql7oR3j1adioss5+Y
HX6RXgF1e681ipryCSbUc1qe6njodrKJSEMYQLNHc+4OdjK8z20Dn6AIL7k/toeKdPO5c+1s04iC
LMe6VpouycSmYq309MIU3qO4ETSiSSMcAvH/fwDlnZiApGIzzcbRweO3N8wQL3lfa4Y/QCmYJ9uU
xPICZb69HMhiQ7LAMMBxWP8EgOlemG2+276VHGyjq46Tmh+TKAXtfTtfYRICdYcRxLLcQGts+Oky
vocrIEdH8Q+vmgCoqLa6TQUKNuYwksLKth/oXlhrvUOjai+o1/VXD1O3sVHsE1xJ8xUmfXtJsqtT
cxkz6CfbJ9laaZkQbcvtu+CgKMHgvuM03jamJEImkt8d2YgAnnhJmg3j/ii7b7UPN4uORBJ4YkCD
rfmrcDl1CSBTQ6O3I5P/tyoK4YGb5JPkcPYsHvwEUnIwiPZ73fZJwJph5gORGfx3xzpNPz63owI8
yhWgCs1RU2OfbNu5G/RXXXXDRG7pUjdoqVnljk9lJpXjVHC4QK4/pGX3X/73jklXPUMQoZRiu8u+
Gcfklnd+saP09opjq6NksTwtpH9ORfHd0vSixrb8aSNh+snQn6I0g/XsR+icecPRZ4m6u1DE++bV
aE7E4xyzU/Cjt0nRx7qknHDikentAbgnqO6tGctob4BBfm3M+ttsRR6AnFdM4xOnT9DJY9akO+qp
6PztdHV35ovSf13ZLT+c1D8RYsRg7hjMZrJk33cEOJteyJtbMkNHuokfCfVY26Uuuo/O7X/jiah+
Ky+bzhGO+EsX0h9SOdD1Lay6LPYp4E/2jOpq4UoiyrL40yaEOnP8PCOovvkAnCkDG578JYT4ULkT
wTeDaL1K5iDDq4laUXeQfIjt75L1IigmJs6g/P6Be6xxVIe4yMDw8MIAxiXB3RzU0vnHxMJxH3rY
/d29G3viq0gGDMQRC25ThxePL+SBExRjVzUKUAI0v3kYzfiRuEGvXO8oq/6NO2+CfpO/Y/PHU9oW
LMjMgAfu7juAP/nFC3OicaBqhozcO6Fude1w324pNiAx0zUxozQS2YvDmhytMTnKtfDhtyt/Aw/t
V+FIIh3KfUQ0rpFXbMizhAN3TtR9zCilucutEWnIjqwzwfGfUWaW75HT3qKJUDa1W9OlM7xpK3MR
LJm0H7nP22Nh7FlZu/txdNtj2efVebCIl1aNLEkFUygyKic/JP2JZcl87SDjHehY22tiAy8WW/tT
k9xgMAQOtRqb+BKT2E863fIEEhmpKlftZNFRSF+32QXs0Of2ElkF8a6eVtHSjrNt1rXxvbUT89SQ
vTtOg+8czOxLVzjmbqjyf0Mrga2u72Kflz77sIP7u+1OfsrgYl0BqwxDSFIxTXStBWCRuTR7QEYF
9kyMsRE0j0Wo7tx70cEWtrouuJgpvV3Xw9ai3H72flTWeEqxzFzDzrCvtohPoyhBtJYafl43nGrL
76/dYIT3NYHSRBhXRew+xr42Tk39p5xK7xnmuAjc4V8br2iRCNJXO+H2btqoJqM/OYEtKgIQ8/DS
hqToKJmYjjPVgHtbowJhBMl2zXoeFMxU5jHzzp8fZkx/RBYSWLLJY7/SnpNuzSahtUJGcp/0NCoa
U9afc0CF+zTDcPYp5LR8uaEsT1aWv+cl4TRsGRRhO3MBeLWd8quRUrmGAeTKY/EGmrs7uJGZvelw
VRIK3RJ7HUO+WqPa0rvWbeiEXHaTrXkerVRds5HfPLKSc6lKcY26iYmcA1hg69L+ArNLML6GOvt1
bN6ECWCkx5l1XqRFsKuq4Rbjcg1mHb3B4shxAS7X3IqiZ9GR0TVbjJFFQyTA7H9bwjF+mUsflE5W
PovMflaTCg946WmyXcL6rWEgWPeRuwGhWhw8KjzeyUyvcYDi/HkgCAmUsAuwquRApLCCXXEn5iyx
M8mBNCZLXJj+KYv6++dmJZHFTo0/P6zRtb6ENugZvEKzP9Xf7aY4JbNNT0qOuJyO/bnt5/xS1e7H
XHd0Z+aKX1s5WxrKwkNMZVRQK1/vMCfKfR0OryTvi22pDMgQXjaf26V5bzu3OYo1xt/bxDhjUHSn
x+fbsqSgs2EQV0cjG6Gl4jQx4kTtdOiBsViXSqWqv13l3Oq84MKSyXeKRYt3By5u7zdHPMDN/95M
oroNA6Zr+J6RcHDLYrpmDl3XhnT7gDo+66ljPzAFKzHH6eRUe5X9BCO8wbZKSiw37lCAT1ZkoZpl
1YZN2OVXNvuNjy0hmmih4+LPIlLA84FQxkF8Ln8OSF3s/7I6RLWQbwBzNTUL3R6y3sNILqKx0qtL
ndKLVY5l4MfKwstFYsrOkKD9sTLO85e+oZVkJLtEY6NtxfOZ0BN1VDFayZARoesrwc1EdffId8sd
ZXtJ/FIyQXvxfebPXpiY3zKItOlUoUn36W002hw+bzRc6sQEOeOra1U3AXU46tQvfUwvEQZaM22v
CeVoZ4N+OSSLCT9pZT1U+/Vz7++zDo49zkHL8Pdl44f7Nhd/OShzkQwfrUZLoVmvQ0qsF+iBUMsM
0bUc1TksWUVv3Libcp/N3j4Pd3iKSc05EYbnkbXLV9venfpbr+A5F202bCLVibOm+mrrabjZIi/n
PUEy/pI5xQQvCTPepyY1CvU4TG4OhUmZlf3O2sF/uLNPS+EwkS5cCfYY7oC3iJdqWaW3rPUCErVn
tPV18k03giGyjRThdKAj4Hdh198rHKIXv237U4pR0auwSvDyRftaT/O7KhlHOGVOsxB1dWnTnbxa
O2c6JhGulmJ89wkWYQYaL9o2eDbZ3RInt7dLTsKoKWX7jEl+XTPGr4NXcAWo4j0K3nhrV3tXuFI7
8rEEKgwvj2m7M1xAZcGbj6sm4MY63z8/4IjMd9v/4PsyXnzK34AnxvPFWi/In7dkSFtor4MH3LeM
Rl66kQdNh8uRepwIaJVrnG1RWEe3JITZ0TJUepEdiDh7k7SSEdMgo0QnjEXsdgE1gIGdrk4x11tX
gkSkun2mRNOT9yw1SQHmi4VRjaYp6t8f6brLDwU9QW3pcEghlMgxz74V7WjeIjlq/Cv6VIO5O7K2
e8fI5HyQqAju1+fhznO/KAuOvhx0Rtq7ix4G5VD0yumrQPmMc7N59eEREHpNXqup+NpVIxHBdd2a
4/lWW0t7aHja17at6GzH+Vf8k0mAKhddBs75QHTICm9dXwaisz/+/9BEq3SJmcf53XOM4BA76w/a
ft7s8ZaXg/UcZOLvp1CpTWSawzGyB7jpDuhx0wSZnkm/PEFIRMkcdp8XFjvSGDuj8YFvVGGF/V06
5oN7tXzQhNLuY2ZOm6m3eDF4LrFoRnGR/vHy/kPU4dMzp+6yzE3KOq0cBARpXKiDIRDRwawTqwTs
Kl3sp5k0trRa91JIp4Mxhu3ZUeglsjNec7f9t1AXcxJLUyIiHAiwGUP6ZeBAivIVIZBCw3S9OHmD
L4N51tcCQK3jnJBVd4waqlNvqJD2R+nBpOryc2q0N6IqBIyqnjlFMoaBa5PwrfF1BZEuSNAIGgRm
RjCneGryQI1OyU6/QW9nMi8rMmUWrSwhcoOpvafRtwYep6in7KQPBqN/s1XN7SP6V4bdq+AWs+dX
MadNHxcxKom5J1+/BCBD7XO0T4xtqlI6Od3B2hk5IkiSd+1V0dQ01PVHDU6AP6d3cN32Aj153C9e
Zt4So8H4D+cXKKPxtV0c5+xoNEa/BLKhC38n3TQNAJ/ol9wG5JCHzgmv+48lLOFNieUYl++LAQvF
1xRTJKG8DMIifIVJd9vRrsod2ngW5L5viyg4WE7hwVIt5dikX18iM+YhSgiT5uXj86wxzC0mDJDy
DzUsmB5WShZukq1leOmrHu86lvTBCFn+fQWkWXDTFN6LGNY5GIT9xEt+zkM8BqUrvqrFdo+1Azsg
pmUnzEr50gp3CCYuVoGbe7/apHjUgu5buzGO5cC1ayAQgfvSbDhcu/jQmK2h/y/Uf3lud9Z2BdeB
KyLWTgn9sc76w8JsO8E1vUmZqgeJrKH2YH4PRkJQy3iaYYwYNdJaDuyBRNRyt5eJjJyg3cqtejSS
EaM8caz41g/VnbzkPjJb+TTXFhC3o4macsuuo2VT204QNx6PmbWwXTZlEti6qQ4pCEtMxTjHuxRK
JZxJWoLnid2XBekweJV+4VB+JLNE+ZPuv8L0XF4bNdFvk3s4rn4O1vA+4XwC9zwPxwkO7t7Kk/YQ
FxkpUZxNiY05J66TbxTKkmSAxEBegEmQLadhRwEHPFkxey91mHH7i/KzzpxgUYpqK4vbFocrJ/jb
VgRCOs7pUPjCZR/DocBsW8KdWI+EBMrpQyZPsYlcZoeaG/o5ku2rlLN3NA3L4GvOfrqu1+2qkb5C
tEMogqVrQvHI821L6clmTv3XDDrLRmrKP2oHF2JO8+dG57680L5gbONV1XctwyGUDYMjJUi+9ZYp
vfvZaox3onw/LWUYpExw0zH1nl5qnmuCnkXffnGWOCGVTI4AHm11TsxS71oPux+2zO7WN8wQI2A2
GzfVKU/sgujWwM3JlgLfcWNwl4Q+85iq/06UU3Uzl9RbYbsttcrJEerxghXRNJ910x6x54Pqn+lk
5dx/KYaWwW9y6bj1LnTEsqIp4Ftz9CGSCDJcBHsvVainSXYkQEgaxfIPhjt+1yYXtKwMnz3H4jf5
6f72vHdr+kqyrb4URIbJitBVV+YEZcOu2g7+0G3RgqaTX38ZBH2ELQ/E3nV1EmT4O+5pJ99E6vzF
CgxxPByO1FfYvGkR+ZM6QqaOTE46uvdBCvgTKUXOQTmgliDnegjRpNTHxO3MI5GAP3WkM0onSHCr
Ij2lcfOXSoC/YxU/rTrJV6TBa88lMWgjCpmrCBzs4Ohb5Lf2uetbmuLm+gzgVgRDLR/FEhjmePPr
/GuDhMVNJdG4p+hQ5wvVp8nI6J66yb77ExN5OI0jzQux0NFr6dJ25jTZvnVNctj0Gh0SLyRKHW4/
VQdzYAYnXcEq7ehzlbTGsQUp2o2S6JguYRVEUx7g5cDs0rZwIFt5tMSaU2saME6trZD+jYPFEGzG
sUpzV1jkP9pJD3vbgdhs91ACVK7rXUPa89kOtgW0BBwWclj/OuD7tdMeo7ptThdsxAw8YLgpx/gp
yFokFMA9a9Tglw7pfmf1OeFD5ugnMzdwihkJVA0PnzZdjPNDLCrEpL2Mh7qMFZJ0bG7atrAAT422
vZey+lEpTOrRKJ6hipDJ5zi8cSuhS4O27h1iSHbt8aBDau3OKW7VjUumbNWptnYk+2AJp/bAOBPZ
wkDhG8d7ySTxRHhevQh2dUG/HNO/gSuXhaOYOWjDJSVTz8Q7aTmoO34iwsmED+HpdWLnUrTlGjV5
Owk6Eg/p97FMV7o9Hg2jYLtnFboYek7ullXelV1brzrz/5FTHTbNnDAbzvKINZ1RW1Zb45nKpYQT
XEXXlkEALorUeK3c/tvUxf5FtuLDn2RDQo5lEDBAexBhdyqrerqlLXkwrIZHDHh/exCvjAOB9Hh5
J4+fZ5HY487x380jnVyE+M44pV8MXJKIbuZ3t9ViM1jhxDfjX1o6cSn7jjEGo0IFjQF1Fe3/w8lN
Dp5LTayazpvTUkBnAAzJQaQ1SaUjBBZzkWFnxrMotH7jN4FJN8yCmg7LOC2MVF9cUc2nrsv2tuLa
X8Sc7COiBZ/aTBul2PezOg7qkogfi2Z2qXKyEKCQCy9bGY1gjqQJMiWcBL09NIUyFSC53Ea6ZQt4
Mz1Zf4/dqg0WNK0tlUJ2kJPA3SHkda8JMQ6SMZcor9+SJCVTadXpK4kcdUq8RhwWwHJr9078zBjl
ys5cniX1oJ93pjadqa6MNLuzZeHd1qNzS2bjK2TG8stCF5KcV2IkujK9FOOzVYV9aB1Mvxk3zMfn
qSWfnL2eEvecERbe+FZmUNylBzLqoJlyO7si2nVPnBU+KAZ1LBw7fMuKIZizZxrJDzKF+pb1K8d3
rcyJl/Re94XYWaMV3+KKpTJ1wWDFse9SoqjqSzjZLSMdMgsW4YFhrKx9lMhnDtd6h8+C0JRJLDni
0hbYQ2Tzg4gvupr8e0wZIZOdSAdMT+U9yb6PkUORVjv8slJgHovVd6eCPqvv1LqKcnh1jLF9Zj1A
j5raqjxZtrFwLewPecgVSX1zkOQeG6dunTNhrWKnmMkxqqn6h9/shqJ+79ffx4sdGwqNz54bLgKv
VjpcpRQzIQ8KtWIYKHf88xZ7DuP0eaA9yp/S9JCrFikjZJlBIm9V8lZaI+LABPuDnnhgBONqkB+q
4p7Tmv7S1ZyM8LGlOyp0HRq0GvMeeQhyYd3SCjLOPxAmL6L6cOnYgjAYPeQ8Ljhq96EHDVqk8Q9N
euxH17Nd2OYf2gPFPhKxdTVZO6/0KcKGHLlbxLO4arT9Fz8eKhQLz/nqN6OJQRwuOFNaaGFx9mUU
XDabaJgCvhiyO6slZ+DHtCP+a2DUNRAYsg7mb48fpnf76V5MVMXD2GdVLPGNuCTCHOIgPpbjPbs8
VPA6jDGkp+l5aVHNue0WBpTvuq3nLSjGS9tYw42mWtjnobxOfoxUvKSHRYr0VfQwcSALu/usNlJK
QoDTd4n+NxqZfh1s/5DEeXnMBgs7uPJ/e7ip3qJ4KbZRPFGuBqS4zPx3sTByiBxFv5ckQGIbs/4d
fApyJJKSLRK8heaCkUq4FdyZMYE3vY6XOoNCUpLiqI4m4FnThGFVu/NRjqg4WYPDGxhNsbfQAF/U
YoTsYx284sFrWb6b6siMVh+LcgTCq6qSP08G8WSd6/fj00vea2AAJ0MNf+ZwNt9KeMkvXTa+Mujz
7wKewEakZCp04YpzZkfTBU7WzcVkjROgABMF0IoeEgt3CqxFZ5cvqiPUXWv6Uw30ALt5Vvy0w7YV
d8X+x4nappSN3qbvJfGGc5Ibxxr08oNt9NGEzCnp9QSkvB76WFzIMg0F5iQmRLc57wBhrNMB/Rym
1j/Z7gBWU1XmizHW6Esml3r48VaQe8hNji3ql9znARGmKgNcuO0eAiCKzwBhl9y4e/sc6XR9KUjw
McTtZX8qwrwh/OFjmxoWyMaW94fI3XgDLU6ZZMHGSttR8J8WjmHv37SKvcv6gZExO6S6un4+XMt/
ziWyQb6w7EsDN2tjxoyi5boLN1Wy7lii/t7QmHJ0raK62Xr8Mk2+2Mtldk8dOiLQZkYF9ARfx6Ti
YsHgvDr2bU/WVzJ7JIYUv1ESXdz8AYVCLVg5J1JOJ0/V80blsI6oWm0vSsr8XHWIv6obGXIAAmtA
XSW4VzYMDMUVXKQf0MxKOGzS41vWdZhhOKWsJWXObCLPWmBMPmVLp+R/au3ikJstrKhV/hCaUC7P
SMRJPXdu84rHdisgJz475I2OTcJxuAsbRoqXpJYITyRWdoABuQtwke2EAUjJGsAF5dq9cgs59mli
nDtp/rKhSNtTzk0xrMpjEXe4PHTn00UmT77I0rWhPj9MvkeOX3SgzbrpKMvE3tcLHsXJgPLZlLH7
0arobXFA5JM1nYM8MTirzmpf+Q7IUEHlAdGhvd9bfyKEDf0SgTP61JPJm+V4oQ1jrz0lNspeE3ja
nm9kZ8CRJxHVIGnz8LpJHhEyukPPYrrJB+2fuqK7kMoBUelU7zWT3zxq5BlBZh2nF9xshk0K/uhZ
L+ZIgCA95ywmZ71WFntGozZh6SzXboZONRTZk3aGMwRNDBHpsNep/TQn70Pj3PiIzTg6udg3GPcD
c2w86CXAc9q9TKcCPYzEHPUY5b7oy1erNICUVTGQlWLIH4wu+sDPJxlInv4zVgX+FJStS0X5j9kN
aaCrhlRK5gML9Zue7yr6NrhclFTvpLupqPa2WweUBp/KtWbVoaE9YNhfHU01y5fGxcZSf4ipTDkT
xNUtbd4AeGSvWk2HBaF0jzFN0jFCtajFchSYDNT5KcCz1v6hh5Zy8BsGvE5v6ZUo59/9ISN75ABh
HNYDthvqmhLxxKLSWgdamPF/kjkTMlibPt+zyW++jycMZ6Vom8Bymb8v8jba5mOo3OwCDb7dFU2Z
4UlyAXbzN4kn9oQGKMe6Z0QAe7bTMgJ9UPlZrq46yxqHQJAX3M8xP0Ooif7NzdqvuLxh8a3XT3sg
D2ZIXqAW58d/fyQfkR84Dd192AK8CtZwNwZppPBYj2xhDMy7XXlApEk2iMPArb2oOhspDofPI6Dj
oBsBXEafoemzMqlhXDVYG3DrlrGOi31lcY/L+rSlOUaItH727TLt3G+fV8COnPjFHTN9MUM3A27D
KFFF9ccUTg9SyvFj7lYDOANLTnDOW19y9oiQP600x5OnEZUnAV1EhfYtMXf+qhSTNzs7oHde3AQC
V6MAEdpiMJ8DV8iUCR8wyKzalrKa2WHLZuOt5oeWY0JgJ2w/M5R5MyNGVxvNv5bHicDQwOi8jqx9
XmUHHu35Im0Hw0maPT6LEseYFHbFWZAo3R/OFNSirx/MNbydQ3UdMCzIbsFceuKKXaq5tMOmtGFL
9bnzxsFr73Sz/9CVGVhrUynFwYogOjYJeP3JuSsj8aBrdN44uPMCQ5S4mNeRasrzfI6MaNrONR4o
qAfpq6vwZaT5yLtRr3Y/PItuFj8nmPJuiBBn5jkGNvbZH8jK2PjmTaHq8NFU1h+n46zee7bYNEit
L14XNjdQtHxBcvz5Xzs43WknrIThGUQE0AdmT4FILpTClo/SCT9EbFtXTr7URnjN7xCv7j6yqhgw
24AuwvK/cYwav1LTjIjSdFUvjo23PFu1Y64NDl//KS8UiJAFkWyJ2jP/eRlAa/69GMzdpvWjsXKO
ctWAz5IUa+sMmGsMn+rLAniwUccvVDaFhyE2podV4W32Mp29TE8YNeEZoQl+sLAEeDwlD0wFjduQ
8DZ+ak5WhuoszNLfp439bxL1HyAQxs7DcrGLB9O9wOkEFxQ29ep47YHBVW+dpcw1jzf9AYYcEy8N
0c7mnrlD4Sn5khhSb7l/ROdl/UhWr5do6leTKyYG/MVA0UqijwKdgHz+DX8e+feE/MDiDfO+R3al
SFMvT0XHvV+mbCPS+5jlHDPYqrr9N6AszrUO/5hUU15ly+JgrR+DLasF+3v8nkajd+ij0AhAnwOX
WTs6Pz9EpjBiG8Y9Audyj4FuciKjce3TuJggjb5Iqf0jzpF2b48G8se6jiatiajUMEjJRw+/MwWo
KQcUvkEPyJ2VtBiwyxl/oKyetodCVsdvscPRPBE7bLby5rhDfOgHsK0JYoMpoumri3qx8Xs7Pst2
gNVm2n5gz21/oCaAHHOtsU5M8jQsqggiWi2ph3LQdrzqC9OzKZhNB9Y/ERJy6taPHFRl0nrhYXLr
4gBmFqro2KiPYf7AaPeLNJyDI8eST99m/Gq0g9oZNK9c8x7n8gwZG/wil2S2+S+djUOjZCSzYwLt
BqO0AgtjF5Y+Rz4LjQAhyykAhF4EoyWhvE7lfFoatG+zLgiO+A2j+Uajq7E6PjKHwyfBPbWZNNHu
Cf38ADtyXYj88kIiALnEX6BeO66+jqbzHKL8LV8i89gL8AIsxVWQYpjD2BLPL1WvzbuhiWvSPfVl
Uc7ddQqbGVU/0egJmKFtWwxhI6CWRdqUffxwpV0dU3Q82CfvnDLNAC9PFlARbOPXwsswLC01VFwN
eGfN5UVZRngbGo1Np42TszPL79QxiC9IuvF+zsi+hoZzjsE6XIj157tphjgE60H/rh1PXaCma3qV
+XprNf7VyfBDN46/ZcwFzdXJpisniS2kG0SOwdl93rsbXwDrnefplHfOTzL6kAzAiHxfyoUCsrTB
ZeWED8svg9bJfyo6f15MtxJHnVh3pp3za774VHyV1aEb2IdDmei3PnL+LULZbxIjEk4C+a/IvhBs
7C9g+MNdZblvPVOidFzVpdSz7v41z10aTrjC7fN1ec5jNyTT89cDz5gYxo4HyAdyxCV3IZ+7qTJ3
wu/zf9ydyXLkSJZlfyUk94hWxYySzBQpm2ejGQencwNx0umY5xlfXwdwr6yMqJLqzm0vAkILOkkb
AMXT9+49lwxUUQptP9DnXrNWLkClmk/2qBSwDlUdLXkdH3DStBtaPbCZldJAij68MzwgwYZB/qLv
UWxIp7d3aojEcdIm60W8a6kc1KiAAenb28pUaL2XfboPbRuCRd8H28Zlelj2zDO4h/cbJp5Toos7
7CtvfOgBvVxN5EvkptCfY+/Tr/MikncFIRuJQq3PdkNFvPu1KSb1pkNmU+0oyi3ImictMaYkN/yx
vpda2yzewgfMCfNNh2ffKEpO1XE8jH5Og9V2b/i6nqMxkitNzQCBKrF57xI6LOyZnnqqiaMPQiSp
Bnft+K64AC1Wl7MEJ0ZHdcHNrz8zKTSOaUAlGtbDhf/Y89jds9tBBmkTpd3PwvWhLo/GSOWdDHWw
dtixAzKYNqOtWXUn86nVs+Tks2k/tTXDQ68nJRzbgDxpfVvAqWuzCdkuLtJiaWaUfWp8JDlAcy+B
7YxboAXEWLcDkgM7NskJUQmMmk/UasQ7wnT2AMKJDAaPlrvowIMnHl6HjHn38efey2bJiALAaEww
3VUYKXymvdSvTocMgb8RThZdcwe7+uqWnX1KZFRtlaE0QePC1dSFx+7ciIaHeScc4Hynp/LMJ5Qd
k1rdlTooAoTH0Ocb7sLtiENijKbmbNQ4JNwru2Tw0ESkuCTikIZ7jIN7UUbslRxbnucDkj1rY+ag
Qyw3k4S61H1wRHSGzKbvDgWbo1F3dl3rF1f0BT6hGM5boQfKPY28J4A/3UFpqwpCN2tBV6NF84X6
jI68Xqpm8Y3w8Yi8dVt5ohQUe4foBwxdkMli3U7WSd0DcTSyfapV7xCWo7sO1XjpNKlYWaPVsmJY
yqGcDqkHqKcFGrQnkJHsZs97/Hn7Ta6zADm2ORd+NkmJFN4pXtM+qjhk11bcRDT3Kaw98OALMsOd
VWdAAJ4nNmL0Llop3ENqY3ZHTb4PakgyQvHIm/eotGvCpQ5DEzU71VvDodzqkyatRiE2byu7LNoG
AZJ0T7OT3fxVipN/l3bELjU58FXUm/RT0ib/4lLNY3OvC/qn1LVju3dKpzw5ZvAyCMXeKj3dR1Rf
hIUb9FLKoqnP9XTQOMmOU9st9+rPASb1RhsaRAX/OHimJo4RWMyNFZAnOfcZyogwtZ9fzo+RSnRY
xYPbANR/pSNaeAikV14jzCy5nQ4Xs85X7OKMXdJVb6Z4byMZfOvMUj+qeSYWVkFfQzMLdv5u9yX3
CmRCTc4knXlyBvDl544taouJLcTLyntWU1YfZDUlqmi1tcyDmdbWoa01ZrM2bv+2bLCwOkYSsVgj
0lAM9vqsWtbK6nIiG2K/PXsOOWZdAduJewUDP6All6CJn2NZpQ9xSIJcw0jil+eFMsH9MjhP6FHM
wnR3RjtsfbWFazAdcOJUWAI7Y50mZbhLp/6sQ3myHyYxaqDb2gYx3nep0JwAvL5WXZVNsF99zUPa
5j6jzYWGiUKk+SkIqWdmVcXUHhPQuY4t0SMOpI1niotVQjnyivsJgEv5ZBEUA0fVhyAI7Oeq6YjZ
uhVScVBAiSseuiqXD20oV9B0xiV4DmDteh9eNM8OL/NXCujlhdlp9t5uzmCZipsPFOusw92PBo9L
l06NxWeNTlYxDo1G3ubSzrjjKg7zGTyWJ1ACEq8nB8PruP8IFWUDy0yuG9Ght6Sx5yLlJkvuncKG
6cKWXOECNmg+xc6WGTRRfJpfntOuevbY8A1hj9W0pQ2uIAgBdBO915Z3Zrq3ab2semhwMB8Drflo
HK6rQM0Zzrvy2o6wLYJWOhvOP//SxIV/UXvrFOfevW2UYB/Ts3jsYo/umQKdrA9hsxcqmvdq8sRW
McK+XJgeLBVWUQ1cnFc60aqxUQT6U/Wqj2ZySBT7krvET0QJ/d2f2jWR4qQC6eYtuU3k7xbDCzvJ
vV2OY24ZTH08zfHfSyK8tkGCWj9q03sSigbZfHXH9OPvIScXi8zQ0BL02yrKjFvAlGxvh4wB8lhx
duhu+x0mYgeS8ATwQXCzGkpC6KTLpxca6QmZN4BkVX0M7PAGZM8mUwXL9dxjrd1QHPo4mTKaI7YP
SunCdiHQZDY3jbbfPaAu5pJYGF5ZMuNUqnsNWujQJYJQ6KKpNsCSoNJM2xPZ2hQLOnoDmozGOc4V
WGYaJwXVxpk8U+4vPSUCVdduFvMYNEyAxyUeulcTKY7Zjucu8T4H7DFsue3kgfmzsv55UzMcBjxV
DN49orf66OUkv4wleGqt0RbC5opGYhZIy3jAGExQLo6vmKSQxwqabzPgnTDNVjvVGjreFr9trT1H
OFEIsE7sk263NvZQIkJK5cgMRJ5EwQqP52tnWezK2/AkB7XDianoG4XxLn6TAeS+GV0jpqE7Nkzv
eQwoWzrdgNV8snQFEhOmblOi6kb3BN2eqf+RDQPZKTmdldneldv2zvWAwFs07Ijy7bJtj7mRH2P/
W9ACZjw0aWraR2xVKKmD/jyWE5Ue4EnIVPYYIko4tnrusfaTw5kIAE2kX6n1sWHfh51SHjzMiAzl
i+rFi0kgqiqJzQQlgV7UA0wrFzEG2lFyuou8Ptv5WJ/d6VDmqJuNiGgsmlotUDnygLOsyqM1BLuV
bmTWYT6o01cRbH1uJEyZFkYWPFuwyQ95ozv4aUkNNbx65/vDZ0YjEwZDwFTVAWw+sxfwMA5L5mCv
QWJYD5Yem5Bw0WzG0qcFmnlPeqVmB7a9bFEQvBGBM52qU6/ZBhyUjmpFvBC5RLU/FX4e+J7Y1kcy
cKTYIIRWznVIvJA2qtvCCEgIk9azUXQJpljxSFMalpeFkoczh9ChgXJC2VdJ2TMxJGe3mJZax7Pk
jawKmyjdbtzVgS0X+iAhNQWkARd5xTy8IiBQZcc36UYcN32uQ7CwhjeKG/3Ek6fWu9l9iTcUqAxD
dlDuU4KvixkeZZ/yFhN1BNtoxArAqgaLvcBF9EDq4ei3+UM9+ruxioejPxWlZrkkm4jE10wP94qR
Pgujqve0JosdbnUSbQn60/Bv3g2/vCtwPZez1jQta3OP+KG7lxrBJtp4lJhU0CHCLUUluPm5Fvkf
mW7UD9gTPqox94805byl0Ftn6/pYzuOg+urmyk1lPvoSCesbNx7rwo7zWiEuXqa52LeBJe70B2DS
jDheGrx7HaImFomaGAMKuHMw4mvm/jHuE2J2KG5oKtJR/+hLdeMr1d4vKmWLAkiH725Hu4wEP4t1
TWK3UocSZ2svFu22FbCV46DGnjfJyea+Wx1q2dY2gCnpo/Ga1mGCHKFhvcDkvqYxgsEUDevO6zLu
6AZ2xLn6nz81MEDlKnIqfVuHw3AfwOS1PvhG1VRiGhftU9xnWDyb6AEpMta4rCdzQk21ncuSB57N
Hb8STXDyTam88FZkm/ncIfdIjLZLyxcUqc0QoC/TH2h2802tWehLC5p5o9mexkDZkb89HunsfQTw
d3e5AXY+iSr3MkwEn6ZDbiLiKthTTG55060FisR641WJfWvQeE9Y/Y4WNJttGOe9lvmPjW/ilkY7
EzkZo6S2LO9Zl30PXTTedY/UKlFXpkzbJ3OIOhRtNOEMaTbIJ9gz6o1pLGpIlg/DtAL/VAUhNP+I
Uw2RZqYyRRcWPW7f+iEboOi11pfE/HbdxsfIi8kl/8pgId1LN8nWuhr5mxSK7XbA8LsEiDscRBe9
K0pMkKXvQ1lWnO6hwb5q62yDdNTs5G3pykkDaLjU04ZVt5vSJVxYGFWTIRsrE7lyNLRRZkT/K4kx
oRY2N/eiJYCWgJiCiJikBDemQhYj2SeuT9bAla30GI4iBllbr+2UXTWJA8s8VCgiUv8gcoZSE/WY
Fs5TZHjqhanIa4QOlwSHYEudi3hwYi7M9IXR4waBBvHijbJ5YO+8mG/gJUkSS6EkAiN1jv/TxBWL
TeKsyQhENyKTVQ86gxyWXRkTf66md4zPxjqwKv9QTCtuY3fHMLF7LCOo4Z0+CM/Dg+2WjCCUIDw6
Zhjs+qA72nmLeTYqyjUEQHzSFbtH0tjEUiW97sIIbeJUReXUFqMqrUm0ESF5Z/MMbj6oAo6EZnXT
fPSz6HL97gyOdidg6lknKSEfTEb5dXtXSbIUkhsCCSvR7qepyagiriVFfzIMYQPRpwMGb7HuSf+o
sfaqylPiBtXTwFx6zLpNl+gBo3OSfDXKtlMkkXznYvC2wQCPpIrFi7ArY9tZLdYzuuIkpzj01jLl
0c6D6jB3T4WqpBDH+2wZyE/o02uGYt2rgth3pYF3zMtpZMIisfbwN9KcqYW6jaS4CAuznqyoSNg5
nkE3G8iO2lsbKxiHUHyIreuKb2l76zAcXVMTUHCXQGVetAw2uV2swwblbZN0+sEoMsKNM0Zu5AvA
dQYrlpznQ2Y6v76SBhcrlv5TXNcCfz2fYRVLVCU8kkZNkkOC+CbUm/pIT4recCjaR6WKgktTZl+x
iHBb+67WhNlUOj8RUjJpvooLzhzUE0LgDax9/dG2Kdub2EDFUlmYJzu7uudKBbEZ/n1ReeeUuxNh
g8jT2aAs1Mqt7wbjrlWvQyHhEsZDOS0wGm7GAa7W3HcVo1CvU2LJUNIlqCPYh1lrZl8S7qljhjsI
IyLlvmmixE2Q85/mw0zmnr+iS4aRiAtJn/q8c20cMENfqpGFZpoN+R59yLORZ/3BHeLv86TGUOvv
iZbom3k+205D2kA1kQ2FzM9oDN58YDx7rSuxvU5biTGuyNkj3HXbFNBhy4Etqm3F77lZvEYEOx/0
id0RDAC3M67C3WTfv6oKi4LuI8bpnPP8umcl2HywS0tyl+K5jTWxpYj/pgildTw1q4waQ66R06AQ
rr8RfQclNyx3rk63WMtq/dgZGCBI7EVQzprYW+0lGzptkwEuWf5cNi2eDsgQr7pWHSNGD1hNPfCe
O7X1UDXxh8+AZh1LAyERVPnMyYGG0Ai+xCTurSp8stR90+Q10e+zJhM94n+uyC2EtFkabqhqvsO0
xSAqMU+NZ1m7XOTfRideVWRb3oRqnxz225uwFuGeZPqvulOJrREhCcNHxg2T9gIxMeWG4S0jmya4
W/bT2Ev5FYs7I2z4BKTdQM7TvQ+3Cn1YtNAmvUotHkvqurXHYBfAQ4iKTVEqCmlmUT9ffqU3W0RH
KCrq+iNhNJBTyWru2D1CVUKEIAn6ws0PmNTOy80v8cA0zBftHuPV82xdJM8XIrg9NBuzTnWs6dSW
g+kUm9zLKH3bYT/7bYFR7IbOcTGRsvhCoDyasXIbpvEQQbkNKkfUu6Su0bUkgW0D2iNiQACdf5JA
sYC4GXutMJpKeNIUghQBjiqO87h7ntJO03UjYnNmMaWeDi0x0ezMDwGuACQu7g2zZXvSnPiMcg8v
FvrNRaF30WYkD32ldQkZeQ2xNTI2n8aM2HNOG3wrkxka45LcJWjEpi1zT4FVhpOCuvPPefE+/wvI
hsURXekC8Ui2LwlPj3ub5ZyntNcYLB1aJ0MZVLX0wnXrSgLhZb6oM2hNiyEytF04SsbLfTxu0/rN
ULToENWkAhRtTzxf0yogIuzu6mr9rwMnS7ru6gGpIPAHSxRgTWJnWOiUJ2s4Lc5pdpNHERhNREQ8
5ga4zAKdPWOeu18w9n1tk6J4ESriMjoSWwNlJU4o3bw0E1Cmmw6N/eiqZfITWVEjUZj2mj7af2st
8UAdZ1WIJl4Ahi3jDBknTYlnJTdeeEL2jlQA2rH8guP8lWWhe1GziJySaaw6H6zZXU7glSbs9GDX
8aTdmhAdHYkCRRioW9p15mE+CF9DYKINd8B1NLynISicum9dU9H1UCicF1Lq3SYNMdBNlkkiqZdE
59QEUas+0gUm4O3gPtXoGk+DU4QHC1P6z0d0NTdhrtPGAOnxbLRERcoMdatVpeqGDHc0ipXQzqIz
rL1uyoOq0C7oTOe76Yw4G6Im3YW69sZAWfviKoRrRhVALMSNn/NItEjrS2FXw74mDWBtpXGKQJtR
aWTeMLFhYKIFZDZMBWJYxStDs6+GUxMdNA7Ifjq93iDpjomQdgiGScOvfg4sD0ca42fXA82qx5ee
T+/UuHu9xJ4WkEe9UgpmFQZrxhaaK1B5AitWVuhKBgwkLlaB6a3ItHkMG+Slqh+/W5Pq2hUZ81ZW
uEp3NxHn6oJZzFMgGNjMq0FW1JzeoiZuNVImzpkOPhZl9X3+Lr9PXuZxaTPYENB0ommVoB2xyiHe
ZUlZWczz1m1u099j+HvufJlsDIkxxTPG7tZq2ZOB4CcP9fwcaWTm2hUxg9xE1WsG+91+x9uNxdMy
XvGhXUWPQjJqneGt2XFFYvfQUDaoWr9vIy4Y2ydcSPTXGB3w2YwAh+VCxFB3SvMwK6gQflBvT616
IBIWHRzKBzP2cWgZYL+N6VZli61uYDnprYbvE30ROAMWucHdlSZQTk/vmbeJVsBJicXZlkw2KywF
KVz7obG8teearzGNGRi7uKqxL04Sd5NE7k7GVwN1yMGr7Htt0tJwHRieuiaa3SxRrfrhzSIC62B3
BJ3WEahwhVRDvUqGfdQlEn9XSTK3QXO4Mey3gmlwVxvVy5CweXCZQe9yN0cBTtoWbVJvb6kk0s30
KiRowSaP+AySzsWkaiXJZPVsTkQE8H7YpMs2fdTCHWFsG7doBhwv67h+kE8xc4O/pskPYejlkaZS
s4kVBqBKln/Sk3VWluCiC4m12AJ9eqN/pC2sirsmgpOOUF71DBxi2YUD2+sMQ1Q1Uty7IIGKflz1
lv5SOV/o2NWImatd2WUWksjeOg7TYX6oRdR9vU6X2MbHtXcgaMAZCuUNTIK8lSXJdxZyulAxBJ0G
z3l0aLFQxRmnpjOulh84t0itnVvGTs9x2SY5Dukx/qhot8TO0SPDmN0Eo62uvYwNdsUuH72VSgDI
dBYZBNTidAF+GyP9xwiUAIkeaF4OI7ymrZVq8bZpKfrFqMGDmExvQ8onlCZjuuslcYFRT/RHMLm+
UeZ96QcGWgWag4UY+qPVOKDVy2YzTGtDmYw2XhO0lyq734VIXKw5pHSe3FMIFBlJoVV4RPTQepvl
cuBrF8kYJYdZL59bOgJGhD+BbgbMjAfetEacZvl471Fk+qaD1N+PN/NWElHxFCFc0fOq9TuO3XgV
BQC3mGqFJ9GXJ4wwKzMH8y2y8EkIQzvirlmKHAEyEkekFRD1XIe5hgTpn05mQ6Uako2TM/ZuCDMb
Qkuua9cpb+4U5AjTtw7qO9PXJS5T5w4paB0UmJf8h9len1di2KB//EpUSohFgANd22lRnsrGpANi
XwZXr9HFXVHxGWh6CW9LgIXnvKbT4DI2JJt1n6P04h7eqceUBtRyVm57JiZha5Dq5WdFQ6/s1W+I
8KF0wfkQbmvPsl9VJVr3Ees2+J1z7H4yYmAK5I7YFoX/RDDSwiKC4qgi56ANY8Nl6qFtWQXuIVaA
YxNp3RUdS0RjNXOZCFnxqXX8/qpk4b40GHnOUlHe37s3+t6WHMtLLW11USQ4r+fi2wHju7NSoO/s
ueOzrwwwhEt50FvPYmuYqjedeXjeaQWMk05lXK/gCGKEsjEsTd+RSZwcWeeUNTlzsRHuc2jv2CV9
86mPruaY4etTk+pZKKLe9wxC0aCO1bONSvhgoFZcmI5RPss8fbMEdz0tN8pZ/r7USGk80mVda1Hl
n4gKWGgI9ZGBV+XKcxA76BjNV71D49IwumKN61cSVlClO3BrYFARF9F5YVzoQMbzhDjVZJBqFd6r
ZPJ56blAkhmRqFPI4MEpPX8bxw7jrr42UJyCqncSiFe5rzF/NZsN2zRmjFWya53cOCbUZ8ggVBPt
h59f1KLARUu+9sOgpXuyD7VJg6xsqRHosmL/BH20DGWcQJvUxTImPq4QtQJHQM1w+ZAf1HAiPPRc
DLfeBEMKP5L8mYnviIERLaFaYAfIgl1YMW+prGk9jFx/adFuHZhEIDE2vzFlwmySoG8udpklj1g2
0r0joYVLm+RUE4X2qp/WivnA8/OIryR7JpnSOuhVngbmo9pkE0gZxbDRW1fTqpzY4RTNShAy9qOO
07zWXeJAFex6DGu9BBtCnZsLEyPw0TcC59A5XzIGxZf54FfiKwQFTKJcyEetC8gZAREaDYZ5bifa
ghqy/y0Cdq1EwFJNDXQfRcKNLU6zSVYgh/KBfvwlS8riUk29X9sHLGs7sN/xCxdQuBD80fRvL+7b
aNjZTRdGs+dmvwAQ86a6ttzYKuoGzYz6U8j+7SSdEPydnwF00kJ51fJbn+iU0hBrX2gQrbK4eoUM
RlsdD7C3UJsULUox8Y/c4BlxCEkiY0MSgKd9ekPeUAIlGdYXDoAQo5BCa6725oOmiH5XkjZlmkiV
JjxBMQ/FzZArtqgS+pZpcuu7+DoaZXaSfHWb/1dguR+qOskPVO+FJIZ6O2u7C+BlR0+h1G0Tb/9f
owtOiUPuoMCKh/ALqAjgc7TuL0EVbufiWUwgjd5BwKmB67FVVIFIilaoHi0+e9nfHW1Zsy96b614
5/q5/EqI1Xe3zn+kUXppchIYqh4hHiLW4TUGB4KzkJpF6c5I/uJV3FhUgQMqGaWYwhO9JCO9ow9e
kypiLFtDKaf4X1E1hFfZQyfXSu0eE/txxwTlEOOquLRyppwCh15gRZ9LpOaEIWKGk06dUqMYy71a
iGhbj9DWhfCbXRdgYeAEcR6xcHc3zRiW+c9HifMY6XiotQRXtiinh1GuIQ3mqp1/YEwd+9IN+Xn+
pi+Z/CSi+BbGhQsSEPWsQxDasK0ze0KG9RPZiPASP4vV6xjV3/pcti1iBwZHv750bShnDh3J+X+G
7pBs1SD/6kaufQgzLASWnzoHmBCkCjqR2EocRNsioRQcUAt1FttmW2BH65iqLUxtDAAY+NqOXr/e
ddFFQaN6qSurVNltUk0oVgltKBSCBu9/ftsV8tVoArnTR7tgnODH8SUN2EtlAgHd/Bvm/+cFJkGf
0YTPS2ySVripFUtFAs3AudWjhC0ykFLoMk/z4/kQxvlV8/VmF4n8fZiBdIFKMB42fNRp+r2hnKMV
BdtvPuu7aWfcTIfStl8hVnjI5up4h7L+PO9IjNxhW+KOvw4/dymxrH9ytP/PR/9v3mf2i/5c/f2v
PP7IyLNBG1b/6eHf///ktavguf+BwV59q7/99plSygyXb8nn3/6C5+jbb4fPsvocYLTP35i44nL6
qV/IdvV3IUGSOQ5yTY3bpQVeuvus6r/9RVF/RwYJq922TOjsmmaDzIZiXPt/+4vu/K6a0pbA3FRJ
D1kAeq+y5te3pImNzZZAJh2wYM6/gmy3/0TttnQHt74Na5zoUJ4ef+efqd3odmvD6UK0Zukne5gA
aiVM3ioDbRs7C70NFv/0/vwPmPD/6e9J1Og88wkXbk5A9n+im4MBkiFtMoB+4YneayeuY/syqN/7
5NjSl/vf/5icWOn/jHefXp20EFQ4UqqW0P/01yyzLBSJb4mLn+ys8cXbKfk1pMRxcbW05uckeWGn
hS25ctG4ZwcoWBtT3DXhbS1M5v/70zFmBvofno9BLa0yWTFUaRHu8SdGugp5a1BCejYecamlwL/M
/oNcXHSXm1ztsFt8GBWNJZflquL+maxIpNq5onsoIUQnRF1F43ugqAgSoIbJlHH2oB2CEOtDFNwK
w7wgf1+UjnmNS/MdJdFpdMo1iu9j0Ts3H7gXHoGoHXayfaqaH6D8FqRK4h1Wl1mKUN2CiUGPV3xq
uNostklZ+65pBIqQgIsMlAlLHKCYrF4agi7c+jpozLU1YyGRxIQuuTXkL3kyQeDM223vVaIAfQ/G
TretwoCBNSirkSRC6FQ4Y6lwwCDwGnx+Et34Cp1fyEI8xWrHWblu+mTpguQNEDOjwmQv991E8JAb
I7JfQlgGIgqZR4eyXvm03VFXLWz6tSovCnjUIu+/43Yvs3SpIjWmTcuYvoXwbfjXBid/OMI9UIj3
4lYYXO0GeRx1bVXQv5MviEDYkEOX9NFhk7gHfWaBDAW9D2XTshS4v9n3Rc53RqxooKiHySkuXpg1
L6b3z8uudf0W2KzbEVIB/pSGQahG1tKQHtOArQwDbWUPcm3wjtvRSzDCxhEbNaThYb/lNjImrrw6
e+E1u9FDxzioTZY1kxbV+9SZVg0vMQHKkpeudIQH9nCUsHEbmEXytloQb0dQCcAK3r2RpN8SFiJC
wnhqoKFaUAmr8bay+662KItAcOKmt+NVRmC6PhAUxEcxPQUd9hBqXhhI2iKHzSiYDSfEd6dNu5Io
coOY4CioVHSntcpb27qyU5G9TC935HwZUVhF0C6CEJEVGeNIrwmS+x7jxq/euuDktPeouKFlLK1q
SW4mTGKMbgHo0uKKC2NhImVN0+/tWC9QhKwsslJGolyc7qopFzV7M/j0Jgb84EarsXpRRmwOZEcB
HgllsZbep+RjJ/izDh+rjtOEz6XyE+xqfJx0gpXAQGfgLGMSr0ONxHa+15UkKPLvps8hqI1FWwQL
rblX6VXhijTdO6eEC1mwcVwsbjpiNQn+hw79FP40ys10mliSC4XtvGV465GWUUr0LYDDY9ZvR1Jg
nJz5YESqVofuCQ8cgtiFcO7TK5Thp8+nXOm8zT7eXEjwJKFucxHv8BJsVWNZx4jzSCPMuWYZ+5Ey
H68MaFYVyIKBfGdyKQmF/Cw5iRNkph0+XV5l0H7KbGsU33s+WEEXhFpl5XLa8FbCVGCi65HZzpsJ
22KSJ1cjamkrv9RRtBaMfUI9PhWG/cKKtjbz8TlX+g9ZNosMVGhd9s9apq+SSD/Xns4An1+tqlsj
AJklltKBvYL43fBIE1DYhWkrIfN1zoVfWl+7nKx0Ts+cPPJW/YyAy0XxG0i4ZZmDNtAom4sXifgv
By8aZ9+znFYz72h9sKVcT/emvr9Z+qPk48rwgvseT6r7VOt6aXXJBCZYBhh4Az4lnzYk0KcwzEAt
lVvapQsmLthQqEC9ZMnza8zo5nv2XhQgx1hCWurDhNOrJQed7M8lk3GuFc5FK0B0DZ+q+IQbv7B0
GPpvYfQNYfEyJ6OHvMz3tGR82ZqXsWEZYsFzSYJOKwwLm95/hbmMapAVkF8+XahcB0JzlkIwm+cp
TXcnmbHaqQnn6aTzZwHD0llyDishQlIUrpKrmixmrsW4+G4xR3f7l6J/QRFKbjunb/I5cAFa1j7k
yero+iuhIu+jweMnq75lBcPxVfR7H/lWrHjrDDYV40Y86qyA0yaMcWsDtlAdRkSEzKSKa9F4Gwe7
WddPRC6fiSlRMBs71TZkMW3KuP9Am9NhJcA5ZcYAGfDMQjh4dUxl1Xje0sKo0Ft8KFBYgyHZqalB
+4X1N/nEn77tXM5gPhSNNyax7hlb9ka9o4qYTlK0Ggs2shji0PZ562kNwrQFtQ2RkGfu1S7epUj+
8c6vekNClEqQi6J64pOLWMPMQ5OxJhqc8MAyMsfb1kG57/V+JxRt3aO2YQT7NTfg1NTwhyC0LPRo
OrW97Xz//5eq5HPwUWZV9qP+6/Rj/yim/1ha/331+O9Pv/3Iyt/Oj5unP//LP/wgVfivvz8Vp394
wIVAoXprPmE6fjLerOc/Qj0//cv/12/+qmrhIlDufmRNWk+/zQuy9I8FL1Xt/61M/pb+dv42fP73
H/xVKVu/U4GSx4OYj2LZsAUxRb8qZed3YVEOUytT86rUGRR6vyplS/4uTUENbRu64EIR/1UpW+J3
myp6qmo1/P0kEv0rlbI2Vep/qCb59bptU6hLHAumrf2pVk77oi7xQsErYTElHYRBfdDR8SxDQKxZ
B/+GLg9JscsSMjfaQAGcu/aX8dB9QWm0SVX9XKZ9h4XDfbKr5M3NCQ5tik2hyWsRjfYOWBQWNHtl
tGyC1XSCILG8eKiaK1hry0YMxxHXL/vNcvR/RE784BLjaBbEj4Y3IOmXwrSeVI+8DqU+0Jf4Uaoh
qLgJpzs8ShNXUpg3EBD8H+StMmuxdcDdCgG4BFdQXo14+zu0l8hKXrPiQ0cT4Dx5Wn8n6uEwqkxX
yiA76U2GqlBn9wtvWwXppJyNlKqBG6UmBYwL3WDdbeK7EqpI+OszMDVtCyGWKq4fwUjBi1kHVNir
TAKDSnpczrYyBatbxpnRfwelKfch7dE1sCF9Im7F3YhkyFllHhZN0mKMpacOXxLLWYvehFhh969W
zljNoFLpyDve8FLPdYU+KSXOnP8VvfvepxpLlKnej7bsvkRGOdWj6b2zkcQaeBux1SwUOm1L+gHJ
lg7SSypxmBJXu1V9BEJjp5enBJ/bNtD6Z4PE7ZPqiOFklnccmXJnl9nWLEpKupG30PILdT1g1WAA
g2V7sEPevDQ9dq5MJ33Q8xhH+dYJx9cMlhHaN+wGmvpAYwhWVzz46FJx8dcKK5yDKp+irWj17yrv
xKrokze1JLQjbuCijs9BSfWSgcJdGC4C+h68ETcJ3wkvhpqdQEDteqN9GiNlNY4CwZJwgnXYf4lr
QqJ9eLsOjttlYSuorKGF4HD4yIfsVBPPIvNz65lf9BaZWmx7H2VO+20cckRnC41mPQXwi424KPG+
Y5PYQQ74okaqWHq+EcIL7hejpRfL1sCCq/XrVpX4NAgVXyZlqq7GkuCdto+PtM7w5gfevWYktUp0
VEkAFVJYZC5gKsYhKqZl24S+0CsrSu+V3w0fGuIVqOfiAfMxVhL9YE3DTV2dAGyRkWG4khfTaVu2
NmwvM849FPvBemj0c6onYtPBK1pgzcox6TBcjVAyEeZorF0pqsWpDtnedIX52Fe4BEmPJTN8UmxY
WbIfKwHwQ4bWLmM0Ynrizj3I2oNA3RuFX+4G4bzoGGSzdsJ4U8At8EEzlY9OUOqfQpVTuwidgVFi
catM/k2efjSiveJ2f1MdBpWKX05i4TDYhm6F01G+KlryRpx6gJQ6D9hreYfcstGbfXMlPx858EMA
PqzJNFbR8uGNBT9993zQdoY0mMcaQPI04BI4QjQShxcxHNONytKit4jscm085eRfHbrs1uqjPMyD
ED20dzTKtEn+WW2FAfwxCmoCOpK3pvZ+QKZnMFdfDT0metb7cNCwsrfgMjY6+xFBGR3mBNx0Wv4H
e+ex20rSbtl36Xn+SG+mJDPpKUqiKDMJyKaN9P7pe+W5aNxGDxroeU8E1KnSKYlkRnxm77UBZVvA
B0hvM695RfFAg8ujZ5MKobrsnpl8R/k8romHkgTV9yRZ9NFn1VhGEJ/iED9uIrzPXs8oDgyQOB4M
9qFf4nyIZlgpjnpt6xpZeqS+VAr+bzbnzOrhg/McP5UVVF+rBK06mLsonF40AZRtWkOEREUyLT73
RHx64Rj7suH1ysf6OTadTxgv8JNDmnORk0nrSFY1xG6YUGFWRYkSWk2qapNm9ADjQQMxuLGFcPGO
sQzhhgC3Xu5M0l4G/cWcgM5DEfL82sh/x/yT9YmKbZi832h51tSMKEceWD2XtyLK3xTCWNeiNF46
xppx5br/NYT4/0XI/9DM/2u24um3LfL/I1px+Y7/qj509z+6qUN+4Rp0TWCA/6v20NX/eLajkqvo
aJZh6Op/5ypa7n94pAhPpKr1ltrjv3MVLes//B2u5ViOadoM8LT/p9LDWH6w/632WEZXugW4hmWc
Zxv8KP9H7aFiSwSBAh6CR3Qb4TY71kpGLKmekcmDT+aoWil+c56vSZaH2XucjGxDWDAH91arp7Vo
93W3F1P51ArB+MvyrTyt0MK4ytpmxu4WDTGxDYz6hs8rnKdoFc6d7WsdOCBsPB29nGIf2JXKUl5Z
TGh3gtQeTHaQs5a+zQhrNibo+CDt2AfglwMsFlkZFN5ObY5TZ7xCnmIjF0aIE9DSMKZiBYX7AMFY
RAbLRFjYsUqMs5Mqz9pov2Y6Yc19zQxFTy0NfRepYmmTb0wG2jbJT50anXNmIK5NCtRYmAFkvzfH
VhoSSnDh2mrnt4BCGyPHrOV95XHxOcvPGTERsLnAbApsaxT6WOpapX+x63JvLkZ9PTKs9QDMSA2z
x9g0LuyTNqXIfqX2PmZGsi5RCMEdIHV9SanAJfMZRuXRLr8ieJSdIi6DnrGqB6EVzXuijjZN+eo4
UaBzsShgCFPHDSrTIAgeQaw2baFGkT8M/YZldbiczgObvkYbiVwPMbIV5OMU4U6TYuvZLwroTb9C
jIPHk61CY2+TJXJF9F9NyKaSCYZdB2pMe1r1QFVUeUeqdCcDKFF/Y6e4Li9yTRiU7U1fLcqLNpoO
nSiDXBuPPfLLlIZPczhWDfsLPyH5GhksoaPTm2cMBZuBI38Vjc4rbqi9Zag0UuOuN9homfq+dozH
PsEqHwEsck2xLqSzVfjUmYyCECIQkcNuELhxxn/kdhj+3JzpDNyZakIA7MzWU/rqkWpDmTAzuomS
K8zhdejKYxhbm17nL8psZR+nbFslSyIc+YX5RhYELvyBHG18vExvUm6//JM1UuBEBOMmuAXtrNaP
JTegXABCcdszeqzJbzLNFyIzAFHSJl5kis+3ab9pNdjPTPSEnxB3iG7pf2roA+GxbcYb2K1NUUFf
BSSzUUqGJj2pJoEN7s1Suz+hoMBP2fKiWmZrW4x+2+i09Rm01ch9FC0CJ1bk5KeEMzCYCA9tpqZv
0Tim7NfMj4a72leA7/Dsqad+rKItjRI0KQw17IeZFXLEHRH34LTe9mW+HsnHKORBJW0C0e6mZ1fb
9Z+G9ZGLTS++4mbYFjJL9n3kxBfVkiepEo8weNgyiB+ZHvPKq/dq3pZ+01XZRmTCY6oMoGjUz2pD
9YpBHic/7tqLk8UvqinNmwxb87krwIujqvai/nHZr6s1noQYB4rKavDJ84neprjk+9OPmVw8uzhG
SnocO/CjUXrr8JFFffRN2nek4htipTcxhAE6hFxxZzronMQaFsAq1caXkBk937QiZpNr8w8cJqrM
DL/diGVz8u3+xcLCZTF1RISFD7Jc14N+aXnvbc1YzbjC9bdB84hvO2iO34bTVjrqc9+Pmwx+h2V9
CrUOuox0ofQ7z4u9y/Ss7MjP1gtfYMByXblSVA5HidDBFte+Odvl4NdFvHWrbpUi8yK3ct3JZ1Kr
tuiBtj3QuwyMR6M/jvmbzS6/zj6MYqfj1XTmCsf5rSU6C+tCxgcmUS8iVK9z/tg8wmHBfBIdIOtj
jCJ1r8cXgwXyYlha0MfMwzVl60TqVhIozlZ+XRgPnhGtFaMmY+I9GsmpENMjbxPzy3RT8fPFoQGz
3djN6IniEmC6ey1USniG+jHVGtahVRTKhqMgf82r8VbYRAs6YwCuKKgpyDFKB6Wm0OoxC1Um4is9
8z4lWaDmLm4xFtQJpGjhi3C6E/rZVyPRSX9EQx8U5Ktz01DulvuxjWg68GTkb0WNsa1+je2zCzIg
4V+M5EknQY0WkAjqi+vG/ujCiZnCezjE13T09lnjd+w50u/K9bGhouqxtsQdIgdlbDmzlRjwrcce
ahkAeWhFKerRqZmEuIBDhS+PyhEgUUqMWLnsIOTr4MbP7ZSsbGLuZz18l90nYV6raKG42yQPu0jM
cVWzsyWP9K0Ki21PyB7qLV/VPsLoD9Ei8W5/TZt8V6wnppH4ovgRT+StzjkOqUx7T39ENwX/t8AE
iEKJ64xOaMV50gxylTrmquM0MeUfqRjcABY4J5L7GKxe9KY5R0m3cRGQV03xmEASR8UXTkRSOVur
nWB86t5fYmXv//4M4I+KETvogIDZ5PaZjAfieJWo0BLUCdlgJXTEZKabrCuDGV4KgAeABK9UdO9n
44BJfTfV4O7q1IV41a7VMH22MrFVZHoZBthj9ofQ3rH3jpLIgvyrbaGDcwfPc03mRIFU+6uJ7zns
1nlg1kDgfMcuj7MDTQd6p0xBB9VCdXLWRfLc593GS4mN1J+kPWxkdreTN54g32aDkbbzWS2DeMTO
FO3DgWwzrfhKo5KOvA2kR2YorU8f30UrTyTS+BBBmKVjd3LFqbfenaUdZQrfxWT5sKdwyY3zeIBy
3DUNH/qIGQT9kQTbq2XpbnLkoR4NslkwGodcpOluNvCftGUg7fZBncyNM42+ax8b5WdRwkRsC1rr
N+fIKwhVcRsjGBmQGvX0BtpsVbMyM/Ni7fFMa0Pg0kaGEvZiWG/oH0AD59suKbZ4DnZYK4KiSCnZ
LKzcUA/0/szcOeYoTb8EfVfVv1soMPPZIZJ9bHZhj65u1E4VeoICI284L/6i/pQU+Mek94dufCfE
c5JjMEEtaUv96YwrkehM02a96X1G03BDbvw1kCdAnlqFm2Jag3HySHz0sAMtZrT8OXP5oMqC1dmc
w/CWElj7vqWQhLYZraEKcwz03dWI4p6miCMa9u7awVgBgDU8OBUNXP4zJ+MP5OwwsHrrpQrNq/CY
zfIJcNVpB1zZAKVnHbJ+PHW5nSCk7Z/CeF5rzTaa2DqH4QlwaOxnpfumlGwOXdfe1QzeSCIifVPh
QxE/dy6IjTCafrK+wfTdLdWcy07HeyFy8IHqcQdI4clRo5OZec/LtL8fMU54Q5Di7IIZUc39pVKP
raH/hYb70+Y9KFyEf/V0gLj7Q+YOWa7puqwazo+K46A7gvMFDeO+IQahxGEfdWjni1Xavh0VTDNE
wZ7z20qQsuVZ4Ew6k63q1U5/ut7YGZW9boH46g3bTqILzZ6/oBv9jhjZAqwbRk5a7XWPG7cjGSTC
FT194aVYTREhfuVW5HjsWcWU/Rh0rLEZe+LQk1zlTL00SOKaqm5cab0L76/wilMJlntIY79VLxaS
QImDPon4bODACfP6qMz3GNnbwB/NNkcWjCIOaZ4Chg9QND12CZDWzgN5A5JfwAXnrpfbKnE3VfGs
e8auUMa7s4iYmNOgRZ9Ud+UURJAMyTkyEITeq4hgOlakGTSjgbDPadjNFUQV9aNKbN/0Sj42N505
11hle6FNAFWnXcbbKF2WAX3PTZzdbM4NtO6r2PoscvM5KvazyekKQW5D7c1mBmXrTKy284yXczHS
pGwEQY56eg5P0VwDM/JxHyIvLW6xmRz4RlZJ9qPN478SsDhJuWW/ZK4JDd1UZvk2WMpGhN88pgdi
6lA0J3hCoSBQxkdG++ihVpLChH9aWvtKlg86IRDrRE9/08HYJO74tOzDw4HLJJYlgwKqGGtim5Us
UYhKb1NkOuljF099ENtpzBiD4zIh7uyAgeatL81314kgp2iwSCfjOcGoJIQFsWvZg1XZi7vMUUF6
zN/ElaMQfgiBM5b9khulB2YbY85XVlGLQV/cDfZPBbV1Ef3Y48wCrFuKHG+E8wZ+e3ntODrXk/Fo
meTwEj0ZKT95+tI6rLmY58xVghci2jOnMfnwptxeCFqilRp+ti2aVWFyJ2lIuHZ69ZSOh5bB7oIH
EKXD5hfXvnlKWIzr+dEr3ItdXZGV7ZVpougq1/FcPA3IKgn/WqctpUu6HwlNTtUOaV3pFzlPCoNe
EjTwCeFbJglDzOhzscQQiNaN4qVC7Td7GGoTeBq0uDqUOUDETNLY3vYqATvMns9u+8BlycXCPSTi
HWwJ2HKvrb0Uv3iC28+UeVEDi57Yg6fQ0k5W+RcyrRXi0FNtFFxqLYdFn/9lnzPPZswvOCe3UZAE
ZkXbKJGrEghSnbuXphTgTDakjm44zWGTtjuN9a6EdNSEcFdthQBC9ACQdwcDUOs9tuNd6rxqNEuZ
+JIeSgnUwlphvagqH1Xiz/TiL8nSgGSyCwtGrCZPmvtJ2BmaRgKjje86R0/ufebacRKERLKTp+4P
ZpI9bq5qkXwM7CvZq3FKv3nt+jvQFl79EzgwNBQLlP6tZ389E6DeJelqbnlV2cR1Jh58sHDSBihB
qF576ymb1QS2KUdFozwzY1sPA31wqQca9j+Szli/MdHLXmcyyIbY3WhkqYXjO8Zj2tOHifcncTBN
q87WFF6AknWNjptuieVhRMiVKre1e5aq99XPlC6Zs5ny2Qe0k1Be6dO5BFBiazdratamce7yL2iX
3Oc/hoVJMyc3t9nFxAI7cbyf8iGYncy3UPjXiGrc1lilxVM8dEeYB5jWD7PlrVy93UzkpPBgrO35
06GEZ0FAooHc2hRYTi6Jfh6pJMt129L1NM2JdImVy7Ezndz8ycJJnrLCteHxmN61rh04JsZFsyiq
leziRd57p0oQgilXMhmzlB2AeZBq6Bd9Iu2K97Aruj0C18DI7rr5V2fzecKkbaT1dlFDx2ZBsRWf
+m4Q66ErWp8s8r3u1Q8Jc8KgrsTG6JUvK4kfCcbasmkhFENZksNMtrcKQs9Yus+AnTd6pJAn0b86
i9G24hXMHI4MJsrroRweMY+T5Zl4+mZolYcJbpmqVt/SeYlZQO1a1/MLTT6moTi6CiawVn0R2bQh
2Ia0r8IfO3kQxh9mjhWFadA43WPiwTWg4PQSNyCBbKvU027ACQc8/2G04d+RTOu2WFbYTbvNNmQH
bw0eV4uyq3DFMzbARziv6gFEQEr9PeWPzMtW0zf0hZm5i0F31YDgYZevmJzOhfbtWh23FGYgkkT6
HF8Pr9DKG98HzlY9dDcFPYIHEZPsk3n+NjLXny15MIXk7vwc+WyovG5lfmxp60MxbkqSGWrDuOBO
eOVMWNXTniXQL46K7QDk3yI/tkr6APjfZu67ddnIY0Ri3LigWOF2tAhIVuTOE2Z3EdMbpi34a7O1
yfM31Jn0POWqhGbfmyRvAqsOjek2S3cfGTCpRLZxrVvmLkGvOqSBd8/8xb87qcToTOmusazHBmz3
qCaB1TWbHF5g2HMBFWgeqqvDNAjfMMYKEiKV7hOgLJgYBu791PrYulTnoSNjih0bqPp4AP/Uozp4
QkRXHZTW2qX4blatKoNhYIRfQkpYQ9oAVfmXF064ydrKJm/SxteidYfJ1NTjmbVE8geTEbjK/mZX
L4nzo06VXwyUnTWKt5ViozIoaFwjfZb7iF2ZHSr4rIz0FLnVr2H+og7H8pGeHFrtsR2DwiCMJxR0
D/T9NgIKYh6uZNCsoYLxfxs+4kK5W4nLzRByshso0KnsVIOOf9sNe3Tlh5H9W1qVgT3sy/5ChcGq
kMAtOW2VjrQDVPWx3f9FgJVVIjc6/VDU6iY0qMEYhg7yGlfmc2WkvHjPM8Jhzf5JCKaprZ3lYY9y
4bKYlu/27zaOOYgy3LpYZ+Ine2EamVzyCFjCEKHfZBeXDvCxTRtl2epN6KTDhZS0med+TBW6GHFQ
e/LBHPKhkvmHdn1FjsxGHbwbgcZVo6LD29gdYXevhEYh0Pmz8+YkBY6WKKDF/ndTqlXyqiBBj00a
TvRCVm5wA1NBWF963CUo3QKSV2HuUTE6VIkqvn4SEjsTcDgJek7JBI0wOwMca99dxnoZyNKiOfOb
oHvuKfM1cuwwTu5ph1ZF86RnrNt0v+cv4tNwbcuUmVo0fnpp9RIqOHrJ5uKSUpyXGsWhkTSfdTr8
VghmjJrObM7WTLCNHEosWy/U2MqW8SCJwuGarVGgaiZE313FsyIaRhmKxNUNCMmajojPMDCYG8aw
KAHr17z0ziZRLnw7pOL0PtAyqvqOSNid7Z2mZGFRMKJuz6O08JDoFLTgqesCDlL8aIpnaQG8pAaO
2tfUJ+Oecrpy0EHJ7FwPdxxzZvNT1c2lr4EscHfS00qTctmBjTqaz3I46zRbRiSOelz1UD8rOBl6
v54E/hqvjKDK9dHOXcJI1Y5m0LrC0ziyJiXFa6HYWl+I0I4KXAVCvm/sQ39KJj6KXjznLH7NOPQb
aMrf3YBgj+mZB1ES09SK6kvP95g+/L4njEU2IGG8TadP4KFdiryacpu9uk4Baxv0siWLrkczvTdq
wYIq2ujVvYicHdut21gMPBvf0vqA/0MQ5Dsvx7HFcJPfLfMlJVuiSEwGD5+yqPwJ9HWHpUKPMIqC
yNQjCG6oHgdv3NMli6F7xjC6yYol5MxdZ2llrzIdyu7sXVzhcHJ+JDYYIHXl1t8JQ49kzjjC262j
Vb8Wsn4zO0yQngf0TTZR5Q2pRZYWw6znZ/aemrrzY2V4Mfqtgh5TzcJNS3GCnq4MbT9z6KzAx0/J
R5jeZ3qOyPrw0P30rvYolB53zW/OQiHJ5iAjSq0L2Yi40bNXqj/xEO/ttqv3nVePfq4Be0gRAxCZ
sgKlsW00KMldegeieZhK/UyNfm30BYwcOgP2IB57o8TNnHP3DvqsBFmm1IvtxV5hW9aCPCV7ayKY
odeMc4JdHMj4LZrZQtCI8/RJ86EmW7RT8nPRNx3DPMCqnRKW+8T2XjUyfC5xwskQ52/Sie9tNw+c
L/nVTEmtiyMGGdMnCUv4BPIDl+aEr50D3k3iV6fVTISIRHEgyd7LzDG4zcatgScImWGLi4//gVv9
KydJkuGY4kK9KqQZwPUP4mk/RM0hqwsCvuJtHqMuZiCi1oUPvIPQorDfsrfaAgw4mCRfSTUkuwDw
Vq5tGsegAXVembY29WyzvR6CsRPklV1TJyEuWtnDx8BLmmeMK+r5tZTkjEdKdPz3hWmqIIRLPbH/
fUQvQrWgn6y6Tnch6TFAFbcKxWjoZIEm5rMu8Ez0EVqa74EbnzUNqpe63HZRYqHLhPZqlzfcU3HN
8rwithCZHuhDBCJjs6IPWROf9Jf0PPkEy8v8rY6V75RMuDKk9mGCqzMSDRVWGKhDuL2T8WWEfe8u
6SF6Twk4oWMMy3KTewyd2mbXuVag+oQyr0C4WlVHRcrFSuYE4TV1xzWH9SayOYJKVt9iOPHCn6a0
8uP4DWg1LkprTUoliea6H3e5XzF81vm0VGoHUmdc9X26wRk4ZpG6sRQMOXqGATCeeCAY8ZxJWgFZ
BUFhpVcbs6RZNlIYMtMYHS07X7Sk/aNWKT9CQWFXdtxfSiTECUCoj1/OOwlTzQBSDg8tOXQ7obVo
EtOznDTtNi1P8WjnO8b9SPKsM6DP+gZLh1FSylRY61m8wQSwFLhTQ68wox49Rly24MmAIrNTpPGU
hE0R6NLeQfBAIOHwAxCzFwV45iwBCiQlcsWqueonGzYfpsDU+UbiRZgCG6ZLum8rYR5ckYNxRt9A
WOeIHryqxANBn+9jU5PFiHnRIMCgG2C3/fuiFjzuSkXTp2btkxqr3pGM0RczfQGLnT2rJG0Vcwkr
yHrEgZNssUu5tnZG1dLvIrf/axEHrVosb1JDVNp0jnV2K8ztA2norcL7U3lMjEj54aL0+vpAMLge
tDGrionFRl+lhwFcgd+4JN6pszikRdmvHUcSW9caE3iIboPDmNNexz+aC24BUsTGtWnyEqZ82ken
fLEip9oTuXRKjVCcdEPn6XWI3hwra8uPdu/aJbwxsRB1uAaOYu0EaBnYr8x5rDO62s5eWS4F+GDP
rh+mdQXUBSXCEE8sWCpofXNP/EIhu33mjFngGX9uMepkaCPfFDgZQewWn4sUO5F5ueln0LIuzlhL
tu5BgEzaQzn89jw+kKCqcC8QtMD4BoKLW5pv0oMthz842sD1XLXIsnzas5kh5hnMLpcn1WbRd/N1
LpRiHzE8F+7o+M6g3rPCAHGHNBBXOavp3ORz3Uc6/suId073sPex1XOGrNzby1OKnMc2ceolyEwz
wymYOHveFtjKWSGZIsnn+Xg1FkIlStwtZkX9HIfxlz16RiAq46fXP3krvHvqjstS+p86Nj+Z4U8W
Kt4zYW1DC+igw+6Vi+ytN/SzY3EDpOWdREYTYHvyDgQT3W1nNxvd5AcC9N/ycvKDVrFxjWvOWTMx
013qsrnsFkhYekZ3ZkuGGF7i3GMJ8kBpj73Dngt5Y7/1muzeFXyfUJVh3RA06jdpfRyTYkZrohGZ
F/0UjXym0ic9KqQGCx1xDb3ok0gKhW4IKayrMJir+BRWpphopKOHLGdx5kX6FRcu2d4j4gBAgS+9
0fWEr1pnNi3i2no6537SZTtjyb6I4NMzKESqC64fCWKD996rPmO8kR8NxpoSio9fgcDdtbryZjgk
JRYWJaWNCGpMuldYMIHe9ZTuTcRTN9vPqWtds6gEJZDPAX52ItQAka6ckOV7jRgeqhg6P6tzmIOp
ns3eZ/oT2hyYfPL3WTlvVOghu6gz/kxW5FSiwzU0lCIom5Kzs2hpZxhH/PsCR03lBa+Y4ZrXQRvN
Y7vMOrs4/1bC5m9cDZHxTBJFhPlDHECrU5bu6R2inRGNtO7i0HFvM50g1NfuQQnPzojduDAeB4VZ
lcAUwd/ennt7QzyI67uYqdeNzK9wvJt1nDjFiWQaqQlnzXFIG9tNa6kg3k8KuEhKWjd+i+la2Dny
/6H2M36fdEkbMqRyKIiF3JHL9NvMI+SSKq+eXBzC8O2Uw6yGfNbw0gSqTbxWlLZ3oxb4tfP0UKsZ
zxlZmQq71tR1aMosBKu4I8YBY+28uG9yVGvYe2S4dYnWW/UdpP483vBbJdtCmV8Kq38wCsJmzZKg
W6mox76GkpbmAWdb6A/jBFqplYe+q3ZJXbwLlcwd4YZfbJaoOVAy6lJCWzedAJ3IJ5RnQWpXdRVA
Q3y1i1ioQdyEOV5QLtFI6wYz9CzFjWazozIQ6ZCBknoBd0i7FQ05xxJZfSI7XmjSxv26weKSZmR1
G2H8pgA7lqlSA+9xX0dGTatUd4tdx00mRSceNFQqOmMIlOTOczg0T6EpGc2Vwz6UmGYcI6d/SJFk
DLYdAPshp1kSZ5PVCd3imEbrmlX6jhxoXuf44pKvpkYwg+K4sXy7dpdn19ButiH8Wgz63iSZIFBM
51lR8l+wut1T4WALdqaUl4R0Sl4XxwskOQvPeiy0J7IdkXy2rAcGvbN3OLi2Xm5Zx7Ly9ryCynYS
xD9xz1wit3lRErfd5TUhyzQUxg57vdyNnLbIdaR1cGabRIY8wvyTO97jggmvLGbojBy0W40qij4w
fah01fQVIH1vpFgnhRjfda+BFb0Yyvqy+Ba9CN/nRH4oxY/TA3uZ5mqC+7pgDzvewTS27m1fOzdj
4sxGw4ewZvnHktx7+k/AXIoZPxNBwAkDd9dv4gaOlmYpjMRYz4GqeuNpqrf1VLpBotr5La7ElqKY
FZrWlAc7TfnVl4APTa2qawkDaQ2AwCJ/V6tAt7Wb2OGeLXQzPkcLx8+SsHeEEg1re0LEl+cMNDwl
0ohs4ouzfIltqezd6GItZFW1zpkRaz1jQREZgSbVLwnUBkVxzs6lYQUwud3FnAGepKY4cKnEVyfR
dyNz50MoOQlAfBAXXGnWMYnC/ohCJ6X+cPLz7IYVCXR8AYrfr41EjXci4bbtkkm52E3c3oZIBJHp
TbfBRF5j2Z8GKTU3YZostolW9+PSKAjxqUHDainjebvQDigSiO6YyCwarHo+QqG79priXCzWJiAr
Rabrh7JmLDDVtI4xkuNHLQLP2uY/ilfV5zRNDkTdFM+OnhIZryQnKJ8RkhkMxB1hYybd3dao0veZ
8ZqYdHmVC5SbQi2/zuX4B9Cg3ISZzj0d5/l9Dotik4bknzusCfZhRPYjvFOjn5n0OaHp6+VY3/LK
fCcKmcYtt/J9yzVyt+wkIvq21fY2pnRVlcUTGT3QF1umQ66dP5GXlj+xlF1n5CGua1Otd4k1OjeX
eykwOqv3cwdoOnV0ti9im6wf3Q3JDkYjbZBURR4xDm+msEFRlo1vAAw5VEb2Ny/xQUm3I7klf4Cv
Nm8kWOR4nKYAh0J1oFwj/GPQg7Hh9oHyxqqt6KMLANHoYvfGB6GZk0+aAf2NIh7AsSsP2vIlHSFM
pZr5ktAarIkbGK9NtITUEPNMXVi+mgYQzn9/7joQIMremoN86hS/bFJnVRPOh/wA+CXeR8+lxbfk
GdXakfdifASuPD5abgisRDHvc5N4wLa4RNLSa8/ElHTnUtPRREmJgthu1qGnTDsof0xDFmyYStgm
K4BO+rqLFHeddEYGAXqyA2gqxsWzJ4MZsdADO1fZ27eTfq/RnzMfI8erTJyrMSm/DgtTbi1c+tbo
ER5VEzVt9MXHxAi66mp6w2Q6RaPXnrQqpx9g6smSTRYkNc6Zb6tNd9Fi/kWfha9sGJpg0CflvaWb
TebmUpqUssPQoGKr8d7F6AOIJuz80lHkYWyS8NbVFiKiyWK9N2dnlbTgFcoDhmqTlYCtRJXjNvpe
Kymz7a4UiO+Mt3bE9lm4zLlCmdpUSPlwyi12GqURymiDANJZ85GZL5XR7TqTZKNFmf7QlLG+RvcW
PywJD2npACKf5fwZzYXPwS1eZ5gnW9Rj5prn9wvjPGXaUDykArCcAyfI5gbaJYZXs9K1nOs/GKEH
0WkVJgoDvsRib41SbzFaWM96RsyI1kBVMeejhXX8lifmDoE3qjf1bDUtVRkCMcK9e3rfLqOYKMyJ
gd4Y0nQjZUeL1qdBlNgknehtdZ36odorArR9SXLohnOsOBhDXb7VS1PmLZwbhJSzjKerkzLF4K8c
tqM7GWcZQ0EHiniI1Vrb1kb9EQnDOCts6PzUwf+ne4l8IUG0fqQkv4WxUh5bdGtBKSqAkHmdbUc0
ZCvRMbaehHiIB0rSjJnJSPy4bxuJ3JGA/JzC8gvdOtlanbvwjVLzLYYTl+TM4CerhgFNcvBG1UXN
QrT/carMeQu94dwI+8G1RyyE8E1QBsTprh0n7F+pFQdZldA4+rY+T2e3N5cY+T6IWve3zswnaaF/
r+ZFUW73G6IC2JCO1nUA8ShLWlc7dEp/6IW7MRQJ9pJ4qFWLgmLVci8G2A/eoJvEL3wj9mL1oYxj
88HUnFddFJ9k0r7H3XTnBUJcThgT43jjNLkIQ8KC1ViRDReiq7wXW+LV9AbzYyI/kyuHS3PMmZaH
svMebYB8s6E4m64osQI2Jb+/Vu51dz5Rj0RB7wKasfr+XS+6+VALMkrqzLpFTg+hTQ4aqzL7nPAz
KslMhGSUW1t8fixetZMLQnAzVipasobINi9leCE5DaA8E2Uz0H6UuTmv21pF16ar8mhZEDTIRuI2
iyJ6BXDnQWOQuwKsut2W1LPEO69hq7NfgcZO716vyxT4+5iWw1ZX7f0kh0vj9gN/7Kb7VLx6Xmth
tvxESntvHOhrZeeeJhX4utdhsY64OWuoX5WmGhSohK8lzSFJ0eh04xiRdPNchIXEz43wwGmdMxIk
iJ5z0e5LF+5V2cELHw2MEQwRMV4BMeeNqhfPBeAWP21PruSscMWrQ3u6Vp3UCKYlsqthH+9noLtW
sgdgn5Y0j71LVHtYEGKpC2a+VlUBIyVlpoQOoOZi7yIxOyMafgKmrTHNpFnvYLz7SeSQj+qaixSE
pF8yrFASRre6FsV5RC7A/khavq4OKMqgVaF5QcNZOka6sjI+zpMWPxDtkjx0LvHwvAEmo+HV2JEr
PijYYAtvzvcx+0oi272TZU6XcnZdf5ydI3uKwOIHPsXa51QY+SUtlc9OtaHOTU6Iw8upMStPbpBF
8deYtepBttM+AwH8j6vf5idnIOaXDAEmF2pYbgs1l8DZ+4MByHeUxGHDONlo1b4Y4Z7aqEDd8aNY
ZDNppf3qiW6hO2KGmSRoINu41fkPH1TC8I6KYIvgGpnE0doXJ6fCR50lbeIr2VgTGFyf1N57kIX6
26p41MW02LAZWBI4dcFgo6MD5WJEHmdtaoziTLD/J3vn0eM6kmbRX8QCTTBIbkV5KVNppDRvQ6Sl
9yZI/vo5rEajZwaYAXo7mE11A/WyXooiGZ+591yxkwxyVp3omRZF7i1xeQ8GErnVwEgk7bqC9e9o
bdzY4KIZk/bM6GmF/wYaTyEyNALlojlI2xPzsw4dMNNchauKe4/ym8mIcGI2azOG8bzok31bUI/S
s9+37Vyz7ZHrQCcXZKaN3mujJbe1bG/NOP3WfT+evUiMZ235h2eSU1GRWFKHM60I5f22SiaY7MJK
caOQEJTFC+fXugJNPFMuNzsx0c+ovOL47GvzfjZMkjjTN0FEcywCmIN6+sTOALztME2XRnXMCZJW
7MrWIw/UAsUGr3VICvMuNKpTEAbtHmZcyI0H2KsS06/INOdxtmv3USth6xqKjKtBG+97HL0H5RDX
xY5LbAiDh87ZSyDyyjg4le6PDDeP1jUEYXy2YX2Won83BwZPhWvgMPzhRV5s4WOi5LHHj4QcYj+p
rG9b3iJCoQFD9PNldg9J9xapXrKtcEmKaClIGnIdswkmhhziFHmkB8K6L5Al0h6PhCGuwYsyEecI
Jw3gntf5CunveIACsU0l9ckcfLlZCSZuQYEbBj6t3NB93axbxvr022Qvv1jiFf7ZyjQHNmm93Jod
dgPBCC+WyMd7chAJqfPndKRnBdWCVpDC3gYKXCgtOeD4BwSYLCr8JmiRcuCtKtEbxvDWAvhUJyVw
IdeQQjeiIJuwnGhwjKxmsNsSF/Y3hqxpknveXaSJ5qy7A+3sEU10NHL5bBaju+sqbOJ6RgapivBm
WFV+rvP2mfVnQCAEHAw7pP0jeADQWnCtJL4k/CASLzacXupILYow3sd28tB9QXNnnm7eZchdGNoC
WXTGnabN46GW5YvLSGmnTBSaVm2xj0KXYXbLIU3hXkB/wlQf82xl9nguzPw2gBI0k7i7CDWcrDG8
493/x2wBkuhzfCAaW45Zcgb8tuw8GOamy447LTWDB8bnqm6T0I23ovjmNatt6nCJRRwkdIDUO5cM
FY4DBQuy5yVd0JoZJ63xDDTItwcEiSii0eIkJ8Ta+X5ivtQ2BuoDPR3wDkqsZMV3g7wP3MnaypGy
iJjj3RigbnX9rq8khOMsfMpUw+Fl5Mz/25ZAMSrFgFYHwETJBp/YPehs4xyNv87wXvQGnXGSd3de
+BOWuMIxxlHpRUQKz2a6VRkmhJgBiO9Rfy5N5sRXhq7fYYUweXa9bt3HKM9geBfRrekDelto3P7y
Y7wi9bZs8V4CFMwscIRmbq8l7HZ6E5Q5ybZSEnfrbI3rLmi/VUjoamUShuSQNAL3ELxbmx/IL9y5
XYxSyZibtRFrybroSmOjHHaNEXsngkJnKAptfddQU50SG/1DB7kdL4Mvkmsd14VPZA52TnrnNXZE
xD4k3qJUSZytaoerUfMLhg4hlPZc/QFCg/ayJJ9E93AFszNbq6pJ8bT05TqZw58Bp0PGQOQodGNj
SoEYwauau7Z5Vi43PEPtaJv39kWXMtsoHW2QpB/0I4n+wu1uQYAqleJrWIFd3qX1kn6qODbc78Fy
AJKIKOZt91WlWrtJaoQXbDrovWOPFJk5VCAd4kVU+lrnvfv3S8AtyNyRzC2bnmFxRKy8G5Vb/Vgq
NDXxPF3jkjRVahOGmlYD+JvUpDxFF9+SQ1TzKibggWFfXk8by5hfg0HyHTMloH97JwG1gi3508qw
OUNLR/icuSTBANM24+GzMyRkvCbR9wCOSXFY97JUftQx7nUXlLxNAx6ye3LUUB57NbAsbUtKwkj/
o5t5t3FLCyxK8Fh3NbQQM+wZRPB1e0Ogsdfr8/vA7c4qStu9axPDZrbYiioNuEs/8+RP5RVeHHgF
mptjOLTGvYNYT9hf6BBeYi9r3ksrvhO5Y/84gXbwrGcvIdWJ0HnnyuDuU5mlIPIMgjWcPEcLxT4L
86OZEldKHEL6HNWESOACWDuEX+zGFho4U7EQl07xmaXmtR/j6bGzqYGKm9uk01UGbB08drd+k9hP
TgyDrwDewzil/BRF4TvJw5gY894O+fbbZYPuduQqB7SC/ixsFsM8l3wljO28HDOEJTX4baM09maT
vaQQNk4GLuqd8JzIN5sZ5aXBJfn3AQ7/NzFn4n/lN5zjn6+o+yna7if+r/iG5ef+YaD0/pKWCaIB
C6V0DMYyIBr+QW/w/hKOg28RC6NDJ2taULj+iTlz/jIdC3CD8OSCanDMf2HOnL9023aBQbDV4fkX
zr/joPSwYv4X/6RBx6MjPvUAOEjqFlyc/5k71qOnkTp5ubxFael6ObXsN8lhNRHMlsXj4Aoc30EH
rLey2o2ATpDbOZmYNo1uJ2rOm7E01qCM3JnULkbFE/v1RGVkmFSOB051TRvBDDIhYK3Ez7udibrf
pWj0zS78jLNi7/XDhsaDjBAR82gJeM3SZi29RMJwuCREdQwz9YYr7H3o4aEbY3ks8vx1/JuysIgc
CNM+UqKiS7eJhqmLBabIuC1EWZa17ZYaNyIdwUwf2TWAvnaMtdYJd0tMjvsEKfLXDcTWMBb3/tA+
iCKrVyNh32icNRq+QKhDj6CwzvSr7XTxU2o6hyrJ8pVEOEjNWlQYFVo2yWrnupm4EH2RsGaQJWqz
8QHoooZ4xtV5QlN86SvLwsJeahhBvJ7wk4CjmcQlGuJK29taeY6LcUTwqOEJJbbi/x/U6W+yoM0T
8j+DVu7K7Ptj+G8m5+VH/vGMWjqsFLh7ugFdxTV4vv75jJryL/gqRNdJh7GfYct/uZyF+xdPLd5i
27QNIYXL4/tPFKH9l1ieW0IUoRHyUP1bLmeD32UB4P0LkOfotuHyH9RZpfMX6X8TEf/zYzor5liS
9FECHFTIBN0iBLkb0KprXb7W2SuuCyupKeFYk6HCRL1nLXuhKkq3HcjWtcWq0iei3lg7TU3NPg4W
OgMbzVg8d0c5GQyJk2DFJ8q3hMI+YesGDqUwxLHnuJMLrM5xyTfimYO63rWYHpyHhpzVzolRQBfQ
sJYxa/PmOcRdhlC7JDxojiniJtDfmi5VuGvjUGmHkbFbWx9pNkD0B+GOiQaMU8d91Z7naEZKtnBM
ELbmm3qAWjzmBGwB+FhlURb5fE8Hr9NGks5qUgaWjmjulyP/R9iFttUCdYQk8l1mBLrC9yeSLrtL
HYmpZVTvFZwxxvJrOXdX2TFNMrqXGIcAsOh5Xy6ZAeQ9V/P0xvUcfCQeDiFO8S0psCT12TOpe+R3
ZZC2NOHuQwSLwxilfm0SXZM1RB2mBhp+XWOrJxrxkPXhxcQItbYkHZ+W0DuUw47snrc2Kt8Bn1C9
o72KHJgeJulqG2gXb0PVdNsCzm0TZvOy3NsSFDxv7LGGaT0QSIYis3B+BCKFOYowUAEL6Ufk9M1L
nrgO2DBkIx5DsMJUzRruw7XHHLGvsP/mA1BWYutAQRTNt4ElatSKX9gRhAmV02ftdh9TO31PEZ1r
Hx0ccK7bJmCOiIOFMO0WZU1U485rhmNZqMm35xBjVzkhKI7ZcxPRG0BQR7QBcZ1kwGLdk+OOSnyw
xkUqieB/HnMGljQUNRALvUGYQNIqYyh42JDHDvPiGCkLEMIWkZwIy2ElgoHdpeZ46JPZOkRTV0JB
FESppXmyx1fF7xWwWGwTuFvKoWHTpWnupyWJwKTuvnfgBqPY33cdaQFq4aS5LorZGrVAN6fvg0V6
c4bxXBNls7NN6m6Nj+V3c7GNNfd1mubPJaUANzZS9aQYrXWk8SAJs5o40uxqw/o+3TRQb7edLUak
/M0+z/Tu1pxDES+CqfmAERYDfNK9qnn8SnSlXfKc8wzic8Di1oQ0PGfNkwj6PyK5r1mjfcA0AFyj
EBBrHgbUYuK8hXqE+0/uGgxdWOryt9moUT0Zlh+UGXjiMX9tcobuzPNY+qPyKfTomD/W4aAfBfGm
rE2a+QmCDRl9dEp4+otDPuiErQ7mY6mrDZEVT4ZSL2bKhmhgUgjYqF5lHdkBaaBzoI0DGqrSOhvV
cG7q8tdE02jbuGnneMkllQggUqnOuHBZW0j3aNlzso1j+0ikYHHQe8TWs3PQlGAtjI8wGpnLJg25
Q8EuKtPe72fUmVKhYC8KXlHkKQ3HKvMQqyz/6LqKCIfJhdggGnfVOx6otPJGECjiD98j0MM3Juu3
z6ubEcY/WZDmO2Rr9SoFl1clbItchaEs1Vnm5yRDsO3O/nRleFRNhGyztbHmeHuQwdbWIYpvVatd
wD0Pk4rBvBi7dSYtNlny2XMVzVYfFuukyIkusenFCk2uo1z+acfCt13jAkvtQ4ObBvPqjL+Yi5fp
H30N90aDIF9/Jy36e1VmwZpdB8M7cwFlk8JQ2S9B33w6cnrpCaDir0mPjtthHxQ2mkBMmrw9rM74
NHHGQlVedWYEGj/KLhWJ9FWIfai0sfIbWrDH1mr4rpvr/FBqMNQGuJUtwehZgP6TNOjFxIeyfDhw
y8Ggg6jOVF0cPa+/KMLnhzjwRcNknLVYFaOPG4cWmVd+jcz4j1Uh9S27X2XNKDWdFDXBGiqUXBUx
ZMuIbEcCa+/MMHyMM/eFA4kRNW1flvEsGfz+vYXjwkq+5gTnal6w3QwLT/iQTH7NumB52w1nk43H
CoMvY7atFWuncOqCHUuAd9fCn+mkHZzJ3Gk3k8LOK4bwwZzTCa4FYsEqIQlGhASyEXU+HwuBlLdh
W9aCHgtmXJ5kfU1omlkYj/EXJKnoqpU3zxvLQxA2/KibXDKlkdE4s6AbCGaMMSKjMZfuxuzy3zE2
rwGrU28Mn1xh7AIr+BS61a5J4DnnIe/MLse5WHvxIgoR+xY74JT3j5oZJletz865yln8EXICOiKY
yZ3q4CJFGr4e0962lfNSDUiX245RkKjLR7IZMNQ4GhZQzUWOVz70PyFBkus8Y06u9RAM7QGcloxB
kU5m964Rr+ojP7nWs/3lVMjZsGj8GeWE/TshfyqOu3WFqb2q6m2ZK2bEmVPtIst6mwz7sW+ZtMeq
ekT3e5NslsulWgBrC2LrqKGWJx6gxrnBW4LtmX7oLP69UDyCLg18F3mvmbHXuu5B8YF5Nocz+NSv
Om32kg9P1kMar9HZbJEUf4Z9dEqjk2MC+RfWhwwJy01z/bVlHV5huMAp+cRKaNjkLEc2ZEcS4BYP
9qfbiB3ewcB3I6n8RAQkq2KBa6IHuzPZEXjPvPqxita5L3SHISUVei6Lkglp4e0rq+FehTG3UkhS
HDN6nkY8S1HkPGLGuNgWu5iidfZjdZ1Q162M5W/qST1E/q/SndfpzAbHEeKC46BtdS0CKTTh143I
z1aJccfK1RVDhn2su3gb1w9W30YHyQqesPJhE83TKtXmB22o7qEeP8eYZZnxrpi+LBUNi5bICION
ucRbKnT+EbJ4smkY0+CIk2AUD6jY9+QQPHbdcsKGEYkHMeQSeiGGtn6IGinuGnTEHD15RIp9SOTq
wGIDrdn8CGR52KQG+E92EiN7XnKtuXPJ1GruDbSs6JsiX7WELZooYbTGuApo/5vFPFm41Xbs9E9m
at/NjN7SHR4AenxbTXwMBen19cQ3HjcXba6eStu1GLzNTCr0ZWplQ4aS3SFMq4eCryMJ8AHCqjSz
CIH10Jt729FOyHCEz6Vt9wUqz6Fw0eRBU4hCvfctQ1LeNkCVlcNb2JLst5mRmy3MbOemIbFgLxX9
ek05b2dZ9ltDhu9VwC5TT35mh+LSdXG41AoM2LSEKMblRKggkk/FeBVcA0oRNwb1Grgq2Isk3pYh
OzAXbYTeEDyEqkYGNXerTSWoqeR6sVsQw6MhznHeENceXjj00KYFMag7JF27vgjhCZrJd5pB3oz1
KT7SOatV18lV1GhqLwuHbMKynvit3nFB8ttV5Q1Nb7riGKC2MqudNpSLeF/7xvwJ/9q5ETu1RUrG
XVZ/et1LaGIMtpI0QB7vgL8R674uQEiI8gYkQsMx5mCO0Z/mKYq240Ic7ZCn2oBZ5ygtgWtzl9Dd
A1e+9Ate69ra5Xubvo4ZBY89Vs+qiC9Bbb6XPCR+kqmfuThGEqtr1us4KLz4GzJGtCcFkzjKhAek
TlJYLcn0xsKzOSTl1ziK7NQYhAHq3L/+NLbnDA9mAbq0bvsCxtqE+QNwYWoZMJvDaCsGG6SrXhg4
YR/JVqvg5sIxHo0ZZXbw2psm/xuDsx3mmjyxxaFUKNSggJ2WM0mW7CPoD8gsI6V1VAzZin6XhPLY
W9gHB53A5Kn/0BPYD9VVFxDSApd4M0RX+NXxQbI7xF7osuUIe/vkzjHkjz7ZMc/JYNLGyG3Q3+Lk
hKUMjWNT98GXYVr5aWLDxN9aNmsF1FbEyTNwvXVS81KA9qRtQU/yJaYlp3tYv2lzm0JlTG5BK8/E
LqHk1vWvCQVmAy6B+SHW0la9JnRpvG8FW1pkC7lsXkk0Zn+gpRdI+Qeboe8qkuOL1t0MaId+mAx3
Tcv52bH4XSdJstXk4B7KPoQmSNmyYuCIpiCGSr6sMoJFFGgS/CtwZdcSDGDNoiawuN4q4DsDWadI
l3AOesvqFyvRNbKICWpjdVaWl160Ri5AweLBrqKXTutHnKTGQVQoixynBhJYyCNwbYOFDD/mRiP+
goFSqY/HLWS73957QOL1OXG/l3OGigULY+tI0B5ZCSIwcHHEJ9q67u1uQyHso91C/ZhV14Sp1dqr
lu2w29yiFk4AZRYGI3EBk1z4XTGew9B6LloOBwIwWZku0BXoKCrs77QQ9d2s2kPYADnC1lGAAOGq
ZFi5GqqdYQawp7+RxpiuuobcvSmP8Rwjx9U7QBOaTaeHY+BlqKMHJfsJsO9yOyzQGGI08KBbJ5ug
+TknXCYyqH/L899/wmjUj+4hRlc7W9RPszu9BMCWdc98m5b/zGyBMNK91Ie7Nq8dqw/Xbh1i4SPa
ZJtr0Hcw3OowIOFppMHann56j6/Tq4BNMBogUAcZmcaimlyv9GRNZb/LQ+MORZvmc7ZiB+RuYzSW
XjwNtborBzLj2JFhWeMtaNmXUhkoBEoa967wvnAJPdUNFg3FF7piWbiL0I9WSQipOO2MFXM+ADaz
vc9KaAgZ8YkQ2ofbZDPKwwNxx6aairnAdBGxOlegtcaOiFQXwOncbNsUmIhJxYbaej4maLpWBERP
vpWHH/pksbmCW5OXi++G/4tUgiIIG8YqH8UNIfHb5BWCaYd2jDpwqHHERzHC+iyT3zDtf9gBPE8d
kukxj+hPoiu+gMfRVmR09genUXti0b5H8+pM7X3aFB+FQt/goZvXyOFltmfT9rnHyVmi+1yUzU7K
GzrRkks+rvQa8Qo02ddMwFHowZ6Q5FRTp03hoe6SHwYSvFzKl4Dhjm/VdDtGsk1aVjp2804zGqx1
lT2VQ/qBJZHFh9yZMwygADzDts3yXZCHt9E1fqaIDWWkktJHyrHRvfIrxfrYG3dukMfrVsh47Q7N
m2whVbdJftV0LceXRmL6nFChpNq16uablBL+QfVuoATJYx1tSaqrgzvIXeki4k1r4NFN5mwiKgZX
gz/Tdw81avMj25VvNHNYyCiTI+4AQHyr1gW76Qm+DAinHmDw0G9gCK4LpdPU8I4i/hdfT8q7boxy
hq6d4I8G2RHEb82L3BcBAIXQDaD8B18khNT+NIO/i5ZhL3745JqrMt9yOGps9Yu1TJq3LqSQXLLD
UtN41CzxjvO2povZdTrhWWWC3S5YtpBE0JBt7JQRRhHyGEd4Dx1eWBR58doZ64dcq1pfDVWyyaIT
yfMEojpNvtYQe9rmJlnIKKFlPWsWLZNZZdHGOtGwV6j/kt9gjp6TctjEC9XC1HF2VeneHjEHl0bx
5NArus7MUh09SdBftAkJGVvYOSTW7DUAVzTo7bGwIcuwJOLBvWMUdvYwgePnRPti690Ve0flz2h1
mwiVjVdfRMMMI8kM/E6Ik133Asgp9zW9YNLTLkQKZuEbd9nwJeDPHcI86yUEFjDBoLHpCeMJneYp
iirJwJtHmpr/pwdaVRjUGaWx8PGI301ci/r/2hWUjsozKexBbabqKFIkIYCZIDm0z0xq0ENkXEcV
kNmsGGStYkZSxBRMX2Fa4Hy+722DN1+TPaS5eEs8pHMTVqNNwsXMR/s7amPr6GXo2cfkWQICRuaD
ldII0cfZ9NITLsI1lGHM9vq4gcjFmD3NGMUXL10CWU+IidkJTbw32UiAnbynovcQTIpg52ZsxF3i
eFdsYx4o9KUfDmxtE/Iy00GaYAclZq0Ccy9GbOKD7qxm/I0y0nfBc53TCcz72Hi/hfEVVOWHZ+kf
lZy/jAoWa96lSJCrfTiDh3D0rNiWeAPSHgmvN4XnCo3mOpLWxintr6J2MI7F0w3p1lqm/RG92EOX
a9Bowwt7vBz5CpBBFURH9pTVDsXeVxxQnRJKturBCzGQU+a64d3OE4RdKXzqlWD5kL8lLn53g3dD
HJC/FJy62nkh9Ext6lrRp7mCHHE25TZR7Vwl57EgNC7NYQ+5XfMowhHhBR1ig9Olm2YqQxNJD03a
b26ygZzpUdJk4SAE+YwLKnzUbekdZKnBKvDwT4KViMerkTEzDTP1Fo/1xS4tazWkxovkpAdQHDBo
TIdfUEK7NJc3pffPTcF2e2KyiWpgfmPwVGDCnYeDA41NX6YKXu5Vq9B0LkVpXXsVbZibsEQa69EP
Rm5F+nc+Ula8xQIEIAPpFGQLOVk9JbDeWGxrPJNbCErDYFBm9bx/c6RR22ZiNZPG0a7VoH8NxKg4
kKX8sqmpfJscfanRnefJMnetxUQQVfsHkGwoa4KWpfWUxZHD2DCV+IuZy67tJTnTwvUuA/0J+Szl
FQ8rPt4FkkLVyr59ay8V8Ui4upsZ/VPtcPqPySntkjuX5cERhdOjHkHpDZO02NgMcfypLU8SF/Yq
tsKHIWDYqZtMzxik+3rJQT47VX3AEnwZQsYqSQ04JqfddOnEvAn9HfV4cLLT4CJ77Z2os2g1lTD4
MmN+Uu28Qt6rPzZ8+M2U6wOqvhDRsO5uEqaQm4OVE3rMXJy8umAf6iDzHBZ69EQI9OY+42JKqzjB
EWX2VODwxwCSHRi+4TbQ+CNMhhf/FXWTpt4BxBG4GEmomo57FhjoAPPAQc3ERE09krjRjXjyWs6E
vMa/CWqack1nelwQTwhngpeMTS4xnRMA+NAYgj0UyNXynIYEdZ+06JI7uHP5Zlxfdca5QXx5wA7w
YHqdOsY8QHU1aXdB3R2SXBQHLEZ4qGcIrFr1ikQYP3hd35decU+sGqMXbHdr6K2X3oiwY2TDurWb
E8qUJw38usapZcDNIzFx/jXTSN82aAohu9SoIPIUz7oHQrZp422tTeoQiw4vQlTvjJFYZLyPHA/g
QWIAhbvJU5S/5VuDDE5Prl4BJm7o4RYVmkbnk6olkrJZQIokv3BATKo+MaqACNO3X7x7/QBqysbM
mDSjUH6KjfJpsM2TPsxvvI6KdVDoL2e3Tk0OUzveC4NiKopA0hXIf3CU8VjPZar55czpqIuvQejF
oW/Er2GV015if4LbnW1GrWE/04fwyyGgkcbYn4ageB6ihB7PdZE95exRAbzHBxZYCLOiJ4Pp+Mat
CWX5HmvBfqjUJopv9CFTxPI31E2Mwgs0C/qk2XCfI17et2WMTW6g1IT79NFHILv18B1tPQEoOm9w
0YCIxKWITdzZoQ65SIIFTznEL1URSuFZIWBDYeV+KOVDU2LP7QtBBYNom9XuaTQfidwe/dEySC8Z
I2aFjMPTGPVNqh0q0xlPS8hR3+kmYmfvx1o0aj1usV1iOu02YG6roYrZNh3SIyIvCY6HtjfZSxEC
0k0RjQwHeNXa7nSvrJ6ijUjPAjUazTdZNqN4qAAY7ixvIoOZxTld48YsGXx6ZO7xHqYO1XPLIWgQ
1xQ+aImPBUYT3Jti5Oiz+nXQ1w/JvEudyVkDBefphtOIRTEHNQSFKxZJu54XnF4n0E3pDqtoGAjW
Xg/dbaDXFm1Tlm1DsN3mhQCdX6y7Lck1BU3B6AB/LIo77v8lyan/0Q1s/VkSiy21wbpOI2fVs86K
t2ZID9AZAcsps7LWXI07EOokw0BOQbWQ+ibW3jnMII8zce5RqmN65/tWpC3T6bYvk2RI1sf6g17K
ZA/DY8smlUpxqR49evAqfrNs4KqjrH662foaub+DtGZFEnzkprhVrfM0JZDncUKXOYc6g2foTLM8
zob9VncmkgRGaA7NJLzgty63XsA0kxfQJdi6y4WMOlfPEWGdeBhmZET5xxh9lc0zfha7u7j65+ye
k+GSphchwLJXzGHcd898DsmI0XGImleZHq1wlw5nld8DhSamucfuJJ+C+h4g4nBU8rkwnjI61tJX
9rNlPDnR2WE1IMNHkmr5WZ6Cga2SYT+57vMEU9TrX6PyZnCZKzYV5FjmM4y1OCZ8yKaThak8svuq
mZR+evVTKe9mAmjLx8KZVmwXGIi8uxHsHhJb0xddybsAtSVTpY0V3OYAJoHhCzLGpoDkxaeWIah6
nor7rP6zQNvz6asQgFDmN0tdcee407kXt2D+DcSL7bzFzbVMo703/5GKZZ4ktviUzicMr+kIUOws
u1Pg4XeNu11E7mR4JL15Jks9P3nNWyOeoE6sZN1RkXtb7HtTAH6nPegdvdhrpGpcvj9VihI5WTnp
uWPeUz3o8mTWX3r54hg/C9djcQLI/H5qf/vuVuqPs3gKq99EvBQ2elgekdm474o/UfjZBaxaKSA0
2KApoVuK9dNExKnilg7f7fxTD66m+RkwAgrEzTSerABnPcPKBEQ2fGOAkilbLQMLCWDrmJdUnM+4
jrnNAIWMeP1IE9IntgSehm99xF+rGNFNHAB/DIheHT4HKJZOylNGOT7K70K7ldnBLnEjeHjxgPCe
0nyfDDvRPdXdefIeoAgE6Z1r3mJuN0FY6xbIeHFMwT+Ex8F67dSd5K2dFkhDooObbJ14P8Z7KzwU
4p6fTPEsOiiELwMTIgYBgDvU2pubfYx7P4TKWkGt0xisKPWnpxM1wCVig1rNAIgDPP+O9sfm7a4z
/Pc8DCEc0ILxNb0fMCh56lxo3MjxDQZIc8ZRwMzJofcwYWQAC6ECXnXyA7UEFSm3dP0+ghCNTRAI
lFIRYLEObfoybCcdlEwjas6W+QjwtpqHj4fAnbpdPYfMkPEDPEQIixj+L8uz7Wy8deYbBBWJHv6S
pQ9Z8yfUI6z957o8dIiKwTVSoU3WJukvOOCG+L6GwGFc0a7i5MTY6ifalzcY62BeoaCPcIKNV75n
JIBT+7y3m3yVmG/gOdYlU4kIBo9pkrC8GKn8JuBfHIP0UjyGgKiV4L2Wf/KIGMkpr5+N6o+bPI/6
b579GuZ3yjrPSf400N1Chg2Z9auzmewgM1qPk/oYoZaQr71CeLqKGcLmnMVGfOPgNLxjPX26Aso1
25yUMLEMeYWUfyb14DJQx25SAXPhZp1+R2ppeMdrQb9iPnG+rZT+VbDDLhUtYDmvkXf7sRXtUK7Q
/3TwY5kGGjeHRNVrbH6outtwGdkTr7kUuo6+4kjEJJEbL1ZPCpQWYWDjllc/6EmgAX+7ZMIkY3AU
VYyjEfMogiju8oovaXkuCYLG6cPl8kAJGuxLA9LSKc06GG/Dd5DdOc3NqX9t983VX8v2LqtfqulS
GdekuA/HVxF8NFyLiAn16L1WxJSXzO16yBftOiacLCzRLBaP3O4M68gM/NTeW3BIGHupsnBo3Rx2
Tk6yjEAJhNAdtI0LTAJCZ8H7KO/BDrDZADs/DtzFH6r7YAe/Yba1oiQQT5MDmWSJIYvAqZvjqi++
3JxVQbPTNYyADW6y2jq1SCmi+dUly67grm8yP2UTSbG1cjBNWvlH3P0SpbXKgOWa9efQII1PwD+D
SeHdA2mNZRCMzdHbLQL8enrCv5HSvWAn8i1+VxLOGeIrdpuUuZCDjIhAo5jri4Eqin9q9CCsl0tr
M9wPjOhziylkpW+8kuUGR3PY5Xt8iRsw67zigWvBLsqAVyYFPDC2KcFcI9GpqGTAatM1RpDDoX6s
avA5GZcPWmtJLQSgZCKNJZ+69RiMW247VCJkp2OlShOU0ymKN2dYS6IolV/bre/Z0UbXb5M5HV1V
cOvDy2TfL/DGDJqFYhD4uvWalh02P55zpg0sizZSNL7kVA3Iq4wCRvEuE10gfswn1mn5jq7kJoYC
UBgM33Bja/WGHAdQ+Q6DDQ4IyFuPeWdyOpKz6NWwCqFHl3a6iyOF0uk9JLM7ciaAKlCYGEJk6Qt6
un5+0to/uCaoSziKDJA6NtKXZ0XdJQMNE/+0NYmCNMfzhDZQsQPM+28vPjnOWU8uyv5j8RyXwzee
KTzUpq8hNZmpmCaSEab5fRInPZ5B6Ry0OdozzYNV+x2mIDswo5D0gvvo3RJwOWl6Bg5anRdohVtz
DJk3tZ8mZt6Ju4RBa04ekhcic4JPa1jUXrweM1TDXtbyZ+Q6rjy/I6atAjWk3MS3mNAMTAGbmAfF
uW+5IiPUY/4eN3uzEHHwpCyXt8M64+Vi3/Ugh+CEYFnj83CcVAgoMbyMD6IhihqBDqWU99307y7G
cVfwqVmNm0QMQSJeYVCDUEX+J7eUvfCBre+qIvhlkUB/6uKjzc9Rxf0jQ26J4DdH3mTxag4YI/ec
DoznKEPTNWj/dUwXk831roPHxy6afXwOgoY5uBXyvhLbMugfcRn5UI4fNY4KViQMdYAysMUXAdAR
vT4jqHpW4XifErzr5m+mMjmr8dB4EUPiFzs+6i1RW5ypLbKIbAD5XyMkIdSqCMVahN4RbOmunNVd
L+2H3kv4JDmOqDLlDFqeOWg0DpiYigGYifrNluvxP0g6j+XGsSsMPxGqkMOWAAjmJJEUtUEptJBz
xtP7w7hqFvaUrW6RwL3n/FHgBSbIr0AAIQbY/zKSMknmVIkUKfroKBj5oejCU12KOzHzN34Puyp9
NPL3jIuqBXWTVVqsxmhPb9J7EhUI63mKiJdCS8DvOrh6MBItVO1KaqG08haQ0y6Ks23QshuRWZkR
86LNXq8m3gRCG6QMOrJKMLx1NcmwoD3od+imvYDpCAOB07X6ekZPJy6hrNkbm/oJE8LZRONVmIaH
afYQjLNn9Mkt6UtsecKhIG2q8l2VPNYBjdBWbfybbkmeoTWnVm5OrlxKR2Jj7IwwxrYhRL2PnQ76
T5sNO/IRWYm5qza4UPPpIJFoOY4LpBYjtGugQNAZRMW99IdbKxIoHNFogefoHordRyUbsKXZMSc5
NKiCvVEZrqK2nhmC95rKE3fjS0ysU92ob+giTyomzYL6yzT71ugJNZpTVW4by1hJobCX4mIvk24l
MZimYkb4VzY/ZHJH01z8GxNYEZaAoyqQ3AUtmkrNJt21dfWJj/6v0sxTPgTvqe7oZX2jI+5fY3Ll
BwMoWHwM/GmLV4q+dL36Si1QZI6PFBgQlZqOZHE52wfzVWX0UEpfEpBvhrxSUviet1VSbIrqW4RH
TwhbTuMTubirov9HupXf7H0c9aRaoLGyACzNXZ6imrhO1rYJvWh+izrYEY8wplh+p5hXag518hap
P5HBcV6UK3IOew2jss+XE8CMAx1o+5nw+qV6ofxUVxl0wWegnpbweaI9I0hhMoicAUBNsGHhQFVG
hgX+Sy2fdfMo7VaSJ8kv8BknowfWD299/g+bho1R3s18jEfEj9+ZVsaL2O9y8RwrV7hVWw+9LDtH
a/gG3V5gifCvHK+0QBQVemhXVO5x88lbzUF8VFaWQzWmfIy5tCVCC2blZEUX3QWZ8oLmxKvkkXSy
opeT56WGE6LSFNciyRUwsi2+1GGloMVQgnsjU4bxTgSGk0n44ZS7XO8kANKEkg5v6DykcfwTKQcd
Y482fpaSuBXXrCPFn5I86whtp1uYG2QHc7wNqwd35Son+hfjNI6g1eCEWHVtsgKr3bAikk87crqY
lseZZivlukZZJ/2kQCeIYXuvoga23Sq5G7uFMw7bGEMxMdPOnHxzedFbhlN1G1OdmpZHBWmn1L+V
1k6HsZbRfETTgfQqm4ifVW64pGwIv7Ql6gTcNyQmTt+YSzOLMlrjM+G4iK4LZNDxVIjmZhzvw7zX
/a0lnUMXlaJ+YeI39fd63GXhCz+w2j+qmT3wPRNekf5gP6pnUgc2k3UvGedz6UjbDr8g68wGZp+I
oxt/83WoXbLkKCNJjXeEqtuRvjcpNlFvZYnbS53XzXQW7dYRSSNW19N4rkqvF/dD/+D/lijbSTvn
5sUkgm1pHcKruxUdxKC8CMzp2S52aVOnD9XjwcGtGx5GWMoyBVr9yeZ/gvZWDevUvk+IsP6F/qOR
bmH0x7BOGK4SXpN2M2k3Oq7je6D+DsSjW3fm8FVVvXTK7UghHd85jEXzajgCz/0vbhlXNE7xtiUR
+WxUR3J9OTfpwH3jZ9qt5QXFv4j7TypeRLKSs9o6S6QgMarwOQVXdlf+DOrH1P6raRlpHUk9aeNO
iPczRVF2YPOYd9mx6/aif83te6aRmtcNbtt8lhrT1baMdm330zOoGe0tIts7Rwtn9m+xepSrTWJ9
8fm7BlkCwXWUtstX4S02umMSv4cTvrGFHdqbbkoTxprYLsqACR1LEq6jZ7/GIEbqCAOrseI8Ihm0
Mhx5+e0Kf1Xr//LeQ24TMCx25CV21A72V6LWmIGQYyJJIghz8HRCBAlP0ywI5Q08zsooH63vZsyJ
OlGOjGGWVxIsRSs6xNFSeh71T7+hMAaymvBV45oQT5+KZ4mI1cUYFxLYRQo2/3GUyb0C/Zvrh98c
x/CZN1/Lk0bfJ+bjEL8yjDmRV7HNv2UoKStKHPeRsgUbW2mrX1TlLCYfuXohhitKj4N6Loldzacr
BbhNcAlJ4KIPlHbzr6A+shKxN5HJODlNtf3PC3vqUFgOh0LEe3hryxFSslrViBrHYpMN20n4M9Bi
1AJoe/Q7CP8IHPNS4zUxYXbKpS1+ll/wdRGJ+6jQ2SKxHJtbmV+qamvAtnuS5pkWpOW+rt+b6kJT
tvWBGru3OF62jfAIHQ5cR+6P7Iv8xqeeUzfpro2jOrP0KvyjXH8guUHvhyMzXTG5cBSdwnTTdd5g
3v0V8JbyCJpjDHrA52WLzsSmf5vqLTjbOmUtrvxtKJyWVtTp6z9+Gk6POBv/y5QPCmx8nL4Fyh9F
KP0N/zSK0PSjAGsFs2r3kbUWm3FFKPbaIAMqjS4UUEQLKcNOzZS8wt1tF9PNj96l/hpyvujcex0C
NgZuhr1C3+E4J8M5Q3Mdq3vwaYVdEEVpoW/b7pu25qrbWcG1m/fT6kusXKQNLCc7s9kT2wMp8dEn
nu9ytCI3XzcQVE5BahKbZdL80fPo1GFpqyg2KP3BLAzpiecb2e50ELSTrm2pcu+6XcUWOai/7Epi
ePM5DdruZi4d4ehgIQ/3RrqX/EOhPZQEgGsz5t5onbTwSdiRiOajd4lGL/ZUkKD5l/pzyhMaas+k
XujrXT4eCdmzC2EvNnuBvTmOf4L5JycCXlCfi3KcBcUOHJld/MnpnFwVf9MReI8clV9gdFSP8c7W
DinvhNWRQjC4s6m6ecMNLqWsGeT98mkqdwb0IHKH8qzA7vbjfQrdyPK+dDBxpjbP2paePjlUd2W6
93vnuyuDbY/8ubxZha0JRALeZU7zYEBS7fXlBUe7Ie2CwDtd+K0xi9txuxbTdY4KE/9otiupouSi
8zUvqj3TJZAOxbKw6YNNk2AEfVTa1qpPGZCytWLOWYVXAL6KtZeS2E8IGthiHF6OlL8PxY4Xt4UK
0nZdchyp9iKC+wch1QoLxHo2V+Pq23SoP1BIo9w0abjSjPPYbXoFGH0rWI+EDLP0EnPlBLafrZuD
uaJtao2qA4tw4ADWsVvFyzDRXSTjYHEQo8Dik8DZnhDtlJxHAxSkqFaK9mzTS9efFAYe46krTEiW
Q9CgWr3alnEWrN1DcPJ/NKRhSjT7R6cBwrJRzcXibFsgq5w9zYuSs2K6HIvpu8FEtQnWCm6Ohu15
U2q2ClmKiGpdozi7SJwGyV5vqdxwWdhZYpBzn1K62Mt7i7QLQRWrxLfPR97QEyJ/SaF/MkHhOm0n
Ru/mdOOAHyZH5CVXtrX5QME4cmLkhza68Gairs+UgZ39Id+0EMs3pjvuNl6PrLKXUaMzXsK8J3+H
OlbjoMUnYqjWU8zpvCcP1CFaj0cySY84fHnasKmQxUwrAyUi53l8N8KdkG7D9Nk+mGPc2nJ5pFe5
ecjDrQAzLFKj8QYxDQqokDTIPAN6ISKo03cIzKtyl4ebhNMJk0J2opKWB3JEgnFRGH0FcR/Kbxnz
jpxvBmWDj4Sh15I9HsYkW6M36QviMk6DtSNAGhDAQxTAwxnxyRo9L6hZEWXza4w7yzgEeYXE1Rno
0YFTwaHHf6W4KEBlnlaMSgiRZw6qiqgibtHiiQTd0g9Nhe3wxp+t8EP8jV56pDsvEbsy/I7o77N+
bSKXcIy4s6t2r7TnDvuzjgqjYcWqXN+uzX+K/zPKz1Zm8Y7MHVpA6KhbNp7pWEaNXeO7QlklZ3vk
IzW/Q/rKhGKlF7sKkssNXSH45SrXNa8Z1nm1VomqjJZgWjvsCdZ8ioyrygKUwZyo6o1Xxibf2qy3
cwS7kmwM8Tj+jZzm4Vczvgnz0Yifk9M5Wva2DHHzZ9BczRAKZp044HnuVO3k7ChLVJkNZ53KNW2r
qbvlhdf9l9gBf+ifywvVtfgPbA2ZbdxQycDNq+u8LD5gV/+0wkMqbMXppmqffbLMkJV4msRLLu+0
4KibZ8xTCgU1+X624Zf9I2sCPnHI/BYJwzOwsXcCZwUeiCftbfSSnWMSgkhfQGzImJ66sjNR+O1F
TgrMzTGiECfxLFgZl3q7Ljovu5UB/M6SEAcEoZnPgfSi8o28JBC/ozkezO6i0F2kEpy06tCfZOuW
N6sl/aatILFQtvG7WSzQ/t/UXyOesMinnGWrXWvhkoike2+WD1D11xgtAmKa+v5l9Vdty9so57sl
Pijt0m3T/VugU6F7JfNPp8IGjy8IJlvvTqw9qnwvhRtyBTxKPJUOZWL8bvJmuRwU5TaqN13bJ/qH
Kr/LzGl9/mrrj2r4jAXaLjgwyQGOz81w4sBlxlVYUWQitbYEa3QTaaK30HojrKOdbBqV2IguPVu8
dGAZbPwddny6tZ+0iHQOCC5Ae36ed6bp9e2haLZg0FTi4aYgUMRaLwfQFJ0XBzsTMlFxPKBBitqf
T6CjVyVdbeBSZbhsjaniIQXbNt2LujsLJ7J4Vp3wHqxDl+OFaHGvEz5YeNmVJxuWFT2FsDNJpcHX
V10JN1HhAFJ4gkkC4kP4LFtvanGSi2lFf6ZffpfqJZmZqJ9InEkUkqgnyYH1tpH5XYs8uo8x3lU/
+qrFtbMli1ii51FjVMKVICr/gBIHcWTcI1UHiYJV/Mu0f0VwsmbaZ2yWNZxAXOUEVRhU/aibEd9Z
v0tLgPxrVF+r5HBfWNJj0G5q2n5w1CTpeWIe6qZD1FNW8osSQPxWuSFmaW3lMDKAGVwSKvlrpFCZ
r5lWo7E4QCU2KTKLs954IyPpnD7VgCC674YiD07RtrgxPlRWCY6CwKE4yPWbIn5wReU64+i4URsv
1Z9kAK8E4bbcMmgGSLLQ2OghD+49XfclmnARKJsoGkE8DNX34r2LQQZHSJ1SvamjslXTf5V1SYaf
OrvpJmPCkfCSSPcAlznKv0ifImJytgcWH6e3YXoxItHfk3mqwl8y2fmNQ0GTjZ+JQ0NeukKPGLxc
2lb78G0MtjJ1fPrFZ4STQWdNHiQRFBVvF4zEnXoj2VjrMZq3PWhV2x2z8qlb6NTR8+ok7KPqXCVL
oLH8mh3EJEoCbXqNXLSd1ruffifVvWs/6UAhtiWmWVv5G/I/tEo95CJzrKb8Lgtblu7oF3Vy30ub
47DUlZzq6S1pvrXqoyEgT7rzhRDvMCdeWB8k+hG1RVMS2iz3cAeqeInQJlSPvMO0NN2j9soKFBTA
JoPoatkjK7dzeRiMnS9/KasIUw+q0UPtMKQpP53LcxzfZXvktuDMUK5ySP4COUiQxpSNkqbb/JP7
A15PCP+/IduzGHc60+mUOFaNUGv4jWrTVbqCirhftitKGPhEVr+C/iD8CCv9YwQFCTa6Z1kkZlxV
VCdF8IbR1A5YT+zQEfk/jJYzgv2o5543lvsEWiz5GkFil78GX4cUuikdn5rxPRevQCDR90rIWTVx
ZjHmY8dd9WDG0uxlOGT8RXSTXpZ0zwEF/rdukvLrUBaWfSc678NzJke8JfU1LOizUr1lWVMI7W9D
amla1ctWf9JAjaSd+7xip65/mDwdhU6NzPAgjhx3112AtkgPLAXI4LiWr5N+Zs1nSCbjjcWIn1jB
BlbRe6YerU1cHg3ARcZgBBfEcnNe5HTYh9WRCabw98n4y3uZj+8CAB37tWZcJjo5/0wqnl4EPE4l
jTDUY2YY7x2tOxAU1ZrO/JfR3l5QYXPkTZDkXS1uTf/MGcCpMGHQkNhY2b7KJbS6+pFp+DXfuvBm
lkdilOvSW5pRDfWjBmolx2ZZ5YSMXVb7MGGyCDf0xz0/rA/Wgb6Z2OUqRtDgrwOXjnrT1S1kZcYR
wKYi9n5P84xRkipFA8G2DK4InpHJEtCUvcrmQgwg16hhB9XRuhJ4h4ZbmMD2obzcuj7898MxfI2P
IHuPJyKyf6rhtAzJWhChqR7QZdJMV9y1wUuggMP8ZnHBUIpkL1M+LHnHsG54w7Sh3s2tOWRWoB4G
zc28paHPOcvHJOzUzIvMUyQx5W7a+lOOkLM8Vdmteq+x7l+znVVnTpTQbfEaXtkinTKg3OBjhpTL
OSuN9HvYEOcAi1noLrpkhaA7iofXy2cOYRGZN8wsdiiSi4BZc9rkwZve/2v5u3JvkBHBlrD6DXUu
UUpHhycRDasA75k+3OlM66BlppX+2Rm22SKZ+ZDFb0b2ntxCWg9aJM5bmDk829vlaRbkfb3rH8In
p7mWblrprDQMmYqHepoj2WtpKVQOC6xpyIgXKbHczulbKL2YFSSiQqP9tISzXNAtQd3eCam3pfq7
035MBaAErmQhMFAvjoLbKtflDxbhD+L5xTcjECZrHeCLJyhQ5TqKZzTmfCJALssp265RLCO7+jQQ
9LTtJ9fgaOwzaxvM6xD+54uWA+wb6AwYVR1q3nBPTXbExZKJN1U9x+UdQLkwUJaOF8yGEYVVE3ic
N2WH0kNO5TuFeV0gpCr5AKzTlWNpHQvpJeUv/1iAHNTXdKlQQRnZzJ8xfKxUv5vJU7DORuvJ07Hu
9yJODibkAY0PBWAZae+8Kml4jMvfSSXJtngoQCVp811h5bRAa636QAaqTW3L+MkthVLxyddO0dyy
46WnYROtp+q5bM6Eio3MBiFYI1qyJX5ki66MY3VXc+ll42cTbzKgBCH9ivMvX0Y9gzGnYw82dt1q
4o3b9OOV65ofttyc9Vp3e+POsoP/l9bTns2nIHRJPC/Ho9ZuwuJaklhCy5ph3ZP5jN6nJSpe3ujY
rPv1FK1LJJLJvynJSPw+LKiLFu66hQzwSQB9Nd0K0kxk1hG+av51Ur3M7BNxMnTkvqjOWfito7Aa
42MOQGME7w0Kd9X4oQuqEM461F4Ij8KkIjZHUb5FztcIZYm/zm6qZ+PvqQ6lbfFMZOlyJ+jzNgMb
mjsNZvR7Vv7RTxf5T727W/q2kjdt+t0GTEe7sfyeu0+BihVMKHw1C5Y9MqyJn5r/FmI4X9CBRHou
q7yivgXVrg7egJrtPN6zH7rmIlP9QgK2MqmFNeDLS5GLh9s2I9NqHN/A5UkE68AgKs8P6DZbSqF5
biKO/lMlUenBR51xUtOMYhs4q3smXR/cwyA4Xpb/Fk6hGxkHrbs4PUmeWZnxoUZswzFXfQ9hSzLT
fWt1NCft5BC1Tfou8Loi2rWxP3aC19aoM/8l5sLokntIEDstwJQSzoSK8njy44XgOGjgSms5Xev0
8WJ0fvRo8Ks15ihWjuV5m9RPuXzLmlOR/1p+QbcpGGfyJoovDT+fr1150EZEP3LAXzi/tckleYvn
qzFyhYNzbsapwL3jhMvOg4QBjVsAms8fX8qwIcAkyNY598Yf1MzQqsCbCBfL2KO7uluAIhHNdP9E
2cVYcDbCWyTiJNzigXDT/Bo636mPQUSAmMUCwBGfurV4MlA8jWPqqkqAm9eyNVWmKc0lQw4HA/Gf
AENsubq1T9m3a51xfMBQSDDHdJQUzhp+r3EfFK/lTSzEk2gB4bFrNkCmyfSkNNBugpPqb5eVe1kS
uCZ4ELnzAXIarpNog9mIAN6XVW0p8qF9xl5+ARlUVIduHhZR+HSPrU0/vSFVpvfnPE8cGkh8t+wF
WeblsUvTeGnS0sVIgDah7M7E/KwK+VtJfoDtDXlf5cdM29BhT1tV7yx3Qy/PgHDbSbqRXr6iuNhj
O8yldaofxE/6r225uSHddS2G2hJHDh29AHR3Q9/o07bU7z1tNj0ff5JdlfahEG7brNPyZMp/yydh
KO/KcM+Dj/or0ptVOnBFC0dWQk4qQSJK1JafibAHnHz8jRE2r+tEh70w9LZksHgEv4GyqfG8JunH
nB/43MhZtTsZBmA1ILAkM/SjImxwWjNZ6BaDtScNJ7M+4XtExWcQccxQDB83Jacaky8Rh8Ju2k0C
aoaypr4T5wJGITW68vVKaPga1ge4+BnxZS6S93v16zdIBkdHudxvelILjubRatymO7TGbxZ9jO+k
wmPEN6cNrTeQTiXKBBL41P14pwp2+Sk9MxR7CpMSzSwWfNBcf2bt2zi9+4xw8YjmgOE1Z3f2aInh
YF++d8SFC7ZXGDQQdt+GgTWzvRraQzT3avRX2N/5wOI7AS+MuJSPlbjVFr/eMWSRr83cllikU9Yd
Izj7umfue8olg+lRz1+C8ur0P1T5fr+T/W+lxBWyAv3TnvJ80/vHwuf4/gfwsKLDvCFJcYu3qN/F
ZAJWvyUeIyTu3KC1ikjAPLYW0nqOKoLLh9W9M2uHu5mGwypadwzw/t6PryjuFs6H/g3N302u7qF3
E4lUUd/H7F5FfwrUMNp/iydEgr+ZYUGSmtec5bsOZSI6tBsSM7uWDh22belKdWpJZO5a5c57Lwit
MJTZ1YHNxLlmtPrMy9dyuOrtl8QFM1zlljcrR2yAebhraAXnyLDId9dAokXildHNdgxLSKATOmZM
WyBM8bddc0ckfwYW1plCbDNgS9Y35ngO5d/KoCQQ2udo9RAHFLQyTXF0TVnh9HTeBP5LIj9BI0TZ
ov/AArBUJpze98C/MjLMJjwGjinsuO1WgpkmwEoo/+rw3RqO/L2h+ACWwRPfxnXtjEm0WxwvPSbR
jJejI6kloLdnn6CmS8wjZ6KIr32JbTWNHxl5T6FzdJWnxiCNzvdGym+hJBWnReCJ5Rrmk74BfIyG
8uxgIsh6X8Wg7ogu+AdSzIgB7YBNRQWxyXwjH8OHzeoJvx23VHCis1LknSRdVdZO1f8Uqu965po8
DM6wjruDyKXI/R2tuVAoWmPzAP/SCI/J41NCZx8Ppd9S9l4SBvogQRLcNrTV8Zn6z6lnh/+zhA8h
/cgrl0BtbI+juE5mj5GZqL9dg3hp2mpetyb50EGMgX2DV+D5xaGr/UMFCGdOei5mr26xUU24v+hV
pJcPw8RTpWsZ9Z42fSx7Ic5ESk2XvbOqv5u/hBNEA9Ka0QrVxZlOTIWgHgiJ4iZV+7T+p/knsKiC
VKD8rC5X93LXmktxd+NUxg36TapuJiJeFxMr8ANAlWGmYJI/ckWTXEBvJw3IFnr8YbHzIVpqFSR/
/Y8vfpnWPlQkTG7fuX7ik2GHiThrcQA7i/wH1C+eXdm6jyjSQm6DJdFA3hFy4uBgkZ8Z+abKueyO
fsBPRJrqF88ID33ek48JM66J3GIhE6AEBFlgnZ0Oqr5T5L1ZA6l7iOJU9LI43UESlexNj+7KwGqn
/8BQERvx744e1fiw+q9I+x0qZH/ab8eMRRoMhYPcXzD3mi2wI3vTxsTyL3hqCt3qglAyXBEb1CNh
18TV8dF2lVOCsRlwOn7foUh+w87UGgd6qaHpJax66M+6+aSHN75Tc4aSYzSKrdxpWhqaKQl45ZxY
Iw2cVd+vq+mfjiImBWWtukvN1t8hvaP+3O7Trzo7+9kFMLNnyAtJo2iRQg0j+rW8J8z0snBh8Xsr
/CnV1xxsYy7Epa/VEUBoEsaNKXVjUNaYxNeQ6pWchy+oeFW10Q4kQNJ9I56Kd+agBFEJbXM9xEq5
GYSXFMIgsz/kJHgsF1VccDC+SKzrSowDuQTmPrkxJ3VaMYGk9Aag7C3dMNiAq5PFFUpUluMwQKGm
XPuw4WwPWD/YnRYtLH0+NYQzHZP8IC/yvZzSw/Qz5SBZ+XjTFGK87EnbNO9041jqGoCbEtqW4Tu6
GPj1Zu1oMfBVeMX1YSfMK4Yz26j2gCs6fxdcMTb6UwY7dckyYcPwp5NUXJbnPSWnI6veK758skxX
3JWEBfAs0W56Dt6We3nRm8BdydN2+fI7/9mQgkbcKaV/lFqiq89Bdqy9LLKyh3yNxCPXTDtc1br1
EueDUt4q4b0gbqbb+fmLQ0FRPDl6zHAbDZNXXDiiBYRJT3iBnbYtGXH9Ajvti2wElj0EoICZi+sF
B61SXrDjOVq6X6ausNNs8mlBGKCxeDvp4fpPhD3UizWJX7wg6GaApEd3idtPy5ONSnC7GFnA48Km
VGcvTxpPJTJ61hZSD0ErHFBOlo+CsT5x5JY8fK6CZcvSO8vODxiTAMZKgYpKMFSLmWl0LdHhgAf+
hgWBM4OGFCSU0Td5bXikwZfaOx27uf1V1Z7PsNOCgOLHWuWA9fT92G1IOtzy2IAoCsb208QNJBe/
unSt5iORTarGTNGnziJKTWW+I1TQldnZ1CIUhz72kIapBNdUkMZb/ggc0XV2qdXdDKZridx++g+r
A2olSiTghd7a5C/gWoA60C5BemlVMFc0qniZQuOzwqKvYEixpu9FFjV0Lqcz+/O6EHY+Iy/PZBmc
52wTTW+j9TYhSwzJz7XYBy4JRwB2VYR5f7NtcSLsJ+lR17Vd1z/FS6nuWok0BCRNHxnykQdqc7ql
sM/JgcVEk0yIhLc8zp3xUoewQ/6+BzPrQYhzw0CY0oGVXVL/UwN2HDTwe1BTY5dqiFJ3BCdbGIvz
f35KrHKykfy35TBd/qLOl9jUEDoEeEszLJ0FZIgyCnVVBsfNWcqbrRakGn3JIPJCcf7GBE1wuy3b
OelNTkNM7mVKHqp0nmCZFztJaP61ZCMI4YULh5jnTaB8SgT5W/Vn46+VJeqKKhewRQJwxOEtWvwE
0P0mGgmQLVtDEr8AYHVUr1pbXpf0IgA6TNoxhNmv5Scv8aayTp3+USPOmFLGuQD1OK8IBRAE3068
cZGL1gBFwp+gM8N/h/kXBESjbpgeBB9KicMlFbfNSBsBs6BNRG70VS2QnbFXApau2h5YJQbmBeAn
Vb9Www9vspg62KplwjT/o9bunXHV/NwTiWYpMdbV5JfXcwoMPDi4CQnxwdgFV2dk8A7HxiDOBbUK
Gl2CApyQwhkKddzaAehsvcF61lQtC41G7vVJazaGxieZfDJERvNmDi+FdgwyyCieDoWJxpo7xyib
nwBBtsk3mMQlEYW/vhuso3zrf2mLlnLfgi3zccbI/JC9iAY1UMFLQF9sBPyGvrPBnmB3QkalAyMf
fhSlgNlWuGFgCAaXNSijHmbFPmZ+cAauhPlBFIsMYH4hm252xnVPIhIvOZT+7OQL5rZPJvZ7VmRJ
pDGN6XBkNBS6o9k9Wn7VWSTkdJVKEiu05WqT4EoAgE0l2BZvcVwe8hmtyY8cuujJhfpE5fZK4OZM
x5uG2aEs6tXPv7q5QMzys14pDpC+eEzWMcGZRmIywisT9Ybe7ZbTWo7XXEcrKn4ETCU41K0/hagh
oi4Z1oMpX1v+byHeF3RIqicmq5oWMtntVG4C/nZiaEtcCjEWJXoUekDA65CL0Jo0WYBEEw75Lzde
We8268BT8styFIThkTzH2kZqY637aScTYhFe5cgRw9MCseGxWPQxKCM3EuH3jkmBvAfuGPKvCBGf
9pXx0QAB67RdB+nOQqNt5g8rR5HAl4+kyb+FKJEX10d+lM2rXtDEfZNr5k7plhgGxDX6E0Tzg1Lu
CfS0WYTCs+rVaM43cnvgV2JTcTv5mHEENsyTcvqnpF8+sRq/FVfa8j0whNuY2abyQ5L4MDOCVxyJ
Eb04L+dGW7xZ1WH5YMvEM148b8sVkHbXTLy28qmsB8cw521YUmQ9i5RKE/6NS6CUi/XA3bX6mxO6
y3JCACqVoQlF4CI6VX8nd1zHaEBxkM7/alRkhrZtgo9Aea8RPFPdiRz5JSqfiM7+++jAlVC80upD
RuGWvU0pvirMKSRYCCDTESnaMdjSaDyn9hphMiqyd0O3c49Xr7x3/T8BgdCkMC6166J8DC6NO4Bv
eEnIzoIuPZeluBr1mwquUVrnASCjesbBH4najLkkrtGQOD5yXvaULMyxxiQ6I3WXNjVtiOa9aHZS
fA37PzLNweZaMiVI7qGFpqWnCL+IjZZJoXDU5o+cdNIXKXCDh1TaQzWgXZnxdFAxPxde3h36a8F7
v9yPgkmKngNdAyTeuIR/UGf8VzVrXdyQaGayzHV2GN8r8v9pC0o/JpwKM/hRP7zHI7E+05Xxwfon
kX8+nWp0CuWdfCDUghuTcNc/NfCij868/mLpUd4C40pSD2aPUzPdiuRKMKXajU4HG0obgU3NEU0c
YAqrX43pjhbJKX9wAUjCDriPw2INGYctd286FUFjvMSsm8m8I1CjED8t8+zHb2lzViDesS1jdmE7
ExFivfm01zFma/FWrrcKlD8qeYSqibo1+NWpX11b44cm40iAAlser8nUdirZZroZ8L9FcbFsvC0z
ab5IITU0E6GtTSJiavKszmBwg/9ew0KXL1U4LpiVpaODWraFCy62VTmf/cZFirnIhQR5HYRkwpAa
el1OMMP/FHUHVfsqWeweiDRYMwyGKx1Pes0RmMaUJFyXgXik3UGoe6CHBBfwCy7W+lfa91knG8ct
mZhmlAwnC+mDvg/g1yr1t5ovRv7IMT9WxDnTlbPqOQFzph4s3gCkzOS2SYgqKVpHGTeTie6Cr0Vg
XcXp6HtyBpS0RzlZyzsDdxTMQvdrNi9Ifwvj+4opD/i/oRT3y+TMORJUtWqrw/QNZmuoDL/1s8aa
oCqrCbmaTousSDfnBJm2LJF68xfyG88NHJBg2XQPk0GFBQ5tDJdrN16whaY3pcPRgboTbSBpt6uB
uz4wIIS1Vw19uxyCfYW5DDG2vuOeCeKtJT9mZ17L1cXHdLREmk3VT1X+yNmGnlCTv0kJfIu/0a+P
vXLEGsjtxruCFBThj1xuWQQpumqbnxkbZQ95Sxag8mPhRtbrz6G4BdFGKzamQ9G7yha0yhHtrpNt
PiIsmgB6/jvNRlCRsWhcAbNetIOKS0bUlh3DkPRemedIvQSuPAKNrMX6SyLgJW3+I1K1Yqc7AiWE
u9pVnZIkohqcmh/rkkMGfpCg3iIxD7POilAzpDcMObiTwVVHZpKthqwqK3YiluDk2DSXRNoNw4Ew
YPKS7iTjHP3oOnKs0nlvsLCYDOgWLsIZIldC7tphCINEl8C7D3OzHoc7Nv5VCpsftnhxoSHob0IV
aBvZOl1n/Ln/LDdch8FrWYTYguJ8o3iaqwprn2IRYa0QkmuyTRNXsg4B8ICMIETF7n8snddu40gW
hp+IAHO4VaJyliz7hnBkzplPv1/17MUCi8FMty2RVef8EeaRYwu2LKckJHh/qsDP7Cdse034LIu3
NHmBG2bkjrPsKksuPhO/L6iMUvGrlHBNJrMLSXsdhKjQL/cMF0n1/TDxfWZLsNOePeyz6z9T7c8h
0m1cqqfRJ6hrLbW/NSReZHzwmywJl1rsocVvtn8FfFkE1ku118UcXjFZym+gGIa0roI/sm7mvUoJ
1I26OBYkVw7IUf6Luh8ZMT0YUKrdSvPcMnjzidBiuBmuqb7kUAM0oh1mnTdruboQG0e65n0E/BCz
oqMeyOedx/UN0Qh3o4nvitxc+WFoZ8C/iBkITS65vIQn0+HIcvb5mbGDL3Xzm+0VZCoYlglwWXj0
/xoo2kka+FIwkqFpSMZX2q465xlEzyD4a8yb1F8zj9ouRsPT6EqrknpSdd+m2C8Zv8hAqoDeTTbO
Fk5Hgt/Rl4WyD7Gmcq/11Gm6RXw29ZMqX/ua1KBzEfxpzh5wKy+3Iuj4qyxdYrsw1q0ZYxdwtGq0
sVNO7mJj2ddmqnGVG3MvOY7dlXQR234rrL1Gyh+EJ7QSFsvpWZh3Z1ijbjOMuwHIZRQ7o/8cAe5L
9WylW/GLM4/12UVI+UjwLfRjpQEqXBWO5yH4UaFSO9RiztIryEmAl5jjDLdRubZPO7tLzWe3rJYp
kGncUeXLkaKxaes8pyGBrfFELJx+mAZCxxfEwzQ82/6s7V0nPsBRL/AiokMaSNdeiIkxZjEDbukL
QIrTkKzRSPGUG+FZoPET4QAMf1pwVNsR21W1DLHJ6ztVPTkhjoCtRkQMCGdzJT4WkPcWgU5M6p3P
YSHBRzPh/07NKQl/VGKe6D9yujVCaaGJzgBs7P7HS0GYjY8BuB8toD6QNsNF4RkfTveuHAx95qCa
cYgXPMiktSJpkT7iTLwl84m3mmlzASyHlGER5EtB3bd4upBQRdJfwnQANju3nJ98Wee0pOmkMx8K
WRKzC4pSlQNDxOKtxuAzh2ZF2b7wCUnr44dmv4BIQuUtfB/HVS+t/PwRkYYefffE/zjaGnfiEpMc
CaS/qDTqVbHOkYoZL7ArdGG1w2waHOgfmRh3yDWrqwNCVF6YgfANHUkUN7gpH/l/ZGr0JRPZJnLe
veIzmn6i6Zf3b+HUOx/oU23XQL1zhTt5VWADYwTARypC25O1wDx5hZIP2Th0WMvZiuHrYkJ6XcpG
5wHTNZVHLBgULoBapOZGTe5lxZGZo3tOTmG7yY19SQCL4x0n7cKPpxwsJPJoDkLnIsOoK72zF8xv
AUEDEmGWOxVmggstEDhQ+dRhqozo07G/+o6xGfMMtcjUitElRVZjd0CK2RnvWcNVLT9Ji5pFyloL
A3F3KarbVwdCBJAq7jIX+by+ocfZhWZvDpZWnWvlweMCsx9pWyHiN5zjWSnOhXySkw9IJMTnEke2
Fe964PtK+htlph8JayQXi4LOuLTvlrQh2xNHNGbjXa/ZKKM7BMbfurHt48uQ0/S10DWEzxit6JlP
DglzszdviHVIruIIGKO3zjvU5supNoaDGXKhK0sCbMDE+d2y6lzebf0HgCPm6Gl5ilC3oCilJW/L
qiAcaC4Ut/POv+6GpAR26Hjz5FCqGhk4mxi/Qc5jBCBATreUgFVOpPUaqWttWPTzFaLj9E/Pz+qf
x1Hr7JBKjuEFBG+mKexJziUOf+tkp4U0BrowLH7+TBH4TwMHesl0DOKLNJV+AcpMW+ubMlksjtia
cfbqxokkn8CN3AkPfYP0DXE6IpMFFEOkQnKr3cqvAC3la8bQpw0ozfoVgZAKGByfqM9uf5W6J8IK
bsI72siFpn04LfeCyjU5q+n0CfmCU9BiGsKZMMZ4D+G0aH9kpIECxhi/Lb6mltpLQsILxtmYjxxs
f4EnPV4xA7mN/tsAAwjMk+sDB3oNIU6YKCwmCvRAXdveo+o+newnBpc3wEepc6M+DfQEgoVivplf
bMb+r9XJR0cFQMZLfCGeK2CiYLDoUDNMqINx9eiE4ssNWKRf0VC2CYm3tC+x+qXYZzPFV0ycvl2B
AHs0joSg18rRl9+c6q+1Z+16XPfDnnCdWHb76dAtOtiLqyy+Wma6jkADOVvLGJAzOhjwky8A9gPF
NVxV+wt/INUEdaPT58uwmNxGbBk+sIK9srtl0rwJn4ufovD3wQcOAz81yNAkIYQ7Uv6EmWPTWbuk
3JXRNfJfooAsNJcaEWN81p6/b3rEKcES/Buby5LBn+kjIoaRk4qiS/OfLcTjYIIAA76/ZbDNyKa4
BvjM0Y4cnE2/RqiX0JnIp+edY551+RD1byyBlKBLJgEcoIJgLvnIppFsLOrLeZviNaiFphBLzlUo
tU+Q9blZrpslHcmEk0ArYUyOWYeIGm4QO/gVJxiNN8EFYTwVjwnsqPEecyME8m4Yz0LiGHHHBY20
iNM/aPig2ZJ7T+IFuGqebVQEzi0JLuy6oYPFhkjMDCk6aprK2snWuh5WQ5QJfTKhas20qW3X9D9H
JBWhdOBKSdI3NbwCwCOLZ7tE4ZEy78zC8mY3CAjJWK41vvs1C3YyvNLwVEjXNnjvkmPEu1FPexCO
et2vRQsP906eLFB6deVBnaNpz9xM+7VZZfLms+nhI6tdQh4RU3y9NmkyNOuD1fLLlStP2nF2Q5Hz
bCauI69ehB7PJEB5nklw9lngbwJC9yld6589cFffIdfwTyLLQjOpUyYWbhuTl0eQJp3tC0t9p44U
uzl2ebIHci7qYvbWjBTpvfSV4yKUEqIVsvkBOtFYAZFHym40tl2FftFMlwZ/PXZaeGWw0UvFlj2V
PubLtd9vgT8s6YjXGJCLR46kiqgmShw5VbOvnniwCDqsGtTEq1g71i2RWBxc7vTkLhLDjwk6nSNS
lKsAUuCXwQuXcv4WbfivqkXwQx/q3PBgXBGQYalxkP40i9QQJscfYWIi8j89jN05bN+S7pvMQMwD
PhAi7xm6ylr2ZlLzETWPYdL4xA9es2WOry7kZfdcdj1sCmNDAfkfz/4CDTUex6Kruj7o7cAO5qdv
PucNgxsSd1IqHtEC7gFpZHfOTHyr0joUvX6rkZ0oujE0knMa4V+06aVfgjKIDbjvzpp1xhAoSl4C
Vzd+m2SbgK0obBRir06xQEGmETXijRC4yFoy7xkonBDTNuCMw1vUfJTYcDV3wCDP3cuvEQBP0krY
LQeVX46FKyei/hwUy2lY+oLlnvEGLgc62AX7od+o9xAajy75LkvRd3vkMe8VptlumA31MHeaDx99
jEyA7I9srNmdxopNrV+0zpoxYagfOCc5nnkBEJGRX7cIpXlQwJPzNWKjLNrSTew9fyLaIYVASoAs
+9NuDo4uZEzeYtTObDgyDCKeK2YNAQr6wd7hIRCjIamOi6rikiB+hJJZkmau5AiSQHJM29vw0SQu
v74eXRka1HrD+1zm7xLLZVd9ldFe8FM2wgIS9GcMBmmw4/kSu7XaHmPTAizi46Ly8ItuEyHBkkau
j+Iy6LT0esFcQhDenu3+D4uChEgjGt0gdh++5Qo/5VR/qOQIEUTaMt/b6L0Zmmrzr9OyWWIRecAu
JFwADLu0QFbZVbU5gIgQrsN3IeD6NMN0Tq526pyCeGun7wNTd11EaBvwAiZvAnXIIIv5JIwIM6q/
0Eoi8foWDvFb5nHg4ipvgMc4+ZPwjXqdWU91YkiVBt3xXYjbSnmvuL3qjDXEv+gGYU4kVfmYy8XI
KSgwJJB6sY2wBasdsMo1Kh+q+pDKvWLvJjSXmrpgrEqTj4yJe+LpT41rAQmUZ+/wzaa5lh0GZ3mR
cDsxiCIyKD5g+I1Nu1bade7sgMUyJFJgqd2PVgIdGBQJwY1NCkiKGLOD4hgWrACKjhm4whrLWt4+
zUVbp3ObZ6aM2yUlILPJfE/tz2L4yCDOZnARNfjxSA2rhSYElljjO+H0TA+miRepP4hTniNPmIVp
KCbkdA+/xQxDTBK9PuoqGjhTtpw5tf6LaVN4ZgZVX1SXcPhtkUnyuhJ5FBY3zui5Vlt42Rzmqis2
DYx/6fQn3hJUpLH9a9g91z+XFQ+3TeoPeumKib3HZT6P+11Q7ZgTxgaZUgd4B54lwl5Hkau39BYS
sxvAeKJcxJYe65x3hFuFoPE+IoJijJe+iEVGzYH/Y84/FgiJ+FK7Jz8iE6P3xa0MTzM2288a76E7
IDoBVvFaAJR1ZO4oJuVZRIDKXoLLSXMg/6oLb3J4NhCBKxvm5R7jIOoo4uXNfR7C+VzFnBOB6NyF
0FN/G8jOq7O1rW919ldU/Ig6Cdij4h523AU8KhF5MqwMvtvmZ8LkG6qIw+/QwdnHQVMe0aHIWI8Q
ame5O9k7aM2+2waY3IS4SKLlZy2WMmYvEATMiKzGuywiIfYE9A/LlblQBa28UNrFe/3KCSTRkJOr
88B5SRXGCWIZZFSOxoAYcgh4LqgLkHn8z5F1b0mYC38C5cuzSU9fRauaoHrY/oVANNTw2A4vyQel
ZQZB1tzDi79zlApZMk8q1khxxEnW8mnSMdDwj0RoXfikBnxugroFxs00T/qbjDtA0XYpIVIRaUBF
cQ14NqMDTu5SwsayaaqdU5qESbXLdHRtfVFGZzPcgSeSnTzrV9YceImfC/b1NmS3iN9aDeQ5jVy9
lS70SASXbkL/aAKYzT8ZHg3kG9aqte4RITrABCYIJPkOjB+k4jQr1bxK6d9ksHmnS1JeCKWYaRzd
Q+5CeYr4gvCfN3nCu7rvx40zaYieiBm5tDBuLBeg2Muu3UaifoFi2/JsS2fZfHkQ/84JUoDCFGfY
9hxnIxXp0r1Jj6YMJz/tON98A7GbLMyMEZv3Py7CWljWp0Ovlt+DcxNDU7hefdS5WVnaRKrhQimO
UgRMoaTLVCeoCCgPCzPKEB6NR+VI66SnKGjaR4i4Qy44ot2CGXuyH1ybGms0TQaqutfzE6sWsXZc
pCoa3pOMOijbEEwgHjEdbh+qsug4YI12XlnLCJzGC1Z01pID0ZHA7JpLAFfjezS8VUE6RwQWEhGv
lkBMpFdZAL2cv311k4H4KDqcrsR8+RIzTPzD4y4XJ985xd6jDr7yrqaYbXXUO7wCAFTGOQNliQvK
EPhZ2on/Dd81Zjd1Z6BGrekAqNlZSxTgbPfY+0ptb/Cl4aYtXLxEo4tsux2+xMHaUOsQlKdMwvVB
Z0XGiJgjXaPdZY/n1iRVoCh/Yu1ZYj9+mv1baaHbJnRDm949KDMj+9EsuGkaYY9qo8ys8UMsqoVl
rCr14shb8A3LjTfwHc1cXxXUTDKXGsNmGN5FbFsSsyMiKae/PVoieuKFe/bZ08NjmZqsbgp/rZas
ApISJGZdWm/7ZUaYt+nPS2a3rPlQLYtgMX5Fj8N31csLXIEDUxC7/WCmyEoI9m62GYsJlR/8odzd
Dx43+CUR56X174byIpyHt85jyUSLghStvYJcz1jyOCAMUrz4VWomjAZ81eJVsAmpGT7+IaLpLZIo
4/pKiQAfD6a11cZ3VKalvcHpb1g3P01now/sJ3bC9NMPvzWB7PrPAAlkWzt48qG/01PaXtpiVtMn
kJNgIf5ofC5YDvT6Ho+ox5gFx4awlhD1ysvRbxaLk2ndhc7XSU+6/E53+2C5ZUlyKTHDNMp2B2ro
JMWFNwrN74QzbQx1+OUHQbpoWdKN1jF6l2/mD4Z6nbT+OqQhiN269yncRh9NgdlcYEkgKBLjmiK/
eA/FTAaAge6D+4lgMGrHCkyoqgUNg7Zrij4K9Y90Ea/a13XNlbaess8UwsnQOv4bYAygQyTtlNVc
wcgYFlvhI9109AbmdO98qEgNQop9ow+vvIwjKl7Gq5Y5WXY7BziFTjb8N28h+2LZkzQ8g/hsF0SH
wt5MHAl6cCxNvvribcw/C1rfInSIalOclO7ZC35kLU5HBX4n6JHDWn/AKLgpUYOEs/orxtfvERfr
Jc1yVCkmwI3UcbLuuh49P7PW8c3ykoWG0IN/ixsFMeyFPvpKnhdgMZa/ln68kgmGXjJvARwzuHm1
ySRjVvrfWeQwEyOSQtDfruuFAzB6EDSYQ05CU5xz/VcZaFSjU0zv3IAd3ZtgHct7bLvqWe8ujX7K
qaz+zgmjajfCx6SS7e28AdrN6vzEW26pF7PqiMwDQ7mZxXaQ0H0tmnqbtp8lcW1pmvM9ER6ObpJS
uVyYyZeykMTujPaB4UN4mLdvcOvCw6/jaR5mSAChkn39A2aCuF1HmK+2kK46338xfJcogj3pW8nW
AgAG/A/i27jSXJ8J606Nl6Cvo+A37M+Js+vcPsLfaZYYbNiEZp21BB+q4/XAKRtRZ9u6oXJRHepc
j6w8GvIWBMxELKD60Hl8Q9vj0gbpQuqIYB4qiIxqm4xADl1vEnFgTNzhSSXYi/bMGJ0HvihkNPFH
NyN+5AtIz6PQflzh5yET6KyZLK7Vb6a98gZ8V6YwVwqXIQ4/BG1ERDCcMXDwvbc4zyoRHV7cJLYO
Wd5pqoJjf8Ia+5Qb0v130hcoPCEyYX3182/aKfmr+AjnFq40Mj9B1ZojLBF/5rNIfxDAITGgdUki
S+rko2TgYWL2rW+s4IKA9pqz4E99gJMh3DvJdzHd/4/3Bdiug4h+PJewQin+MrWNT39UwaWgvDMq
R5vRtcYjiKkD+TO5genWyTnTnblm7MmWaycwLkYrN2A7Vepm5XT9wkzIslDP2NsAvVMAMaENEsxR
l/KZn9Ha55LH3Ij+KtzaAvrlZm77mm/vLtl7KTmSdgHrKczOeK/1XancVMSnE1BhVTTLCEEQfcMA
TRHpQTy7rGAt78A/hrBfifooe1EQXCUhRi1wZzalWJDmLNHMQNAGkZCeS9+E5SKIZwOCDU6R6Vk2
0358TC4E8CdkhMQQnf1N6PjAc9SY1BJWDs5jYcCq4bCYgFFTaFyA0SWdXRghNNpvwm9SYrjCu9hC
zok6nSQoPl8xV4K1ULu2kMoF4+oyz3cCl6alEngp8b7Ukhf+d5jeSMeFFSJJI+EHKdOXUj4U9rqa
AoFJWMK4uBOitmBcM9yDe5U/2D42JFZr+UeOObPYw+gO+a9RY+R0YU1qb1p56Ucs42Vk6YOls3ij
tUlkZ1IWZmItJgyqGwg8RE2qEIbV5Ny8Jgsr8hWVi+efABM0M3hjCecs55QgkWuw5LmqM4vRtBPD
6fjOZ5F/hwyR9a4xD6lLgFe2oR5v1VkE8bmCiwOKUQBfxa6XshSMhPdkPKFIBZWVcOYYkptqm6k5
4HrHJwy/VhyIz8IDYubLTEQ9E4mwl0ykNqu2JMRgm+D3kI1rgAOItFMEpc68GxwW3WtJagaEKVBa
bW3IocKUv6zHXXvDN2qzhiXWmdj2mdfuQJcMTEg2Z806QrYl/dZ9vQ6KeE7PGLgOinI8Glgd8isH
S6veQ/OVJfZG5QuMIMp5OIEL3bbY6zIwAXXrPAEW6ifVfoZYVRyI5ytndxymM83iPFk/pvnQXYOA
KOYvmzTtrFYXVHotS5XTjroD2eSAeY31GtwptE8al1tMlkGVf8v2Se5dSUHmvYjtV8Uw3LY8Y9qe
9LlVCXbHeLjKKGtd8l6unPYZFTcqKUjCa+YFiZ5TBA9D1s26yA69I6EfBeUknKvkaCTOeePIj+mf
ikvcKLpzgioaPWREHKqCGUdYaonkVHXn44idRmDg/BISkWpXuHGxTuMEkQ9VtNZkiwfsJ2YFlEid
qU7m8KozkuVe8NpShCBb/8s0qm0AIIGnQv/VF0f1MyjWxG0Q3841wC6SE423qqUAIGyPkWfmdbt3
ZAJf4XSGMhwhzmuORieErasvY3Gy40dv/0Tddy9Pa8oBGNaKBJmXdTV8zgGFWKaj3Lps2anHYE59
iI4jAMnKfxdMx/fncTtKCx4IEgaiWhOpmosmUpaeHeAsurQrpj3vjBI80YCsmekhHtTuNyXeJci+
8vBdIgSu+gQiJTnOoL64AE24WLOf0T6SqBYofwYdrs4tkqdFOHwYZJ83B8n5M9qDam5VPAHe09Fu
mvTHgzpl1yhG9LOxcd2eVHWJkVDDH64urN7faAlDACpEynQXBI6E2Umz3n2FNxwVkTxupWW0KiOX
RVJcqGKr4ydHD7aUvNuEcKPu8GSh1zcE3d68ZGklTBKqtIXbV0FqlJjw3pN0wexbKAMU+itV97KF
0IdIjV0x9By/0EIIlGiagOXdIKcL5/m7CiXZBlSDzmwYk4pAhg853Ou9qxENmYY/ioYRXbmaVQth
hgtqvA+wRJM7rEsXcUax5kE0Nz28fhg9BHA2MoyG0J4W67U8IaPVSSlrVgXSYKJ8mwSwI2S4NBuQ
9wcZz/NQOfYyIBQgozOQcHCzuAlyHpUE7xy3JGIaxnLGLbAeZzOuOaPFDqRlK5zRIlizBilhei22
3AlduAakj6e3uiZM8pBplyS9tWQJhHvcN1K5MnjcoXOWjstWLlYjwuyZJOrilrIxU+6Dce5Tz2K0
euuCdVvhoYQDWhBCgVx9IH+Tpa6OHoS7DPnfACpisWcIp0qjgvalC5v+HIX3z0Drp23qXTquK/rY
iP1pbM5ueBOv+Urr7868BnN/PUw/QUCHCu6DeOkYnykq2ur+L+duhz6wFRcQY6ftegmzxw4RA8UP
AJG/AbuaTddle6xZqmx9HRevYLgqU86bty15+KJur/ivKTjYL93ZyFOwN9Vq6YxUYr3VZNwKghom
mYNWxCXKNWpK8yg5CGtFkhsfci+Cn4SAE06LBinGSJI5/c+U9rIqZb5pTaZzvh0q9CIIimAFW2tQ
pwmWHTNaELVHqgDuf7ww3XjuUPHnMGJFtQYxMtSVDr+TthWd2TnFiiCf9fpBLmi75CsryrOBQYu0
dGvfoj9X+URTlni5u8vEIoQo/MbmgN513rGOemexvZCOLOTNducKtqWiFLIyeA65/yulACbqZzEi
/BqlrgMnG0u8mMQ9AQdOKz4qsgj0eqNTUZj/VDqxGRLCK66viUdCs3gvA52WdGn9DcINzLwkAvK/
mBzd+hI6uoYCDvQk4NBxc4sZlnxDm7HlE7E6rzUMwj4mInJB2gEBBmsIZQlN966hGBouGoHhPsUe
/fCsiO8vcARvtGdO8Fh0M1RwuPGsFheFHbxgVIg/JiID0fgyd6Lhrp4TPTvMOeDUGme6E631ajk0
Z10QEWJAtN/P/GUaiYq7DhJXfXd4yXDMKWtBHMRcYMQ/2saTQkj45h18HnvVobSpm1+U5IUK5MLT
2WpZ6rTxnug7yAeZZou7X7z/O3zkEbXn3udJckTCA+sz3xTxgom+UiNAUAIW+413rXDkrzJ5h+q2
lS9ZuxmtldeQLbkuPf64BXkAoExasvWs2DWKY8EuMmgy6ucV8OtEXla27/g8A7yA2ENYupWF/J2Q
KkiGFwnfByHZUERAfWCg5fPuTnK0hsNW7lcE74q4F8SZKDSCgp7IN58JxrtUIzWr6xQpSrmeHuAz
9CcNC9B3ziMWuSg4tbx6dfxl9d9htOgwbtXADvcqOMjmtS7esxK9lCtCDvsV01oL91TWPVF8RJKV
bm6vyKsqC0TnK887AIb08YcmvNYhTDPmW03mkPszhuvUE7chQep9aZAfCsbQTWxtBKe9IgI1GRa1
WjEyAF4Hh7G+25g1yFKn8dTjMSGYISFFYuvzIOqHmmtwSU5n8Ak4lEAEUMGBZQiZPoeeDp0rIm6K
LSaZsLnXynHUnxZpFXj7UIfGnuvzwnZAeZu82E7DNguf+pisTf0jVx88naqCvQolp9hgJ6RCJXe7
hSuFlJphWhN7S1zJCe6J21SsXBNemH5Oa8hsVL8qBV/Xqi0uDq3NoXoblE8VrUnNux22i8kM5479
PjIIxpQmrT1v2wQHTX9X/Avxr7K3LfRDYm6j5GCGT8e6I2Bryah4n5QNYuQguMXg+Ip19nkDtC2P
deHcAmAVH1DU+IYrGquD1OwNRmfyJGRvg5m5nOjQGpVV5iM90kcgUVSX0sumOnXAnbgC6NLJPKoo
u13oLEQJchldew7SeZo2kv5SEcMkIFeyBEqbvA/5s2DbyneEpsWtmC+6wF9CP8+rx4BcWO5/+ECl
lhaJXYYcSSa8vqILwg5JAsvvgfxHXzcRjrW57YK1Vy5zfU5S9ZZYyAR1X46C05TPHiG3zUYIvzzz
FPbHCaGJ4Wb556gsR/ue60ziCy5ZGC672drKXr4RhKnW71p4V/PHRBQXBIvkhvoyIXsYveySv4Bh
t/UJKX8Hh5oSCvxaz835rlOQ5BF5vtN9eQFvwnJKKOh4t4klMBdyuupNTAn8nGWHt48oBxCuqL8G
1XnAO4VSs0NJwxpJ2LA57gdKqysiRwBWpRYjPYar6Ey8gd8OeGmXjvVSEkauQxDj2MIjkZOhYWNd
9D919S/iZ+0x4MnWF1ALFTkr8c4XFhl+5wSFEmDj0tY2qfygKHJszgQ/18YBGGsyz3QogsDipSLr
/p9wO/hLel7miTDYz3z8SVj4zJSqDPmKfBYtTXvIvGa+qKUXQUm4RLL8KpNzkj5b62fiKZCY4FMh
Yewf6BPCkElH2VKUHKtPIamziVZ98FfSw0nGMqQcnAAkPSEsRbckYn3h9SdBW6RaOo/UX9ETEinP
MbijpdZ85LmkABw65VQlwCIHvdlKDZO2wOrynxRzC4O+aa05HASl1YYEdj4cMlH5qJXplTYzp+4p
CoKg4fwOAi4DB2jX3nvNjh4avi29dcVSr96PQUpGAGn//ImxtufNIRLFI6vxJHKuiMRqBNOQlLMa
gCypjXnDtRIZRxCegdAjpX9PI2OWiGAM/4/rj5yfIaKbJH0S/elPIR0NRzO5JPJLnwj5Gu7RVuKX
67c5DbaQ2BUl7XvGq6A8j2BZDUtubv44DFe9f/z34AD9NTvFB8jnlafu8p4gRR+834xfqyfCXhDc
jfSEuC/RTNsl0hY2cnDWTp0NSgfQQHjFLV1Vw6HMaJNascVxXLWMVv9gvnbRgnukhOERhEvYzi6G
3YCr94oNpAfdqFNxrnr0/NyEaK/j5APvV5ogxnbp3PF08WWV/l4nAyLE+y3OOx8qiU9PNU+KslbZ
2PBJYzqpyDTg4Dio8q8AggmGq6KXZh8522pCRMn4dT5UrJR1/gok4HdC2ofvRMdoSPBbsK6Aq52d
3r1sfjLlJahJS5ydximw5gZ7tblLmdawP9fbXuW8E47LI4/JFG9glzjYCBFhoqEtFzBnJEqTPhtE
imQMPzG0EfapkOhkc+Q4oNXZVpF3fOD58KQ/DSlQwKf+itDCM90f9P5zGnZKRV3jkgHQlgHiqHuA
6qt6/uz+r+xJM3UBebwS9SIE2TZmYBh2BqHa+2lAp8D4DLQJUOIgMlxbm4BXrrvlya+h3IZuSe6J
8wvyauW/ZX6Kw+tg7sbWbZo9SvsezWCNBkw6DPrdAQalIK6+67wWeHKjP0UGAMyBnernlN28b6Nf
2CFM+94OziAmXbZOmGlaQJOQpqD8mxpbaOqEPQoeSNeRJJIrDbHRkWOFspHYgXQTUTqYBCs1RZO5
jWgvUS7NCFy0mjIX00ErIcEhORDJlPbIEIfXty4+h9H7iHSkjgEcpm5WGcdGQhR0z5A9EOiXQ1De
RNcLMI/UXMtxJ8LaGXoGCoq2sH6WtbArWPFT6F89+dmUX7V2DdUfKSQrHaF9sYvZvlb8lUF0lvDr
Vd1y6ta+vi4tXtuYtPiDlxHb8khKFJPYNMGsuw0vJJlhMOBEFhNfO9avgYG+IpSldXFnYI/35434
Qcwu2FbEWNjytSMmh8NoBJ05egWJyBuTrm6+n2HW4JlYiWbfxhvWGcWOQERQkIAwmHfVvUfLg3wI
Q7Sj1JRYa0u9R9Kbw/FP1KyQG24UUL164KXp3ZEyjfpPj4pVBV9ijmt4jhTXYU840Fr17kO+bGU6
d9y4lwjrOVjh74QeritWw8hjMC+KOfMfXqIi2XD6ms6XBzMZPexkRVGLWW6prV813MUhKQLkMCK3
RQxG9UYYfpak3WDc78tD2Lq6yba4x4xqptehTnFpCaneKgtWBdu5xZw8Ppr0u1e5iC2DrUlEQ8H1
M21FVJCDvuYHq7uZONjr6kvSlvYgdJqIXSoyL8zubKooaaJjqfNo2fg9MUbtFcIBYhKX8T5irSZ6
ipfOQwvfIanXN+Rosj7o9Dp0CCSxghDrIljH9CRJER2M+wGGpMUrHHaPhh9/MvBxLsit6h5RTBEq
UGBNRN9kuR0J2qXbDVvCuPxoFVvX1mHyYb5QcJbgAuzIEAsQY2JqMQ7E96aWq5H80HV7SbsX7Vdq
EBj66OutNCZs5y8Iwwh3DPdTckQI22gHA32NdaWGAIKk5+wkeTwNedSYSXYUuejjd1XsbRDmig/L
7YedNh2K4TRK35Jo9f5K7BX4PR30k7zWo0+0OpZMsAk2bjJcT87o5pyPGSYDDQO38yzr27gLs1cP
aAFGLYO+80CZzR+ZkCbBmtWSCxT9BohRQpL8+MZfCvJBEG4oszr2f3b+wk7agoAFX57Dg75NCMjQ
UXqtCpM/iRwNBsvoSH+mBdsR9SdruAzlI++fGW9MXZBsNH5JFimM+O+T8DstliTWWnxnwdZr1pIK
NGN92+bVAFZER87KgHyGetmCRXahBtep/TQIblGUO40HjbXLp52jbfWsnqOTlevFHPEQVTIy4nsB
+RIwb9gngmt4GjIkFxS9NIgkjgVBvT5wXcGCZ+rPXr5N2Td1e2LK6bW1xOUkYgUjbDnw1xW0KL8S
9Hvm38f4YVpf4pUFi43ehI+a+sd5yb4CWQTWblTXytgp6oXir0mcEXhkrHwVhu8tUquUG75l+08C
cNHwXUyhuA5Yfsk481sUF38eazYpF8qx89/S8Tcxo0UfArIMNqV7J4OXOF8OBGolKSHg58Igotiu
buN4pdk1pcAj/uIbIE+bIocenmZgscIVhyqEzFCUm6abELTNf8WLjVwfupachsKmTHfTU2vMQBr7
Xw5SPKZR5O48rixEfCmVSj6M5QF73vjQKXVjeoblSPmdWgPe2RCVEp+1dyGZN6057Tax8yhJ2iJF
Rv2psmcBTWEhp5Xv7I0FIZAw6/mGB7zQ3/jpk3BHCzrvaTmcyJFuMB767ykVYB4pyrDYd8fH+Y5L
4KLhNif8VrAo0Xfd//Ixtv3Zsndh+pAdF1CUadMOr6l65qOypQMAaeAT7HHIHFKtD9gxpVVeXkqw
Xq/ftdIJVG8EfbKrZdZ5K6m+EvHbslvlR45iirHBgRELV7WgWzA7iwfHxxbIGaD9cAyyYfvUpIaL
2iA0tZy1arHr0s8JSBJLkr+eeuIV9qHxVIBTWgiGnnAePHEWNxipaccgJlLgJZnb1M8BQ1hgCPXV
YBoghpb8RmS0Ss2j73aTO0Vb/upkeIjpi1+QDIr/sXdmy5EbWbb9FVk+X6jhABxDW6vMmjEPHIJk
cnqBkZEk5nnGP92n+wn9Y72ckqoyVdXqW+9lprIyiRMiAnA/fs7eayvWCSO9CtD+zrBuasKS+3cx
HX3toXSuJ+/YlEe7PzFEAIqaTDeR8S6TlifwVDe3cXNr6A9lfpMOy4Q+VY6kcckzEoxkRHwI/8HO
7ge2u3CjzVsg83X5WCQ9xy7GWgHwXkwkLTNA86tb3E7uTUnHP85OBj1IdLzWWwj7acZDTVsezv5L
P++SGdHSltMPvp1Cv4urK5XJK0mam+mrUVWhZoayLFAv9/BGt53zVaLj5V1mOU2zvT7eGOKKgJ8g
/mr588Yry7WRxITpXg9I1006aDGVAn+D7wkhig0V3UeDrSjaF/I1zZyFP7hXRjNyMtwL4NjmTlYv
Jgh7z9J2Tkdn3jlVzL5LzHLsfpy80LoQ1ctKwpR3+Oi1W8BdVng9ITPB5ruq6rtySJda6zL47na0
We3+G/A+xFdJv+7ojbfAvzYJwCWtbpEwfRvLb6UJF2LdmocUB900YcX6sBAC5ME7qnzNx3r/0pfP
XUsfmJdOS/aawl0y1UIpl2y88EmHz2fQHaaYXM35uo6PLcQtl0cbzKhjc7A+BZxKpwUDihFOsrXT
BYeLhG6sf4KpaSZX2ACa+pg6b5YkKgUdY3qcy91gX1W0onXjKQEfAnsPYqe5SuVb3jDForuIGMqD
cUs5nzyP6YNwoKjjdbOo8iey7xibiJiWLDJ6cRsOz4Ox9UbOQl+T18JFpNWy6oTAopqz7ChatNcZ
07GFpsRRQKDhQC4xYia3RryzjrhkWbPP1wh/zg3c1Rjz0JEFqCxR/aG5ZJFp5qugOhVAkjTJkUh7
yZIXlGYcVEo6Fkj26MJ4JA8wm8Nghyqhilc68yO9Slm69gOpXsO2NddTty+H10r1blq0eN0tkEPT
62kyH9n7fBrXKfVbZ776tMFm+jaLdmAAzzEqTB4mPBn+wc22dbclXYVNkU2V/SvMEWiYKDwMbkPx
KCcKxeS2gzjDvsVoOdCvlEkxRyrCrJaHzKDFTiT6WgG62TfV+hqg2Vc6+0zuQpIpKCDMPWfk28F+
UK4IfQsrDM4N81BeWTCe7HFfVo8FhYnWI/IZ35S0Jm7WhCnS/Wdr8NG1DzTxbQTifaiMvo+awmRo
59j/cGhnFeiPLov+acYkpdFN7ViO/PHOMh4c567Q6Wbw3gk6MiyAJI9WCOUYKVlXZBUrTIDPn3W8
FnEOImRFSSIUIH1qNHLhdnH2mM2PDKuv5mwbyJKj6HNrnaipUE037L3zvLZY7UPoFbR/Qo+g0Ne5
vo7sPTeTEpuLABe3zbZL6pmrkTmO/LQmX5yb1mwVSKOi5fYxBC91ROsWgX5GX9lbewQAkOn0Fc1a
PD2N456Dm2tda8NpmL7V1asXvfucQSqb7AJnn5fYO+4Kvk5+SO8BeNb55BCuql3MJqBi00aHoL3S
xSttMNUTI3r6QuwK9XXfXHpWQMxZgsjtUasFsh/OmiGQDo1mETMRJlbx05ef/u0v//Fv5/Hfg/fi
pkinoMibv/wH/34uyomLD9s//OtfNu/F1Wv23nz+1F+/68ef+cvy7j/vf/oo6p8u79b3f/xO9ef+
+oP8+t/+/PK1ff3hX1Z5G7XTqXuvp9v3pkvbzz/Charv/P/94k/vn7/lfirff/lyLrq8Vb8tiIr8
y29f2n375YuQ7uc78esboX7/b19UL/WXL5f/9f/y13Pxdz/x/tq0v3xxfrakMF0PuIV0heG5/K7h
/bev6Ja0POm5tme6luN8+Skv6jb85Ytl/uzYpik93fZcwzKE9+Wnpuh+/xIiDcMzHCQBOj/45fdX
/sNH9LeP7Ke8I3sev3/zyxdDGl9+Kn/9KNVLcwzdNaRp8d9Nw9Mt4XER5fn1NsoDvl38HxL6pjgu
JwJVDDxFaI20GLVb6y9re1z2d+kd6vlFXjIt3WTDqkmZQOIdIncXhpaDo+bR0D+MYGFUyKf5ru7U
l6+ByjF9YqxkNTR8T8LeoT7WASGQ+VNxynZp1GzkOccYz+g/3qVnbzzEEk4sj+U2mfDF3Q0xQQD4
tKJwq8MHYEU3BIE9Xx1nH2PgQwduzuwx69a9KipvrburDm3yfMwI3FDGpIYUg72V7uEIVuD72ZKT
+ZJSN+Enq9UB6WIVv0e4AwnetlGaU4tG7iJ70aiN4/vAfE6HtXzKtX10Qqk9AyKaLuQjzyIlOb4R
+L6FopLwTJrE9sSc7WlPbdJnVx40sRxei010zDdEQt8NrHFku2CCQxlY77QtOcDWS6dydy7CNfQ9
TPChcussOMEWm9t+S7oYlCTYbkf7w0c+y4E/vwIMTocPqSNUE/w7WGEtBO3eXW0usCMpRtEuaNac
UA/6FveQCymIwIBNeTTRTzMdjplzw4fDKRitLc6/2m70LnuuB10ZQUNvdnpljM+y3RPn5XN6bulh
3FvyUKDj9td2RgjREn2F9abONGSAgq6+wGPCyF7gBe5wMi8niox8yeCAdqUj6JEimbzoXtlIWJ5k
chS0meYrdDZg6empjtOaAxztqYl23951GNFyPEEQSerXQt6V36yPSV6IM56fq/SmCMtjb1Eqk0pi
WMG72zQ55MQMqkdfrOPGkssSVSybaEiQxxx/eGUzsM9mh38tc5NaCwzxp8vc3WvOwnfszv/1f1+/
X+s+f+zXtU6z9Z9dh6XJtcXnimbbvy92mi1+1h1P93QhXItFRzf/utoJ62chdMv1wPAajnSdv612
goVQd3XhGdKWnnBYnv6J1U6IHxY7KbFguK5hcA2WZdpCXcP3i91gtLYzxE26nAe51BO66fFT0d9q
T2ixHAynWM1qEazaWb/4bkf4bd39fp3ldX+3yv79H7Z+/MP+KI2c3ZQ/7F1b8WOMcDjQvtq9u/hf
/o7x43r++Zc8z3PUK/Skwz8//qV4lJGw1UvskLlzZLjVyHRE6f5Qusa+NWZq6YjkNe2u5NCFteDW
tTF8CfoNKWgCmR9L0e40jWPmoE80z9MPTIG8K2ii4IUR3opC1LsnV5dOKEddsj0aC8/gTFNJ3+Qg
v+0a0kxCo6ANNrmWHg2CRxqfcUo9L/tBe6j68CmnW2iSbGX3Lz2JZ9g384p8HiN4LIFgcVp6rp1o
byPwkD2eug5WfdOjS86OWmxcDm127Lts6Q2YVogBKshWSbzuMBraMTHMvVHIbexZYJaz4+BP4GGQ
GHThKh+8Wxr2xympoXu0h9i09l2RnkwJlTIlsEDhc8yGmVHVwSGbl4H0j7EzL9sKncEQ3DUeGIAa
dQGi8DSnHY87fp6St3egYjOrMz4Pdxu7yB3t+KST7ss9f5vIaalxPCM8dosSmLg45/SERpvOYdLo
yy5JtgO8sLDp17FNojVqCithuqRBZVxpKSNSIBktZ/2qJEHNde+7oEN7DfTAJhCoXFtZtuqxXKUg
0qoRz8RlK6y1Q3Eb2UTf2NCu6AknRkDCS7LdWDivrB6H25AQV3E3MdEl8QVjZXXtgbvpCzadCF/K
4N0PhLEg5eXTRSI73VWtOmMCq0fCOvv2Icb10iavjZF8JGb4rMFcSwiUtepXg9DGgo8+cGgsRHjO
ycnNOW7kUjtGgdwnvHe2tfFU8zzg6KzFJwvol3qnCqW7Y+ceSkh788KssB66clHo3WGCQZc5kB0N
Ju96ceNb3tFwx2VInyJVUcB+v5ZoRBDi2qehpA4IhtVA58AzDmOKbNlEBxLQqOf+H7tDypxaR9Eg
s/FKL4a1FTvbVAtWc8WxGxjGkOIaCbMT/7/sXdzl9NR7J13rDJVLtDnABIOSSUIKVMcmvmK6Uj9p
+ZIyZ9pMVX8oTHBi2byUhbnPIJnMDk8WJs5UKBAKNCc9IV6luAh5MkTbQC6fl3FVvw7gI5uMfO9k
XBkBOPPWAvOvbcHGd364EqJfmXZ4kt6Mn46PhwMgDL5tn1BPQEkchh7Cg7V12/t2Hp8cjrD2FD1j
YDyaiAezLiN+Sl60HWnlfKQTptvO40irI68K7/seBabOw6dlPHTBRjoIfkR0q3VyOySSZrQGZ0qS
0+Dc1ZZ2dNhk/WEicRb7DE6hUtzoq8btD+rJkxWeV8mNABfZc0/qT+WcahrhHZMAoxIhDaMFcI60
FHNOt5iVjw6Jja168Ua5MeEkIagwc5R01IYIz1ZxROOrMc+fn63rrdY0W9ZGOW7qUF/qKVrWoluU
Y7BPoTJVcb0rgoRsqnSriX6ZluayD4YrnOub0ZawdeR2Et1Oi5rrVid6ljz2qlPRm/omBsuV0go1
h4YUYyanMYNpqEV5zeHP/ToY0drFOgU+n8lT2F+35rRMC5bXwj/6vG9FEu+jYHimwVkGwbqyOCUK
02R5kAi1TpzHAFPENBh5smvf+do02mNbYHX2CX1HFaiWz7ItXhsnv44M5zKvzUvLc745erCvyuC2
zJyvSdburAxjnuY/srFe5Mh8wwjmEg0mN8BsfFCAE8hZR7MjsQJ3R2tTbVbPMmbpqJGTJukhyXjk
OoFXh/+vg3sio28lS745uPQXPcbovh9+uGF8CozwI4RS1gpSSPs3DghY7lEXppm1r5Jw1bCq6zlg
seYqZAmJqJsRtPBMcvuX9WvrV9eR0y5SJOIyKFdwttEVeUfdb65LhDFDT5uqMvY5j0oiukPY0qto
Yu8+Ts11Ir5ZhfZod+NVFmjHkJV5tgkT6nh33HRfCl5NX3l3bdzsRJwd05Q7MOwOAkOrHiVHPRne
WoeaOUTtQz+eNwOiNGTQQT9W62zUtsHgXZQI691aO9mBtRfAcCTJ3kR5rFLHuPRaa+sQ7lOi5tDy
CejhsI6uqzA6BS4vSkuYfHVX3ZBDMXt3TG9rheFzDnm4pu62U50eVXnXe6gOZ96HMqYrrZ00z71r
JPQqV4EM41PMutbFiF3b6Y0cOpXBgqRM06arBJ9QUSNvqN/J6L6zc25dPpMufalq67IKrlzL2MwQ
hENkN72HuwZs6Kyi7gEF+COZHd6mT1G/9uldKdylkO1b4MUvekJGuw63vSpHdrPK2ifNeJXS5mAT
P4xNCtdh3kwO0UIsU9Hgr7wbryleo9RirpfcjEx/Ep85EJ80Y9RV0btfpYOaNwpXbkuaq/9uz/Y3
KoBvnox24UgaWq4AY/gioKR0ZPLVACPSV71Llk4B56lvd5Up9wiGt6o2qXxrX9TOLdPtzGc8pFT1
5v2IQ7oP6mXrIj1AAtCRzWlpgNgK0kWocrw02scWq5vSwtKmTed+PdAN0qC0D3P0EoJjrIm29Yvy
tSOcG38DDr3EpeXZX9EJWVvXQdzgNnJveyiXUUTr+qw+h1ALro2Jm/XVZwDQhx7F8r+6KKqLYlNt
8078T12U17T94Vzx+f2/nis4IEjHdk3PshzdgOVD+fxrD0UdHVzTorB3OSPQZ/lbD8W0f+aYYeqe
Y9DZ0E2Pw8BvPRRT/uzqtsGBQnLgMBHB/jOnCvoyP1T3/H7dI+XTttBdOFJHZ/1jza0PQcZcn7lK
WDBvq/oFIM2S9kljDys5V1cWnurRPceusSsT/E/hYxqeDZWTByGu9FY6yCK9w9tCMSHglgzM6Cr6
JbX+kBbJYXbDXdHjI96PPpJsQplwb5xmg6io7rUcDrgr8u7VyT70du/f5NqNnHCz79P7AHs/9YjO
lWFPgMWZkfaq38bZ9exfTwUaKaWzWMemAX0Ml/0BboY9VVwTPRobpfXXEVwJ1i/2KgfIkjeubQxS
U69dxJm5qCMgDdSHdgQ0DTOWgeIKlY4ZY2ZfpBkdElokoOFKNA8jj5hbseXHyXLg4K/enlBj1IPn
e2LSP/UAZJJmn2fJBichHnaAJ8G2liYZItk60jAQZk9u8raodDzPvM82xrPCZw+jE5vgwUPPu6gn
cHQl2M/PgT8C0HjpG4KM73jpOnimwPPpw52bxkvJdY/+sB4MsMdFuMtSvPIMRPoo2QgY7BnxQwHV
i8mAuvFxAcLIsZgG+/MuJ8Ojhw1R4ofvQryyrPFJgBu0rxZJdO6qY0DvuGs37L02DkkBbHaApmQu
JNrmDp1lN+GOxYtpcp4YA1KbEWiq69TkA+lFeKBPQ/wok0VZwe5kHA/n2P3aTQ8Gxv+rIHopdNx+
rw72Hwv+fQRR2HQM9PgPdTkuDY32HWkCxoMEwl6IB64pNwFwFCYC+wd1lREnw0mrILWrRLyzZpHs
zeDYL8Z1JQA28nMzVg8SOTDGi002YqGOX7irakQ6UJWXES5uJlhQXsALezc1ejlrhJnZwsXkg6qQ
DfSo5ek1k+Elbf2ibwIwEue+alC6oV5Q7TftLcNMiaYa5OdCi5lKRhafHsPbmdgQhCZcVsrH0nRw
WBJASjZgYer80cMl5LHsx+j1nGFZZlurwLlRvxTNQ9OeBdx0RXivmQvV3F5DYMK80hFPURHp4xJk
wkWuA/EusP6Et2DEtUKna/U8ttgAYm1dNu6FoT/j0RSqcz5z83DnYvgFBoMosOGuDRCdYdpsGTwE
9kMZGwvdI1mbT6KD4JLH6VIvz6RhVJgBFF49cUEsPSScoJ0yWNXcA2mmXThkt0PYZ3a66c1xWTEl
dEtzgdBy2fa8SCYjEw49g+lJQllXSyg1YuSMNC7VezZwr6h/jxBE5+a55GLteSIUiZIG1cBIeHtK
7p/R8IhNrCgjXx/QyKp7xbmxEQ50GuNSEGQEFgcRw5rLMD5/t4j/g8aHozob3/eXP9dGqRuGYTq6
pTtq7fyuv2w6ruGFbYSyIP1oino5X3sllXVqAtHglvPTDXd9pnKXIZIWlXtoU4NHTSPaARkCKJV5
XE984r0udhwz4mXuspiU654koY6JfNkSl47CUDbozrERukDiGUjR0G5rdftXnJVBHeUCwORZPWTj
+PkMNMVJR6aLRsjDTTAxLbSQ12fhOeUBcvUHC0mTQcACn3wFZMjoHvypIcYBgp1+tijc1z5/DSZi
RRTMUJ/r6tSMTPjis++irea9jiYSCxiGgpFowtsMV48cN3/+7op/uPN89+6qvtN3727nTFmCCE7l
pH5NkEoncDJMzMo8o05MKAxDtbb6MC34C1eTxtZjcXKtj5Ko+T+/ErbMv/+cLdOwXelYhsWG++OV
5L2muUOT8DnDe4HFKY4md/tE4AsQE0Xzo+zmXL3HYkngOGfDqrlpYLajPKLzXxRYKTc2Ztxu0+gH
LV+mKMLLU1Lghrmoq3MpD5XGQY1/UB1vErSFur0tdTR53fWfvxS1W//hjvV0Q+d+Va/GNdQr/e49
NWPT1XUXRkVmrWvvTZ2RO50GkENKcP2/9OvobP6Dv2XajsmUh+nLHz6/WqReGCqg9WCB2Gdwt0yZ
2HcbiVDpjU7Un78yz/yxD0mlQs+ToRK1km4zlzL+0IccXH3UDB/zqlpv5tjYOT6PFfijpEShD+G3
ECRsjWdDq57w83vsGYPmYQB+GAZ88EGwKnC3Mlu/EjTmpkQRb8KDIbpLtcrjvUS5ljwEMYMerXwL
rEc923pR+DU2403OQz5E7TdJHJgf3tdRu5uhAYjGIKqlXgQZenauIk3jm8YdcFRWWys/O6NcmtO6
pqvmMxHC56u/VrM6p+M7ZkyCrIDNVZURmoOCJkakSD55c+AfttdLdSQZJlwpGLKxLYxUBBajXpoi
tAWRYnbBGnmU2d/6sH8b7TmzBBnt2rblmQfEHM8kf6dbllA4ONyp/kgLisQSChkM2mrnjbhstT0Y
DntZz0vxVbKMdqFebTDcGwkArwe9Y6MFaZFYTI3ZT1jyVNWg8zOaejhqvPMSdSALfe3Xe2LAYjWo
goJow8V/7Bml2YhQ2gG1dLgx2PwsxIQtgnxL+7YBGthUNy0AMxSWMeO73KHNyCYRUPdA+q/hW0y4
3Tto46rz483vVnKjlShNUBoaLSUMhmyRvKjXpTaUrHicIRk6FQHEFxUNCx1ueQdxehTPrk0+J9dc
sedNyIlVwdZXcDKvu4kJX+isLBzerbtPAgrggl8WAzOQ2sK50HJsbGyTHQyEipxFM8oeZVUTBjBc
Fjg90cjpJkfExsXxogHTACxEjE8eoAN/MXt8e4XyAwqKknBVBBSL+L78hrgT/INAigQ2q2haF0MK
S5MeWYA/3IEI2G1moricYB2wrfRsmpbBb0ey7drRpgCCke3ZLiP78nNfXrkK2k9fM6ShQgHr2w8C
73BZvHe8Cp9q0wai1BRbtV2bA2M/yqMySSC11EQCaUu1I8nsjPRGn9OHGeW1IEZhIkLJRzlSnqoY
RCaFkMFIzoqD+yQ3KRUPvRsv44CI8DK4T4VBN5QbQmOeRdJ7c9uL8Vgm4bKX/WUbUBtAE+ub8+C+
GVTXAi1wI4+Oe5xc8P+Ute6bydwxF6iYOdbyF4D8SG78gosb+72XrYuGPr2Dap5qFnUlfbIlAoDl
4PDDzV6tA/0AGw9is0ZnoYvbrU3OsDk9qlKE6sajM6eeyqghvIRApJItD9EVd8BFWWw1k60Z6hoY
HbbD0qDWCA0OBAb9iRsCPhZqvXBorVAWFcRBqt2qk4IEH9zh3rYeqm2W1QuzDT7r25rbZVJV9Xif
tW/qEOFU5ucZo66GlWOcE9ww6iryGAFIT9KWtqJrtzKzU9ecVRE1WDsU3y5/xqIKD71wSZDPRUin
ItT6FVmtCTQ5VRTbNsBJuJlthtb23h6JUSNQOCzPefNYJuXWGECM4ZHEFhR74IhasbPh5TYx1QCv
pwcuAJuu8Va9gCkFyi4UybKh7VA3/raSdy4D3Kh7yKqrdYx6Sn1VnSyaEKBBCu2MfifmrtQG8czn
NSIz+jxYcDeoo4PHLupxo1k2BSzNb6thTmCQxUJlaWsXRfQNZOlKPHmojFuyH0bSPViknTf1nptl
xSHrXOes+9SZJKaBLaTITuqtOlF1Ir12aPTY0Dh0gMhWJTEzQO9JNh0iv4qpR95xYhEdotnmOqnp
cqr+lvvidy9FBH5aKXp46usXGJaLvi7AjGRbPlbAog9dTGroR0TrX/VhpJ0SnjwtS65Bx+Of+kvV
x265fVU7vM23JSU9Y3OxiLHcq/+N6As08MujeYkGOqXRkzKWZ4y0qBhllUiHwWGsfGOg7JEL1TAW
LTAwOCaBvm3EqSKVPUSqdM+oKA3frBnu+sb3X2DbRJF1Edy3VMTqsx5yJlN3Kcrmzvr4/WILuEte
eys0QuFT3C7kEzna2i2UKYO9xNhUaQznDIDlOG0sxhYmYAkEjzV9YR8DYCUBmKtNV8ex9UHnPxDk
ltg1AvHLHq0BVQbu30CSLek85hAlRIwoDeFQY1/m4VvPWxt9dbt7VtYAW1NnJGu2+w35X9F7KMlw
Sw56cD9YsGubg8a66Zfo4bFw0yuLXzWWZ3YAn8eHw2pLf5XmZkEytZyJtDvm6X0FSbIlRZSc160P
v03sCeNpi2sm97wKVQSpj2zuHpxVW6CsctKlBaWrj6pl4GK0X0w6bwURzMOrJ5mJMEsDvy+BPSZk
KyQBZo0OQbMm9uBFPKfeCVL3DNRzWlBdzyMSi9mAoErVJ3SINt1aDd0inFYealc1vVP9jgrJhJoS
JRWSCaLuExSGwutx1HFHRRokBx4klj9BtoYH6VWkLyWFfwuCpgn3Q7gtEPfFpL51+I3YEByAx0KF
PvCJIA0Rj4H/OR9NanUDaei/CZFxwDWxSObZYdQaFhjU30gcAiAQBJ7486M07nMDezSvn+fA6p8d
4+sEzSeFkQSA0MYDFIEhZM5hkOKZ9CR5MgexgXZ4Ro75i/QVpIMGTjYpSQmaDMoDwnGSZjV71snM
8eiO9GVYJDM0ltljDa92xEpnMK3wNXaHjruLFugA9t5hPhdSN1og0xyPyQrlpEOIC4499YdrjqJV
KBdh1uwyI12ZONSJfOjGD/qmOx2JHCYaJo85gtYoYD1skg/lVSu2pnmvYdjpGLta2v1QI8cxPky8
zzkaN1NBJSeCAQwgMPJD3ShqMCf8j3G4R+y/yJgMTOCZnGajV/GisD9ms79Qb0nJOlePKETVGGgK
V1vCPTGXfdg6eW5qih295IiSLM8C3josxASzRbzkE1T+gHuihpxOcZTh9Y5pNViCbzPVxcxLHQ11
HaEKRM47zhGakp5pMRfsw9wis6RGFmwY5cpmqqS+P6Vdo/EexRhzwR7YDpkyaIGCKVu2qIcTZn5J
iDki7XgASMGNIW4l1lZNLaaE/CZmRBGrnRr1hgymQXJNSG9x5G3VIqExnknFEXHfhQS+XKvl3QOA
wZFwxKOQcXZX3+Zh3otcWASImvW8XwOXIluTx0ynCLPQ89fBrdWQx2znL9PMQo8ptG7XskIpM+Ar
pjVG8yDOpjXjAJYAJc02joSRpUwz1WnfdMc1NcoIs1drklVKX202tW3OFG/ApKtJYKoJPH8M1wIw
Vhg/9MG0juL1nAB8qYPdHOkvTAFY1YdVPMW49Gh5Smxh1GMNsbKwvVy2M3rzYOXoTVgPTRYDNqcS
pW3Y4PzQqfPa4hQgzfYtsRlKqFIOQigKz6RhKx7HtWr75Em0ztjNTdwaqTYT6kSdgQd5EK+15JHv
KMf1koRjU23ZqIbIPhruyd3gdkA1Lwew+qoHObbMm0GQMgatqNIi4KB5CycoXFZq5hwTAoNeqzqY
3NPTcI7Vfrrr4WC04bdm1HcOYTreQNgOfZ/G1pGyP8wzII4sxO8LsyyZL77NzrlBlKXTJVRFFuGJ
23ZGJd2kyDvrq8FsIPFUCu70YJKe04WQKPLo9vN09y/9pSEQufzPkwNEh0X/nkc/TA8+f+a36YH9
M61523Zd05U68wAO/L9ND8yfTddEY+mp8zBzyL9KkiwbIZPjCY7Kli44n3MFvwsw5c8IMm0X7aZu
MZKQ5j8zPBBocn7sAdBooNnAUIOLY3TgelzF9/0Gb5QibnKcnolDLYhMhPta+Ot4Cuq1RUUYplNP
z521SIsBBE4NJ5c6bmsIZwkmgnaCYYfLP0oinv6cbJba97eplxyS9soZwvhoQW1160YsIgN2be10
G4dUwJq1D/ZyuvPQ+S5yTTlBIw0MQd+tok4DylmHuI+zEVtxDsbHovUWjBARtR5jbiinQ85c1W6L
G1LI8Yl2SDR7k8osDxl1R7FuHRi0sf76/DcbiK7VlM1ylE61y/Nwm+QuLokchH+X4+TQtfHaxvs2
RabkXN0rvDzgL+Er3Fxk7R1pUm93xsqv3LVDHb6yHEzOfY/f3E4ZYLQ5dYdJTqouHsNmxJNuYeju
220UyvehJMpzlDSkGhbdiZV0ofUZQCHGHs3A7lphusoig6jJuSCA3iSdzbR9Ok+JJPYhxFvWxrvQ
aFyGEsyFBRGuCZQUN6A+7fLqqemJ1Cg7oIH6iERf6Z3Krrr0vPpWK0plgJgyMkuv6xInY2a2dAVN
PotZxNDZfPfCDwbWfJI7hoSuZRriCkw0RpZGCS+hsLsZBRAZMePAIUpXXhULKogtKVaznIDMIohz
/LaUD4NJFpk+g51IC3tlk1FSkSvnIW+l/5tdiL5+bvVoRkkLLccFN9El1E4DYAtDCx61Nn/Ph7Di
PW9BfcpqaeTUokNhM4hImvsaM+wQu/PCcXiZaFZ4KxiSuE0plu6IK7os+qu+kfnGpDXQaMbMSDcl
IRE6Nb1oDZtWmm15iaRJVpxL2pbknrJFv1maD0IiOutpHemTEu1M9SMZqiWSGzp94HIiF/SDwKVd
mMg6wpoJtQu5y+q8clFBH7ZSqa2Qdz17gJKENOjB2kovAqVatO6lI3j/prahHYOZAJbZU1sO1NLx
6Bzm1IHOGmODqCyFkkof84zsVUpbNIvKo6F91RP/MhVwEhJjvkzbxuOuGNuFV7pXvjET6xWCDy+I
gci7aVhnXaGqHGcZNzSiZ9rVGp8Mw+0xtrGF4R8YpZWseuIGSkVSWrZidpaV6RGslcNrFaBCwqnc
cPs/aDj/On0g2SODhsxEn4M/nY5uRsU2jcZDG7Scr3KFL9CyvW/SyMdRR/3GxE+aL2NecWu52dcI
DhIpy2QjF5L+nz0T/tFi1xUjYL+40ZFmpxsjZyURbY7nSyKG07jhDTd/dvuA5LsZVy4ytU1vAZ0G
0MCsbRjJKkKmHZOTtMQ9CXvNLsDb17DiDXGuJ+DwTGdxG+igRtCTpanc6K4JTNWhYLR6YzkE3snl
1y4S0fOgZMl9YhhYgBNOh308jzCEEWFHc72qog7jhyeM1UhSZSAZU/ruVdBjA2kqQQ6hwf1o1cSg
lU6MwRqEEoYKiqNiAn6wyYU4Dyzym9aut2lmdAtD8gx2UwdeuKKyi3lqJaSPSqvJUJ8snu/BAVVs
u6dSw5wmUgwUOY57PbSfrJAD4ZTjPm9czgcDZ2S/qGA40DrAOJ40JXPaGUm26/A888YkTpav+ind
hb7tLcqa447e4sUYHQPbHH3JHIiDTGlKljEaQGcygAFaPmEPBRYcN/s26hn6FQduTQUG281KG3ZM
SSyvO0NRNTmqTM3kQKowF43D+LYpWGZqXzs5QYS06JIGJshrtzm3s/ZURFR2TsvKkxFAIQ39NsiF
u9ByElcz/Rx7830RgPNSS2UZxbTCIBx4VnPso5U5EIicuP3dnCmongh9QiKRUyaeTk/irevtFGd2
C3VkiraB/4gitF2nIWfvsK9XfqZsZ1yefJHxigh6kCAeg2qCK9/MviEYygTX7zMabzWPfggg7X2l
EX4u0lM3kynUOaQdBQ5oDF9H1oewSl9Gc3RTc3B0afzqvBM8qfeOO8AKxqngHZgs37Wg/0tLwrWM
k28e6/RFO+N7rWvZ4jNnB7JgO+TnfMZAJg081BqB5xFet1RrHjNuobrAf5YYpOgMJTKRNOhpJ09E
1/TMmlL2vKGzrUUU8gDWOvHgZbuxzEGNNPVv6ncY021A5p0naKqXegsZmTC/q0xNPhFtbSqTXLjQ
Lk8y62KCTqcIACzn4tITN44AfGqCkZoFVE6jTiB/T8F91pGbFo8WL0U07rLxPcXwKe6TzIR3VRmL
ecaCVea09zNtQ/8GnqnPqlUZ0gWFKxR3E+1Q674hkbJuIJyLLiGtoiA5q0+vXWCE5G1l1bHyHygS
Nq3jxbRX9YAKhb4nGrjNHAFTjGfAdr06FNdXnWhOM0nunCt59v0WPXGGoLKfX+Csl8tqjJ+10j4U
GaMCI6zXuKAPVdLbWznCZ0WmI5euNO8sVoPlaGu3LgOSi7x2r/6bvTNZipxZt+wT6ZgkV+dTiD6C
CNqkmcj4yUS95HLJ1b1VPUO9WK0gj9m5dQfXrOY1wQBLSAgkl/u39167CgawAtBamfLMJACob8Ls
vGpjNuFYwXAvVoqkSpZckpQpX61Ak5QgmR2BIl3MT2mZA12xwREzaZNTdXYEIiQxnJxpANXFSRme
8aJz+xkUar/hhNYUjb8mMgSPI8Zv5NCRimv82M/0rs6jXHdOQjSdk1Uwx/z/xHmNx9i3nee7WpXt
ipNDUKrhGMOfrgfXUDCdXM8/4bFbqLwxOTGNKZ6ptGP+j8/Syz3g2yVrfRspriyxAIHtGirRSs5/
5RX9XAXjey/SaWXTiIBHNSRskcwU7DEPxs8w3YwK0RQjcXWfhYiPFqE2nkvrXEX5LjBm50pu5i4T
X+mQsB1rspWbONF2cPuHhcNpE3bPTsXYFpmPSSpRRH/kGuojep39Dk/GkkAJAMkvJ1wSKmeuK1S0
ChVDMBdpoI9kvZkCkqmRV8GJLhoLOo23SjJmJ/lYUnvWkAqhE0NcY3kkiVq6zpZpwH3RE0gMkwGk
GzREx6P7atLpxpq6Fm7V1TS4UBodn4Y4c9ZZ2M238ZK/jqZ3XurSZ/WL5IdfEOeZyOPitZzw9Hr6
flgaf7MMhHyVTrzN1IGeyEkr6SntWA5DsZ6Kol27vQMrPyj+KBFRn1TVXLxuiwojqIdmtI/o0EOR
EIB/vCU+MLqRmzD+mc/Q64ECtlKkrG49JGlX73ovMjt79BS7d5rB+5CWmvBxjrFWhkT402U6az+j
X8q4TJsLRR+9zZDBgStHQxF8IIvLyG9urRgMzBDtwq6wdvnsz9tuNOR5susEXRVsVaNlx1dC2a5g
F+GqeaEoc9nrPOZROB0qq1vI2KZszTNsQn3fTrdW6qyWgt1vnmFctpP6q+nzaDWk8cQj1nJY4gMm
sUXhr9zJQBDP5NXaYX0joqJhyK92YVA/J/NptCvnam98sDR7cXuxsK7n7CkVgasc3Yb+ImhIhcRC
D7sOxHZW7yr+pUBdo7QmBWDGd9GJQ8PFuACGGQM6iSK4HJMBsKGSplktPbvKTsEem0W7cgY3Qo0y
J/fqrKljajJQeayxqLe9vWCjpl5QOvQAg5BgO17d2tc8cFnHmPZhO4xx265pzfJz9oH+kr65HvWM
ILF+sWyfK3u+69XyiEm1vfPbdZyyW2plwKbDJmmm50tSMqm2xuyRcp/kJXEIJpBJl1fMQxNC/1k8
mEixYkSo8AITdg4kY89oHyXANVwt7bPmNqDZTqCv7bth7FftIL+LCtdMHOnXNoB1aDMYkeK5syyP
jGdZ3BoG6SJnOuTqichK3/r3wMXY4kmLEDDOqQ8xUj5YjZQKLcn4CXuJNrMJpMICcJU15cGnKMbg
HYcUgdKTUfrc8oeVZKnWykV7tRkFmyV/9oz9CwZuhIfce0zy6KIpHk5LJmiOzzaREkeGlgbbUQl9
reH7LZzLgEx0H0aKVT06FA3yom0zjNVVyk3tNEdrIv/VETHfOzDWQv+1nLL16MnxOFsVghSVRF2V
Vhv2Eqx7BTaOwW52RnlsZZKW+sGGedGsZXoSkwVvMB4rVF+5nUsog4JNohs9Ll2wjbMsXzdEHW90
Vt2VbMHvA9Qd04bcT4LTb6uuFhHNRmGSL8YsEHfsO3dgeatKZswkHRKYHOVwR+mjv7N72k06yibw
pPBUrR0LYp1T3DZwAGk+YQPTCErn0zzFNEMR6hx/pSaPKD6wulNJR4viaweWkV3RkVln1XEPrgW1
QibkLNvGWlua7H432DTZ0H3G8U5SYtrMpz4H0WZyhJmRAjPaXBeu2Ul5t0I2MOzJ0RVwca2CPm/B
IEnk/kOn9yauKeKkGqgl7zwIWe6MHO6Re4lVm9bdTcC5o2KoH9Ohdg6OBTmpsX7PdS0PlW+RFgI3
iR/fUEmYMp9kwHzM2uE9btHBMNkiUi0I4BFO4XXZJwfqmfUho9a8bEe4rC1eKgvfUV5Kua3KmUh7
lu2cFg2luZYaTSrlHDvljzJzKW9M5ugmbbvDILP9pBQ1ePIpzBMwxDbc4rEo9lOPJzJ3r8+/+s6x
KQGgLiFN8Y3ksraBDKPMCren2NaBVxXWDNeikgHGVJ5E5j0lOZbkqJrTG9FJ1raQQy6d0aCiLPu5
6K/MEN3vE7cw95SqIh7YabpJJKfRcDv7Zrzz55B9e+t4RwUEqTHTgIsFysXUgB69rsDd8IcuAGdL
XvQ0J9lWe9zrJc0ux7Cg4zLiHEuC3zdWtxvn4cUaAXzVIzXAsy+P1CXxEoQHK7VdxBAsgJmHbb/L
ezgsAOOsmaJmJlcc7CrbXw/d/HsxSkPIyNaLYGPnKcqcqyn+jKsZ85xdr2NtfbZdfl1JHzkIATJo
wiMPNxm28T6wQbsH0HqG0gn5LtztKU2zpRgpcqdoZ1V7EZznL5N5mpZCChSGTq588WiLgnJEZsSj
KyF+svy0gqNgbEiFusSSxqWCUafRJiX5WEeFZrMkBcP1gry5nk1wdOJxDQ8huI6W8s4QBMqTF/Jv
qHQuPW/TLOWxH7MMkTzn+BQBXLIYk607MZm7JNaPfp1C9DU8Vph08ICpfTacFeqe1oZqlZyju88e
Q9sTYB3SRJKfZhqBxdjRoI6iHL+nui/XeipI5qacsbqfYMI4xZuifKu8CIJhUZ9b3R7UnO5IjoJ3
nddqjv6UYRVv0tym1Hkum71r+KP6dkxPp75EdVzRcp+vWqwVHH3HauX2+qsCF4vlPe6Hr6jiTK0x
kRtHAhWkgneqWam9N6P1y0hsdx7i8T4eAdtftYYCJkZTFQQOGhtYUOvsZFxSquN8FYZTcN5bNZYG
i8YNnb344I/HuvytOQHyaM+v+xGY56KnP3vo1rNtzq7FPGYpvITnzVWTdjdOcXVeVSbbWvAEMmHs
fWMXYhdSnNX11ltX9cU63HMByYEn/ejTcWU4gjM3/KxT992xKwiiQ4hDtgi5EgKE2jn2meQrH7xa
9llZ5f1ku8tGpOUIrCJLdiM7slOEtyZF38IDQb0xrGD28NPMyZuVQY6Svbk39TcR1pDZWjIEDwVq
RVvIPc0Y7ppOr31CDBwpV7hlbzlD3yeBbDdWa/LNdJUDHSCPspm9y2sRxa9LgmPUxEO7Weyeuo/6
eoOzZllzPOwqVW0kf+iT7oNL0aTZwR+zc1E40Cxmn+/5D4VulMpZ8T6fkv3kqkPhTK+6Wfk0GIx0
obCR/2QfJW+rxOOo7zXHTI40ZBb33kTbXmyQS108bJn9SwViZ2p2gUHTg+wL4k1/nXVm9UfoEOVg
H4Q3I6tu0uhNtS2uGA/1T2p8SgmXYDoM3KhjeEktiBd+zQTWZ8wE2TJg+50faqyMNjysEE/dSP4J
rjW2xeW+tXiAxHlPDQGaRdmx8bF5ElFtOeFwDLE52i4825R6yCh6SLzxMoe0C0YvMEJITu8XRkZQ
WCD6ZhrhvDxVOf4YynffaPXihHQIDZMOJ7p+N42JArPtLbAPcEgG8T1jCbQYp9YEaSePnb8YHwMt
3uAMnF3qzeERsLJY6/oK6qYJ3GuTJxePyFSkD7q8Wlui4i3MLLi7QwWaqszu7QFyf3tcZAl+flqI
rYLp9uOaUse5+ahZsE5+5X1z6AcchhzIuB+ctAw0SSnzaXugXYqeq5Yb7qrWs3nz5n+cMDgGuCgK
6f82YQJFY+EJGBi64Ea6XpIBErqdO9e9w9bxC3Cc7hTvQ7hhdoJhl3uTMy7dxbaHA8yvwwcjFoh2
Kbz4CtF9rPuXVJkRU4QBKwfXrpoBmQ84WbDBIF6psfnWU/gWWeoysLrfyaTe6zl7bjBsj5mIkIrV
n8XtNBfafEX5EM/EC7/FT549l5bPzhsY19BGD36BWaKYmLbWjoCxwvVNfSA3ZeoCoE7hnuo+/wwC
zmjx8jJbUMvnMHvCje3dzodUCoL0A2QQgUWg98oYAlFiDlNrhysvYvC2iJxA7QtT1YQKNkYqJT0q
6aQ5XvpK3UIr28aWAlQPAD1uLWyeI9VWIc6lJpvSDXMhNLkGfG8x95Sy01yrLOTTEckfhw7VlyMf
9THffRLRWk2aGZxDUZJq8mdn4AXzzMlqBQ2AJZj+PL4In1OZqpkgRuq+jux3KsUwajIREwpyenc9
DNvOsh767pkTEAL05BFJuI65cCPuBvbpt4nPSBKGKQDfZFlnjfMwdPp3WVLVKMsas0fAqzEJimfK
Q5hiJigXlW6L0mySMF/W2qruA7dqzpFMuIa4c7oM/3veFa/KCV46/qzIzZj2xmKk4F68MBgsbxfJ
qT1shl2eZ7d+hy8Lnt/t7MBVMtZzkZbrYZKk9cL+WeZrUmnWiGra9iHzmivtpsZIGFtyeGDQfkhq
HnVRFTKOCYqN5RnsMq3HqWAcN8tIyQ3LeeWY9zRJvvzuqncOT3HoY/hpnNdqYpyENf3qXwPQ53cM
LtKg5PJyua9TSzyWysctw3RsjDBiDWwNs3Did+aeyGyIUWwHnmObuYgV4FNRjY8i7THc7bp9HZXo
x3gtjIIp65Z4SxKaVxpTHYbW6LsyFcx8uT81yhXXMQmwgicAFKcFjAcc7ZnzwQrtimsDvLDlG5Bc
kfDx/fJCMHlfOWIW61x7b7bxhk2J3Wxd8DSppuSTETbqT0NyZSZn4WTMEFobWZebnmmhxSoewFUz
7mW03XzduV1OGR+492TiN/OTBlwpdgE/Iw3AZWsY4Ce+DjAeH8t8tlcSbPAqcVzWne63HJrixDw3
ZADbvsIeaP5adv+/qOs6yLD/k6irPv/3//pvki5f8VfS9f4lwE54sHFcKVFiAzTVv5Ku5UT/cnAI
XuVZ4aEFXBkQ/4WqE4Y2UTJYO7Zvhzi7/y3quuG/AtIJQcRMDIu07wT/L6Ku5wZX0fY/JnIfQ7cn
nNDz2Du5YYTG+3+Lumq2u4xZ1HfW4uJw3DSmz8LXHG3L/rGWn2ZMxqfM38x9Xb+4BGtqTz90We+v
GpHBhqdx6Vz43sKkJqu+uiCeD6yu9R4vHR3Bc9qcU9u+1COuvWKuuq0q2V5lqHBNV6tV1VOz6UY9
cfPQr9c4W6j5sVB8wlR4G5MxhDQ8eu583FsvDj40nxvoFXsIXBkxUfwbwAQuGDp+ugWDej3W7yX+
/k0HiSvpWwGKPnJfPAd41pD7+H911N45Jphuhha5juar4nm2PGe9eF+TbmfAf75zSZqzqazpfuir
X0WEx7RfoGG0iR2vxlIRLMrdDIhC/UhoZaGrWOkC9ughavoEI1ZY3C86Yq4d0k40kQwBChYzMezN
e8iZ+GEoYJPC2Yg163n8e7h+78CByptm45dtwnHfdcyxIFT0x6od6fX2Kpw8Msz3hIjAEXY4wKzG
GXZpPuRbxH98Jdevh7bIMR+u3s+Pq+iQ6VI97RiJRjubp9feUPp0tqlYQoCjJXy5hkTzBOjcldaf
zYamqWxqik2uGNPpMLQOFfVyh5/31PXD/3xOdD0IPo0TeLEsWnI7iwFNVM/E6gFF9yKaz3Yf+McJ
KybOTyQsGGIF3QmZyeY35Hacz9UitqSQ7UcAYKKvMG3ZjM7uE0SWpzlD65pM2+98YdKnyhqnu8qX
92XeU5lrFNeb5yQaBpoXH3/e9Dkp3ZkIbjk+2GgjjB4L7zXKx36LgdhCHYQTXAUn1cQ0ZoXuG0WO
Hm16s66+emeKbv7+mEKaU4tcy1E1aE62N8tNej3M+rFkrCTbYDtjgnhwsyBm5XXlOqkKWtItkEw/
f0kha7qbfn6bCOcNaO2uvu91iP+2Jb9kssw5ddc3Id4H2Rq2S/ESH3/eqNx3Nn9/DG8pG3JjlnfI
J0ZjQBrM49UYHHCkSziu3GSW2tSe5fzTFtQxIvhf0sm7K3LPOsTQuHaFj0gB1QQuUehhwTPlNTHu
texEs3w+cEkxBpfE6xqGYfd+e1fOqfdbd4zp+wkdoM1fcFFDxAgn5mUxD9p8qb486NRNheNLh+lx
Ker6HsBLTQbMI7/jY7OkMalyTrKW9sn57dttdkoESGrdBebw91WxakpdY0kDcNOGGx2kWP5F8T76
ZfTLGmDhWkP0VVfI1X8/8nKKHpi5Mmi/ejviIIGeb8LbMHNe3LFu0lU3S3oXhpz2XBfmge0v9tM4
jsRQw78fyOuniWXhu6qMc8quAU/pPDuN/2wcMI+N26X3rOLqPTLBBwOd5iHKyu9oIo4wXD/yi6hY
W4AWdn9/06hMfkGgI4YuVXgf6vnJIVN2qPM6eIhL81vmFvEm5dVESkL9UCqkJ8rQC0vsaEOq75su
9yBrFxVnFXjl04K3/+dfIuVhKkkwrLtF25wHykmCkq1vGPZ/ovo7TXwsk5Q0n9N2GD9m4re3XeDE
QNK4bYNyEqfRUa/8dcqtjE2M9qKaf1hZ/Hr4p0wbn21XTXlOQHeTq2vxYvXh7zR36Q1TM3UXQ+C+
mDL+HVTs85Q3T/eh1x5dy5PnrGVCOqPurCvpj6+mH8/AHekPdtiGOJP/VCTj95wjKY7uAFGkLK6+
8iW8+DgT1gl1ZYzY1XpiS3Rnq5FoxM810zNYo+2TmylEQtmP7NQTO4VMgBmNV205sk7+svIkf7IS
djak1Q66s5tVXC4phhsdPDVx+YYuAow8na27uYZi+/PezxtbRRVwnIBDgb7Ja4yduJPmN7OgkDCF
lTv/eudAqJyPC3Uyqk805U/9NwDQ7kH7kXX4u4AjEXQ7ENA7b0SvMgBtn7OcaKUuLhyWsu1sZlhl
XqZe2We1UCftbuf63sppIw1MjDduEEe4hV9rQDpecJ67ZExvBW74QzOILevH3itVx04Pv3qAy4u9
t683JjDTXaGQn9rChz6ZTM15NBhdpp+kQJcET5VWL37VDwc1MSwMe7ItPz990nNubzEHwFWwm7O6
vmGM1u45lz5wErHhs+FuiGoNh0ciHA5ec/m5CCPQtg2rspNQamrMK8k3dfAkVvVqzEZK/wSFX1Ab
KYkHMy9GangKLVgYWRnpcGqqj7ys7wKv8b4NeFAZfFUh3OfJZVyvupBINWkyrmJmSZg8MZuPSryo
SBN9iK651kzf9wKHkY+0+NZ483Nok5Juy2K8S8ds2iG4NivBzUs+NDx0rQZII4p5bznJ+6QeGtsx
558VcRpK8sIEYbZ1HOKubqbpAbMVz7boCqf0F8g/s5i3/dKLX1OafTpqad9sOg9USLWosBhdFCp0
jsWENMsUIV8lSzs/jal9xj6xUGufz/q37R7slAKK1K3cbVf4/hl09aEDvRCK9NWPmvxYxUzVrAj/
FIb34RSVKmb8KcWuWep6B7eqfZ/M4J7goXw1maLs97++kyQ4nMPe1VvyWmjvc48DH4aQTBs6f3/W
+IFL4+S4yaaYGcwEODe2uUjNSU85DpHJHT/H5rN2qmOCRepNXvWJwYX+7+b8y6wc873Qg7cij4Ue
6ropezrMZrrQIFgk/4uFicEWsbVvs1y8OAzzyLbO+9kiT+DaUf748+b6qXyOWrhD+kHqGj5pErxF
CByKOUwqsuHZVMPwrKPgImQsz3FMibkuQ3WoKZcLe6t/8sqlv0wVJjqGOhkHWlxBdqqW+7ldWI2z
/tGtvU/uKRkckqXp9o1bO0zvtGS740F353S9LthJbLp4JCpfxR425zC8k9mA0c9Xz4nLQ+NnrUs1
OaK0SK4ddfW9c31D1K8zd6RB6lfLLuBXze7yIN052/YYoSMG/inAy5es745U+FD5Z2o6k4XtnpZ4
GU+x2xGU50jHfkkjBovlPrOtjwU+080ASgd86nBrC1poxDhVd4VfB3dNj9LAnka9Rk7+PnjcCP5I
aHjK5/Y9n+xjFhEqDSpmWkml/rQhRRuZqfytQ4RvjZbtvXaCw7It6/LY+WRUAx2t7SR1Hq2ocx5V
DxddRMW9yJIBxWtmNjrTrd217DEyz06fKD927lKqHJkbn8Mi939FjYcPzxA6FjruHxHtASoWbvEZ
e2KvUtj5Xdh9TlO7ESiGzA5cLKAYESYUi98Dn27MkD6MMW4/mAHFYahROIqp6h6yuI23fUInx9gc
sa3gz+AdO6MC24tVtOED/+ezmKl+HiUhNDVkpSVYVyb0oNeTSsOS7Z9afDMnLnycm3W3IEDUw93U
6eZQNJ0ga8dL2EbT+38eCXZQZAfKmU4/zwZrAMuDQTPY9hNXEJaJ4cIjoV11g1uvgrx192hEiPy1
mneVh+u0lnK6n2QbrrmqqBcOA2xWw4/HqHKg3MjI3HGg4Zfvlvwh5EmwKifTvJieR0WbaHPskVFu
e8fzD+kSXLFx/94wzz0WUgxTPVNisFv4fRin+h4PAWlv/L72zlhG1aZ3IhadJunVJgEPt/AU+H19
ZzJ59xb4Fpwr8QulL9h7McESkedUNmsbqaWsezYceXHqISIXTp//BiL+XaSqfw54piGGdrS1VVNA
o72qtphp//3e9Q8LXi09/nz+P/8CMcvTUbTXAvGIqTgI5npSZ/Z5ajVS39ewUDJAnqt14VDUSjsZ
NoOfnbM7MLLKMWaFqIKrRqWKA9IMgHpwBjiciHRJl3UnP20Of/cI7ZA0H+wxMJq281cnc8J219OC
v0ifNIN+cfOKh2k+1URAIib/qWCHEOJ8bPNleOYIMzy7NgzAoHTvca4w3oa/R8OMd66jHKNsHdHS
iCsq69NT5/eFve/7gELKonpL4TURuqnzw2jpfRi0zd1yPSdmXnAaOqc4lTNTNX/iL2dbCzPhKMmp
JRnNTVqCXJjmYaCLpwJ6b+U8mFYsbgDGoX7lYyzu4s4Wdxh5PYbyfJhy81BlThoeciW8do89RyoT
cNnyq06zcB/wH20YE300DgdXrajlyGWRbUtUs1fpiUObtM4/DLbCG3eMP4lhZpdBRt26S8sQTj+N
OHOZLxcf4wfbS9NnzjOPj+qxomLg74bw+lFYNJuoY4DfqJ6YmDH9vZmS7KSr+STxFt3/fOrnTYm/
cU7VXpdIWFrW1sPYRPHDQM3MMDUPRUyPZhxdzYuu6M7F5NMPzEtyW+v+74c/U4SqiputFRTBkd4X
cKxGJI9JAv1t6j/4C42QvDL9FAtJtDMkXbWEjYEv25vb3OAXTouMPi2bAFXUgTacJBWTkcd/30PB
87rQeUbuc9jr2yiRgzkNAV8UTGNHFM6qHhmZEqFmf8nQc1LvYVnMl7Zbgs2YCGtrQmyHQx1vbGy2
75UQ+9hyg6dBAsoDRtIk91ZTlnQCMzjkADtodlnOLa45/ysuQXXKIuxf6pphR2J951LOb0O7UCgs
Bb2p6UQhev0LpF1yNI7h2u36lOzkoEh7ZlX95lnN2UN6BQnIiLvGNfmzPRYl9mKpHOiI1w112mKy
TkxHsB0xabuAPz0A7fozJ0lJrBhyzux0HIZp0JnBil7ygXCeJlpzUwOgWXUCdEUCH+tWIOYTCYU5
eUAtL7dGtOTbMMkHSffgFNZwsTD9FBV44gqlXc2PdTB8Mml9yBYqsCqHHSg28VtbEQeInKfIap66
xHlhA0etFvvjG/87JG5d0HxeReVTlecvXhH948cCGztm62XBwycxZQGLf7A96tDhHgJuxEYXHvOU
atmIxpI81Y9dmpM1G+f1oNa5VZz7bBFUdoKbJHqfqvbQ9fZ21mQ5nTFaZULTzbhEHzlViRKus934
j5G26bJlfBHH+rkZMvdoxQttJdCLNZHP27DFm62kZrgz01MpO7xVU04RM7HwmlfmiB9njSc8fi/x
sgf18l3iMaYpGAeKduZ/6NpxV1VH5K7IZHi3jBxTexHeGKq7bwV24Luy/XKyqrqzNR4Yb/4I0aNO
gQ3hcMxPJrXxNKmzdFO5Jn+w4jDvbmOHkRP8YLJhk/sgpvCcBYhIaYnjQJlNXTFqqqmxtbCVQTBB
Q5JAPlckyOtdg1UkyP32hgiKt3PbudxlBlBqRHeMaZDt5zh4TUvSFISD+n1Yj9ZT5xUfGYAXhnnL
ryTKWFrqYhOHVnIwkZXsEDTbKrYvMlHOZbDsz4547F6qYGOKAYD+zMDabnJzF1GTSRwS5EGTniRP
jFPLGG1qHYoUuAFVrWkeJZFPBrFfe1+lReMl7id+WB5nPSV8InjudFQfDZXITWjXLzjM14uRD7Lq
5O+uuZQLpBozB5e64iZqxbycArhynmu2k5V7e3z9h1gnaB+OoSlXTA8lvNlVDpWGE6l9g1PBihb3
MXKuTs6hQfhV097zOTayy6tWIhoxgrRYGBqJDlCSJ8+G6KHM0Fqjuqh3c+Vv/Gx5xI6JBBLHaO56
74ephnVETLmd3FdJwvC5iBZ/46EhYtryMPilAAhLxnR3TPNlpg5JS53XooSzlhOmTV876Y6ZFF5m
UT+AOf/mAPGd59iTFoms7iqgOWTZrukM/ISj2UirVUfUlGObk26nKVsw9b8RDk5J2SqOGXNzRh87
DMqhcC3msKrIk9oFCPHi0NWy3ts2vquOucJtynwDbUhgP+hHbwswiS1MYzd3M12QA3+PtlILxZC8
IosBYdUQJCzDcacxrd8UhtRzh9CD/2Fu9gP9THYUfouEiWCWO/RUO7aHQSN9U1H/7b7ES3OvM7t5
RIRFBqu27YhrtsbISHXjcx6KX2akA0tpPAgs5YfJ1+sgWGraeBnhwXJGBvaO5dgfZU8az6YfQ8Rs
41kXmBPXzhPJoVUs6VOrXfBUaUqqCHAl06TaedX0mcmuOLhJ496ZQV3sxL7PFp+mowC9vTrPcz9S
B0L7Rl1Xj0OWmY2x2vqwJHAxcDCmV2cZo2FoD6GohkMYjuekL0+FiP09BEUKjtyRNhPikTmWkCQa
vnhEIQGO7sWfuqdozJxjnRMZSsN+V4cfSDscD5fGuX3MmvlgOymdHWPH61uw1041lYwdaV49B+Fh
sMc3pvTlCsvbu2WH7VFBuUwFIFiXRGLrAZPk9Ffwzck/uudGL4Tv+5e4yL6vrwH2nuJ1dufv1hYI
USnuibnsLyi6366ec+p3gL0pplZ3Q0KOn7MFAw4rw53jlLU8KxblUwFVnQFmSV2PuxcNtJFOXmmP
YuSB3kdEQu/nDjUhy1AoFWLhjZz9C79Iflv7tsW+k56wMO7wISwkZ6flEnWuPGCAfdJK0bcrf6WO
e9YLB4EqpCHeCZ/JW/2OfdIFTY6Z2uUyIEGmQahi34xGHBzTRD6i5NIMu4w9IZ7xIHVf02V+1aT4
0YnlMRHX7tS8+l6MF8HiYtrct5oDn7sQesbWwuCMAshuptimHEuLdhtF/CA2aHnzt3NdV9hMreeQ
eiBhnfM5drbTNOZHIk82kgkGNHdNTKpdLe2iNjTtEFeJ1YfQHgGToXpE62dIG7uo4yXHzxEXWNO0
89tcDTepRzsb0ma2L1qwRUum7ssepvVSe6dhDMjcWObg+HtXhzwnjdOy99UwwiG5UqNT/GYOj/E3
F8VGLSR2cxGo+6wezuxxAZvBABSdR9zsUlz3UplVYkDshuRo++O0AfKqNmKpVzzWCXPZCKSBljci
pVsGqMp15hGutDNSuW5a6zKEsJjpORel+8K3e63Lmvw82xzOfpOzVtAPCRIFzPLZMd+6PZbG2Yfc
kIX1PywpdOa1W3ZdzSqaIetbLCj4tIc/i9f+GUMudgB4t0Wfg27B5A/rpvloF3mKOZG5oSwul1IX
7C2LclMWQP+tBKt4iYRQ6Y5LP/pAWaOTIPP+JFMd3KaZc6Uf+vdJBN53ztx3LI+KwQ0YMiuBKWtV
0WveSLFt1UuLbPzLVv0fwdBro+N2KzxtLo0i9c5r9qfF+RQ28Zs9OnLPTfISOC2t9gtGMBG0HVGI
mvgIulURVMREmmojcI6yTJCD92u/WHlDR65+KZwNzU5xwL1GyJI+ddf/HbUMvoX7J/CdL+NOTBiY
1WBRyF5y5QJZYGnuithGhRne00axy00KQnyjvps537XtdJEk+TYtTpDVbDDhVsPvKOSwYoLiEfIN
vgnQhvSZ1Uk44R42YuVkZnnpkn47KRDVdchBp7IYpZKipBU+IfB8myJCN/2o1yYqo4MfTe0NzwxG
k0ZleyuBYCoh1mfpn1wxCPHCnfGwfGS6ghwcvQ8AoHHtM8ljWcZMoNTAvRFDoAjS/aIpFKqv9tB+
KLd6cC9OMcp9lMFF0bQ8MTagUqsmNSQVITZ+qvjeC7utZ8HIQ8hayZTyxiy2i5dRwMHNDS01fk0t
V4c4llNcJtHSE+pc50B4H15QTTdZIr7ysKBJtLDPGdC0sWrRhPJ4XaEVYqymattU7UfAxpM45Ai3
LONXVj6WET/qgPFNk7fB4IVRotlnabhwOGGi7V3zO1V9wZQJWmj4P4Sdx27kSrtlX6XRcwI0wWCw
gZ6kt1JKKqkkTQiVozdBTz59L6YGff+LBnoilKrOkckkgxHf3nttmI9aUSiJtstAyAEvzQnCLQlM
NIEyjnP3N/WoQi6jkgxW516iiXdX9vTAtl1xgbp7GfPsSGyBcEIfXhMZ/IIDRm902OZPZpydIpe4
YmVP3Ed5f5ANcxdkkeoaYDzi3hs+5hmTYWnh5A8FfjPQNl9e4rGUzCUXKM1RCw7GdDNS6RU8+qz2
GNFVc3uqEmqEitqnmDroHyPgQn5NbJ/1ECXM3as51yc5Ek1ryvzoQ2emlR33YwAAPeyzHWZp7DAj
kFEPiGFApKVV1LER4iFak/wBeKNv8VjtqnRSzAJAnJA4ooPYBc1W8ugIDPUbl366JcYKCoktjxfo
DnxX+2REimFlTgI1aeiLDGpoXZPrjpCLDP7B88kEDkwZ2mF6X/ZKOQwbYj8tZ0ihseWE5dnzp3Y1
2xSmmK6Fe3YUxJD8rW8zdavUtGGfKo4eB+u6n9QhTH9Fcq5pOWwYx6bBJo+dB8IN3toY3ZndAYHJ
TiYfDuRmfPDcsRwR4d2BHOBMiTHGrE/C9hnj58nJjpglKTsjuUpQmh/CTPZznqL6yZ+16fzLwEem
tbj1GYnfJEhgVoOmiplLVBWW595qGCmVL2HEZ9BwjlZd0aS02I4D8ixHaRn/ool8lt0QMnZVFG1s
t/ljTbphMhHEJ7MmQ+yb0wWNmKnMGEChx0VzGWwDaB0PRlmYHJKKKRzOoU9Jn0jJQxjwPWbXeaCf
WdBV17/Gve/cnCVB5waK80eBlnv/u1LtZSUxa0UumwXDbF18iBKr32StJzvxruj37FXmiDMrn1Vm
lG74ogBeSpfB95x2H2Yp1N4MIa2XCvRY2AnzOZeiOUlNovv+qWfjt3PQrcp4uM2Zsn/KmS56hheM
prDCstsCNpZi5sH8TA9vW8Soyfj6qzLtToHifJ1XPQM4g5VGJNgJsnIANDsPCKeRqcJzvkg2fTWm
l7kIumNlkemLxFxfKjex+FTtuoScr+WC9RzarAIUUzrbKMLet6qAaX5/Kb/FJZCOcb1dwkQ/PQLb
5BfWvRUJPAoqv4m0IPFgOPZaDSq8WiFA3Rq7OCVuf/NFTY4WgUyI+dPOJw8LoTttEfTc3Rjo6oMZ
tsFBB1CZQ5K8CEX4URADSXO/P+sBT5f23eSZmeWTrGvn4s1Z+qzmljXKG0R6FX0y3bK6+8Db5r74
pHCf7eDvYrWQrYdnYJjqpxAmWSKtHc/xAIpOpT9qMhMu+BkgXHcVp6NaHXHpME52eGMjvR04+F2r
YAZzZ9AsuZQhV5zT7h+iTlFPDhZscZaEsGJOpuPh05za99AM818DwU4zs8Vr0OJaHFWweDJW8ViI
4/c8FKsZjyn6BcqIRBF9Qn121mF10GPlne3ZjIkTuOLFWLwXQxwcqlphTqMkEywOjJdkID6diYH4
jp2F5s7qOe8QvRQPmFag+M2KOE7P/s31a2/VTti8N5OrsFqzNQl2tq+tEwGbsloZXaXPUc8HMZKs
bXRkk/bgxE9UQZDCsrDQguShALdzkL0B75Mywh/yULRj8DBpW3JerFjbFkfANGmcDbL748QGlBJ2
tDGHyEuOeMEeaqTkcWKJjtyxPdB9COq/I2d0/2r3D2R/kHCDmm2UtmBWqUWS94loc3Ek55F0Ap0g
VMHb3a6UpDDDSoGDUVb9ksQt/OX7V2/pedeE6XZlGlgvYRBw8je9WRDK54qRlR9go+Rn9c2AsO19
dpSJDLn//go3u25y5nUkqnNpEtuWi5NjZqwIPmE8FR62D3b+PJSyYDdMhX6sGvIpwiuWqXLaULKE
CTtyD7CVhhdNFqTyB/0Y+FZP9zQBuXYqxobQdZ5u8mH47SeI05MpuR/DhmbzkZGum8X9CZHnd9jV
1cFdXJBjvkx79SR3hdvUT10QHoK2cK9NBsHh+9fO4ipYR5zoz5Up3+/XfNq6MZ2/2CfIXlhnJxUW
ayF/qiIY0Z0PPddovOiait/37yI4Ky+1pUbflumm7Ovn7yWwJXrCdq4gQwHhNSmt5GxMs3nJ05Qt
R9iSAO0w9jU1g+bvPyWhc+q8bHt/te8Xxf0lLzE1rM1EThZBT85jmgFbkS7Xm2TC5PegD2QRq939
rqIuaOa5arX2Yx3l/76voV6zEZKKUG+FNd6O7OGQS0j6SFiMqW3npxpEi6+0E9e8EX9tEwIQY/z4
0CW5h+qWGlf23NFKOAyHZipc9gxjp/eiLrDRG9lL3yi5qZJSYkwgJZFR6NXgaNnfLwMmckjvp4Qj
SJc18jFrGea1SC7hkJqbqAWZalV63BVJvmflKb4KDwDHiLFqhWMECnc2pTssaeVJAQD5Hr6ypby0
A0LKfRktZZievv9B1ePf1IjyPRgKgDpthr8IamTkl+LW8NAgZPdEm0h1wMzmc/dRGheWeUcgGMQT
ThjzYOWFvVVceivfyyU7Ly7UCivasbfj6Mg2Cjk5LjpwjC6m4rap9sSW1CueCLoRk/x3NZfb78Wq
D/T7YAmOUY45EqxbjDPfD4YGf/nJ0v647iGwnuvFek0lH2gP7GN/kuAlaih+Hqy02REzKo9myQm5
7aOQzdIyOZ6W4fXoQn9SQkZP5VFLs7saWEsvvo6nb4/Z3aNU9aPY9LXeEOsjAdT2PdeAZy5MD5ZY
pMK/IQm2n983tBqLbZQkf8CJTJ+mLBDEyIlvviUY3yYFi9cGJ0zvOLc06i8mb2KSpcZP+y7SyKj4
Y3iwDTyT4gg/xHPCZ+GwoPJ6Fz8MithrAEAmkn7JLptS3YaaeVcacoe5WZ0xEm560duvg/Qe7088
vCXkNvjfqjwZ9+bIQK/wLIDfOmdwmhq0hxTjAOhzdOxPX3rbWRH9uz/HB4eNGdbjDkTngPNHkcwg
JUyOLK4qHgrzAtHqO1Z8UmHWZSRmeNFmtZ+tyHod7fw5TGE2hm75HI4Mzey5QKcS5GbadJe3Pt94
WVNmnxC7I7gmrGYAmi5K6iyXvdLUMK9uUzntQ3v4JRoECOBfwN8S99jVon4bvGgfpwh3yxjerpMb
qxDT2DmorRfGjNf7gz0K5XCwuwmiPk/j1HKnIw84KkyWB2ibdTwQCHEmIgB7oarso4z7p3nqht8c
b3eO6MbXu7WHUJSqTi0q1+86Rt5XKcMd3oF+OuZT7h+HRlJxVwb/rDBr31zPYHORo/669YT1r2e3
rnzofcmAwoU5xNq6GPouEjPHxW/geknVTyfL4SA7aiP+ETsUgXLI3VoKsF7jXbq2mFdBVr/cPXE4
LKzLZC73Uc+K2go6CIf5mvCYSYxo57VOfTLAk6K1ccTSAFAv2h1wHYV6Zy2XVTzi6Uk8/2jlJBK6
yPFP8D7KfZBiTdEh4LcQkZwIoSoe08GY12UezDulTROO85HJePnrLv90Q9Bv3JAQZVxml8q2g4c8
bfhAUO6g+tR7qZ3kV2PU+iXNKiLktbMbFgOUO1RfaSydi2P1LwRtEW7NnvdngqiJLa/e5Ub7rluS
/vDDK9Sk93xox23EtXMolk+BdrxMTEyu958jlfI9nWR6LpT8uCvPwlLV1eknRO8y/ipH/4lOgOjZ
hEcOQjT4usurkv31pq8Uu3/mP7ehJrXlS4YDsfY0emdQE0J20AlCy33o8QDgnlHMulfWUjXslm7z
2Ixd82ihIjKCsg/0Rf3iBO1gDOvao+MMrI31eFX93OPooy12diWhorH7JY2QXl53jo+1XtIRDlyj
yglZmoJwKrf3Bz4VOCMFVlR6tTpqcGxUA4rRw/ciGWG5HbIfTBKYfi3XdlnMDbI665oaoJgNVV8+
BL/4qa3T1FBldHcgJonAdoRCs0+YNF19mHIbWxARN7wofJSl+G0xsfjJrEMc60EZjMvVqTOkg+Vl
ehuEerbmLvlj5OFrFcjsLQcktPPUkhOHHXlxbP9gJkuv6P2mFHZb38zpZzAk8buLvmMtRj0gX4Rg
J2ilIGcYXAHJZuqH88+M/I3nwQMdBsvA5ZA93AW7+4d4eR358qc6iIONVWY32XbxSbQBa308vUZz
Pn+ZmGJWnUHkfsJ5sGNoWDzLbvjRzGb1YVXZQ5OwOVcDU3RrcfQRlkDQhp2sojh+ofcb3TGioYkZ
4nymK6NZgxOrbvXwcT8uYEjubkAhzZsK53yVsxcBJ26Yv4e7cdnPS46iNrtqu7W9q/bYGsqOrvCp
6/rT6HXknMbHoubs6gQI4Wx5R6Yki0kxTPpVo6xHii/X3hT8C0MHm4Gh7FsXQFQ1IULVZYuSgRcm
MEkmQbh9gxhmHzgOM8P1uydnkZc89PSmNjqMkP1ftHHD1MVDH1YcIQLX3Br66IRednPDZ2n5DFLR
YgI13CxQVC9jtnMNoyC+1mxKz/Aem4z1FVcLxBc65/OmZPbAuCSJy2bfTMAY4GusQZNyKEbZxneZ
xQBugUYPgf+F54BUty/PeZ6pg4zCn8F8NROoZq13nHwYxMJIr0Vswowd39lrmLtU+VeuMGcfevST
5y5+doxurIgSEjTg7ZMf3TIIZGAycVRxtvxqQxlQFGf/bbr6n6ZnbG8mwSWkzsHA8raOAsuAsTj8
krOx73vPOyRNz3kgUh8dm9LjGKdnG2JlgXmTjCoU4MLpt1EImpCcVbhuKyjLM8USG4SuTRzELzqL
TuyJSdbZpx5DoDnHIwO4ryYHZoaFeW9lqtkDsMEYzKQYtgidVWzDcOH9FYFWuNVnCbqGHg1N81Ly
V1l2R6G5dWv9CawbZ3ZXGP1+iKmzA45TC31tXoRtjwDUyw/tWpRl9HVyVNVw7HoSspVBZ0oT/8zd
xLi4FfHSog0fh3gV2/28RoOBBd995SOj8V4S5G/0UB9rnO+MptWyRDO1qOa/YVZPa5Mg38oa00OT
ZfWm1syadZaw2aitoz3DdQytl+nAYg73JGuCo+E0v6GQh4ekBpUQJMwNYFg9lANZfmfR4AldDYNj
7rBdditNXGA3eobYYuxBZ9Ex9zOFmS53wTTYEOpMdy8wg/TMV859N37N2lzHgM6Wsz3kW67ulamm
czx6YhtmqQvUkzEd6yfTQVbhhNedgBjzwsCpAITUGW8NoQRzuWhnXqIIPoid6MsU+TRtUXZSLGV5
HCK3oNk+W5lfxwHKBMSyF9uQe4dN7ujp20Rt3MkGOb+qWoTBMMMU6aM6PHC2iOBZQzMIxetAEAFI
L9+rpIONwAcSgGrl9b3quYCStPvEaRKsG2IBK7+mp9SQ6lgE8GvXltLBwa1iFC+RP3HMhnhr499L
C9KiPiPkIdulA1UuJiw4JA33LZ6qrzhY3AULP75p/mShvCAsBLi/U0bLrR4o/M1vfutvR8gYKWMy
8FH9P+zJT22B0BeGHeI0yV4e8aw9RfJLu/r9PPfyI+FfIhVDp/ASf2sX8XTumicBM6eREwOBpVrI
3U+9xM4LyAp0yWs/m1DZsU5YM+udr6Fn1sQhAOdA6WPnRDAlg5HihvvBs+kLyLufrSteu4TC5XZ5
XKQ5nlcCmIeFcZxpzmidCtl24sgnfI//2JVfKgHckvuoIxawXmfBPgyQevrya6ihHCrB9DKE15mm
GfhcNREkm6kfskBvr5KqN6GRe2TQCLHtw9Agcm7t27o2TlPp/p2ph7dLdGAWnRkK3VbMZOGoNnO2
5TfNEMA087ytqNK3jgtpqzFuey4UPK7oN1GxPKVl7qF9m9wPwtsbXfKQjQFwazcYd16Eq702oakt
n+GLftQaRdwuG8xNqUBwtJmRu92BLcaxmJov00SbK6CnIDCSMYGb6PyYmx8yRHAqgCUySW4Xm2sJ
DkQeRyn8HeHu+WMI22uA6eBsyfbqD/Vz2ZvFiZ0uKC1k5xeSrOyndHRhG1OvkIp/LQ1tieXXYFKh
cmFDgAzYMlCslbg4BSdlkD/jdpD2WzS5G0LrA+YwxSy/IzAXPcKb/URK5mLPB72pjXHn59knTlSW
ziYi1D91L/FMjx82lpuorb/wetKd78dQLAqC6VX5HkXY75AET/gLeDxxmvsYCGLrOP/HtTOt25r5
YEKKpXQ58QAKPHG/3korlztK98oMvGzMIWyFijmjCrVno0pJ4todqUnqt7JZXOYa4jXPA3lUwAro
FcBgwPlmrcZwXsXM4aYyMLYIdB/8WtQRBCgvpV+8QIAqdxICUDNAL6D0YFwxbDfOsnjDM+ltNdvd
lZ1Qg6QNcrpJ622L6NzzdRqKy7WRbp0+fR6r2Fg7NuOZxi52FfHKFRYdAgbBrFbtQ4KdFRI0jybt
BJi3HRKaOdwtTogSqFFALUNE8alkB7ncSK84BxK2QOFzxnOJZyRwQ9oR+DGLdamhLGlAQ2uPIbg3
Ymjwmbth2qI/c8Y30sCopREW0F8GQS77Gnvzyxlqa0OLgatDY2PiAT56vnFiHXX4lltDgSPT9LUx
tMF/GuuSOosKp4Jtheeknz5Q8iBRa4o2ep7CKt5VIzWptRpQNf+1LtrlaCHVJ73CFq4AMI3piVNm
Q63W/IfipPRxaRAyWa9X1hTrc+vHJNmCh9IOf1T5mO7GXD6Y9qE13X/NEA3bSQxbv4RRMRv2S9N7
l8WABplGINfi+yhCxQx5YR20sSAXJNVWlZx3nHRce+BgzhWAHEPcZjCj25aaXFSXCAhKS7YgoE2H
ParDZdItPioxr8xKNTsbv+bKukEHbInamLsCNkshxuLYDD3uGzvfA6knMr5z7ORvqiBm98y916z9
Dx4vUaHgRY4+rphO6x0ArGFNdvvI9t9g82SXm/YZkz252+Fnm5PSM7mDN1ADmHcP/BdiXvgtP7Rh
DsccMkba2S/oM9amaRZYokEN2UCWmg4vikfyd4Jpf/Ia/KuHmaszWuyecgGmczpZN0Gy0M0ziz4f
2Myk2h00GMtT+7wLTm2Vejsjhi+H4mbxU459fmrxUbTQ0zaokNyMPoOdsJ7jDbU0X6Wbv9UFJvIJ
U1ad+Hvljt4x73AG+222NstoWuFqbpzpiNk42k36Kkf3wPuM4aMKLph3Z/aw1m1uAMdWcb8ZmmL+
ExCWwrb5CqeLRbq5lInbr51yAVjhBFpJDUnXWAzXxVsT4A9L0p9hLR5VkLsbpt8HMKyvxsR4iXTa
Zw86tDGiD0u5T0QljXXlVuuuo3Ujy6DmWXHPc5gfQ3lEEJURHzIfU9wc4qFm+xQl5hcLe32Zh1ff
8XHrj8OzhJ+HeYdfTqYE8wakwpWV584z8kc6GU/WGCD/Bk8eKwSMWKClRb51LJqWm/G1kU14U9KB
3X9oRzd6I9+yBnar1mZM72WGSr+bQtSrpvzT2ZchIfLexvxzrAEPFD34EDEbV0JpihXJ3bEoxbQE
zJcGLkBumuHWGLovKjAR8xS0fW1gCyvTR3/6yHzxmNk+VW22Ga9zbHx7L9afrHaomDDOT3VqfqI4
dJuypqIhpI0jmOJ5h1iwHfvmFYzAUbl9e4GCb6yLqhYb/IGSV5PJjMrlU9b7lxFNuU69D81IdR/O
M7oTuCIXDzyLUtRua7+RbE8l5SvNNVD4KaQxfNl5dGbQbK04carFuLlF0KE+xtGP8FGmUzr1T4OJ
GorhWa8Txhsr+EScE4Sht7radKa+VRn4QTelBWGIe7CbIf3lo7avQJSDzWR5QJkM8VAV+XCpUWh5
KM0RpSOjV/4xFO83wLlmR/vADrKkPOV9R5BcpOPGarwSBkH5JSgm52VD+Qsr53k0o99BIFhsAnNm
q2jljICOlcACR1kI7ymxV0rxKKYr+/LTt3RHZoRtq6ndPUsW+VdB0k/kxkHZYb2Kwf/sxWJmno2H
giPNYQIRZdg/pxzEcId0Lho/5ki2dBKDNaa+NEDn9A9R0F/iWUMzwaEGQHRpUGNPvcx4UNxuzqTO
woJuFBvOI8wKaFXAVii6+Df6vcbtw2o1DxTWRUSs6Pawdv3s4TEyNdW5rFBbi/Xq4D81usKcyP9Z
JpQ8cAN02QhR36mBoIVxCSCRgX/E7S84sPlgeoGE8WFgnwRtikjWMf4Tzy0yI19w05jyjL1DUAM3
sWbn+N6xuWDfS4a9xGmAx8RH9fM37C3Zek6a9jxWPt0RQcQbsYNQyRM6g/47b0TWv5LiP3Jeo+8O
ibfpREE9wGkwVX307Y4lkadDzoITFcPv3KnB6znHpAV/ms8o2wyWL4rEneQs0FsEynprpOvDMwBT
i5CQof9vHP3tMHKnVg1ZbQubrkOx1tTGP9yp/BE0AriIPGQNgcYC6o0ZHYFin0cceZhL5mFnoNY7
OBeg7D+GMl+Ndfg5c2LuqvyqI/6DmHa3wdE4jYJ3HgTpmkZlGDJGdbJKsR7pQb9NbcVOGAp2RQ5h
y/W8Z2RFK4et5KF+6zjjqMIwEXwCGseKhXmLjXhbBBarERMW5NpOktgYfiUd4rw9T3LlVCCfFtd7
UADxj4wXzyLPO43Rwqm4GZwxFzqpeZKtIobYQP6y3XaGv8l+1vuyOJ6tCIfLc9edFCjkVZHI99qn
p4KS5eVnpaMQL+XkV7vJIZLOySHcJgUrYRhnx1xiwSTR/lm07auXU9xcmEO9653+PahacDES6VEx
UHH6AM3oq7clrU8FMpi3BscJD2LC4K57EtgVs8mdmLgWhRn6u8DB+wwvC6PjP5uNw6rMRH6O0p66
jzwqznX1QkVPfmkJhWs7nG+AJTPIh8bBnjrz3GE6/f5QjfYZgxA2iNymeiH/ChqClpwez4UcqAaB
V7fto0Id0lneCF/8Ch2pgCTBcR+omsrNTEL84fKnZLyvmddZ6tkX85Vxa3QEX5TCHxZEZdWUQo7K
pyt7mm2x7iOekn2f+pspIZRWFtDHvCjYlXGe03bMYDED2bTVhPOW8x90vAaIb9n89lM0fs1Yb9XY
/QGf/e9+2UvXRvUe+JVxjr2S1KjPdEl0ztp2ixZtJtz0mlknCubaahrad4Ip2La2sWXCOV97hZve
4VTq0sQZo0vDMXxJJvHUJMWrB/BslUMz8FIbIOc0vvYJCcy+NaeNcPMGJPKCFJfdzq6jvw5YpC0j
McrazeAJWSpjiuozH/WcK0LLxCBg5lsU3Y8GBnEWFs1j4Y+/0j7z9qoEe1Tq/jdq56hUsQNpaG6F
BQUhtEocOXF+DIkQgTCa9TGK/1hGtGmj2NzneeltZXEAB1VsywYfjGOkKYC/TTyZFtOo7CnuMWyZ
QuNMr380rVaPvjPyFOJE49f9lojls4UAjiFglyPTQrxhNsh9xkgAk3drQ6sLQq5N7gri9zEugRiL
oiU4L1c/0rFGRc1kx1sl/voeJJZAjuFjhuuRLVxNGjbN/nb23OzLJJmPtIHtZCsufhW/LDvtja6s
H1O+0033ROMj0jegIkM/+2n2mjQ3IHz5rep4T7lKtoZVpO+uwWhJUCsPzhsfKEwjcGs1Jr4MLk7A
2sKj20IPL6mam4afNL/NOzfPeA/IISHzzBjLC2cbRy6NPJP850YvbXw1jfyvgPOUYu0i96Bc5nr1
6xxSSsVdyiM4odyOzeCO3XZ7DBr1Tj6aJwpWTgjFu84a6lNi7tvEoP2qtTqcQcWXM9MKYE1+d60A
xzUSw31IqW8YzN0T55QYeCbmAL5MYbH9C9zi35wRp05idbH78h0EBYbRkLbzhv94Zhjqd+Lg6tq4
KqbI1yG03ioOr7tgcml2FeWxzoNPA2g5PS/MLwvm5sFLPxT2aXAQtZ21dqfpMEaRXEvNmul3z0FA
1XjtFsXWSti+81QgVvQ3lhTVWKSiDX4uABv2thNYtHqC70M0AjU+Zqepkre4yt48x9WH1C8+sy5C
J/IN8+BxlW89igqJ+JzNLsj3jOZ/OQ09TeVQUGOGzBqgx025Jn7Kmrct00hg90j/zHWIcXMgSmt3
3BOooPUzuj1ApTg5zGMxveblSCjOHP9JyK/XVAHTMQAZI9WUgj0Px7gxGUABpsCx4Md9jYh0bE+Y
qprQC2Bgkb21a/MxOwVUVD/1I6gByl1XSccUshv/GpV1igZOWKbRdJzZP+Kx+904nyVSb0dkJcin
ZRCv9o4rP1ofRm30OlhqOo0tIfDcfxz1sh9pBJaEt2Rpkmitw4gQZ/EM8+bpYS4cmsXzt3bW2bpB
6KKpew/SiKzc6N/AyFyRQVcSm27npxyXZyYEU46TEPZazVAIA+OvsXixGju44Rdchr4YOKrC2cSx
6Z4XNRrROnqsbHUOXPGPa1L/iMq23esM5nbQW1ck1RJcUeS5X7WbvsFErod53DqFkx2GJNtm/DQr
PXXFQVu5t0tTnEuNZn5o1pwreWnfOMBZZJ+XMjC8u6LBzJYK9i8oyrfWJt9jO85JFsV87EAvS5cc
nqqgJvR8IW+vO/PHPGbPrMOadI2Mdr4TQqnvp38jJk/bwx4Amo03ivU2mpnXDY0ht4kTc4JeKL0C
/24eLA/1Gbo/DnrAetu79yYH/+TQtHQSvXHhALy3JbmerjFQmKkaq+KQMi/Xa/fRxK8TG5iHBPuY
zAd3Bh+yCWzvFf9+gPFxEwUP3Ljm1messFoMnA8Y4HEQ3yLD9492JZ0dlMVkp+v5mIyNInuyYtz0
q2nIfiq0LIYC9mGCsoom6nFR9PZOC3J69VIdOKl14xJfoPQ6O5hhMh08SU0lGtDEyIa309DUOtT+
niOMQT0JXlTh0xcQGkOJjBRtTJ9hoO+0e9NgzmhM1VNc+JCq2E902asJBNzq5xed9Hsx7wyib2sn
H2H3gOcmJU6uHuDMEDFV6CVXIoZbQjTdz6rGdufY+jNG/iCQ6YmjK/WLNn4ASng3RPAGq4H0BiQ3
2tJfMq2pBNUhWH6fBC8qNeH8WcKf1U8iML4Kx2igu6gH28ktbBxwywudtmvSaCTMNZXonnb2TRV/
9YFzMLwG53J2iwqokjp6UG2BqzaYP71jNajHKqsHEk7czKoMGWxJsR/o/l4b4PggBhZ7zWZq7bX9
Vxdi43LLYcFqlyVVFtFrmE6fA8ZgrlH+puU41hjqX/u3zjnfj47/jgb6QXQ5d9j/F7P8xNe7VT5j
iJon7qFIHyh++yS2zFEh1n+kD33FLasfJFzfUIQYXzC25aIc1yoY9kEzCc5uineuwiZxz3VC3wYm
6ovj/4163v9edyPQ3cR7M8e0PYtqas7YO9NDNMiT1XrNOaxBd36jggyex1S9w0kjykuqYkKNu3+o
USZ8ImmHEifWijiCPGtgrm+M0q+s9skTFjdOCbi9c9w7DFlzzN5eXYJI8N3TRIbA4AT54roJj40x
fYBY5/LwGMxtL0nl0aaLf2lgqxFGIj22vVZrxtf26/1TgTjEjCQ14Ni6KxDhxB0aI79apTmem1xQ
/efaIWs3l1SNV/uIKsktiCM8dyrxWdKSgK3Nos67GsI9BTxnf7ab57llTZdFxThJBfbGJarNFIbC
xzQQySI47Yq6m57GJv6FYS6+0fkJibrIvcsYgCR11doAhn9SsBYev+VjUSUPAfupc+zweEnmge4S
u31onGKX0q5EgpmkyLJ+QY1FsG5dvmNaxfh46olU4iJBh3H/Bi4Ji/YcPToRhjzWpWrLmgaoJdT4
f9wdJWoXnfXTZykqgoAxmFyYp3A45pxPnfQfc778x32fWlaNDVgqUhwr3P5gTkWykfksdgqw8izz
33aANGCGSH5+cdWdco/Li8RVXh/v0KIIqCsdHNOS/S4Cyg1LQRR++ZNRzhdvbBj85vEHadPhhPyE
2TedHwMVTJ8Bxq6NHKi/y90LQOHiGHVjftRj6F09j7pJ5hH9xtZ4U2eVsDaVVtMdv0ko7G3NjXQQ
hqzIjx/1Ep7qE065sxGUz1PPzVFjPvvKTPaGIlHTbQ5P/aK2Mzh3+6S7WspA8Vtso53FpexVmFi/
v7bByZK54iW27M+un+TNN3tJFWZrMeXlF/gvmLbbN+LsfxRdfivjom3+9/+0/7Ni+pt85grXdSUJ
WiCaS732f6nP1qUAEOH4fy1fsFJO8oSLCwm3cM9DIuSxn7OPBIgWnEbnR4KHZ+tipYL6EbI9+Xbi
3O04OUF1YoPjJVFIaV7jJEeo2dETd/xqAl+yWfLQRTtslSwg6HZufvz//CKA4v4bwk0qQKHS9S1p
egok3H/8Ikr2PKTLGY+cltACanNv5/o5ao1tBWJuyzhLHxervVmGP5TuwgXN9Q8cbcxAAhILG0MO
nJgeCpetctCz4QcfwONN2o9GbJzHKDS+YYG/x/8V/i3/H6+9t9R3/wd1TnrCcU1l+gK/gWf+N+rc
QBQ5jDS8Tzfrc0SbXOT7VOfFvsmY7afEdz7q1j6qyXBIgqfhsZitlO5l2nfQMG3ysYxu9qWsRmyS
WXAKPSL1hWu9NF5yyoWY3rH64YBU9tlfXNT3D1UVbWQAhj9XQUDJJhkoHP9MSC2I5qnHfCDRNj7b
eZYb5aUvkQn20xcSZuTiRhEJOozpw/9phXlplg/3P8nW+XQgUADEEQygQHldGUt3a2jq434KIE4V
bKBnZtU31FUSDcoT+9Cd8TIIT70X3cCfjOhRe0b9c1mDoqYqX9rGOAdZLB76/8PemSxHrmTX9ldk
mqMMgAMOwEx6g+h7MhgMdhMYmyT6vsfXv4VgSXXzlumWaa4JM8lkskE4HMfP2XttGWIIUgkAGzFx
nyK/6zd9T02b5wjEUNFyJ+pPdLiVPaKd8KGVen2fUQ5FQpT/4p5x/umesS1bsNgM4uiQERp/umeo
HH06YArADx71QVYQAj16l4GgomOQY5snE073FZmsdSUnybLkuJOrDNxuUDcYDubFI8kTcTVY3GDM
192EUqrNFD0Q48Ht7d1GQr7s8wnAoNYPBWHCU9A5phZ6ow9FANoefJu9NuySR4OhdcvWoQfMSXLG
ucK/VOV4kYMVHcvARNE6cpadsElJj9FYOAz0Aic1D+RSMshDIHTbrgerbxdy1OK9AZ9mxtQy2JuG
4S0JwqD7a1fJHoHGJopV68mGZrcp7Zhlm7R4evyYtEr0Xv0GAAlog9v7ZiEOYdEwHcCydillUGzG
1n7uE+d805/e3iAgPoNDQ7ljuOSFJI26dKkar6Dfg5mQan+tS+3eJW9nIfsEBYeh058hKirCMsbg
I8IRcfBCAq381MzfmOws8tQxP+1JudcSkzCXLRaylpxoJcNVjvEhdkhKTz8oraPN3z+WefL41xuS
/KcNybFYGqZDAAYTcMATv29Iii85GJGLMsNX6qwqVNSHIZbVSjE7gCmGrxI6iYDHs1RaDl3lHB0R
NRcxsBkNrDDgp5oNOrHNcc7aiP+sQFtoiri2TVCfG2Xw70bzxcLW+FCENOg8N6AKKzn+hNpZreoE
qo0Sf+dd/O3k4xGpprI3G460fcl0JB87ZZuHolrmPrrqGyllrJB2dppYh0EbLzsvHu5sbEBBaRPT
Mb3JmgbMB4SuRz2nZhn63kZSStYN2HYkndNecFMwRmOYbDtT+xXEQfWqZD6q7Kx+9oDuwU8gXDYN
1fgJXOMwh7xprP/6whuEPf6+rRLLqDmqKRyHRxrX/vcLL8TQmLiiCAewHVwjMs8RmidZsoGvrybd
W6hGI4A7CNxhmsmDm7vgL9LqvTSi8lSqqLtCRHaIuTJGOOgu6Hda3rEyrXsvCvuHMCTPzUg43xol
Rs2J4sfmau0st3+9ia5vb2Du007QvA970HH9yNbRr2B6Vgzj1blaNT15qyMnmIboVh9K0aEzuvFA
RhoCLIveDMxQTxBc9NfXRhPT3vTHZw7CI5aiyYNSN1VDV9XfLw50xTF2/CKa4R8z1jdoZJG17h7l
HeT4vLKZD1jdntA5mtRGRk5j1BqfXua/taZZnn0M/fjgawBSCT18UaN849bv12WpNvu+bq3dCM6Q
NC2k4lptnLuJNpyVhXcghSOhn45GdmzsjBnJ6+0jFvfpHtVsRsQEnzAEYXmnZK764USkx0ZhvqqM
vDsEvabtbDPQ1mIwq+npQ1ddw9JqS+kQX1NvG99PP6tOPhi5dWLPHfc3mEurWuxMoQPcruhGKP0t
QFQFwB00eSbfzY6RQv4RGLQsfPohT/hQSXxXxzsU8u7BIJnsx7SgoEBrsAuAAdAQRDlYwuGbpdFA
MDqCRTUt0osqtQ+/sfwPQnqxYPZrxj/DC413sgAqTW6Y2AB4t5ij+WqnL2P+Ye43NaRpdYBb11ch
cI0Cu2AMNIohj2KffvbYIEObV1haceeg+5sMUh36nvlQALvAs1Dd3W7grmqqPSXvBM3o7+k6VyC4
GxCy07vtBHMlH/Ms7ORw02uKSbSpLjLwa0eR5g5X0MAwFDj1XVJVwwJDYfbkmBpzGSCI+DgRa8hK
Wd4ODhV530OsDJCF4kVLmvMu1hWmyGzUzyEtShRmjrsGRMjib0K1WjNNGaesqPE1jgkPFZ3xDdJo
rrFL/Yu6SlP/vAPYmjAZqNkmq92Qjj0VXn8oaiu4iLlbREBcLN9fKwOJ8uCQOFP6+ebGPLMxtEr6
S/S2rbmZquLKBlaRZzz/KcJzjZQUhk2XRJBP7sRmuR+b3j0Iq3s2pcc0EQiZtr/xKZta/qJboIHL
rXZ6olVXJVXrXY+bbqZa3jas3GGpRZmAdtIRUINml3FJ8IJFz4c1Rs4YPfXkqHc2AyMjS45B49LY
HxkAOYPjbys/9Zj62MlSoQh/4pDtgC5zF70adWTRk9ftFY48M2hHPsa2QamgY68hK/S2WsfWHRcm
YunFbaHEJkhUPDD4E1LAWFGu0epvNXU+VcICgNxdMBIJSdBXt9Kmd28fsxl0bhRSF63JPeQVIRBi
U0L/rh1uh974APrMdDojabvXzCWjVo+UmV4b9oUk1yK1/W43hPRAzFoaj6UoT2w1oFsb6w3x1Xfq
hvkZdBQg1gjt+42Oq0BoQL6BcVcSITA59PLJtIfI9ws0aLC/veflxGP8iy3SmLbA37dIw+LZbJA9
TK0qzT+Vd6PX0/crNE4BYRQBAiyIC+e7PfUQNmHtD94XwBnMyQ0odwt+I3P1Cp+1Xpx1qd31uhZe
m+GuhrB3l6vhJh19ACIMbGlBe1KsI6a5hBmSVVJNABE3ChFKmmBTmV6M/tKKVX1fh4TEjyoWP8tq
IcAEAZUmg4tQr8z71rSaa04GVDXh8mLNMY91x6YlUAqF6WPOmPbB6rWf/bT2+/r+57RQOsrcCzrc
zqowdk0h/IvUAlQrabnTuhr/iwzC5JC+WrXvH29vbmBMs6ZKYkNW6Z4tR9TuMz9t8ueB3voqsdiB
DMvLn6NaPkrS3Y++AUyvRaQxUwICdNqO4TOhhemJnytfkCWBF2VSy9/edJ4JjN2KxM/HPFSqyOWR
4ZnG0OyY4MQLtRAOWekTm0KQZkEXAkvbZCpw6OjO6rKFoUPmOtIvhlU1HvEhba2TEgzMjuB/MZs9
/7QnCJQ4Jsp7b5jDxlQjG1W/7t6VibTmsV34+xwV2zzTtHhtw4+EURBWd+VkA7DSS9B0Kugkka07
qm1qWYYb1TT+Zq2WO4p140FA1kKkpl91YXmnEsa/E5U/7k1kdC9238d71wVupg7qawDn7dRO2s9g
0MCQpp3TbOwk4mwmuZnRVjPnMwtSSvVRW+s08VtU7ujtTojDlc1fL3kdkvofVrxFmrbOfFIaU2Gg
GsBmft8v/U4bBiNyURnhBol1c0Mo0n2bjQ8+t2MOP3WT0yOmy4nVtbe3mpGFm9q7F4JJqOs/+aio
Q1ksBy3dW10jHt04PTmevfzZRTS0V1oFWaEn4wfEAOy6nJqzoZe7lXW6+utf5hbA/Y/bl1+Gu1aa
VDfCkSYXa/pl/7D5j0xYaSNV4cwJlHFNgqrxbOQMyW5WED3nYetNIK9AFCOUiWZtdAWex+nQpOYF
Aseq22mMf3EZcML2SAha1DfiIF7bYDu6+iQ/H55bC+5BTEphJuQXjgUm0WHx9vOZsq0Vhn0KQjWt
WcWaW0IPKXSwg+24vDkOhp47p6EQuWX3BbisRBEjD7tZGclgrvalqa1N1QnhZIPFzV0UXXoA4NFj
8vlIR8Va1n1kHOz+EpPOpYT4caVSmxcsLd1Ru4Gui/gbXyYGry4hCK4vcGFwq7OrDuMORU12Urp1
65M702VwJzRvUelOdBwqdAKcNwkm6Ux96Ru0x2v3y49chsR5124Ux9yOoLjnfZiLZweM3Bxld7rr
knR+27rDq2e63aa3mbLewOVFrH6CTHP2beUGIEije+FCZix1Oudh6Zmb27s57LN/sbDt30/qlg5A
Qmi2rTEsFmiixFQo/GEtmL6EVy/rr2yCVg7j5GLXb9cmFxMCmu1llquech9OZCfX1o8WdukHI9bE
PGxJb7+5gJSBLu5ETEutHkk48Z8YQhV3jtszOpLpZs27hvkS/cBVmFKIYlhw53FYtujjjYHIwaq9
H5oCwSrTKY3SfMuTEDSO24hdFhnGz5KoMapPvrlqssyUKQnI7YCHQbeN/HUS7RF+PNM7tVtyg407
3SFQEN4mChoL2qpqSUQTBDFPRqTDKIaUoz7I8ryv1nGfVOdwhG4cjQXw4ZsdWuZ3kjEzcNECUnNA
Ein1bQXZ/0z03zxzhTq79WrQ7Q+HQE8eO1wwO6XNmH1Of/M6aSxk02QPo80jJz3osrJBM3lQW7xx
X7vj3A7y4hBr335lNhwKQprxKL4c9z2Iy8e/vucFARK/bWC8zrbKkcaCdqyZtv2nUw2YNCsmePmr
1586YbU/RR6H73zBM7XdBLFf3iUjNVcT+U+W7m9ANQ5vWgsboQ7vf5ZEF+AzCeuWk8dAW8ogUQkq
dfFauLQJkrjELzNY+SsySXjv5zKx4ne0OJ+jtKOLErfRLu9NsYRvQdqxrn54HmnbkaBo5GRH6le6
UEbhHW9v7OkBCw38r68Ctek/XQYbXL0mEBlr8O6sP/VAafkFHI3pX3ZlgoJO49wRtvr4bsZg0l3v
LU3VcZWE8TOJ38UBQ5ixsnTcrwCc8w3KyQz+AKWLKlCIBczE34t0DUbvKOyqfDV9nk5xbEAN9fOX
3OeBPCTBcH97Y6MK3Rn+CFTLfdGSDHMgf1ErTm+19F6md8b/+ihnhQqr9HOXloSq+yCqcFQW81tB
Ekz1iTSUR4Z02QnMSMKkbkTARb+QrDpvzR1lM8oDUpwirUT5AwjLDxvUiyB/s/chQWyCH7I8etKZ
GdMYp26Dl6Y3I0wg+WdXpM2dJZQHhvbRIe3dl3YkxiPm9T0agdKs45onO0bSanbrTgWJk+2rSHwJ
QnBxZ2PYRllJLz7MNlhwjefCFVDuJO6lsizBz7uNeW19A2hfCKoc1+lGl880HL7K6b7ORZ3zDElx
VAclPCSUhrtWYBThJncIYp/6ZG0tjPXttjeGWt/EU8sOAcDPJ5n4wHdeMxnEwvS+Hv7OLibyARET
zM2N1iMk6Tv3V18n+H1wqZYl2Awc0dVeTG84uFR73DhmRzYyrVd983O+1d3MWiepHK6BTBZu2K5+
vH5eGXUPN2/n2Jt3Ti9ObhClx7b03CPpHvQhY4bVP18j6q07NQlLYPXPObr3Z7QzR6SDygqxab6E
huF/QK3InYom81CgjvJSCrDmUadfe018H0t9Y29yA+MyMVftfZ7JAQBbbOxyKZutbnTMWTj9ZuoY
r9PGJ0yxtB7TbMjOQsRTUCrqkyTTL8mQKWezthAeFfVxmlGB5o2cnSJUJje9qE+ZhTxxJNh5CUbU
WJgDXFUIPfGiLhsLHXiQ7TTdpyCUlgcfE3qOYirqMU8L9WkEi7ExWyv+lCly8ttkzCWPETAmfMOo
3iTFuNGFORzdcXBPXge70zA9sU4rY9wZqoLHus0+a7YtTArDk0F9fKrgkm2QvqxTb8CIVDjiOQY0
viyqgrmmhIUxcKog3G4Y3BI6IvWHaJUQnCAdqEKU36nO5VBSg5QAYcBizFZoTT+8MTzBsa2B+qr1
OsK7u3Ibr9tUZlhv2kFFA1RUW09G/bFD16vWWvwgoPOB1rIeSsPqFjfYamgmw+4HRWzYKhuD3R1T
VyV2NnD+jiLWiRrDUpo9Zi6syKiLl17njE8VnX3a0TAJNQ5MuFvcuIf3BTzworZGfb5tgv+XwKSb
NJD/5wQmSquv969/+/oV/9vTex18vqcZ8UvpFHO9/WLuN/3vnzQmTf+bYZLGRHfUNnheSp4S3a+q
/s9/n/7FMC24yhzeLZ6m/8hi0v7mqJZBv9SSUuMBQ1H99ywmY/onVbf5fFuzhM0//b//+G0GVv3p
/T/OI/90+J6e3rAQLdMWGhUbg7w/PcLqXNF5cAoYEyQ3lM05MM5u/e66DBXrRQVdVF1bPY22GbkV
d6skf2D+qguP9GfmIBAelQQ5LomLCqoVu3xMiyeRP5n4iLurOpIYQuewWIRrBwU33AQiNwb7LLNP
2zqRHWC5D0zP/m9B/iwpiyrrf16Qxyytf6W/vPL3dTj9p591qKt/E7amOqommWSw7v57GdosUF2a
Kqp/+vjT4CTNytr/z383xN9MQ5WW47A8+ItOa/8fy5CuomoQtSM0QdvmfxUJhvSb7/J7SYnyjESy
22FS5S6ZSs4/HB2IhO1iBsPkeUfhRamyA8yrvZq2uOyeW84BuiWPmmJtpCufaGRtbD+nI2HOlWSF
p2PSFeXHQhCzI3X1LmfVz8NChURvTCOr9MpZc82hBUUTlYRn+0jImqsdKeYyaIECxgqab79FeqhA
+srCa40Yad7V9GCn4n5UChJdR+PSaBNInqfeXHcwrWsKrfskvxaxQIRdzDIfzbufhC81WUJznLgL
El7vZdqf2yr5xcQQ0aI7ub1VGHwjfq8kyNaBzN5jfLgEsfMYsZOd1YMKMZ2cwCU7e02rVwzWD2EM
1EKvCiyZgbuzvaQjnsV+dXElG2W1j9ryRbbpBXkX4q1XAlIfM93BMta1Bbyk0FvYSQip0TOxbhbD
wiva4BBiZ5lVUPf2cZA8e3XqPqmFS1M2ZcygcbBfFUldHWvXyjcwAC6DhsqdcZQfRG9KmV4LmhR1
VL7SU0SvqKjNwui4mNST67F4NIYJGWc6ABPRL8wq5mQo+a5DTz+ur+l+tFUV3sVo5FQHwDleJ4bN
LgxywhcJLW7DeZMJIACt/TqgfUSh6D4QlgKcTTwJ+WHJsF9YBs7RAh9Sn8EWdBC8zUcf4aEWPCh8
loZXLuhpHzdR1syCUSW1elLXl/GK9C1ljvH2wRyt96COFqpZHX2bTAEPBVFqO+7MSfp+FZjEfw5S
Lmo3/vTHZxkQXOxBDYzyBASCRtMh6r9E5+6rmrTXMDbXiG+RaQeBwW8ImFNkd2EpVXBfv0ZFS5a0
Ip/7qj4CUV9VBLEzvIaPKwDjynTnGdi9hvg5AULCF4V5NwkRfOPbRF+6IwY53Yy4vWkjLD2VCqyx
nHcLx/Ug0bp57lNfRSCaOILnmrhzatoyndrPDYfMN8nwOMw9hh9RfSVteQZsBDd7nKMtEenLWGH6
8XsCVqO5JR24+ThheALYarIBw310yNMWMTyZYrxKg0DWUCt2IsQrF5KAEhrNvkmVaF4BpBhqMXX3
MLt7d4KT39yV2ieoR5rVUIIlUNU4n9JgSeL0Ku9YAufLi/gFux9K/yx5NyQ6MyR7IKBqfEoW2V90
tacfpo1HrLfhzuAFmvChaI/oEiDOe1N9/b6MuJrYf8Smzu2PjvW/rBv9OawnPC9cEKfbaxHHSver
15xVYPQBkHS4EWnWI/NW55Z/5cgO2hXkluNbez9r9gbZ2+V41ptg5XDv9In+LCAWzSL3tdSVbxxC
AV5OcMp+vG6r7hpaBbnR7sJkRrYIokJbpFJChsjIwtBZ2FUkvyISJYy0mAd1dVGS9mQP7SUa+DU4
O2otl2roL0aN/SVr6h2Js8RRP3PxagjrdcE8M4vbrdZbH+SYLOEVvXOMQHRZ6u+V7zHFyFtt3oGy
1DvrEZ8y9m9WdeSwxv1E25nkm86d6q7trWdJCIqTYYEjYoEIJ13ZEfu6spmbgr/aWaa7tKYs4y7b
9Ez9bMc7GXAJ4OXmottwTFgWnrei1Y5yJVwPlAVT0qhJwCgv34wcmFk1AovEGowBw9OHTZff6xL2
PyHnQSeW+BQPFbY+g+6OrvSU1um2hbCsPyEZWyV9feC2nkZJux69wfQ/tc5Y2iZwj5aY5NJf6kMI
sSfYS42WSzo32mBeK4Bbr1K8GrgGorRcW0RO8/2NVDJXeOmxcQ++el8Eyjo113qDfdsk4xqvF4oG
vMeBs8tce9Oq+p3abg273zAb3BH6hvNWrtQ43Rg5+xsI3jry0Wx6pwYqg+fLhaXT3urrE9qaOUFo
4PgJgeLLWQ6ouwY/iVaD7RYBu4SBabHcN4p5iEecykCJWoj8TvvthoxwiHyK7nPOBMYAwlplHmJ2
m0bPtkOWLR1hbWP6XBmbmdWCXiXCMlU3+L2WJQ54O/dWCH5uV8u1+21SaOvpz1bx35usQ1cKf+Cl
LdS912PK9byrSnpzYndLJQ3W2KMuYA3XXoP4MaRlEB4iJlPTdQWLv8YKN5+uM+CRZd+YGPpMwF8V
qfLEL/jlUvfvst7auK21yTNaXgRIwuzQ94WKlWvIP5HbMsOJsnsYaSc/1faGcNZlWCw15Wvs1510
jwCWMoLO46MXvQAW3fhleSzYiXQekLaZj/CBEKuI+EV03ZUz6Nv0fhllL7Ec7hVV3MGie84z5cKr
AttULMo6OdY9iMs+uke88lBXyX0ZF3unmvOEPGS2PHmN/zhKkpGddKPmwxU6N2JssUMoziYT35et
uksk9GE/ve/79jrY3mPEJhoLnDRo3Z3CfdUDPg8iqWLp99roHzw445UkuYUT2yxCoNGATA+0Z1Vz
j3r/UUqWGGERdlC91UP84bjEt2OE8zTv3K9aPXxJyTVBr8JA6qGR2l5RffoV/YPgayitexGonKpI
OZmfwQDmsyGGm9B4TVN3YYWxLbUn8j71zDl1yiWI0HlDnLVBYpmTqxvkmVTtzkHG3XFIdoYdrvWq
eWgFltCMW7pEuWEwl7HVdZoHZ8ZxuzFsH0Yi3XPHeyKLeykRFzpeuHI1zENRtk9KDOUefm0fqTYU
+zH9pb7aeQRl3D6lOTkyxfBuGN1DXDOMrN+VyH9mmPxaVlFOd0a9T9QXP1/UiJJBFR6tgjkrea9H
L8ftYCsPicVJ3A5R4qCj0qoFjKVfLssugaPrq9p9IfrNWI57nJSBuMA75eprR9vSP+Ki/+7IZ3bD
8QDP/Qnz7HPkxCj2mrfY0O57yKeecuhEekShhAiKtqJLGJCDK1ZjcWPQWFvVsCnBqRpQscu2OoWj
+pJ1IGXf9XpdE63K4DTyqrmE/5g026zolgUXpR6UhyEfjqVKG6Kw1zHuEkobHFFJti+s9AhkkZzp
wLuD+vZkRYDE47b/jmL3rYg/bNGuGJHZGmpIhJTEHA5Gc6mU8Oyp40s+uttODwH/jCAfLcwUU5uV
+IhSfBD2s45C/RHLOb8T95zbYlaWIa0BHo6j0TwEk9u7YGTee2DJPEPMjZJqQCR+PVOs6KPIrx3p
EVqW7qTs7tjGR7S1OhMKuq3LwI1ePN/ZeFV+5xA7W+XVoXIfjAQGQoUhSm+uWhk8BE10P5CBEloJ
GyRXz3e2aqUR4in2+DlOimafhjG67zJiFusLj7FDEvRXv7BPtsHLTeJJZV54AF7jSrlmsr0aPTdF
WrO7fFeYLDtNW6CK2JS+dXBC68oGcok9qm2r30rIQ1J3L+FoX7BuPSPbv290snn8cevqlGxhct/D
XClHAx+ad4oRv8zTKi2Xef7JYUXdBoX+jgHanpk12ek4aCg5orWGHMu1JiMj3oeMmT6i0kOM+G2I
7PPULp2ljXVIwuiIzaxrNuhevvyBAI9ssEhgl7k9gYZXmctjuCrMVd3ruIj6YV8Ld4tD+lh2PVdq
3JqxPLpquUk986y6fFaW4QsrGBmOdv7Qm+VA0aEXM+7AnqkHYRewmKm5iTMsU3/uBOOmTAudAQK1
jtIHO2lBD/GYvg5Y9ywfSrRX0RVXSluZOXU/w7tz6Ns4nDuyJNnNL4lKpaHZmsTjGFF3SDvIm27e
jwuRCxCgLKUSEWXLOMJ1zYNG9xXVfmvg2r7LPaTW8LGqZBAzWl8MgsprD5ZuxhGUbrcnlhbDibmp
xhvD7DDzp8ck5xap0+SUZuAtQjr9K9MPNxmd3RzZVkmkLrgft8RtyilLBKd+pPtgA39dGVq5TzVk
4Ry8li1D8hnNPkglgelxqGjfXVmsAkGNrkrqnJpBmAb5sfaJJiCMbZnp6lJNq8/KNNcCndZIhtyp
hpKORql5LUeJ20sHjuPwMoewkzZ2ZsckExTvThdTVjgximDUA2jz/KQSy56HOqZ1H5JYtuqRFNBO
gvZEXpwXf+gCz/mIY3LVNgQ6GPNWL55CV3xrrf9LdVUANpLpo+00bHwdxyGUcCC91VmmjDEUeT05
RLUHl70sNcz97FIh2J1F1kPxrevvYJogln4x3nUOgBR+k37WtZa2zvN+kjUiAnJkt6TTWGEkkv2m
7FMA4EC5Nx2hOitdGzLqc8JsbJdzblIYcsVIaS4Ee2jZ5/qdQYRPXprJ0sIpMqLRWRKGki+MrHXI
zAuDfSH0x7iVEawWESzKrFiqRYumTHuQeRFdSaKlfpZ9u0GPjB8v1Epck7BVEV43hF4ETDrcpp0n
6aDO2bXreeJ8KDlLUQj5C53QHjpYtUNxioc3AbzoBJB9pMFaVNJOLk3KgVkMww3ywnBmVIVte2If
xwA9FmpXdyjqtrwIxGt1VUcMbQK4I4K7GLjdUmQR8XZOtDCZbNjaWG9BwxcbnMzbQofHZGpE/6g9
fo8AmaPjcF5Cf9xG3nVs6SbQIp4lXYIlmBEonQlHAYjicjfSDFYl8nBOhOI+RP3uCxAZ0JuqrVtu
I33kVMUGhKcvIr+aDZccYMT7kAwsZkJwuxqoOUCi0vemzXbWGHUzi8cpr32cLIoWSGMQfTtyrrmI
Gls7aJ/pqz/JXPxq29B/N5glwZLd+m4JZ3RSWWAvhpek8bS3+sw8dFEwrGMn+MWeOkCkilKOPiSX
NFsJIGN3S3spS4aOt7/Blmi2ZKNTAZI2IkdAZPUt6Q1ZX90QgYnYyT3QLp9i9xjoJkM6yRcEi6QH
ajb1VfDNtaj/cIb6uc4i8bSVX0XtJQRJmJDkwjoesEplH3mcmBd4jSaw2ILYJbKZok+CmrInr+pn
nl7e+azNHW5ANrRBNUmtKWlGgsK7ixwE8nT2iUy4iZkMCzwJbv1gEOWh8iEF4FL/BEIoicqj+Mj0
hHFGisjaD539MMJ+YWC8GsFfHyVxEA+cuHaEd8Ns0yc5Q1q89I6RbCB8XBVSrc62/mu0RuXMlxYc
fvQSMkmHnw+K9VYydOOyPvj+M4A6uY4t/zN1YufVNLUnUff9r0If51U7PknsHMMYzCW8v3nrIHsw
O3eHlQ3agr4PfAdag0FSUla9IY47Z4FClQ7WNX4Dx/+LWmemRslblcRPuRHsuL1RwY3rTK9hBTna
uTMMiF0TGjk+Rm17HIjCmYkSGUqqAJICjAOETzJ2dyrnsVIGEFKJN0mPqA9Me4A0WRGLkpmbrOQL
EBxg1js4aBJz8pCuzVz5JKlrF0iaxWH1SxtjOScDhe8NnzxPcKn2Hh1jF3LPDJ5iRWQOnvM5U3VC
1LDuH0yHu2ZkS4GoSjbn6GzkW9HZ+EiDb/I93uxePOOnD0ZEj+2XEwdfZV6+8OBYGqm59QxrC6r1
EveMW9y3wQWtADt5PonMwPp4fFWASO7Y3yluevDHGDU7pmv8e48K7YV5jz4U6646a7WByJjkIyEA
TTfHZZA5066ylisRHGlGgXpwd6qpPhcM/ZXwu7QFMRMIXzpth8L+qzFCSI3p1lK0cqa5HhFfoErD
+M0Le8Q9lc3ipSfilP53FwM55KF6Diz3cfpTAIRrashU8dnIgg8pKN+oe46lG4FELMgNS7nHIT/J
kwsvtDIrqqX1aM4EHFsIRDxX6XXmH3nOZ1lp+ZIECzjr105ND3VjPdKIuTiKBUSWcK0acoB5l3Tc
NU5oVrOk9L5dm1NzGH5mnbEmaA53zjjS10e9kgasnix+i7N6oyN51XykZ1E41Euv9D/00dwGONLQ
x0dvHr78zNZP2shPkaVWjJZnIDM72SZqRkaceo3Bfc3G1F5WI9ckTeJ8Xqbto4KnhEDKnLjTwAcw
BJjBQ1qzFGPpY2Uv1iVpV66qURUb8WVsnG2rBvBLrevQ+ouibChqeDE6ZHxYjD8EcInpN7Wc9D4i
1BEX5ksXlxvFc4ikkK8JL/48IlCJrFdO7DQ6dfuxR7XccqmagrvDhihOOPa6ytoPzVf2bWJsQq09
g+obddacw1i3UJYSLwkG+uRAi+DTyfiVhtz/6DpzGZNxZfEZbce1SU25Cip/m6Fsn/6OkYsTeDi3
7obeg/+yS0t5Vu2EjUfSk6tT5HamuTES9AWG/b6wK+R8aPECFWphTqXYkK7gJ0vTiZaEoR7TRpxd
U55qlIZRYy9KD9Y0PtJZz8/K2PJEVPyU7n2ObLEBKoHp+BHQ58a2R1CDGVZZZZkaLqNyvnMHQ6o2
+ald+h34f1Akxd5jaLJbdsfCtpRZlpjbMOjxMRIZ56dEWFn0g51EbquUlRqzSwqIwGr0XNfJxTUQ
cnj93VgWqPVYZamSXLJMnKPMoJiF5DTVPpfG4+IAHkUNpVqPZcjhpL9FWxZyM2jQ1NBD9CBt6bjI
bSQ5g2U5lrj+w8I6TPWHkC7n/wQkZswnRb20VjnxmrRzMZvbK8VIYSbDwXKJk6k1rpXEwxhE0LQ5
Sg2+TleoN08l+JShir6l0npLIaDVqfEd/TRso6Sn7ACjf+sWunmlPRZceCJPv0WN3EBIZ6G64bYu
SePE237wFXNTqHCeNOeXIPNqjjLi3rL9j+ojyVQmGwoHRmfnK8GH19unQGASqccnjZRmQIJtqb+q
+BQyHg41TDlPcXZFk74FHmmMNpRpOnUFyJ8Z7GYc4eyuwm+P+6xmE+gCsUMdNc81pOTp9IKawwPt
hrlixCQZyxMRrZdSB0PiZxdUhNumQURnEys3sqeRj2UTpliypnukR7OwLqDqoAIGd/jxnYHjw046
cw3wj5F+TljMMQ5x9LVce6/Sz/i5QP3lDcnazatlPxXPWupsk4wjR5d05Am5+G/qKPiKG8AukMZ6
PKex6+3LIX9B+f5klNapJ1K9cjmn97bFMeX/s3cey5Ez6RV9IkzAJoBt+SqapncbBE0T3mQCCSTw
9DqYGMWEpNBCey3nn242WQQyP3PvuV57h4/4LPLpJWSggIJ+s34YeCdqQ0yeqgnaMYUCh9kGezUs
j0vfPIJpOeVtyCXCK47ju22t73Hg6Z0B1njkfWszbmWY3wxFfQFjgkY4z7+Y8tYe/UroTS9j9i00
mpOw5zD2JvGU1NMV4UXn0eNKE0m2kt3xm3rca4EzXltPqDyhuLaPYyaAjlgoH8TxMyV3Lqv8k2QU
EUE3aFuiyxJxXh9ZUH1f80JGQ8x1aQK4ivO07WR4i1jv3KXRU65woXN958mAfiY4oQm+54ynHog4
Ma3xXMd6pVPcoQmSG5svlafN3Zx5xzkabsRUw/VRnPMmnV8ph3kn8ahPun8z0vsBuck6DXWmJ7EQ
N+FD7i53ozVj4Sc3la1QcGgIhNqku8TwBDQyANrBNxpE60Ht5/m+ZI648ZnvMMmiwXL2PPp/LPKT
djB4rlWBZLlIUcovSUjxlAFMJbI1XUqkQ/goTmh4jkGb9HcjGrK0X+Xy3bS1lsbe6dLb9TFTnZF3
k/hIkASTSz4CVdnf/18g/2uBjGXuf18gP/5VX/nnfxExhPyFfy2PvX+s62HEdoHzn4KEf4kYon+g
ZXbW/yeEaYXE4d/rY/EPJ8YRgiEkRCbN7vnf62P3H6slyo4jEePp/D+uj3Ga/Q/lKatttBAOdivb
5nv5bzoGzXO54EGB8BHfaB+alU9oHdtU5wonndwN7Dh1CG/OXRPtu+HiqYL2E+/viLV+57bWfLAW
1iT1GsNOUOBK9vlJZ5nD7fCCTUUYx2aM6ZPhHjFWEK9khbJrLNLmJACOl6tJmImXIAliH19HMfh/
dzTnHBb2gJOZ5OWSugT9q6XEY1xUhEU31ampk2m7DGBG+0Htap8DNis/oJVg1FmoVAWhEFaa/A2G
4hkNPrS4hAYlVBPFnGl3TRLd1EW00EfbR7sytyBBweM688+kKURlh4rW2OohJp1nq1eRKCJrUPwG
BfNYPrE2WPYi9aHpTl3Hed9wbCYYoLnckMVX67zdYd0cXvkEh2xxpCjiPBEFsPgORbUpGxykVgKW
eT2bq5LgIiszJ56ffbnEx7y3YlgkZJnXzd+2k3+UFYanGVn1dhEq35My8ZEERb3PNdA8/D4GiBtB
kM0Elqv00+teJMwNQXKysgPykCzyr4IKeXTQ7udrSB+rHIF8nMDh19jgRnZu+7S4iufpp+QPbmRV
fiYWqLWpFB+MY+BH+mjzBnS4CzNmNoXub002Cu7CYW+GIYC7ktxGagLMyS+oFsTcVov3MTFoDCJN
aQQWz+8I7nBEgowvhsc8lEyPRwnNqv2Sc1Bu1HWWTsXWl4YQzbh3+OI4KULlbwkMBIE3tnu3Tj4T
dutD8zhoOgCvRyct8p502eRGT84xqvQhRc3WsQ9y7FM1Zi96xNnKp3XG7AACp4Rf2VB7M7HZ9xbE
fr4COG4otgl4wGSkgp1uuxrI2fr30opwt2CBLIDpBMcpWJLGuZ3y3z4X17blf1iD9QO2BJNBtedR
hnHDtbWdlZuijPBezmWQI/PMwSUxiIPe1VNQesEN6Xg3aNRAeO5EGvPxaY1uSIpPYBAvsx8Tptpz
LcEd2VC13Eb5dC2a9L4JotvQid4Calb69/pPXvvbfvIfM6XgN3gokcJkPMtm/G0c+H9I/qJuiWl5
+JH9Wj8owEutMx6VM9wia3pUTnge3N+B4C5Bjjr4yWeYM9fdCA/Z+hRoGqd0IpQ3yF5FNt3P5hKQ
nYSt7CF0um+UlceUmbIuKtBG+cFkz/4k93x4V4BlHgaZg4i/BufrAzmU/LANHnAGiXi9naeUoOgy
IVcXamG6Qeb/JlX6wK96676Hovty16FsFUGo8Abr24vyt7RnE9jZbKSvdBowMxyTj4jx6sYaehJi
rljDjSAaGehpkLpUJp9t752HWd/lJL55CgI9HD7M758Wq+LAH9+ZaBGBTEPUcSTFgbjrWvccW8sJ
AgtK9uEiUh5Gz9bXWW3dqwmgfViSUmZDY4IlqATg26xCBOlmGLxb17zXUuwgOmeYt4E/R6b8OjHi
o6rsh7ccPXMcJTSfwKGF6Qia8h/zSiT4o5hZ5Rkmm+leOR6kYJduzMTuWQUubSWP4TYz5pUh+e1o
wwLSdvoiMFVukIR+seM4VD37DMLon6SosEe1xc9CcOBQfOu6O1u+fxPXJSBglDB2EN3lEtyxWviD
Wfagl4mv0wenmASCjebgd4dVqtq85hMSFBBxf3yofJhLgOx0gtoqCKMPqGmULj0rOtCDae8cC1X0
dHrpTe7XFxQRV5PND1UFlaE18W5wOd7Hwjn3mow01XqbdGTiVc6E5cLBktsuTbbWGovV2xZZXYUL
rXZ8caLqC2+WYn2dAqthIEFfcG+ir3T9j1XsvvUxZbXrvc4IQwD9pDeo7zM2/sE1EThHvX4PEYQg
Rgm30yDj7Tw492Mkr4I0D/acqIC5QFxJyKxiFEhZ0g+nKGeOY/JhnWQrqipEuuBFuwkUm+y/58Wr
Ge3iQ6AhxWS+vI4dKhq6FIIriK3a9oV8nRcwTqZnVUJLl+bus/StD7W8xtYNntKfBA+/j5MMGObG
WpxzKDUSnEZ8IuIGLdXLI13ZWxvRH1ULIoOxQI2RbwlvRng1f04+MWJ+5gOSqjeuwbTETpRDp6UH
g5D0mpUM903vwQ9FTdGDmw4jGKEM9Nui+SmJOIQcTF/BsP96miJO5kGcSokAK13bwsRj6qIbLtyI
ALwF/y8RXTHc9fgNxfdvzTqqZ++0RVQLcaYmwaPFtzZPPBveyxgg/V1zFgjJHUGKN/dJYb2MAhKs
iHWIWT+6mzuSGYecoOnFGTZDgMUqT/N3UKEWTXhEJmT6Q7gqiiW2CC7BeHpusDGM+8IVzQ5/T73x
NKnlQb9OxiirHQ4IF2hWyGLPLQjk6Eck7cTLgnxgV1RF07Lx9bngkT9YDg7htdO2hywAqFbuwlHi
iyvmLXj/t7zvDJix8MN15KMzVs+G6T6yacDmows+XDEUZNSiC1aWtsdRj/aOXqM64nYNNj6wwL2W
BcKMNLqywQ0ejbfsrTRfM8tXnb2tbWZqbrbTLIm7hNOHm3Prp4ye45WfHBIh0FvEcu/LwDgHCD30
6RNqHMhDtStuMUfLTWnc37A37Ei6V0O76KasZJJKAOAOHxqLoG83/67I3t3K3j4YwPWHdCA1MLaA
7VssO/jSsPeoDEIWRiePIAcuUL06+ok2VRKG70BmWKke+pQwZNKo5g0auCu7TSDPxkC3QdHKdD5l
YO9QqeC9I+WNGzNhEJh0NErDq2Uq9HIMWIH1GtpMryKxvgk5cVz8xeSlEqfHpLDR7XZpaxYO2iZ8
zT4gRHijHio3QmbOHtb0xXFGaj5lwm20sCViH5hFHLnceKxWyOrCvor+LeYej9da03j+jQUQMmRI
HxNovWnT4btJG8D8IOYcC2RulXz7ffKXa/9sIgca8Iq6X6r5kLOgBv504Sne4Mg6+cbOD3TF3Dng
u0j8DmNye6Dvkzeyd6XtnWzV7UKbTEPiLuUWwMZWjUggspGYqvkrY/hpVSs2OfnLOBt3HPEq+Tye
WRA9zBUruDWkI0htl14u3VFDXqmlQgTE3JxkDfU4LDqBEq7eWQOGVfZbpjnjH8Rqaf2dZsGfsMAu
EJunYH24rArI2hxkHyGr+TH0VuIvMohW3VNVn2Ey1WB1gx908Pt26O76GsIkSNw9IgVi8LgJG4Ia
N45dVKearnku0b81FuaDIGHyFsHEgjzo8DsT33HmvMDyPMZd8MyTX+L6IsJAdN29jCqY+QHquTxf
qf3qZqjqT7uBOdUyJd9EjFjH1qVYnTmzsnx8kkh2aKB4/GSb7komHUZ8qyCLKeDVfuQ2vRS+s+/r
YrnJ8umzs/me1TTcxr30Tmid2h3phk9GLg9EZkzbbJlp3oFGMCGsf4ukw/1R4ZIMJIljDtvZUZ0K
CkNHz4y1y+EjTDguuXwROsE4jZXLCcBSgQ0Z126dBtNmKdxiq7BpkX00ceb6jkdYa3gYG0RixI0R
t9vXIPI7gp/8AvHWVATEEUUrdsveZuVCNISoumNv2u9iSahfnLNQP7BhsFLOFAADScKEQ7J+7MKa
wPmmOfUjW4OhQ6WZtujYGpbcW3vyi2ObegvxgYh4Wahyh5TNzi0UgvP0veiY10ZeioTD4uCAYZAS
+DDD1R3l0cmTp4Q6/oDz39raDcycssfJH0TBhsQsasK2OkPyvOQzqEUM1+sxS8mcESBqcp6mlJGC
cJq/xgk5k7wbMxC6YWX2d2CQ5DkIXjmcQzwZMdTq+tpuF+uga6YjHTTuyTloYTHFj+triEr0iqU7
bxcvo4cM9K+TB5Q2lotSl3R3ITEsiQlsFNhKJVxFsjODEUqlfuuFHoShfQAoO5j531a7/oDMnBzN
Te+z0/X44Jp2SrbkCBYs9sa6+zsE/QWAO0F/1fye5C5pspAvxnlZ6FdJY4B4cJxVSDAAeWKozFrk
uvtgIs+R6eBpQl677YqGZJnEht9Hd+gUNs6c4N0WU7SHzPqILOejUxOHXpVRgEzF49w7Twt7jI3o
sYIBwtl44Zs9eTkXmZr37AmOo+tkF7c/hTkOM7dYQBZkaOCKh3IqwNgM3r3wy/4S2g1BbnVHeCOC
X9XMoH1hLDJDukNLwNFghp8+9vdzk8GzGFRBNIL9x3DH7joNta1wWemLggxTUyX0PciFkjaKrsOQ
qTuPtEArad7tfhm3YvbDA2EdXChr9+EkFiZ6znaK7+jgVOTDwPE9LZlH0HRLpkZtoQZDUXeZIh9G
fPuYGOSfYdueU3d+nO22Arfr8XIzRMUZ1V657NE3vswRFBsJARK93DBaD4whCrRL9K+LbK6coLjG
Bkyrl/zGbhhiBZ5esqia8Ycxi7DB1rKa1+Tzxml79InfwZrH12Xlzwoq4ky2+vCsU7l3kUCdoVVc
BE8XYDrVcm/vkJ6PFPyuyzGV8t5zMAl0aBB5PQfoZWBv6v45iz/QyiM1H0l3Z509sOPUxDdLe2JV
zau2HQc2aQZTuUwsXkwfaYOPQnIey4ekCg7U+MR/OAcl8Ss5MBQ3TFmtbRQhcc/0dGMVERM5eBnk
EJJ8kLANn1Z2rQ9CvTPeTdTo1eCOHzbon7A3xpBdBSnoTvs7a+S1o4tD3VLWwc+RKugAkZLteCcw
RsQOxKPYy8x6Sd1Dl6O/zWzqFri6cgMvpthoeTVFKPeAcKC7QYzJCBddjEPzQ0+rWTJzJMGQ+GmW
kHcBYLKHJmtXjXkPW16x2TSsfvqoGw9N3b7VIZ0lkJN534YOgwRw+NYAGbiuqDzrdA+uDbEQ31fo
0DNhLb4qaam3gXDc7aH1/HZHG2ttAOC9KcLciVjeEbTOlZ5Bo+C2xLnNJ2PjRgM5U2z8kMEpu4Pw
lDMygJmD0DnG9jtQdPqmuTel83cCzLvrZsMKOz+UOP0ROwsMC6lH1IpWV33i3bnpaVThG1zfX1vy
etQ49PadO+x8tKY906TDIgoHbYF4Ry6M6j241PJFxCOWgaS+UkifmPW0t0VnqhMmXB4+WLTbzkIE
X2WflGXAnc2aPMQvsUu+CzaiXTU9J75HjV2R3YuC8s5nT/PPocQwsfSBs7eXLLBpdawT/IpHozE5
lw1RG+EzXoRsXy0CuXdl/O0U8k/mDiIHzsOD6NzLMhT3rmr/hkAl7fbEUetDQJFqG4wsYnRSEmxG
7ARDLqDI/qaaIsYDIQvJoX/x8tkFkQVCVEyXLC7/Ztlk0XZYtLp2eAIIw5AiW5wNtrtPO7oek8Js
u9chLjJupfjZKYfv2XGy7cL7v5EpIrys/+gJ0trFBGVtWDBaDGHs1mFc3uY8ZIG1CwQ6IAGSdmvu
uXt55Z3kVbvA0JXzDW3oK6oQZhnb/iljdL342Ylbd1bCyHSUDu+00lDTVAsKnOOLhQVCKURnvsXf
CoOAq6DgrNJt867j4DjWAfnTDSxZ+KsfsWx3k3AfIraynvTfvfJ+WPxXinQsLKn6mQr17FQzSE03
fwYbrMgk3TDk/JvXhANQE25Kr6CFkY+ZJozMLn4HDNXTSnxb/+UczpM7Z6emqQ4eSouN66bIAcvp
yhuCbz91qZRALM/eg85TtuSU8kWTnFpS5/CTEqMQWAQNSP/IUuMx8opXW0VYW9Y/N9fNl/KdN5vz
HXxYdAANxImm2SIUOj2ZiSLGtbSi+fFPUUHD1VoV09hqjYEpOqRsxGs6oPsLwDhEQuP3GYsBOCyP
g5kXoFe7LiP7JWKYQpQBIRwos1Mu1nACDzxA5oUDwtW5G1v5IqHEtssg9wuWJ2IKEdXllXNAvv6e
zxHdwhggh8eB3K8ekX/qfO5Lt0y2oa0PcpEoV9IvexAfXeD9mUB+dfChVi4w+Yacd2ibwF4WXcuK
w10HrKhi+m+7cXm7xhT+dFB+57QWcxo9LpPzGLdI9caRfteKchjRTOWMDtTOHWG02Et0FRV7QLXf
uGg+ZMk9qhCJkc1FB0+qzMWZGa41c0YZF6QXFyUJWpcvMnPIaXG7Ye9LuC6hd62YsKQ9MZmKqx83
SLCRJBt2dXrbt0eb6eQyLexynEO3/v9Ycr8S+BqkOzx1A9p8uzlGEty0JjBw4+jg2I4F+TTxsqMK
IkQm8X8nfg/YfTfxNPBZuwUbrfo56/3nelABPouU/5D3bxaDffAe2DHU1L6rqHgP589lmN50sNcg
V0nUArqT5xnDaybQUyaeWruwd2PkXIwlmAi6JDR5KVenbx/wTOOTJX2HxyL+rTCVyH68pIwrkgXO
75jxy5hRm7nG+5IZ2QquwxE8uqfJWbwdVZXZOmW4i1N9SiZJczqwiQ1Uc1815s1HilvZHAU6wmvm
xIRDeoNLusR8CVjiLl5PmxaDTaTJfx/89ACkmeCbwtv2HrXybKFESe3uz6CGG6fW3g7BaDkQ9t5w
vW/DeoB+7wcbC6MJEg+SzQeSjXX2M8f5C74BFtpDBGmPu21t4cm/wHDCYBrdqNNfkTXiHZMqYoys
OXHaVh0tUnk2A7T0pbCxdlBwWOvgohvZFsgBLXZF4hDReoBYgC9j0t5EFeE/MyKWwjA06oSLzUmV
iDg6+8NvxXMIm3BXq37PK8IR70LxLhF2MZXL/1QklU1TeWMnmEGQz6LcLM3tmoVBapbzVEdrqdcm
9zCFAnK99e1sCPOBVqby/lWg0MfRTZeKyIXU3A1vAHtRCdKpRaJGudQQkUcNRbcAF1xlBPvu/Nki
+6cnwrNrbmGAARPLC3nggdqxtF62FQAZkRMrRFw6bq7Sgsep65UMWUAV8v90GlS0nJt2j1TutcLY
VSX+ZxUrhkocWJjoivfBKT9TD+WBWaznIWAfAlxgIOw69PjeJ2o4UK7aNO9tbQOJVtTLArW0hplE
XY3e0PNeGFfIyIfOoYNsmxY+3K8MlU5oj9vcGYqjbnOq0yB/bDr/a678GEzzCPp8JK8qHC0OpQVQ
glArLt6LT4MI/nppUtG7kYXr1vSKURZuXXduToVBWNONlM7Y2ZmCZO1uRph2aOCxbdrA1Afw0S+2
stWu7PnscfwuV8L6yWV6bNxmNY4zBYBvtfOiSeziqLojavwrX3NiWGplFfPDOWtQCNckoHVa1PvR
nl/nUqhDNcD2g7q59yuCgdKZxTe6om3gdPDaancHZzfP9U05oS1KkjqiKnc2aCP52IPK3o6i/QHm
rsq7/CAhSbO1QZzpFN5zFRJvmoIEqsmMYz+Tk9dCQsjBu+nhRu7iJflZlvAWTdF4zlCbSFBifm6Y
dMe0Vh6ZovVEYiNTetpLOye3M8VDQzoU5mhnE2hpOD+cj5q1IItrjs8cRIfuyqfCiu8Sa3qeJvFS
Dva6Y6vhXeb+Nm/EQONeGBSsxzL36gvnipmHLaizvXHBHXheR0Uoi+8EooydvPfsCGyVPXugTLe1
8n5NMnw5sHZ5ltqd10Jly1JOfBuKAOObAHyljK990SRcaeOrT6lL6QDpUfJDWevjjd4VMSAGEokb
eysycABxz6ikICK4kwrVPjNCPxZmK6v8AFb7ntRAgmZntClQo1mKdv2+zi6NoRDvHRqIqAgAoCE5
hKi5S1W3WRAJX1zLOmQ6jvej+o67+X3NwNpZXYjgu2AaW7jYWfw4J15yOo+tGPDs1rcczb9uV1rI
YT7mZo1rdpm1Av//S/3mdMBAuKQIvEr7z6WDBWLAU5Qy+1suII3K5j0OAZhSMGf7zme6YnAbYJVK
rkt9P+vpvZN1dprVHGIRW0UDabHpMtCVAltkDRQn88erYgqvizT/KBt4qlFU8kGJwToGFUVWFOeX
POQtdELioB2rNgcaxX3rj+UOsavjDde6Dh+z6grQ9QY5DBlbEyo4qnK56yim5pLMt26GKm3mdxVi
zJqbsme5SeSQdt0reN9P5ZJh/s2R6OeIGkD0kwosWOIEdfRV+Ow9+sl+5Uac9qXgH0fvcFd3yNOW
xT8tVvGZcKtBkah/l1WQBaGMgU4fYTgjyWGrPYmTbVa34Zx9655WuB35V8Ygvg9FSzBNmXJjYr7T
xFIe6ZIR3E1/uiS+7ppVKUUnzLTCJU6jcB9iIMkbIwOB4MKGCf0trPhJ6fgOOTdDnrYEPJRuRAkt
Kb2x4MfvNbvcfVaNN2YRL6m0nG1C945y1N4vaag3YUCMW+LxZAUUtrLvk70urWHrioEZINBrx40+
Erd8lXrMb8FLvxSgeoFMCohG+FOoNN5L2LYIh2+9NcPTHbjfQkbYFQKi3cz1S0cmLwGAfB3W4sLd
eGwyujANyH7DzGp0If6Wdp1vq2Ydd/r7wVP5Ni6Lq6jq1SmJMMCVHu6eNFp4EWT1U0fRh8bg0DA6
dFOW2It3jXwZ7w6ZPahPxg807f3IlI4knL8oS8GQpAyWMbZ69zAdSDG0RnW95r8Metb7IjEPOs2+
Wg+hKyuIQxz631njnbMouCFyNiGvZudaJK4l+bphxNnVvxXK510Kq2evYZLVy7H4SBXRB8SFyIPR
PtnPRfpHIIwhed66NWUO2QpifbfOvFwz13uQv8g+/e6c5/H8IJ34mCEXvJATcBCO3VzZob+rB15f
8k8P0gWj7Zf3bdKE9+iP57I6tDas/mV+gN9Irs7GJwKWNsz9CjjwD0XGjCudOz68mU6aCAbufVFU
Bz0MP/CueXuCKboAYb4Jcgl5pcIHMfeG2FifpGlLyEs2psNxTNpbkyy3qU2WTV2Nwy5OAuaThljX
i9+D9G3Qkdah9T5FcpdlxFEFQU+GcVh8CDaAUnjb3FjZvjYFe5qxYrM/T1hFaIOBp7L+JPkybWD8
czJuxmAajrQOZ6QQBMXwy9pVkzvuEXmlOIYaVzw7SMFj1ecPnSUEEIBN1T6iq0Jx1LFaVAbXMg64
jU5TEm6GG9BJhmlC5nSkaeNkHQPcdoXyut1U6FOVkpjrJoF3auDx0YYyjdU6tK5a496X+TjBJK4M
OzzcC/xYmOqGON1lhoJ+cpBrNcQudpN9N06a9FwcCHzG+pk2f+EMuPaQfjK44jRfuuBoY4CHEcCg
g48Evo17cNls7bTXfFaW3x9qEhgSkuwWLbJ96r1UkcBKqvRVaE3lscBfkE9cZ1HNFFiI5Vy2xUvj
9gSDQfHAMaLKzVRBqCHo7qMT0XTNBb+phlUgomdQupUMb8oh/xBuELDi7rDpKoH3Vn40UIp4Byl0
gqA8Iug/q2yBBxRNxYUUj6sucNHkVOI1t9UhDb2jWYATjdXA4qPGrRL5c7wjr5cZRDAfvRRteFh5
W0M7c4xxrm/WgViabt1BjsdsIc6Xn/e3ZGO2aFC+OqdCHZz62Yl7uk450MoPDX+8VhUqDX4JjkH8
40qDx0Tpt65pdg0k/scwaguMVeVLLFFBunZ3i0f5jnPvDZkUN2TEQlBMBHLY8iKd4LHr+VUAH/wN
XReUVhOeQMh9Ds0MllRi4AQjB15i/hvwNUl3wuvjWOuiN7Q7tP3VC+p4TB645V3JyF1I+w/Q65eS
+nfnVeHJ0ovNQIfIrpzHEX5diJaOn6hn/HaoI3VSCtupJNJ0bwUADuXAdTaGL3CB0XsmeOhsVI6j
YzmbiVT5sr82pSL4MIqrczJc+gGIndcmxWMdOte2sADVx3+juZ7PY4wfATbtW15N34mwIOkn1QUr
6VivyYj2scoYtvZmuiRiwP7QXzqXtsngETkPkzjWIa4iO3Ly3axYAkspz0WrwTNa3JyhVRGw0zUE
ZBH3STU48Z5gcnDKHs1oL3ZZS6z3zDkyVN0NZddP8OIk03BJ0PpHnXol6xHmFnf9Ji/j21lwGMQ+
OVDspW7wnn26IuKgmKyTjifCQ03+1Q3xTxnVv3mA/VHJ5bG1vEMVmFddG1bgvFX45FlJc9zsJhtL
EPsv4g5wH+XETHFs70afWIjah40l/KvSm+4mw/pTD+BX62r5yuhTo5ZBy5L2d3IquIdK4lusgZX1
HKn1pSWDHpvV1o34T6VpUlS3RbAhpTi/Hr36O5EDZlOH6A+hIvSw0WfSOJ81gtatp0mltV9Rcs2b
7ki6RHc2io9o3VbqtDzxPq/LzOxCnFN3OC1TeVikx244rxg5TZhyVzVsD22FG/O2trl43GZIjrF9
GCWmohAfCXNQ55PSiOX7MjOWOBl3Zvk6s9sPw+xdcQJKelHWtsXI2jZsdrhXbfxrEL3iNwf2LHaa
bTMWDDR7NDDLvAvL8dTb9CRlahH3xNYSdqKBvJ+pJ9mSoGOzI4fSVhC33U3EzyUPGlFdqszOkHiD
FkwvN27bkluItL7VROD4SHjEY9jap0lNbyS+ceG58U+lyhPX9GlJFgR6Qb4zyfyoG+fXpkqMICOO
HsvfVOb3lWqfZY5411N09Xmpb6bRGU4cTJg3rrklRwa7JthGWFjosfOXIOsoXEuzZ5fPjv+2SPXP
XKCfm2P+RBcnZlcjUd5WVj9tGM8Ab+aPj2aT63kVL7vyYr3YuNzPYTtciqBsWdTW82GgQSzIdQ97
cCCzK+9FF1pUR4mgjzP7wgyXelpHudbgEf3khRiaS4qsJbz2VrDNTOqkremOcaMj/WUSe6hSizjc
pSYenoT6zapKIokMTg6wAlCJj0SylkX6Dcb4g8CMlKFpg1UuwZGWMogaEYZfIFi82Eb3e3fM5UNQ
YJBvqr/wR+svv14ewkbbP0Grz2HVvPfc0feATuk5o6m5xsRjUmODG0jv2CO0J2KQOEN0SAPad93L
kHtn345eyI3pzrMlzMGemotK5+JTWtW9aWjYRadD2tWeVNyV9sjEjp3+cjdUd01sp1ekgH8hVdu5
VRRcWENwv80kCho8KE6obld5WeJ9JOUybggC5JzV42fUmdcmdEpCLqdoU3KaAmwp4bIP/nMqZpqN
jslOT0gS5oHIPnMivwZjZx3iQj/BFQfVwOF9TngDTdKXf1bOSzEwXlOzYvCykKjGSATbvrNP49Jl
dgiSo031p5PQz7LrjWJztLW8Iau3vwp9a+Cdq4GdaG1dkr6XuEiwe3fsac/bVnngQcbmrhKi3TFu
AqufM7Gz3PKzD0cuLz/5yfGOale+rCcZdKN5tZY6q8mUTIkvJACr9XRaTagMtA/lakudFgIsVqMq
UoRpNa7mOFij1co642kNV3Nrbq82V5qFeTW+ytUCm+KF7VdT7LzaY118sgq/LCOJ7wb/bIuPljBL
gu7YFzBGTfGPJujicN3GuG9nXLiIldadLls8vVp0e7y69WraRarDB4GNd1oNvSnO3h6HL+FO6lqu
pt8W9y9bfc6J4pSvtmD8A0iUcApXq2VYCYD6wfTs4yVGh8hDjrsYEFa8mf5pOFbP/mpAVqsVecCT
3OJNnoM/zWpVtlfTMvXmtcbFLKnBFlzNGI8cMCoYnevV8tyt5me9uqCxoC6rLTpaDdLTapXO8UxH
eKeT1URtcbXtRMYYtlwt1gUD3ADPNek1+cXgwparHTvClz2sBm2zWrUZCPOQAmRZTdyVDOgg1Ej8
r6UeZIngRTPeiWzH5UgO73U6nCorvPEn+4x2a2/34U2Pa5zbZb7qcYgr/ORksBMigsPcFVjNm9V0
jo4ZfQQ+9JEQGX1f4U2vGTlaNlogg2u95NcscbGvhHot2W2Qxk0fnT6Z8jivtve40nwVC2+7iPxP
hKDOefC/i25QyEVxrRb458FjMfbTzy6++hh//fpNJqI+iLC8qzrn1fOTxxWcMaMi5cI9d9ly36bZ
UzbEz6MfXYs5BZzD3dBkT5X/G8/65C/Zg5/Pz8bJXvBwPdfQAIyF1cC8pjACiL95rmAGJMMj44az
gSSQQBQoIAvMEAYWSAOrT8RK2UqEa1K0OGUQCez1SnH5RidQBV79qZIHBb8gYrJgqQ67QkwSePlm
CXfvMMGb4R7M9SaAgkD3f8EiyOX0nITll7vCElABgrrxPDYtvH+5pGXNYCtAanhovRMUoB59MHfm
P9EnPTwGyuwnDz7DAKdBwmsYsxMWPn5W6t0V58AA6Ezn/6bgPBhfPy5cS+uBwEISLFEIE6KrvgoI
Edwpv2JFRkywIwQMCQQiLB2gSlhVe+UzwS5X3ITHGyLhTxg4FD08ig4uRbPyKeZzAK1ixbdoFHIm
BjZwFOprCq4AWr5Znb71Zbofu2xv+Qs6teVozLDNIkR+0DFcjuNsxWVgEruJVn4G4cy+c1dB1cAP
fxFQNlosLjHUjRHneAmFIwzdLyWcmx4fRwClg9IaYkcHuSO1+ZuQPFaQTADZI1iVmpA+TFQwmTav
EwQQq8UYd2PBQYYN0sEI6WGFpN2ust/+g70zWXIcybLsr6TUHiGYFRDpWjTnmUaa0aYNxNzNHPM8
4+vrKD2y3DOqM6Vz2SK9CAZHI51UKFTfu/fcDn5IKUEiGkQRD7JIAGEkbk4G9iAEMx8p+70YDomA
RzK9YS39ymCUkJQ0QCwh53Fp8KVwCC4diCaWjE2DcJJDOhkhnoyQT8LC3aWQUARElAkySimVMzin
G69Adltfc41AeW9bNu1xKsTBbrqV5Y4bX++33mDMEW7NUSksvfoiWEQ1g2CJWaEzmXYBlcwsrYgv
oS39oebuiTPhkkDBMsHAUOjBB/4zho9mL1ULf2ylEdeVPOReQyV9erQMiX3XNiUIqUjTH+pSuRGF
dRrofPD4i2ONLw6bMIWfUaJr3PHBHUsYTsYLAVCP8gBEq3ZugVrberxKvO6qi/EliyHdANOQj7uI
pbxd2+AA08s369ya/sXNAAKP5H5F/XMdh6cuzre62z6yG5njcNy6jjhUWv2IHo+sn+mWNN5llHQw
86SMdKAQ/mZqe1Ni9QWGlYl1TvXVB5XkDaoEtGnsQzKE1zHgw4/dCR3XKaSTZbT1qqtA+xjBNajc
k5o4b3IacQhOBHo1k59+aAl8D8FLBVc5k7gOTiTgJmLh2K998QBe97m30p0PE86Z10Nzq38QTSrB
Rj6HButgUpHH/KHWcPSlS6d+sLIbm5hjH+aLiqoT3IIJyQ4lB3Lgw/Ggwp1r4uhhwINZKuQ/joj6
ovAZP/tDoLWnsnXeKmpmTlFvNZNjihZk8KCck2kFWnHhtONVTnPyqfS2nugA3Yyuu5VIQ5LeOuIe
uZYQi2jcXG01vNooxvzOf8bw3If9SbOZGZvwhQ7yQ0sMQ5KEz4R+Hs0SQ117ksCiTowPBKPe/2F1
HVwNxbxpOf1f5SQ/jyu/z446JauyrIcfmO2MjjZTn4BleUy84GBEHwGhC83onoI6fDYi/5TWzNG8
FWxskgjgZxSnaYqOEr1kDe0J7Myj/AHk30+N+qh0a9vwryiJ9ujQbr0xvJRhCGtkRFQdvRqj/zzY
aI05672Hto0hvn+UI0rrnOMgvksEE5vma5OasCfwUaOwd9OUVWB3ZfPP5gPVEYMvxNIeUacmGQpX
ZHtVHd6rtU/yscT0NmX1UbUZ2uXwGT7yS5JPF/mPmszwge1brZdkHU0XWo5PUds+otB9u590VPGm
6z1LWBrDwbNkL4VCvJVhcLWqJcD9h7HNv2XVsBPQZqpeXwdOtwR051L9k6AsVSnfg6lFmwxzBki9
m7ByD0heml7SONk4zaHTvDd5RPFdnbRWe+m6/ilp11EXnXRthI13qY3usa9MzK24+bTukd4A4MJo
03oq1Iz84T5s1O4mR69vDZh8kS9QwXVMZe8WzSOantdp6q6Ror4gqXnLLVavIn0oE/MNucZ6iKwV
I5MTBHCy0bvpRKGnHKDyPNkTkyj9CTFHZBH18GG7p7YJr5b/1TElm4b/bCrWzlGxF/EyGp/302sW
+0+t2pxgoxPNCmIs9NdDGX8zjfi9enGm6uKtvMi7VemP0evOLHQfJd0n8OpT2PPuVnujeXiS4j4a
W3UxIs+GC+V0j6oevUIJfVBM+1CN59aFulURFEbUAo22YLgvQ+THuv+MLmrQGkuSgbIMZS3vzwOu
93z/nLYOZP/Jn9TPoPQJZO1Y573Lf4XdZK/MwBfT3rmOj4uTuczH9mzGr3qgvqQMimqwUXu3t6b1
MIxM+x7JjEveVH0zhX6umLdK2WCMR/dxcNR9GqwQuG+cildAYZkZJORZ2UrlYZHfiFG9yZMXmQLs
spZGlX1rivq7lvq43/0Hmx0VzSP/2UitVcsM6sNUr4dsVaM1g2rNt8X6tl6n+XQULoQCRSXcqMUR
7m8iuG4Ra1LBjj2y2kMslCeEFdtU5HvaHwdLg2SBzzrEl1/28UWe2Ss33QBv+B60xTwPxbq3/WdN
QTSlaObZs6q5X6RHQ0gnS5M/9NlrH2mfLWmTiKKYFounwcy+WdXwnBriq+67c5qcB8W94pIFg2Jg
GO6eCNeZ67FzKAxyFXMIxDQtNP9qgV6wSaQmtH0joEK2Y76ZymFLNNwuRFmZAttDcI7/THOLjaMu
xEDJqwXsgbgIHcvaa8xDl/ICpE4iG8GD6vPFiLySsGvmBnOeue1hSrIHA1gi+LeDiLSjnzeHMdpW
ol2jzwbJn+6GZBU8cJIITxRQN4nXHjD7HKD5LBsK1Y26D6HaeYGFQPWziKRRsLsm1gtHfXguQ7CI
mJrQpji2fzD9ct/4HUJoIH1quVb1cRsgllEpS0LuRJH17Pvhoc/TOZW6k5T/kY5Bb9570jwayHqK
WgrvYrKoyi96qCwvrUXvs4RB66mq+a4MYSSityhQeObxABc/IF4W7aBNUZgsODzNueTHdi7Twbiz
uvjks+ZwrG+RW1/tNry20XjBbIDktVi7FnMajfCuOCdZ/OAgQsQfRjNnQtUZ8El8WgnoJOamjZCo
++4zivSIGantbnnTPZI5NEsiKHRuLQXNOlUPmGUJ0w1vF78Sak9aIiuDSgnXxTAeuwCqqYlC7Cze
Ql+gni72JaWtwXa/zDrbWdQmbAJaRgpoOYYk1/0UB7lw9SOfBrSz1pnOOvUrqp2DVFc2Yh25R91C
mmMH22Yg4I0mJToNSgkeYIJgpdf5UpGfkvvLNgXbms7KCKpJMWBVvrQp2aCCcE0yVjToofLD+PhE
Yv2WAUBpKBykaHQV9voipTLmE1qG+t9exaSuSzN3OAJLnJydoWSbQJvIDYOKWDtbTFLDOIeRutQF
AMkRS1BMZcYL6gWEw0V9LqJu6YTjovLGhUmLxvPkgavMi8HZ4fKv5qaOQacjdlI9YxDbkbGyNcpg
XY/lQrNGIHDJttFyyJErECUzFKbLuNTpKyI7rJfmFK0qHV+OgVMpm5Pt5bAHtziAOv5JXsOZ+9NA
4opSgHGK1BVypTNeHfMovwGuyfWy/BVS36T4Xy2acVrQ0rviy39W4hrChnp0QaPky0F1d+Fkragq
hBREw2sHn04xCNtNi7cskFu14JLG5lvkXSOkTF1u7gSw1uHsieEBZf+bR8GcXVbRqehsVkIltZAR
mEPTq4cntGQHIMgPHeqCAiRqTDJXmWyjqF7LUQCE4Mh8E2ER+t7blGosHV2OOV4QyNOkZssjO6O2
tI6M4DTE1mXJGefuTp7wGjSY/ugt/UFsq5iCfa+seq9aV4zCoLo6cUFHJ0qPsBqfzR5MaB2ehEMy
Qzl891SXxvK40/jUWONNQ9BiJp0TXkaFtUVju+p25JtkMzy359LrH2mYPGixwhSoHq2iR6RqztHg
zjJmJwPHjlyalj4FjmmF2/jYW9ZKPswZHcassxUyyhX7SyqYTcH0jDgwxt7EQchGgdthCv8TnqOT
9auuMZd2RN6DcmRHMosOPbl8o0+VIzgN9rRGR72simHlje6GM9ASmNUSn5R0CeEeXiZ1siBkeCHv
hoa3VYS35tA80UvvmAyk5Nwev0lNxYiQEV/wWp4IgVdfxi59GGsTnKu1Gtxgr1DvCy5UBHajefY7
xILk8JW1c0pNAVelOIeRcdadaq16ZMQEjwUdXMNfWf4KB92yoWCl1NfeO08ju0GrWI8kT9lT+VYY
/qXgtBdC1AqsAwJPKmgAwKFaZIoMM2lBFYLfzOa2ACxgM7WGeC67aoFzatEhDDWialEr1dobuqWR
2gebxnifAimL+6WuxFtHRcE6BIeIr8Dt8UyPG7u3Ftj2nouIH44FXohEXu7m2LFAhhOPtPRfwine
tcCM9W9yUDkl+A4E0dBYnAF2cxCuTeQo0Wh/Rcm2V2nODTpAumKjDcbqvjs0G0KMh0WcGK9loe6b
kJxFDfp3sCVEfllY1PH0w8hQydgkOjicre4jtRQYhHSAquQIw2dTbtXYeLB0HMgmIVAKM0zbrXhh
uunJ7a6ZdiC6STXTVqTuOi2drfyamh/RKVGWiuDL02FCGbP7V857ka6x8GjKUVtctBErBX0hPyT0
VqZ/d03FYcZYeW+5z4iD9YClkgL1yqt0LFEsAvh/FHpLvYc5nL8lhreyc2c7KP5FN41zrZJLH3QX
YmIOJZ5DKmRz5lY6CCbsZpNz3E2ZUGIE42II8g0qmVkrLXmtSimhWMmJuWu7TRCC/GJSjcv9fa5W
+dFddZ1S3csgnFOaX7YBGloAdnwbYwR7PM9WvR0crIIR3IVrRUDnIMIDNvsiCcnf69R90ohTnCW7
WO9uBW24eAL0pLfbmK0yJn1O14TleCaKYXftaYhtNKha5bAaM+uU0BpHq0jUWAfybPpsqornpVRk
whc5kmNIu3hszlORHPtCudguay0TIS3KlboKDlPHoIN9Qe96g2JspvnFXq9f9Z5WVVevM61YpME3
wb4O8kACizpy9lmRrdBPr6kkLeQPXRLF1IbpZrSyXXKBZLiOkye/gFZtmWdVMSS5YycqZw1E5wQS
ZwdrYFON6prYY4rqzgI2wL4sqzPS7rOXHKs8fwjDDA5Qukv94bGI2fRA6x1Cd1uZyRa97CFVwkVk
8E6IbCZ8nQnSCpWfAWb5Qp+czZjRMmXJ7UwHknYgoGH8rhNUW2ZpfiZ6ZKxRGOVRUSJVARZlPVQR
+QBkt98MXUG3X5AItvcGJ4ATVdAgTtkJeGjq/z8f5M4H0TAukzPyzwkhy+sbgSd/O358//rMs39k
hfz54l+0ELImDNcwDd3WhAb44ycthBAK0zZtQWwEVWuBxfoXLUT/w6ArDkjENQ3Eb8ZvmSfqH46t
ai55KKZNGICw/p3ME013+FPF75mFmuOamq3aBG8SbUGHkMd/C5toERN2iGYwqrnDsrN9Vnd9Y6NA
R1EoF4PVA3V3jsnoQTWdvVVUt1FxSBJtgUBECKRY21g5Qmulkc6JvD23SvBu6SdCC24WpudOsOns
FWUnfO9EtW8lYECQ372A34PxVbNfnYmwtvnYsKhkWd9LpTbrGw9phFev4oADH+wdk4eMaI1Q3IGt
V2UArKAGn7iQPtS82UqmN6LZpz7S46XqaTn2QLgXvl70pJ+lz81A4clSGzoTEebMFGS1hzDOGCPZ
pojhWNAGLgwiQan2IiEZ3CcxavQIsSyUxVG19B8F2WsA94ddOhzCHKcc1XJ6jw08ODYrrkXMpEkB
ahaM9IiVFtQwswD7UROzn3jri3REoeBmMzxVqMEfgXxQDx+8txBwKcbaXtpaJqwes76ggNwHLpKt
76j4kOjbwzEMUbuAgygHMtTVCgWsUnKu0ukGiGauVfU5VtgTYRbJ4KHM/Mp5MCxyM3Lk8QLOZ9xM
R3AKDxFAimUYFhj9Qk50crcZZVSLDKN9t0X3ofas7bx+wl8AbCRGh6lBhfLMkkoQO7cuJnT7XWvc
Zyvx2QBxEYYvQAe/laF/UIMeUGt2TUleJxEie7T0xWhNR7x1JBdW/rmrW3otykGH+kka3A+zsPa9
EZw6Apo4qVCmATH1ZJW6C2T5u+V1z6Gg5GtJcogyYMDG/U9uC4pXqbnj11TN+iGl6BuY5rOSZZe+
SS5ND4LaGunbIDgRdgnNAeGExhoZwiBa1qbKyVjL0huq70dbMCOz7581lAyG/gGkJKTYQj206kQL
YWgeKTzPlVjuKFtsOw3iqiCF2dg7j1guN+gz4pZt3RTTxSPBijUEcIx+iPapCjNdV7vHLA/Xaai9
Z0Zsz4t6xwmC4PooQADiPmoTtZLMox8epmg+/QJhRNe/GL32ggxtQXPw2Bv22qvR1KIHbUMNakJ2
wEu8Ed1b7WOFiW3/QwmM7SSlIZHufMsy7ZYKIgiA2s7Yiz/BRqArrvYshUCF+Oi8qoah5KNU8icq
oFl2rgNCR+zS/K4QrjBrOkIqA0AtvWHNsdA/5EigySe53R+1GgWsAytIvXYTII8u7kPDWLdDulN6
9Ndtpn5SmZkFjrcPiJ3BLt3vCiRfhZ5860X9pjrdD3RM30IOf7qz6KLgXvW9qLZ6vstsOoJmnD74
+DkQiAxnol7FuIuEh+kiQIDbrISk8AEhgOHVIvM0Yo42oECr0UpeRndcwrI59NG01K3+Yor6aBnB
SlODfdCruwI2tyVdb8/5RMBaoMeHYTSh0/vsvp2tmeAuqXuJYwPcAqLTGIp5KjMqsg4fqA7JbOb4
oYLgwZyja114vfHSxQVWPd7cIQ2vxfKTTvLoLhp16eHvT0wccxVkzPng12d9kEQC18XYRhYNPHw0
u2uXOhBiY/STbd4tS9eqZxMF4sIKKqTNaBk8QtSnrrpGIrBnlYqGKGl2eRLQhG/VZ9b10Aj51xEn
o6ADO9Uti9uJhDwJOGEPV9wchKdemPzQB5xIQEDGWV0PhJHr81imZwcxuDPUXhsxmbvIjn6YJeS3
WCvpB1Nxa1Jk2Zhf8YJoyrwCPtfU4xcLZBauRnWFt6+Xp7TDgDhN1gj4PjpnekPyRpdh88iGpV1n
IKYKdR1PsTOnCP6SFcX7hI4EJBSc/qm31jH4U74ij03+G5pVPmb5BlnpCwGEO6seQRBkfGi65zV2
CLPGctfkZ1RCp8xBaMBkte98CQUYoi/ERwhbiwLqG89VDA4wLVSfowjm+qRTDkNnPu8j9zKWrJaR
DOnLwd4g7tZBpxAWPObqt9F8Jy4I9aE6RvNGidD2dQoqK3RpBBZwJknaGeL/piVbxu7BlWTKcMK/
y8yfqV+eGd/AHTyKqfscnXCrj1Kc19O854yH34p/iyaYWxy9fk4nWyaUmwdEGLeEC1kcyedKqGKp
Dq9uUeMMUoc1CQb81+9MG2Jc5zLevXw5emk171o8vfxkT47ladREozetvKicAeaFG+LrFK9Ritsk
J52z9GAWgdVAvWQUj4hi2esRllBb2pmTH8UNl0a5a3yr2wRX90DDCPwUfNJYmZmddwK+ezAcRkxt
W0vkXIfKo9bUqB+KX35vgx37ty9RnhHxvE6xeGineNk7KMpNs3zXrIZfxUpfRNs/WXq8r+23xpqe
qyJ901wJFktCj8PPmZcgGGKleCq85FNHlUDXGNWK0CuMkkMIarQ6SKxLqaUHpcJl6TecQPuu2GIn
vgm6jcz1fCNhPaCibjddTXc4F/WnPZQYA3ICsw0ysUjigXKg4xtgA+yrskRhZ6cOHeNs0jhhC5dO
aqIA0i6cDzYot8jE9KvnzZNtdgQ+oMsZTPNU+HUM+gEyYJeYx3ZM41mJdGUR1eiAS22fTLCajbSx
t+wXPvFawEec5WGytxAopJbeowY3dGgTaOrVpB1h1tJPr3JK1VrVLJntzpB50M3hAOXrG94bW90j
IMQh+YSNjF9LCej9G8dOOfuTe/FRSc40VP2zthue3VT/yiqQIK6TXkFNH5nu1gONppqwotp6NnLt
ybbNXY+3RvGhtVikZAdPFCBCVH/a2lXqC8inW/SSO15Dyx8/TW9XNirXmN262DkDdKzGQWUSO7iK
1Kg5gztnCGPREYgjYVjoDYFK7pyReoRm+GJSiVuLGAOuDsRi8JR9X7e72jO3ZVptXW1aO5o0nL/e
F2XpvOzqAJP9hH4+U1d5ka6SSBzypPpMDRqdamEBPQ9WXjZ8r53ksVQLMI7xp0Nfjk0aItAfTW2V
824I6IEW1bmZRjBQYUgQiXU00trFcwif205+RBG/uO/gUoRBR3R1RPnd6zy0hJqFArk8CNoSZRuz
hkTYTiGoY5ZFtcUq77XqMyqRCrL+DM2yUoUVcwPnMp8Qd/+hV61jQpr5rCFTbO53i1ba0jPHfFPM
6Kw1/g/OfLOIMtt80otvnqs99WNxlsvENLS3vWU/kQFEQoJFe6DB6GojsZgxSX+Lck7k7BVmcUrH
gH/fckyGmxr4GAgRlBK2MpmzBuTGFJAYHqYvncwCbTgx58H0RRuG6Svyl1ngvOvGqk8o+eRXpWKJ
W0jGmSewWuStdZ06c0v3PJs7CRJED9ac4MSuZbtIIujoLW5qCaVToNMNElMX2ADrEKQieYRhl/fA
7Iopw4/P2hcEoB7OdTxbGJC8N0K6Q2pVVHW7AGeyWedn3fjURF+RtgM8L4GiJ2hdRXq3GRK7Wbas
5gRcLkpUhqDqg20akhsNkRowXwENdFLBCVr7OEm1WWnSI1Exxo4S6leBABRIJBZlPwL8S+hi+338
hHadpBiogJ3EAxY+M7s7FFcp+kIth7+aFsanMmAU1OALAnpfZxI4SELS0b0jCAUwwhAqoc1KhFCY
6OYH3peAW0j4VzE3ChxUrvaWToy0uC8pubScSFmhQCKPNkPhu/MpNR/tIgQDLiGJucQlRsWmkvhE
OJBr7yAkVNHQL2qQd3MKJOeOluTGaVlZkJ350vnM5cTIcKwhtcSdD8EIVTLAn/zTFnU1b610URmt
XMZQFocrPqH4StaYwduNFu/0UMkXqcE8bI0gn42oxOhCPJJcnrYVVi5jOiIfZQFEQcGUlQVF1hjW
qtHXK1NWHlh43WpZi8ithwiqBqaNEiXweqgcnXgq7bNuYQLjq8SvSWEjT8cDqqJLzIE9QhwXzkQX
ywr6dVtbb5YxMSNVHLMNpr3CLLHQtYGKk0G/6RNnAqXtd2l6HdH6x40UU5IwMjdb85VAwQulmkuI
/m0WUlwzUdMGSfXeYCpZMKxYdNSPkP0eiVeYTYDFwRTyuyCap67LhMrJkpKrgdLdzeN5rLTtcqro
jGgqnS4ia9u5gwEGYbALLjcurHnpjQrQsHFYhgak6ipCoEYyNcz6Dj9liKJJsQ9GiyWvJbssD1XE
t8yasWYe+yR79tqEdIx2bwGu4LCpoGRjGwqTchv3zNydAp+rMJSbEQLkjCt+ShP+FoM6SFDDGGi0
nBZ4dadiE6K4sR7xsdF2+5rKDoazFU74czzWll0fUvqM2aFgV/LEMegjtP/WUGzJxVm6kitRqmLa
qk1lrgC2EdnXuWc0pfusiaJ9E7hrM82DdRhrzTI07WXIQKOLSAgWcV6zvKmAAGThLbNfCzxui2lM
z0Fm+kszNPxzxaYpI75ijxDLtLtlwBKe5Gd2KYUkQsZppy0Qml6GiM1vLZV25UhAFgThejFU8U3r
c5DBNdQ83HfR2snYqvhaHZ3uF1OkgzPQIlRkZALGnnQ6NmPAORmMc5b2rwZNVVweKvkW2UvpRwBX
Io19kNLP8bZwakvdKF+1GmlgSaofzQRYZpofO50jqhAnYg+3NFlIF+wOutEkz7XRf+OnrXBhDMWK
LgXw0rE8Ok15t0tHK9WzV34Hm5jYSXZa7kRHZhwvfutXuLSOmYEuurKi8tMrL6DQCoR45SkKR/cg
GusLg+GEXS1EVHeL/egpVDlBV4ZnzLtCo6+tfJVl/RRVcuETIwTT2rJftCEHXW+wnVJVjCr0+1oi
+hKkxvNWz7CV+y+17ROVBKEA8WF7HcYQFKd1ixLt1bDza6PSW3KBDXWlf6nL9NPIQhSM4poiZGpA
XQ5RfWk9t7uQGrXSiUJZ+Vr+aPn6LWfqpRS2iVX2tAbhklBhCEHQlbXv4Ldt0PfqFGt9Z7xUDRVk
gaFxyRG1qA1w7SzeoOJ3CJMCm7issV4qqTIswddcszKsGCJEnUeJvckclklVi2VaJb0y8nIDZop1
DLFM0LQAf6cO+usQMH/7Rpmxxos+nLg3dtlFH3FmO6rxQ7GA7mdAadjGioB1+JJoGY8dcZJIKV+G
L65bdeimDXU8Ct06h2wES93YMfJoTzMRWvmbKQrO8slYrXrH/xY326SsMCTo7ndQqO+6QP0zmt9H
pXzTOtgrZtb+8JUtOrkbHgn2M8YHNA4sxlS5J841cdqTU8jqo5CzIQmY23rsv3otqTdsTpAunPOO
md8BuZYqtAyi/IlS/cGYss+OLQ4hKzJ9bmBFqoZv/oTwxq0XXRRobFezaZlRGGA1APiNdm3W5Tm+
FVx6eHIBY0Y2u0xvpbRnK8PRl/ssRnvyumWvFx47Dh0rCMSmrmJU515EkSeggCQNSlrzOCTqI0Av
AsiRSs0rR+yhSE4LUULN1LCPeI2b4REZ60UepeXG88TNgm650nuQC84nWbMmXRUD2hZlmDGP4M3W
LJOEGeCSDEJ9leK7ykNKk3YuzC04/w+PcNFdqpoHBCo08vj+50UzfnaxMu0xu4Fi6tCn+e5TOKkv
A1rQOrMNzAhJNyOc9sO3qx+TLh6wtK80b6I3ETNn12YI97H1JIqd3gfZEe2iESNKEXZSZMOxl04Q
qS0Uq1lyVxOI7znZZeC5Zh6FTFwmlJzCvrhW0rFmafTO0ZWTBfNkt+Jdq4EJ5CC9sYC2LP9UcxtX
j3FdFtcYET0Ek2kxNaS3xC7zz2hV1hqIFI41+1NMboGzqHruTLqSBtFHsWMDScpxR+LameFhvyTO
aK1Ep3/3Rgh/+KGewmB473APrrSGdOp68KrlIIbXhIyP5b/fBziG3ymb5T+a/yUD07/nxVgBwW3u
Ady/bi0e//fT337k1d+Oj6unvz7zH15IdLe87X/li4/m4x9uLO/Z4hds0eP1i03ozzf585n/tw/+
mVD+NBZf//kf3/M2a+Rf88M8+537LVho2bIm/s9bAdf8e/yRJP/HV/3sASia8QeuedNwddWBAC6L
9n82AeRDwmIz5PIEIAiOof93F8ASf9AfUG1H5qK7mGqIqa7zVqZR85AJIO3vjQNN/7e6ADz79x6A
ZZquSgq2KlxaDcSpCz7D7z0Ap09zkQ8AKTVBxcYlKKVdeXXu7LEkOUigWdI5rrJwE92hlJKP3b5z
NX9dQ6ZcRHnmr6O+4eQplOykxWV+ul8rsSmdWPHBkwRdh2g0Dc4++8qzVJH3rdodDa0Pzk16/fcH
40sYh8XXZ/jx1yH2D0Pz/7XB6BIU/s/H4RoGVJZ8ZPyrfx+L8kV/H4baH6amm1hSVdcSKmHl/z0M
hf6HMFRVc2yN0abbEhr/Z/K5Y/xhCUOownJUizKAykN/H4buHwLrmwNtEtr9v9mLcmWs+a9OlKVr
wgZDIv+QiYtDs6Hn/z4KoSSMropL4OhMbwmc0v1YGMV+0pEBtQrWkKwsEdnd77xfqGNI4Nn9akDr
df/rNff7evnqX8++XytsG71TQ35f1xUbHKD0R4YMaqRB9QIbsrwK91HdRxn11dgvRyiV8qaC0EAo
1t8f/u3qzxcltlDmveVBUynLaGUn2BxwKCHNkheWFXTdz9tp2bYgdNhJIHgd90mcI1nTapZWSohh
iFkVoL18TdkYI7VwCGxbPbAR9/3j32my3uLN0F3aUzqu4wpN9sjnZafQVofQRqrhkLd7v3W/gBUA
8fzno0UBnhhlTHVg9fLziaq8VVQOD9yfQzcL83o70PEbx9Ok24eII1b1dZaRU1S844o5jzEq7YFa
yV6AiZYym/zdbod3kUfRtXE6WLkKUH8/7tK90pOcRka9G8ISv98TW1O2+23AP/wcK3+Db/SQh1lT
/+d/MJj/xxgSpkUdQNdUzWYy/csYEpYVgU0U2hEYJVxMAydvLC+ohkuUW6A3u4Lyy+7+yP3m/VqY
YsnERUe5ynIK0p650BO12EHyz6GbyNu/Xb3fdvPCnjlD2Cxp8qsnK16F7ADO94uWVds5B2fVQwYk
mtRydk7TgvaJwkPa+1T7LeWQZD6KbWLaFiY5qdg4rfeoklVqTX2txj7e1ImKwtWzs5uto3jq24+x
ic01eWwR7EjHA7aSOgfL6cjpBjd0+HXzfl+W4YM3Cyx78hm/Hvz1XMXSKYN5ABPhom0zNCErS23H
nY5ycKdaHgfdr9ta26cUSuXjPx+6P8urjXHXFc3fn2rIx3+96H7tt+c0boooD1iMqtjmmVJ+eqTa
LhPCzXOTxRE7VDsGSjAh+Sx6spqjjp5nMpCmPE79l11p1aUpTDEfJw/w1GDb+18XqYjEbzeFgMoY
jjXNFvm8fiL7rsPNu6R0i9kvy5p3KCgxBytClSaSIU/yQlfMao6nKaAm5hSo4kR8CcYkWg5+O15A
eCD4CCmF/+uha8pz7D/Mfo5h6jaTs8mi07Luffrf+vDdoKLVp4p11HSOW7v367UVQw/uWN6KmN4Q
iAe/L8ZHqjrKpsDPiAzMc2c62um+Nz5QaOcnqwNTw8aZq1NOigxIqc+f97mFXE1qj5p28Udyv8hE
s3A4kiPo2Rp1hKkPOlCDhAHTczHgNOvdQFfEupLU0RzZ3wbPQey/1gmRpGbfrQYtanys7CZ4+BR+
a9yGx/stBui//mYsljn/45sRmuC8oMpT1F/PCwYU4XFwkuTYjRBKZKWbhXRlxITCs7DlMhZaccAM
U7A9lbfvV/3OeInjuFr7RhHj+KMHIhSTrtEY4kSJ2m8xfKf5MKqfQ24zjSn1vldETfnccB/irqRD
RwksVQplV9mpl83uVwdDCGt+v1qjbwT5IJ/18+pvTzAygChsNiFkkGemOE2FzSiqTp3eNyBb9Qja
V2jtW0gmK/xB7VmzMgiQQDtvmd9hunO/YgAMyCuIqz4EMIP+vEoJIDtoaABXah7Qka78fPuvv25X
/cvXbao6SBmU7aw4Lb5xKRj5bSB6URPpptO7O7XvsSrYur77dVGoyp83oamJFLLF32/fn8Oukjv/
8vSfz7zfaRCKFQ5atvn1lPu1v/wZXCTGzzet+bC/v0tRCfqstJaWNjjSQ93EFVqwEt9U26kyvsmK
Dz2c+XqmpWm3qytkVEqNqOr+SDRCtZkBZkv+fNKAZGAr7HDz8777q+UFRMDmz9f8egQserhRCvsc
3P8MChn+jHy2AhNrabo0Mk03nzib65j8qwTM9f22Le+83+SQ1FdM7zgFm6nBoZLvPKvZ2+WoIGXO
HSieSYgQUpuyRav5+sv92v2+Fv8g9cJo1oXYPGxjWTaRe6hy0AD/xdl57chttGH6igiQVYyn0zlP
0sjSCSHJNnPOvPp9WONfI429EnYBo8AqssfqZvrCG/QhvqmZtrwE1FYTxfPqN9fF+1cr1wXaopbh
CVtg+ey9SxJGzwr8IZbOcainDLTnIGjQo60QpA0qC0Eu79WaMRsYqstuRpAaP4oukCG8a4+yRGZV
5bVziWNCFGOTZdb6VgI5b9kszAIYIDFNThH7OiSi3M1F8LeigiPXFJzUVmr5Ht2pRnJrdpDE3/b0
tCYVqQN6MI7RsEUGdOfAhmPB7dAMdAfXXNX1/1xblZPrpI0c1BcfPVF7xySbvZOGl82paQxMmmGg
rtX0bahH959D3taIHbxTHR3m7qAry85yKI8VElEOpf9zWkiwwGqznRKN1oTf3Ma56HiEyyA8Agsb
z7mOdktpmJ/r0Y93ZlN9tBBPOCUw6E9Ya1ObeZuPU/XPnre1OByhw1reHUIn81qfjAzjwnIEf+Bn
D9Cywqd+9CHL6uhZ1KY4lD2CJBDwh3L964tEZYo/vsUscHOmtMljAZMBKVseLj88PFI5RcMIKAq2
RZMW0zrtQppRYe3timZAR0PITiJcpp3HMkH/rJivrXS8l9norBPVLnTTl2nstN2ude2JMtyyN0fz
RQ/16jB6vbmOvBnuAwTER3RkjjxR86uaofbIs9ErX9RsTIrmcaL/vRElNmlqTQ3kNpupKKYrOqw0
55CyrevMu89ICf5vsyY364dqGTh60EfvXh/kGq1x7yULdmHnhF+jJg82RjvkJxf3hAfDjdAylU34
1dWHP1MwxY/YaT2HeXSGtlhiVbWI9VjjvRpACkz3bjZ/Qri+Pb6tg2xFZ3VoafRqRvxatHmtmfxH
sAz88N2TnhzQNZDWsxFmpCz7PlhupTbXQjfgnydTufEXN+0icHnAqk0tLNnkLZ+frQJoclmQEoXK
bXsZ3h/uxsJu7iq3zM/CA20EXZZ+7Lu/qf6a+hu9WTkEgQ0vwiXzMGdd7uc5ORsqTVFrasiGCNUp
tWmHcK1DUB/7qMzOb4eodfn2OTV//cTyV+HCvx6cz3Vz1vBeOfqlRIesaa5ZLia4sjVmKEbPvaam
ag+mX8lloh28HFYBp702y6CmWupRu7OGe+yZ2telt51J5/hbgGQoEX3/wNvnSSYNRGFi2pbLXrVD
/U01nQTi5JZDTKp2FD1AHRMA4LHohVzXYJD3czn0HxFT+1T0pXerW8P5EOR/q1Uw1zWKQNSk1RTr
mXBXzoh7qmltgpbzkhyWFRID6KdQ/hQjuudzXek7TBk6rGud3tlEVgEXbNmtjikbc/GwDI+2WTgX
N+072FeJ0R006B6vU7Wn9SbnUi/DvFht4v+ysn26Zj7qJGc1oAOon53BcIq11eEHMmQuyml4ouU+
AsqZ8NEB0Yv6glUGQhQwDdBDJ9XcqD1qaAuieXzpOHKcDBv1YOfz69oknXpvCMj0aaSH1PmdLQxV
gRQz2IYe0RuXFzBuEsxKG9MhvjPEt2WaajQE4dcEezX1eXDtjLbR6VyxV3Rwb4b0htDrFYbvcOJO
gXJR1iap1SLCFeoLr1jXlsXWfD0mM5r8Xu344bguumqZV9/jO+Wf65J2gh262gv5UrrXccDdqKnX
h/Oa0rCF+DV7DXxWeT3i9qSm5PdrQ++Hgzf4fNPl9aCGSj3Pm6yITlr43Bkzb4xIDI+SGu38EqU8
8JAT7Q4RulwnOeSAM6MOqOuAYPC6jPSvcTg3e2wu61s3DP8MxtKcTJPbu2UnO+hjJa7jz0eP5UdR
kXaoz6fDgH1r2x4nETsXQYP+Eht4fnBLpebQcgEtS2pnkFNQrwvLWYVO6/yzuwhTrjI+Ys55+nrc
P0vLMVMMNbbmKWUl42W2bAyAl4Gm7HgxrXrYOdy3IpL7iuvhEFGB7A4SI5dTzCsJ73fDidainO/r
rgEClxj6oxr0sUHOoh7mg5r6g1ndkIuBVkpHDFFY+p1dRVOqQM0AyEqAj2kNddR0FhXZ5DlqTf+v
vGv/skxyJUOjheuMdXTx8RXDXcadACQXaGu5NoRddF78tLmpoW/JOlBd7VahidmHWuPkkYksw9sO
tab2qh1mQbno7RMF4oxHfDqK5AtougI8kU3nO0tDTAsgZhGBRLG7S3XjiDD7FxRtiMKmsEAiuC6u
Hha9jT7aJ7OQpVwjCvu6BkzNPhWRUdObWQ5ejuuW49RsWj6qPh8mtLN+HUkY1rs8BNcPaVjUzBeF
PF04799OmoWxSB0N/nZMiSDJVsqPBeyOJGyLx67pnSc/mjdxZhcfE1iCZ6f2FeKo/Ji3drBzHaze
Q2hMO0ps0QaAO7jLtPiILKp5QDkdcaPva15dmIdw+bXVUrxs5Xb6ESUgbTsPCOguK2r5+2fU3xmW
U6eWvq87y996O/T7ui0HE4zQctJlMyFdA8KMemJ7tKKWLr6eFZDp+vzR67FFmbIRONkyVTssWIA9
L3BQd3b+WIqxvSazvlczdVSTtWgW5jCf3v7QHCJ7kWRBdlCH+HnyvJR/dzpqrSc19MEC6F6GLumD
VYYWxFrtaGCmnNzGD4EKLEdjKzTzuC82oamH8OdhBlSABQ+TLJjOmTy34fQSTyVhJ1qbaMcSjx7U
wTpo1C1dEdiHTYsVVRRpDwT5/oPVJd6afh+uKcta3An/wQFhjkZrhYX2MlU7hg6cVJLVN/WpLBwT
MgVzj4JIuh36DLl636sfurqrzuVIDcmwieK+T9XOdjkideXrEYEVc0T8v2kxTPWDOkwtof55M5uy
QXIrOtdIY5EFF/AIRv7G2kCID9cFPeZyzLPx8rqrMc1/dqnFOi/HYqcWcet57vX5cwqbrbx6kFBP
VvcQAPVEO6erm98UShZWyI+FEumYtIp0IW0KnMKg1P9z8F1aMiJzFj0ePTAkLb7LCTzNP0M4a5eO
tj6UJOlduww3ndYJbk2LYU6WpvZjNjv5Fhe+5K6waZ0b7fiX7JPoRUMRGHXTATmTNutRf0odFMc1
6iX4TWDGQF3r7MkOXZXMhRs6IJ3nWcZHSsV/JqNzA5UI68zuxwc1BMGXAdzQPTiw7i7nst//+rnx
vnzBj+B5jg4fQxiCkHfx4P0xA7H4FzgFrY2tbMpUQ6cEK9dpKW6FNnLjugTYkOfUFOICDBwu0HIf
FjqPar279CVc+9oedw7Ik6MIpX0cHfcCXEzuenz6Tp6MCMiKst91WXiwrBm3ph5kmRz94RjH7YCA
Zw4nO1x8BovkQzJ602EWwV+B7Q+7sSy8c1rpn9BCTTdB6KBB4eLAWExgyJ3GfTRQNR97QK60Ls4U
esx9E5ISCQNUcy1vpYc+Sq6JmyU0yK5p/kcYV3BDAfvT+h+PyLdjdo2CykqHsZGGLRS5sRQ3cGfZ
oQ/sz1U/IokwOPPFWgafIgeYfry+0BFEZ6vxtY9hD9lHEDlCyqyDP8wGJ3LEVJ4kOdz9nEyf1PKA
UcUO9T53oz5ELW660xsxXqCz5x+TbpfZg/axi30XCJHc46cYPLWol2voYuInID7hwehsyKfi3+Sf
71MaHnmWbRomTS4J4cpYbJZ/PPsOKsZF408t5EUdDTXXmU7T98HOwRVjIEUbXwQpIt0NgrERL2p7
uZvF6OSXApSHrTmnt0GEDqdu9L6VlVnicQ7hOZf+S5tM/LxpFV5nXwuurjSCa23G6W9eg6q4+UNC
zRfijsZVWgpa0Tb1sZ+/UJvKUXOGsNvW8wiyKhNIyywDkgnYCuAXTo0jsbdqbUy64OTpNhZiZf5U
QdBeV8AZtnU1Zk8Sn4cbYPu93njZUxcjWTvlPSzeCqNEH3mBNcrIzuVdLG9n8d/Evf7O0ObAgHxu
Rpe0/3PGBeRKEOFe1VbnRxqIM6Ty1FQNebXQnibP2czqo2E826toQOVaG6zwOnxrzBijy86e7gny
3BOnJHjAggROLLScu6rPqicTNbm45aLpjT47dLIgQfUnOwEUwaYaes+MVyJC0uJtbYkogFvnsfWb
lNl5V4rmbFAUtT2TB5htOabz7mz4OHYAJEobTIR07+akjzFQ73MGfvN1KL2+3hQzoscgwoOHvnVB
cpXjMVu+HNY3BeQKvdjYyLXoKzJLuTddWGaRjcSu47+IAYqd2+IK3VQ2NzQE0w1+VSc9Luc9qt3g
VwG69BKQ3oTc/Ogh5TSmyFFbo/Mcx8GEqDX5g+dWBg6uiE4CYvWuRek4KC+0X4GTSigey5oarNpd
917XndVMMwofaTIbgFSAansQNx1UbyEuKQaTGwer1hVU4/o8IwQxzoibt1nig1YfolVtmBMajvOq
yJLhcZSLppJJhaSbTJQ8qr57bMtukztQWUY9oS2Rgc+r8xxQsuEX234C91xEvC6XDh2Iy7aHJTJ1
1LKwNiQpmLRPv35L/MdtReNUd+FYWjS0LW850T/UqQwQowO6CeCX3GoXLxU8I7Ch3iGB6WGBxrzN
6nrHc+YZsXHgxCike+2AxmsTOtURQt3/NkMR10e1WLp4U5pJDUAoDqsj0uLImy5bagDE7Gx9d76A
bqOl+LoDx1IcF/fFZJa7ELOnfVDzqp2WPGB2IT7VftZT0Z02XTZxwS8DXn0Z6iiQzKrMPKWTfoiE
/RWbBeCLGJz0Zw348TnESOOspkjSt2JCusdwM3Td/jfMvmwPJQwmBIxxrPRl3x48jLGcwZfHShiS
Pql/NziccEjxxRk38hkYWmn95n3tvA/zuaUI7nlhuzznXMt4dyZAoSMKNQcVfQERHbtgpl5h+fm6
BOiLo6kbPPgSOk5sWGIfeXZz0aZwF1h2cjXLPr1qDYCqJgiRCp3pHt2pxRpe4hWlTHsdD7216uTi
FWpp/V4nVbi1sI3uGp65H0iHrPJMnzQ6Vh2/qOHm9rZ3B/QDl8HJjPK6VB27oLh0dVVcsjmYTrmA
3VJ26Rrr8+FZVNPwLJ3oOC0Kg2Fngx1cytXFUqPuVFF61kNtcSKiXq1Wq5SLCZDwKcxjDxmveuc2
uXHG1M0DK8uSF6bJMTbGj7WgMYZdH2tjS4u9TyVPhGX6dvD3zztEDHcu+fRuslAiymL98uu75l+x
FefK0kGBcL4sk/zsXYAZemYXgy4ut5qlp3e2R6XLmMzhuSvm4KDhogfQnGkMkw4zwr2qBvGoEBtt
CrCmrou7LrTMBTxoHYWsrKPGm+k4ep+IbL2vNVZMOvIfT3YaaXvVi1VDFobacZQZUgc2ZQ9wD96j
tEzvlPbN11CPgEnqxUHOY38YSxLZBbCR5HJLpFi/IMqBmyhq76mGEZ7d079wQ63ZTFPXHz0Hhb23
IU9a2p9vc3WM30YHV7jzLlrix1G1SZdBTd/WAG86KMV+P+Ztd9omf4dN2aHGFbuIsvFOs9ui3aYe
MNImQxVNmAZo+Nboiy2WIUbCZeBg2gT+PyQ9CmP90KYwHVWWQnrpbykuI4RiE+nh7WofMJP0rxpc
a4o8+YrAxDnopWs82gncjSL//OurAHI4D8efYxKXBMOEBWa6jo3T3c8Pz66e0slp3W6bYW62ciKY
061DEXxTSfeUWXpzClL4xROJyio25hAMDfLmcV99UzFy4aIXCEz3GXF32CNFiOYlYr13WTM9FjHG
zmCojxEmA8cwXtXLU1QNkYCQ7FTJJwpF47Ut+QmT0eguuTdTlpwB1TvL6Rz06AhDujNbfRUJAD49
KoXnBDWw10FNM0Tu+nnO9mEzNBAQlH0AtTktinY23qfQr9P0EU9leAW6Gd1NmjSOqQFIGTGLr62n
Yy9VrzAeiHkeI/1TDt4hICrdM2zmxtlzIsDs8ARDicc+2ks+gR9vcIRtewTB76JM1fdHmYGp8a1o
J2jvHYMUBa/AN7IVxeduM/ZRnazz4tkNw+IEBTQ911KHq6rW6ZjsUK2Eqo2dAKDvJThb8lwj0sAc
1dmhTdoxw3eYmrfXCdBTUm92dlHJVauLetujk31qWxSI70hYL0YeiHPfp5uq6OLt5NfhjuvxkCEh
fMQXF61J6pmwHbL8yD8w58z42dHwJhiTRCQRb70T5ipteVeDIDwly7xH3vNQtxEFM6d5Divts4ZQ
9EXNauh7a3RL513gY7irEf3sNM7yaaixlRgaUnBoP/UTtcn2AiSgfpobzUBNKHZX2kwDBXTykw5b
vB6D6imwsRJpYecdPNlP24o4xqi16iiXIVpUxtUUXREM1qG/TTL9AuHTuOaJ0z634Qstx2nLhQrH
vEaj1ZTWdCasd065fprD0IbxE2SCEIGhiH3tN2GlfIe/XMJK17Iw2EAFgv/Mdy13yrqo7bpWs8VX
tvlWmvPjBNrnqC9DvcCV1DQYb07fyUPSBOdmrDb61OK4HqAcCXgi3wUt3b1CpN4lXLLW0em9i5oa
cxueNNyjcX+Rp3wUa0HHeVs4NYFcm9ebKkZmz9Tj+TlyRowPkVuIZis6J4Ta9BJI90u07FfubzrK
0vj3c8TFixi0oSQIQEDr5+dIC4c063vZbZsGaXl7Nocn30DxP3bqv0wMDCw41xngl11sToriaBxB
fxhHZxlmzeQxJz7WuTtczCWBC1Md8yjiBzeYkcf1e5SZR+F+mKGKwBnlouW1eGyXIMpI0vycBfaX
2IjinVjatqp3G9Cd/c23NN912dTJdei0LfBay7Ts5eT/EGo6sKB9wb8B2XZD28nUjK7WMiBTi5hg
xXvPT7rzhP0ZVBFuVDU1AmTVCldeywJFLygFwQkg/gS1fHgYxNAhtS81hK4MfiV6ZwdvRl6xaFr3
pgaa7ifLLF2iEJbKbvIPTglAHz5R9nGA4xTVrXeVnQdXukYvMZyr+MNAKnKd9VsTbQm7ceoQ00vY
oEdGz4fXShTYUAv5X9cZ5WH0oQDFyd+ku/91SdCHNLggpEP27r7rHxcyDUzNHdrtEAD5ynJ0/dQg
/JSSFKWXbd65/bEcwuau9mobkRCUNikmlHlgn/QRaSA3tXGXz2J/PcrevTe7xL1nJ2AhrG/G0N9F
0qjuZyuo72MK+ICcOCs4ZMCv7v5w4z/U3d8lqOJJ/HNQJf/Nd3yP9FouCM8CgbvUKHSu/HcVKqMa
Qba5Zbv1qWTt6IjDHgtNxCsBKVqrtkvrsxriQCR3ZL/l9m0Nns9iZ4xHSDBk6QnnBmPjugTwE/XE
iwWZKa8oSPWRv6uyK6g1i365XYs7ffaiSzkir9BG89aPxvJMhRyWkBiNTVpU/VUgjb7G7cBGonlI
zrVd5OvRwbUtsdF38Kq224veFh/CAGPcpLoGpr+JNd/6/7hfPJsf2bSo3+j8QD/fL0WSdPmItcZ2
HPgl+nYSZ0RKkk1TGYt2v3GbtYo+nDfiK+HYwdUaW7Fv/exjghcH+iFZN64tmQEkqeabadG9pGgD
oxGJXOsYuXiZaa75gAx29myN39BQcp6QPhZDiFJdUU3HuU/aLTIbH5okGE+aG+KAYWgHdAk31ZT6
6zkHBO+EvXGfD+OnuLKoYLfpN9NAKatwzb9Q671WcLI/l87iX/wpACGLuqL5m1KX/I9ahOdYPDWF
adrALt7dKnFT8K3wFt+6I1EOUPrpaJrmeNSXL6G21Br9i3JlRoO36ZIjlgDxU9dlOHgJb32b4c9u
mmSeMWSSKKDa6cYngTiW/hxccveKq5N2lHolTnPftrDYzGO5YCzLKUwR6cufsUOxj4ZF2XFhVKa1
M69mrdwL15tvdeFyiS/6iq1Pzv/rIFT8+9uDFfd0qrxwFxzC0J+vkrlEswbzRwKTAK2YdMoQFmom
nBVFciucYHgqodSFSUIIZIrigDVjeNSk/ic/Tkez3/cBUI3m2WwwEx+KcecXfXgNcfC84lt01YPu
7wGU3jlvFtk0zuAKiVjSm3TQN/aIXrRrzfX2199JvQl+jqs93ZCU+nhPCHpe78IAOpUwVeeyQdyv
MVet6W7wRc6Ajlny3BSFeyywvBqptZ3bBn2TDjDU6+ClowsjLTwA4qf7AWvunq7+dI9xl7hoQI5j
Hy0iWIVvg4uVLG3iDn0Og3bQeZBJd4rDAGmjukLWQm1Oejmeh2WYh3oXjxFuHR5JUGfJi1ZowXlp
GWVDnB77sqtWUdBdLKpTe+yVulOTNs66E4gJ2LVZ0GPd5mUNwKNA/N2j0oXGtuxPRkPn10dmnq+K
6MUCJ9R8J1s3htQOYYY0UKIZGz+paPiGKB7eC+Dnr0Pdhd8Qwkt+83yWS9jx/jQIKjugHF3kWt6f
hg4QfKlxu28Tfi50BvHpBDim+bcSAbZD/03M/R+hU2tX1Je0K3he/6h17pn6lTyF3XjpQS8fZl72
B8eaviIwYZ7VMH7f6igu3VV65WwsIePjHFDR1Do0KJchrqfnPJd47mRTd4Fdiqlsbuw4vbi9FtXD
by66//i2IOUNneDTo2mikr0fwhMzC53Om7iYBzkbGOkiH9t5zoBKk5tsg9OE16ZHJ/ZvvCoepnxn
ZfTRYnimxsSVoM2aPMR1tw8hadMoOQxakV1n2+63reiKA0C6jd8XOXB1u9vR8qW4NowfHVicp7DC
oZNGTb2a+97beTKL15Fjg9Xt9YTcnoFWF0zLxRliCjSAh8vQ9ZgEOoXz7EVkE2oogqm8uGV1meYJ
3wOJbKcc2ukmp2mb9XXyGCAD4wxuf59EDfRRWh7rYskZbG/AJiefXwwB7Tqai5JUU/QHG5uSO8Mu
oqV2am/yikJ14sflb640898BMAU3ufzo9KkAdYifH2JlSA5qDn5Fk1nsqcGHJx3Nn30IS2UqUFby
GoNmFNIMeLKV31rH7W8R9holti8efsof8zmt1lVhULcsnS+lLOQS3tJW6/WLhqwgyslLTw63YdTJ
4Db40ybQ9MXB7F6PfPOktd4BH9/4gBUSBkOd3h2BhSO2sdh1aJg1VO2dgz4deDmwXTLN+Gkwnahw
mdkjpfHt//1SXDr9aNBJgx/lfV1BtElflihObE2brpHV/JHXWfclMat+g2lnckxxqA/8AK0MPzVW
9ui6O+h28ZPd9N25brx1oKPsaRZ4vpdVuMfPawFOIlTdeOTTWF2UUHT0u6q0iw/WjMldkuEvOGIw
EeTT15ZGzF6FAbS/06Oj76ZokkdHFg8eRAybPDnGgs9rzANyU/fT0BlkknTAIcY0u6qJN2WzOKP5
gk7ZEl0OE35LAzgRVe/ql6JXNSYIyI8aPoajPAJbQVTWQCjLqzSx1hC43xUDlfKstuA8oW/3WNu+
+zjHm4Z6GwmDOPXTVF9Qjil/E3ZZS9T57qln0TM2AG0uz733YZdXxhOFNa3airCktTlmj06Auspo
paeoK3lah47YmoNbX0x0lA7S1081Bif7BldTqLJzdG/V/XNWxWeAZ7uyipBoAXO41wd72EfJTKvN
rf6wWitZ8z6b6XR+Amcun3Ju0j43v2aFFV2SQEc0H8ffyV1E/8PgY027+YhkNILdaBPB6K7CrVea
CPfOAeVDl0ZrUPHux4NrTMY7Ve9wEgNF5CnwTnPeP4VBaJw9iiRObIqd6WcJRrQMSNi6lIwknp+C
8syvr2X1c737OReBRklHnvibB9XPtzYt166iC8+t3dqk07S8Nl0Z33VdNSMmRxYWVdpfo1t9KgYj
Jv+I+YV7p91SG+53YBIuYoC8jIvMqi4qQRnoJUhxxc7m/qEWQFsMPv9k+nW5N81NQ7y79uva/yMj
rULyryIMQzZAGmPI25orPUL/8FYlzQVee3CpA4Oz2pffojo+/fqLW0uQ8tMXp/nuGdLCQwCilf4+
MONuKsqx5zqyZxRl86k7jUMlD1WXXlqcLrathvwieKEeqYQBRYzl/gQepdOkj5J1NSKZYbWlfEqm
53l0Tfx6ymzfBvK+TVB5GibkNNDRHi+AoOx95SXwd3zMa5w0vVV5XV7BdG9j2gMAJyNrO3UVIBae
py29jgoKnoB75U3f+B+irz2LdT3CaeLX+dbUzoMeZcgypRPQEuxIN6E25E9YLouF05S7WKWYmQNV
CtmtGWFHfCk3COWQco410hd5jGa+6/XUnorneqlzA7Iwj2hB1L8Jft1/1YvIjW1H3a62xaPnXQYp
prmJkRNJt4FHtcOsvEsJGeUCyxxfnaEuV2pKZAKfni6rd5klAnfiQS2jziQAui0fUINvNcguaDly
22rNJaUsiR5XERZ3D9iZOStfs7qtTPv8Qa2BY9fXAznjhjjfv3QGaIi1Zk4OZOC2PdhdPt8nHhpr
xJ36NzNAILSjVFf15r2Xyn4dBdh/W6Tid3qLfGg/AL5XW90432C242b/fV0gyIMm1jKf7OZvnNaG
28Qr5C4vsuwpJI/ctpnmHZEPaS+hFaabHHPllzzovhZtkxzQW3PDe1II3l9RPYGyx4NYk7HzMvV9
RxRDsavOfOdldnvkSJH6QARwLM7FZL24tS5pNeXxCqex8ZjPNuUSMIQXyNTH0nMNiip9cUncOUl2
nKVyi5kGfQ6asLig0T36zUPF+HfO59Ajsw3HghUOafw9Scws81KTdhZtESEML4HpbPu2Sj/KLqv3
IyL+24n3+ie7+iAxzf7i2dlMo6P2D2Vqzs9a5N83UtZfzAb7aekK/SKy+VqONPVwYfE2smi8xxE5
5JWB+eonMsfnqQ6Qb00rznSKUYeb4E3cG9ZnMNZ4O+gieA7aFKSj5pUntN3WFOrKpzA2L2YWVVc1
g89Z7DyjXURkC7ClHs/7rkeVQgPhu0mCXF+VC1XcoFy+56pGZB1tRyPCc42yl/ywzEiXkovRgHyu
tOi5N5Kv7mi759fZYKDGneAoqKba2HsnXeLPq6YDYu8PVdavvHyS9x6UOSwG3C9WF/a3AO4n0a2L
iaWsPaT5S80+YqSkn6dlsICxbrwwNu7kMOnn1KNAdIekkTt3AnRe5mJFM8ATc6z+M1qqp5br+m/U
v9Z2orlfJRWCu9aluhA3jbYBFj6dW4Tgefl00Q7ftvcfp3Vuqo+Hced9NRvge27mp3vEL7RV4CA4
OSR5cF9HEchTQC5n28uDgwBMehxmbzzxTF+8HkbYbUBSN1ZjigfudZTzm678kFrYTmdILn0CxvIt
BMP2DZ7IgcsBba+Of7zWIF0rB7qaSW3/5dvVYzMZ9Rlc6lcsjuArj140HiMDcx+1hYPrP1tIWuq/
iUYM+1/5PbxySkA6eTAqyN57IkmOsl3vmDpSahgDID6CNtMYSWeXJY1/xWIG45QmSqatTZTExUIh
bJ2CPgJA/KgOGXC/PFSV+9xUFL3fhmqZep5sjqCE7t7Ww9mTJyus/zlWTYWIsA9Vx6j529FDGcMV
MZp2/W6HjkgwnCfgKO0CGFOoMTWYUffj9G0t1QJxLLvnngpMdZcFEWfAEl9SX8T7uoySbR9PRAll
e+8K4T9qTlpfbbPREf5m3aLaifUuzkhIVY3XcuIlF+RGb28R+/9z6OURtp2ASMg19S2UQbFTSbga
8INCWk5tgjfFYK3B+SxdcvRxhPocNcRWS129hVOJGB6lr0Q4tXVMxrpd9UlAKUxhIxFJze4mMrxm
m7sNfjTB9FIILz/3eto++m2B/4TZwt8a20e11BqDu5nahPdFaYhdP5neORgkMlW++OxHqOknemXc
kwE2+4bywkHWlXHr4yRYazoPGtibX8I8a/ZYvbzovWOTGWJQfxeYJYg9m/czRtwj1pcRIJUoyb5l
9bPbFeaXtq105FrbYN9Doka3tKCaSXgK7U0O3F4tJN8aJL8r2+akBn3BORaBMyKQ7IjmhGDnP3uc
vF2SzWXep+FxiNDdVx8xalxMugx6Lf9Ob1WGGI7J0ZblNXQj81yte5oP3raVvHZt260oomepg5Kx
YwyIHC3os9dNIxwQke9gMmQxe+yEer7a/cMxajNNMO3FIINmwIi9zkYtWmMsfnNX/vv1g5A5wFIq
btKxbQLbn4Na3pWRaALd24DYnjdGWJOKzX2DEhlCtjoCQzTtqL7OSZ7fgzDLQAyyhbOGxGF+m1ay
21sDmsBqSHC/2yWaRsCAGjWlBJ/QWG3KIAhT/P5GitV9UBzVotoakR3sZ8tZpxgPkpXR21wG9MfP
/MLBk76YO4W+JV50SF1r2+rHe6MZgt2vg1wD790lN/8hzjV5LDkLvNQwDCIwipE//xZkeSMiTlm8
A7iF5UFJi202vgZ1ZD28DsZg7AKTYAzJUCQdXd/Q1omJXICLy328MgeLWDNAve91P9Wgl2aoxent
T9S8Y4fCc25qyYwTurhkbnujLG5xY5hHGYrmZi1DQ33slmXVLRsb81hYQfu69H09yv1lPR3xaPrf
sWptkv2+6yMDm+DQvwmr9m6dnjsr1FrlRk3fdmBbuNU17Atqysc3kRTWISj7J72X1BCXoZeBODVD
HgNVWTYxQ0OSbZy6e60BQqHWEp1qIY5lvR98mkI5IdSW63s1LTJvpXFfvPCtq3MuULmbeRN88sRU
rch+aeCYY/TSF/Fa1E34SYzltC9HFAHVx8cKGoD9pz6F7ZMmWoSpdGfdCzHeh5KZa6MmxitHp3PK
ESLI2vvQKjdqp1rKe4GO1NjlB7XmpCN8A9AOd2rv65CF6ItnzkX9D1BJzHbSa6AnLn/St83qacaw
qNcpbSV4VFkiqnbqj0VhLC/TYAED5Eii441d1ua9a2mfZ2h+kIh1C0HxeNhi+u6vhyawn+zRrG+p
MaIYTu1xBZ3ky38dqz4qRf11dg2HVLFfkoJMvJhh96jPXfwnVc4PpjdFLwFqqFsLovqxdnCNA1hX
rNQRfMfeGMxverZGpJzKU5a59zPKmPtmcTxV00gWCCPkU/rVFsG6Gdz2L9+Iv+KWk7z8H8rOq8lt
nPn6n4hVzOFWWaMwOdg3LIdd5pz56f8/QLOjsdf71PteGEU0GpBGlkig+/Q5hd3DMEai/liKhjcy
Q6fMAHjr77EaQ4IRBeqqTqJ2n0OfiRAwDBdgWKp+hSR1yj2uSx78Pkoe2Im9ItzrH2QP3Gl/11Hl
HaAMPCTZOvHc+V7trOyRmq290prGK1kKgtL57CxlV02I2tpaXAFfCM/QgVQHJDdm/87tFfUmNpoq
/nvkTcK83j+mdlcsiTbYO9ltk6Y5lBE43sGqETRt8vI8BvDAcZAklEBAd4OqrLmSXR0B6YWagRaR
Pyn5QwRcpG0dxGr51vd9CHzn135ICfi2o35ucf3dJkqBzJzlmis3sw6tX1l3PMH1Z9GzoaNAd1M1
nkGGXMb0OjfkWEmh2GWsnYz/j3lyTVWs8r/miVeXr/DxevKdUXlW3qp29222HtwuL7/DlZCu5rqA
gA92EsgKMgPVpcj82iKYQwZU+xFEJMD62HXvWlhhb/xIgzpZtY0XK6nvpAcSLz8do6qRSFNMdJZR
7wq1MHrUO9glpUfh9TcOAJU305yttVHWz3M0AN00e3J0dawgHmj091bicZoA3Plmzu0LDxCkt998
t2hgh7eUZ3vs7TdSrepSCcfxPlYsb6N42XyQy9id61+WqcxQuy5D2TTLnK7LFLXIRKq1d8jSTF0W
UNT/91qwUL+v5SrFi/gNsVajcEyAjY6qytQwTqlno7HJ71/+kskek+O0a2qrcutRh0oPOhK2RpBr
Ij0ZeV54rBCFeq452iCMqr535ajsNkIGkArHfp97TYB4jEEMAy1B+NuzHrRumPW7siraB9mYUBYO
hM88MCCWYT1a3J9u7IkqvaBUzMcaEpBH5BYXauUXD4PnR491lH2Je33+1jcovLpZot55dagTgk2g
vBYDyRBxlNOVl7lHWKewEc+m7NF76zweh8LBVCL2RwOHGI7Xp0tpG/zKilOpIrJDlZQolfqwsyVR
uXkOPL3kABHohTVMvSBlz3dQL3AnV2JKKqHb+Ia+xN9ln8Ng7LUx0IYB7gC+LFDtCe2IIXlWRBMP
QP1dI3+0/ZieBW2np/u30qGD6R+gbxyc5GAxIb/mZyjeyq6ioI2AtmlSwMnS6Hc8v0gPBKr9Q4Hr
1gwN7VuejyUo4AYW8rqyzVVaWvXXuB1XuZ0ga8GZF3RHb9yHel3vfZPqLcDDBXrh+RfpYYfjA3Th
oCjt/nmeI2iqukj/On5cBZbytzR9XEiv0Br0rx+my8VtYjb27Zy54fNoErVyAkrkynI4tTlBfVN0
AUka22KW2NKufG07h6BYFXj7xFzXs2WcBXve2qtcYpd9JeoIa2ORJz2IAhix90kalza897BMvlBr
mFF13NanTIvfmzIuKAfT2sPVnhp84NLjamvs+WirZb/vM1eU+X7MRwNV2ZaJ+je3FZ/AOw2HJW09
qAhHK1b7blP8TtnlTgc4XrjIAY+n/ElNw/3VJK/K5PuQldotiTbv4pnb/kuVVgGgXOe1J8h34/n6
m2uF9o0JU+5dmRb+XUSF2jJX0WocSaAqi5oC9nUbAzGVw9Ix1R3ocCq0PPTSNJVF5iImG/nJjjS2
d1kGAAPbvrQ1CUWcVa/v7nLJPkBPF730lx76emh5MebBOHynatCvkrNp7vvp7M5sMqGEppTITlzv
tjL6/C7JO2vRDdQxoYWT38mmsTz74FveUYUWuy6Rq2wc7SmI7ebBEhJwolc6ncYNONs54ajfyV4Q
xpwp6opnohjMnQLpEC9Nt7KrOxQ0ILkZwqRaffEDzlCVlSVbygfGp1JX/raVsv5ZJMSm9L75QjDH
Jps6K0evyaxjAq8g4ol58kUPcvJKuNZe/lenZNaT2zvKJo0Se+9GVXvnKQKIg07fz3ybulQNmZqh
b3QvGW6cBpFh8uYAikUXitbtmJOLjIp6PMmrcJwoT/pwrsBBWjdaBopI4VkjXYDkbMxqcg6oQPjn
UjR+D4tooZY2UkFEHKRNXuWoWEMPh6LLr3bZtczwZUzUcd83vsW5TrhcV5qKUDlL22WA7MF1pakL
zE0VohlLbv9bVoz+X5MGh3fkWz9mPjru/ln8SFrZIY8eujdl7kDkb4Lc69EVffmY1CIVAjbX+uFn
oLvkJBd6uU0HuGHNHemnUav6S1wUCyOop7cojYsblcTbqjDN6c0r2QFHaYNg4L/ddOGW/eo2wLPL
aZ8qdWF3Rju/ybrg1dLamluv2bzMgk2cCOvwo4oRw4Qsg2xm1az8JC9+jj5cOHEyBq/ctKNVVxoW
lYFuvHVUaz6AGUwPYw5DmTVHLSoimdvdxVV6F4lQsFo2qypo7e+zjjpE76bx46gr0wbOn/5gQmJ8
1MuKQ35t1E+gBAC5JWHzMyzChadXzd920LzCoq6/DkXarfosCm/j2FQ2dj7uYqSjNnmlT19d64dK
2pG8lVbsII8fAaYV09e4/CnNfuj9ZqZSDNmmcW4fKs+Dwdgemh1KI/lbnapnKsVqwmp2dh+M0XOp
W9mb18QcE/U+2Mgu3DHIt3JQOfdZXz0D8YaLltl9IJ8+SD40VZ6/eRkK014fo3eSGPlDExH2MbUR
aH1cGq+FOWxnpxGkvPC/tMrwYJFJeo2o/N5HZYdOuZM/a2DeiJuQW8yEJLpJFBNREE2Lb6MiNXa5
qf8le03ddyZ8wWl/MgjuSNu1gV8luVVCCxIlMj3S7giTtBMXIUylbCp14UxVexN10fRWhj8DbtQv
BgInxyptqSoS5i4Is5VezC3JvmF6S6Yf/+kFbfn7WtH0w9BC5QWJb2IsdRPsdCL194Hjhlub8+IS
0gNeoAxSIKygPzeXPgBmaMMryk2UcXbuKz937iNYnEGlaGfId5373ui026HtYHVnLJ9hSXDm+ag4
c7nVOD4fWrtvD/lgFFseoNNdG3YAjfiVvviaRQSiKrwf9hABrPP5unOCXJdD7fzIyFIt+mYHS072
XMcjwphqUVCpEqj73mnK3cx+7c6eu3hlZUP6lmrqCwV55t9xeWtx5F7kPhTYQw4aNNe1dq8U6r+u
po/R//RTevMNYrLmMaq61w6x0Ic+i/VTWPjhctQptspjWMraLDXP1Vwm98bk/pWQ9Pky6ROJnlSd
Dn4XB8+T5u2lv+1CBG80rs0vxyy+tCSmnCAAAEcWPsg5coLmcB+7YjhTsbserSl5meZIuTEjCI6b
eXa+FGr7I06j+p5SCItHIsTnhh66X5AkQapncFHt9CliZC98Xwl/nnjZmrc671udQli9+mGGivmF
KDUqkGck0vjvQOVm1RmGAxWesInGNyITNYMKail6ctC20FqVVw1COejFWOlO2i5cRWk0w1Dfou0j
F7jOk1N0Ay5Pqt7LFAyiCWX54dpwz2n/u6u1TnOYRSNnFPBZ72fkSzMv+uEOg3riX/oMfFoXRFTJ
YRLdOjftpaPX7k6OBuOUr6N5Ih8pRi1IrDZ1beZr2dXN2N25imsvQztPn/nkkSTLE4PdkVhZvAYl
RT8uvWroYCZJDtJ1skBiByKDIjzTPMyeE3LXgV5aGz9AN8McOxD5kPUvFW7nO9mtmiI8dVbxInu6
8EgtsEt956kHafPCJt3nJvpgvoTwW2hU1iSY7i4zqi7ckN1PUQHRdHRJE/U2Uu0H04+8t2zw7GXA
l//OyXJ3GyudKBXr9FMztTBjA4V8dpKsZE9azD8NzozyVwPW7tN0NmPzHbQv79NRRAYb185oPmsR
2KSanxc8xdYRPAOEXQDLXvS+HvZBlChLS3SBY5mbINGCjRw1amtcxVYw7+QoguHOok41yu2Fc9m0
b0Ue1oh95ePLCOtPaTbg2yvDe2JTCjs/J0Aq+6rdDNAWBXLe9Cy4fbSK2urMV8AZshd8jSunWgKZ
qw5ydA7LXQB77COUCPWDTkhAmqNI027ChJOmnBQEeU7ZrUKlpViygAyN2rZ+HaRjCtl4SMZIUUjA
iZCTbOb5tcur8UF2RgQZoARwh508gAboOFz8IytEaKrIXsdIHx+sJHwcQr1SyB47IfokAXoVOaWk
FAFb5nkAxnXMwe1/sik8higb1ltky/E2+UDPumjkQA1G6tigNyftWl+phwaQx1CF+dPYWueua91z
bbQ54qxZtEIzz9vKwUqd4306Ei2Uo1OSWfvedoU23BAfKI90NqlSPM6dJRS8MCld/n4lbdeu77lt
cZkmjX+aQu2luiPJzle7ftKjQftSJ20JRrhINuBstS+B1h/62C6fwjFXKZyc22UeRtqXLqA+sZrU
Cdon379PC+VVTte8MV2Wid1whiJoXZQBMjltnB6SWTde1cReD6WePpF1Me6mZH6WD3NninQUWwpi
ysJLTnIbOznI0X9Pkl4Z4O5IsONRd/oOT+gELOnalVcSvCCv9DBIdramATwBymBVBd/Sq/P/nvvb
UhcwhHjd6/IOT5V1mTXVwutB6yA9oKJjJC7d0Z2BSMLeNmelvrd5GkYr9GwxXoY+TcgQ8VzmVd+u
pFE284Ao5+myIGjfYZsX7gPCVWhTTUEwrS2IKhdNBBHeYvIG9ZyF7nx2vWrLrXIk7JW9m6Qdkcxp
ZwfFj6v9MjXs+M0PDvcxo0XBjZrVcjhT0iY7cqpjhKK+GTpBqvd4sfpjZTID3zotAckkTJf1DB3u
2ynQH6Ik4E7e8n1JPCU5k4eYUewA0j75xunSkwOyqdtqT/2WQc0cvle7QzElinzmT7K38Q4tWta4
uth8uMsqgsPh00vIy6bz+5VpQpp19b7M5kwDKtZo0XKTq8lX6ClxOze5/TDYZb/oANOsZZZP5vuS
xruNfQfuVpELNBzU200zuL/mAoG/lWs5qQ1T1DPrzrklAJ39NqEV0+Ua9mCWa6CQzfq6yMer2DGb
mZjbKtJCsYY4dlx67alK/bcI3PTu0ivy7mTokQm3gBiNHL4+RcKqjRiRNtlk1ECOi1nNIOtQ9Wxp
INj0aVh6V2IKJLLuNoqVr5dVpU2uIF2i0K0OYRoD1Px4YXkpRxtzQqBogCahhQjANJzuEIp35Su+
CoiE6AjIVhprmv4uJ74eSH7Ax2u6Zr+So8Aa3WULto4SDUakzXYyCltkH+JbgYKCjfBilOPvi0ew
Qc0cfaXjECQvFP6CywVN+xgV/pHC3fbsu2n52ObwKGmK4BzIM6CHffk0z+BqL4OjQ3GGrwYb6p+K
x9bKhztIQFdyUC7mDwWCF/YAe69YzU3CANLg5EUOykm+QuGtUr+1kDvtZFbLyx2CfZSNfZkau9//
ltHqG+til77X6PuH/6c12n98r27y6sN+DcRLOzI3l7Vl7/I+dAoOu+wW7SjUDgUPpIzCDHZz/wfT
7LoR6Zy+uZeulMbeS5PsycgNx9c/TZRryZU/JmY99XB/WEsu8+F1XV66WoiT/GEt8LLR8dfl5US5
1scf1M/GV7cSe0oRY/owS0/Z+/gL/rDef30af1jrD3/Uf31A/ahCXWCH3+y+2FqtY94qLRTWvpdn
GzsQ2lJit6n0lnef5H/JMWmxCgUF23BwgNzi0Cd1cSqm6Un2ZvJUj3U+xRBihN1lh4qYpbfOWrSJ
eRovfaJ7p5Jg+ojSTTv2Kz2nDiPh2yhHZMXVZaBtYYRj28rDTLqnrfbPTDjlZ9RqEQ6QxlyMuCOg
sRlRK62w1VOq2TeR3nr3ThjRUH6wU7JKh8DvH9uYsqcvSy1bSxc5AATbgM0cOPtlmphresWh9EoE
i0QvdIkWVjlCZ63u3stJestJAtKD71fTCJ3dBiZseyltcmbXZHBzJqW7udpm88EPwPohJXQr01Hm
PD3JnkxVffTkmNLACSA8ZepI9Kpcz29/9bykuPoUwanFmFENnvbT18g1olWloFmtAWvnjBE9pb33
2Y5WDvykc3ICwBafm0zNEb+kfkQqgMlGTcLkIggWtEW7pi62XP4+IDTDyjpi922Z3z5NEHbZBd4H
fDhMVn9cV7h5jb5sen5S8o1c3IK0PyikNAsSFhk4XE+9mRtwgNyjJ3tNtes/l9Iax5miL6VX1Cqz
DXMMEy5W6RAYtS9UQbsdf6G7HcVSkbQ5gUtQpYnNVQ9O4yCbJk29wwRYtaO6+x9jninEW6ic9/tW
HfZRzo0bdErEdiqYvQK0pDqAGBLWy5hc5XKZ+rBjh+2wazktnOuSqoSBCujKqGNnldVzt+1CR6j7
NY69TZzsJ9Whw+4yPLZw2ymheuoL3bW3Y4BEuhsE3voy3FaJf5rrQwnRs45AjFi/8sy1aYwOP0jq
Dwt9iDa+06dgpuHYljZKd9+vFBM13UWhJm9JPFi7utbCna4WhHWCLDOJhaEsQ3EcmFgK8K6mUOjP
VPX41OWTtZdeY+YwoVcpkjAHUbEUQLmDviQqDeisU9tyDhqeg5YRdJfGTHN30VDdQqL+lwHp7GrK
CS2p9EaH8E9bSJunFya0JXu5hrRcV2ssm7It13wZHJDKSag+K41KdZVogkLxJ4Tnpu96pPjbTzZ5
WU9Q1iZjspQ972Oa7CoF+mp2UyjLrmED7RCTllV9FJAGp8T0AsC/FPldG+mmx5AB/2p3WjTauMt2
S7t1a1KGW03yS2dIXKxVtmtrIILhoxwcxvdBPgG0c4PmW9pMy0v+Qkex4FZ0L6kO2bWU+XMXFofP
3d/m+oyio9YtWn7fN+T25keSxfqyQt11pxrh/KjrmXZweEYv5Ki0DWmDBGgT3EpTMNvmWm1tSFR8
5oeh0aGgWe2v/tkAkKyL1QIMKUsOptcCjuWI1PZfLAL42sIm4HPOKqc4276XrgCdET4ORrrXAXEl
R9MAkLE9ky9byeE+iLNVLI3C5/d5vy6YkI9ahvo4d6skUlAqM1PPBVfQgjEfu2R96QdWNd3O5S7S
rAz6N+EC1vTdRSZ/rNwN1ga0TOg7hZwwK6X5EQ6uu6nisDnGk4GUsmgCo4gXIKgmKp6GkFidVS10
uzJf5zx3NonuDhugpcarTxnkwmyC6eRGg7p33bhepC7RoFgPTNK3qXUuCD4IBofoeyBYpYuS1Pfs
JrsoUJrtoJvJk+f/+H9AR/7JpTPGYQN3wDfVhj8MlJLVcPj5fYeoz0ixlMYFIyW3crIh+fzJTlYh
W82oO9zkhXeKbbf8BoOfSoZAS541uKFXgFBsvjvVuNWnGo2htMkPBPumbdvoxq2WIReb+aRW+14w
cNRG9o1s9DmM9ScVKo77rtaoQctbayMj87Zvkhbpev+kOePw6txdTutwm58GGzJFeUqXc1p+dptI
HO2vc4pSGV7dMxGxeaH1pX+O02w+WhHlvzAz9tDw9M2jSsRfdC6NUT0qUdCIbALjFbJ+k15TlENY
/KYOqH9IvPI+cI32vodWlBR5sZNvNCbUTWFvaC3lWzJHCJGb3kz3smtBNCInRVPaPpZGuZNmmHfe
J2mcuY+dUFJWUt06hMb4GrZu8DBFRfhQWf28qZAnWkmbbKJUQ+R0NpLd1QbxxI3hje5Jzopd2CqB
AayvC/lAK3d6EOrQkrO4bHQ31FY1WroXP2lrU/XvufdIEQYlKiB9kK2rDBIN4nbQCFAAFxxln8A7
3HkxCbSpyyPIzIWTY2YQi1ydjDKiVA4WnvUnJ6SWC34cwl96hhmP4oLNhbfKxq+NUXaHweyHcO1F
SJ6LLrIynG/M7pnaEtDuWZXfycbPtfwuM7I1wZzhJE1zbbU3wTjcl1ZUWSc7L6xNCM7NNRJ3lTTa
LrJQYMjCWt9QKjR9ddxnaKbSL2WeJjuClO/mPH7unI67Xw09gKMSGc20BygKOr51qr9HpVl76DvF
PYPL3EmPtr9FznW6aXWtdJbd2PPef2ugeNxZSb8eEIHr+o3jNMZf9vDScu8nxjnnt35e51/tPMgg
idOPqjLm61H7Sx2N+iQbhT3s5Sr0gmhlaZkgLUzbw5CChIOI8vMNt/aIl6ORtInrPqY2219ODiwn
UBmyUU0p/wCKvM1z5FwrGG3XcrA0DUC/aqR1MD3Ne2lTAlsUv0TUwbjUaRydzluxDzK/dm5tLBHC
5Z3qdfBANuZnESjm19FjDwkFNbpSWQ5gIILrSU6I1Q6hSiuFPrczQWsFrYrAk3dKhxKW2Y/u1ASk
8FNEL+VoLEdl1yqV06X74RyRmrwP0OWFcAbRQzXyUG4YgjXVYtpT55vhYYrzeQGxqvbkNk5x56nO
Xg4GHaag6Rbl2NoP0pQl0c/KyJOT7LktXO5MOeSpGq0c7qQkx1CDRU03LY5O3+TpSl5S0TirqXG4
jAZxj+JSpPJgSHhkj3VsUx2R5CBsqm9yf64D9lv2wl73kJynIKvT3Bj4HHzYcnPZhi2hodgvo6Uc
yh3NGti+zscUWrwlv71u3wYRdZN+1iztPvO+k/JfaFpn//QaBHBMwy5IWVUkNz98c5JxoKsNV/oC
MDafS5UgZd60x1zk0AEy7Qmg9F9JHgDV8qf+Ti0TKhJz19/ZsW/fNiYJ6nTI+3ufQtKTASprIfFV
hq33Jz2HMLb1e+NZduVom+n6pevDXLQYG6NCfBakRKUn9UaJbNgiukG7nwkHIiIV5T9Q/byxEO59
/ZNHFlqQNM59Tv6B+Hg6vPIBiLp9OrKR8XBLzwI0GECU/zYgA+ij9iInsUkKjcs6ehi+T7Ai8p2t
HSuwRor0cM3T17IoBqJ44bHP5w2kVsarSWkMJbYIxyCvbbwqI/VcEFA6pL0/TzKMzHtsWvXTpBFt
GiWtb0vBpWw1sCd7NsihxMv6VWgJuuUqqP/dV9KmX8k5g2CuIkhqrKVNEllJ23UdlAACakZxgeQ0
Bf3VmOeyUf2bsMrHWw9eMBv13g4oWzGclBLbZUApjXM6Hi+T/MEdbgfDCY9jOu+isLaj9TQ22r7x
wi8tFYDR2tCUcVsn1H9L58s8G6mQtdFBjyhXBqXGq7lk2lbUw4TrLJ7GW+kum6DTXsYMws5Uzahi
5uOQf6SqRg6TwKvJrvwjjT5zFprpZBebdJZ+0iY/AukM/em73+XzlH1DzLt+Vtd5copcK/9OabRC
+W10NPXaPoadZh+DaSJQe+3LK72wi0XkThUy7jiOQVa9+0TLMYNxnG1dvwfj8agaFbkjE2z92RZN
qoTKKoNTeTnJEWmUTQPoBlkjz9jWeTKc667vz5fZhvOlhIVxiZAc2hOqHr3V3V0DMy0AyVo9zS2f
vzTPJKHXTYlcuOwSxX/uklQhDTgrD2qQHqS5j8scnmV1WtS1W67CPm2Ws20bd3aYmXd942mUA3P0
FiZTmKS99rLt0KTdSdplU0L3svTGsd2SFaZMNermDbIXEAY3dYKa4chXG0aG+6stGbPmPhONtDUN
RQ3SRTZJmvRLFyXypesGlX0WSoFPVdTCC6c1KmzDo34wwtFaozs+vEyp+VIV6P2WKeVJyPF9+U/X
crBfFDTDfnIEJYbbvrsGBkV911WzwOlfhGshVq3/vWrZDh7SkkhBg3q40ymQXjl1n6+rsmBvKmzF
FLU7iLQnkjH/2KBNaE4TKoaG8JBusomqkTJQpTxXtu/cGVkYHMYieUAY3tnECdqdKVXjp8wqtFNT
VTNK1OLSmwZvaah5u6o7/x9jBjXQSbpPMehHYgHjVnpL26fZnWACiD3tgK46//+XkVQUdPeaviGr
ox1sQkrv2FHHOhYOdFlj0N+oLmT6lPzkD1Tx+aQ1NG8pu3JA09V50RlluZc29jj5Q6odOB42947o
wAwB5zcCGQs5Jr3SwNNWepcqa+kiBzJVedBUj1uQeCmvgKoRduzN9dWRa5222pgMl1eXk3yTGqIi
aKfd9dUh2F4MWh3fqF74FA76fJJNbYKXWVSAe6tRKDOIAZ0Pl/8KRyhFQRp86U5joF6mxI1i77w5
fET/VD01NkKSlBJCE2ggRwZJ0hzO41k2dueN56ggT4ByJuGwX+x2FazVKHFQGSQWKcN5eWz2B8oG
jYWM/EV+1x/8jGe3EcTpcVRC+6iL2wvFWNanLhLZ3sqJkLWULn/yu9pq0g36LGhoxHKy6cWVS6UU
smr2Gb2PYWERpILMww4fwyEqjm01fr3EKUSwYhYeARuFG2n78KCMO3z0Aq/dR2EGmR4yBndmbmQL
L8zmr1ULDFjX9PScto2yq3qldSkmJTK+AKGJ3qfhuCfH+0t2mpGCdHnl2nZ6C+vzBg2u4ng1yau5
iP/uq9DY/WZ3h6pbKr5xT5E52G2KcshLltwvh2FTyuIboGG7qYD82fbqallDJbFJrcS6s4PBuvMg
5tqYmVctIWxFq9JFVeHoV9DPCxfZACSM0dsZtnoaUIxjwCuol5xhpY5kJNQ+jDii8qI39l2qV8ZK
Q9rirOIsbdItBCmJOkPlLmUorW9rex/5zdPvEbeo+jqrfMtjKCEfAGtAE9nM+gsas/5yQHH43hPc
pzDy5yeKX2Fr8ptgq6o1NT8zB/TMtH5O3E/FlqM9XpssDbojSD9P38TNresb6kEOsj9VN5EOpQcs
vze9aAK/4b9RXtoTHJzyKstSHaS7oOSUwxPUFxsnzV6cwWBXSfj/0NSQCgBfzO33S6/+QtYXdQAh
KIN0abCNqgEtGj4vrW+SF7cL7K0bGd7WIIL87GrprVMH/Xev5JiaNcl4VyHwevBd5C8cKo+/B2s5
HkBmt3Lm1joUJBzINsFICUphoIjSgsm5/ZL3yG57A7FunoyYert5H7y6+cpIRWqYNEvpch2gILuc
1e4mVaL44PqwPoAqjA/XrrTZYkBeySbzZ8AQQIgJj0ZGuypk/zenYa7v/azOD4RSggc/jf5SJzhD
ZW8Wp30qKbS8n++lZeh79RDF3pscujjFHPTiqUlX1zmRkYfLoQ4IaolVZRNrzZ6ceXSWPdX27LOv
FZvrQtTIODuEsl4zp9m2ZDJva9HIK0ts6MhnmZcBd/Sphp6TN7BvOoG62r6NzNC5RZWt3VOsBNXO
L9MnNLBWTj4hHSt8L9Ndw7gLYRG/eV/NQY8xisGAGAFirVWEpsKqaJAp8YXulTLN7zJYiptpn7ok
lJ5GqA6jHJEnNzDnVa7+NGNVO2Ykk04zMc55VbiFtrJ4kK0lJMdrLP+cz9N70ZgoE3F993UO/fSU
cATfct8TdR7UQyddwSaxKb7LnmxSB5bMhbyc/B50mB4iBeAqp6uLvIr1MEMzdYagWEOwtJqbN1Np
rcd0chdT7Rr3tuj1YeosIYMABia6datYqKYOp7wfmyVsPtUmYwsRg19HLZUnn7evLYt+kykAme3+
HJmtcz8GkXNbcX+9OHscwg5ukvxI5GASOfccQlIEv6rH3o9eEgcVp4WadKALoMmWfNmT6ElubMmm
nfMtoJ4iz0i7wLHMVzlYXaZJnyxU/zhNsGk7uc/J19L3la97HHRbYPN+rUO1KS51UwGln1u7zzY5
LN0djduxl3v6SnrLxg9At1/68NYRj+kKtg1iMdk4lMqAnCB/gVDaTeR0ycml3GTnTEDgRM9QkgSc
AleBaCYyGDy/RrI/IfWekANgvDr2hFc/dWMYsChJjx1Amb/4yRk5VFc86bg5Vo5vHZRCqHPNCABT
okRhkblRQnM8Ilo+HnUt5Bv30c3DXMkBvdrxAnhkf3H0xLD0gQE564AL/zPH8k1rnU6IWLQqlLYL
uST6SpVfFbeI0Hi3ra4+2ZB33NgI7dzKZmpieCr1ZA8ikf9waevNDE24jufCJ2Pj6U8hUaEbGLX+
PBfs7UqByCGJznGjlquZ2oxnJ8yhykDoy7dq5Zma2lPfWfNdWebsW6bIB66VQZ1JCaU9ZDYMWWlz
D41Jva/Godh2Tqw91aX+U3pQiXggjZa9hZnXr1FTMA52FjZEGmzH3NW+1+z+SGtyYTjpBQlKTU4x
Xzggxz+RosiRTzQottMQbg89nh+/Os4x9C+VF0NrQB5nG7fWd0WwlcjGFUwl16686puOagVkon+z
X309arK3iFZ/l6aIGDu5cMmA8rGcrg9APiF4lPbcH87N2KGl3JTaXUtN8Kop/GQtu5SgaXcZ6jYU
YVbfriZ5VY8TSuTsjkOk1hC9KWY+b8Ar2zLz1TvpAl8HtwBOd0vZlQNqxiPBVYyVXNyYsm2GZjAw
v1zZR3F8Zwn5eqSXxnPl5iDvRMONLVkhD6yt1Kot9YUclo7GVN7kI0yLoRN8ncIE9TCpweq41U71
JiJVSO5NQoG1kpJ7Web3VCYJ6N4YWuOxK8O3hqzSyQId++SXYbAy5iHbVfHcP0XjZG+LzMlXcjRH
luCkp/43OVhxezxqSvRNg7HmVlfs+NYUzcChjNu/XUIr9M+AvBrrKd/FE79t2fVmpPrkVTgq9nHm
eSoXQZsH+L5cqpvDLVoP4RF0gXXq4rcyn4KDC6/LwRaNvPqT7U8uY9pRWRjPq/89dezgdch1fS3V
D67CCNeuvLroJMhh2Sd+/a6VkH1cXQcyte4RINZguhKj17VidYI3zYXuORwNC60h1S32YV+AZoNH
ejmqc8aezYqVXTdX2QFS1ewgr2YxglTXxnTAcHua3aw0FeWxyukgG8jzVD9TaSYCclmdOEe0KdDp
K/OHSZueFBKIXxJHM9ZDIupWB7oE4xdd6lUU2vXBAS6cZIVCk/eQz9a2hS/oUIsmzvKp3Mu+NajQ
D3X6sIkGPdo7siudtND2YQAW/pfLuslfDDuZ9ppWketLS588/JA4wA0Q5GFXA+VC1WSItlr+YRQ9
abr6ya7VWelSsfv/o+y8luNGli36RYiAN69t2d008u4FMUeagfceX38XEpTA4WhOnPtSUZWZVd2i
SJjMnXuXtzJzL01pdZ8ALPZ3SrQ0GDVm/1UH8+7yIPLHAAr02Kq1slCCGO/4uX/3UAP5I2sL7hXh
mL6h1rRT8yZ8Mzs+jfaqnud7KDnmQxDE92vVtF0qpFLujAse/0dYv2Ql9oBXtB09S8W+MRxtb9hQ
DAeJP70v1Ga+0a8Lf7fqfYmjMXkC0mHdJqSud4hitZ9ILkSUb4OMGizLBBqXU00XCBj41Nxb7mSc
UunCUlWaKPOsvcum0H8Um8yyTPscmB6iqSGgYme59VjLUJme+2T546c0G/LrZke5crhXfPcsAbDM
DpdeR9/OrBXvbeADKoxhvydRGAw7txnQsFyaatsoTBAHUL7SUP4EJZfpHOYysu81ZASoMvjziRtG
eNCXtu+yMOqdGtLAZM2t/nHywWbIcvP2vdvey1K8slRbum26wk7iv+ihqOiayP07S9HnQ5jT1Om6
2QBtRh6jWEnLZxEZ/xkjt37S8i753N+Nw1x8tjVTOao8JnNr/T474IeEeQJwKv1I5nzaqClaigFX
fQBXPkwB7BZok5UoEKIA4nittTJgpMEAcV0Qo7UrDBhhXVs8dg4zcg+wZFgp178gNN+MsRfSjku3
eGCV0UfwWhDtLrYgCEb4t396ZSa2wlfogHBofUz0wufHrA/7aZzHk4uEG6xiAYqfdThHKCwqrN0f
vYleVGjONbJqrX5pO+3k+2bf7sSW0bvUwv7k1WuMGDVL0y89ga/sQ+3A9IgQXlXtesRjz8ZCI1A2
81v4O6Fu9DMVqSYnfAA8lBwDVOH3SpBGD3ajUDVXDS26tklEgjGv+1Oeqen7OS/snUp94j+eEh19
yMP+8hzjoR29GJyBaXIL4RMql6ZzapPtXUwR8SHWi3Tft2F+QF4eBdUyKa3zRGXH5EH5OqURCDJ7
ufe5/EZc6WxHaNudHgc3y++myEjmYUcPz8Bblqk8xW2rPI1O+CXKY4RnlpXYwzyxrzFvrujjFeiC
elb8DjBDAiMlWvXaCIZmbqo+2UfuBwMOmzd13j8GqqXdhRVKs4lV8/Is0xdDWHzOPd6bN9M08+QJ
XMxZWhtuiGXPT03ItcWNleFsqVEXH0N3etvABXGNF6+E8G5Fgk8NwSR04Jxb17mgQPFICnRSKY6F
Kq0b8we4iSimtSculspbM1D8t8g+AQnRtW+yEntWRSaMq46/R0TCX8Osfuz3apX3Z4nrq8Z/6ult
5mLuvjctdDXjMNNO5uSXX+KpOxVU2P8TKugH2JE5PyqeVz/QPazs5fU+6d1dwm/j12YhqzdQObp2
adbd6D35EihID2XmaPxRxOqlkdJpOkMADTPkjzZKqU75VfBJi03tMAHreUo6q7ub+9JEgTOCL3k0
PjamCY2XiF8iGBNfW5Aeu7VW4E1kwl6v+8WvmEttJknIg8l+4Mv2sZz97CJ150hLH13eSm65lnBj
sTtfP9c15aXOieAmc8fgupabtEB/b9OJfGmrznYONpRMZ6OykU2pBqB72pAdUKREfpIHMrKMbQFg
Uze+mLFxGZQs/tEbJLnaIEs+1EownQMAmZcsnoNDafFyIWoPJglmnsQRl7nKWmY59dRno6xlQMo5
PoLneapoOJ8K061X4JRZqsVB0eL4kI8LP9fkPkGz5EMO2begIsZkvg7LIDMZPAPhZDsO+92qF1tp
JC07ZG5ExnWgd2vVfm0bLuS5s/DWQVwwCkvBL9sWJrvEvpwBVMAFKtidyuURJuvQhlJFJkrWMqzr
0G5QmUza78K1XsELke/0hfNq5V7nceSq8wN8NvKjt69+1fOzmxA7BO0yHVKkHw7mFA5Pfd0M6E0x
Q2KDN3+jU45iCyoVdYdcnSa4pqPhvAVKtBcW3/MmyS+v7GSaHiqzN8+BN78p7PJbo+UtL8eB8dEp
82/FmERoxogCoYcoUByMZ8g19SeqY9ZBCSPjA3gCUBDwW52HXlNPQRejMkN94ZvMchrJ19lmKzeb
0UBpZyloy3al9tZLxsfArpvPnk+tv3fQNpMlZCwo1yYxdGqZ1XwGRLFwg2b9oywNH1BU4n7y2qx8
IoH3Q/bUhs01rHbtgwRBxxijzMPlTpaN1r3PANyHeqk8tqMev4knNQMm0XyRlQx5k/sgAQ3zLlB6
75q7pndNl8GjpsiNpT/TpEABnzTXyYvLBXiiaR/MRbzJNdJkL948VK3HPFDfymrd8Ji6Tf8h9LLi
iFzZcDQRMXvTAck5ZXQ7T374BMjoQVFj71yD7H8ql0Gfo/AOwr1iN9pdYu1IepZPhhqPl6ZXv4jE
hpiq3PMuqWZ8s6u0OExmBLFlVlXA+9ThMdW0+4YC/nsx9f4EjajrhlevTSPgJPf0jST60VWr5ioD
NPf2mXdpaFLy+OrW5eehVvsTKKFmJamHWQCS+in7mJead+0W3noZuHF1xwAWfK4bP21ljc5wmegX
2TQvO8VZsn3I/H9sp1xSH8hF8poco3DZxmgay+CqALl2VTg3u4z/cOgb8IB6Q4nV6QJca4CYHbKb
vQ5+UvoJOgvFIR/GC15Cf3JuvXL0Ab3SLtT1Q9YgYiZvGHMTVf29vHzIe8ZsVC5XIrvfTS15tTJL
dpGVT28qp6bpL9dJeNs0Du+QoA4frDK/aycnQnfc7z/XM09EaymxmGkatlLF+Gzz8BKapfUxpw38
adKVP8WsziQCgUsYx9kcp6OWh/FBXXL4OWxfdzSLfkWUHHhNuOT6NwdaVV9lJXaRApeZ7IKV+aus
JikGLMPmhAZlH0ztHUKcw5XW6OHaBsHzTOvGl0uvH8jQx9E7t54dD70AoEXIlHwJ66m6pH4/vSn7
D9SwehSPlic6OwIeNlczt9/J5W5mNx+aMoeGmsRjfYmrgFJkYQynDlAOdyYzvtKmegF/ENwGmER3
LarAb4rO/+LSaPkFpOR0pimFP7zWi+Dy19sdShEhrYlJ+6kC0kHdNPriFt50G8OwBbjMLg+egkPv
AqSdovCDgabFYdLH/jaPBTWvZaYuw2bblmmde+VuW7PfNXN9N/Ow3+TtU6KUJbf7KvvejKiZmtP4
jWRWfCwsF7CNmvBgx5982ikmj60ADuIm6D8kLci6LoMRb/UifPsus72dOMWkDdFjklrZow+ICU1V
K66rM03uef1Wcdt2pxuQBboDJVIZHHCFSAc7fOZU/RWDVP0OUu1Do7bDx6IAdjPGTnt2dKO++gvt
Vhn/mF07+RQ7XsBtb15wMpXx2Zi74ZwZuXdstTg6ehDYHfrZCd7UxaFBEvDJbryEkpk9aadEafN9
N2XhG6fLMap9/LkalYI0Hhtk0FJTuSIo8Hb5j8yPecy9rK7zq7cHT6eE76BhLM5D1v4RADK6abV5
btzl11pKWDL8cszy21/6P6tcMQ9Yt5kdUtqaU7W+613rx3q3L5vyO5+TXAYNjBqNHX9fVvm1rcwG
8sacrmZHqa0HaxlklrihRV07Uw/Qz1j7dJjTeSfGLbB3s7s6BGUp9hchHtTPZ7CTP9RYtyAX5qgX
Ib0GJ39tZ/pp8wQmFZRx5hLbpnO3I/kMee1Y3o0Fuu2yMvrJLQ6rwzCJWYS3GxBdFy748f2knttV
3hI8NaKXHewcMRzGYoR5iilMT+P9GN2vK3FE5vQZkgygW9B38ZifdH8Wyc2xq/pH6NQknWJnfOcM
2nD2/ci6TKZbPPlcvA5QFoffDKe5yJ40rt4mZcXfG3S7qZ/8WXVTT6Hc798lhvsjJ5dyE5NFdvXR
td2LrCZEKN75NjRATW9Fx2ps4rcIoYLDVd/qde8fNeqzB1naPFXuFMNILtGiKx898IBuvU2W+Tjk
yk1rzbMy+sfMqKPPQzw7V6sZ+Ksv+27vBZp1pWaMKIs5hnDaKTypdhWSKUl167Wa+mviPvlQSly9
os+vZVufLJi7L36GwISq+eVFg3xwX/Rob0NjgqwHlK6Td9fY0afJdOpjthQ1wc+2SM65ziJYHrUg
a3yEm5aXKBnm5Q1pW262oHmayiRcfdoS9a+hr7ZXHjXNMlzyKeHNU5xHx1NcruAkwJLjFJv5fTyH
xb3M8sKghi9r8GXFPe/WMwhWZOkI81sP1ODmXPfCSH/RLOWPgQ76Pki+a0OrAe6fkqegcqNbHcIi
2mZ2/hmw5ZO8BUCz98XhV+1jFOcAXIPYv0BE0N7X6FQdtHTqP08BV3eY5qoHf1L6z7kV7Lp+sD/2
UPU9df30VaIMs/HuYgcWOllavFQfXNp5LrLsE8BDjla+nZyWLsbJW6Mot9Ynuw1RCoOwLCbreLFb
M37MqyA6KnNhfeShDMxnOeZ/jtUHbpnWX248faxqt/5SR/CeKWWWrrvVUTUupG/iRx4zn3fXepRy
nQ6KZXeWQukR2TtzLj8neRZ/oFkZOfkstk61xQ0pm2EVpXf5P2VH879T9dajBufkQwJFNoA6HA1/
kWoeFN9mSzVh6Szrq+PW3t04JnRHpbp+qCazf0q7Xjkv7LUkAJLy3k4K9eQBEHmbeb6BIq7uf3aS
+jsorOrPENj7ys4zqtS2OiO6GsG00KoUPCPb9TTc+tEZbgpvUBSC54usLLBbMA4HZVzttph1vfoy
Ixlv4mo0DeqZEIIAWa5Bcopfwo/QDCie+D3a4DLw1xQ+2uOT4kb5gyw2cwg04TGcYZdoMlc/v3JI
MNpv+mH0KmfvLkc6VpWpVKOi8FIncY+0sd5Gxp67yQOaktanoIib+yigY2ciD/kpNarqzjZ6iGYX
rwel17GMZ+8s3qit3V3AdeIm3sZxESRy9TeN11GeDovkLnH4pSkRuE0aPYRQ/tRakPIADQqdo9fS
TZoneX8flPWDB8FVsO+MUn/yPaAgVfS207SIZAdDgtBlDLvl4xqVW+VbkoPOLcobmrdnBVpMpTHi
iwTLXl6CIO5vTfO0nWJQxDoOvW4fbCQ+Ai5FYX5Ga6LcUwFsH6i1gj9aUkzzkLpHZNrrow+RwXsH
rdo3U9AfKd/D2zdZVMDSwdUvEqzwqnc1VFj0SugL7/2SBmr4Mn60ThVetn4LeVJe7KbNz17s28Pz
L3s2dPXNi907E8WLmwxzE1LG+c0yMGOdlx43261xVmtAfrQEztv0xcbNGLulfgRtl+3kcLWAvaVC
zeKwVRB4rbL38Rhn+60E8Vq++fdriZdqxVrMkLWamRe6791LEQWUfZH43A2LeJbVNV59nkan3WkD
YBWNWu6Dn2i0e8lUgpLdGOQ6yOI6vdm86NEG/kyoF3zSwRf9gz8PVviRhh0L0R4o2E4bgd62U2w0
7M+nYuQPVxy1WqOC6BXapeBp96mLnI+C3qqThtuDZa4r8f1aiW+JFNgXrKlrpHR//oqso8w+grDw
jtKTi+DT3dRE45P03xrpUJ08I/QO4rSzLHsHKZb41mERezV06FKlVdf2e7Ry7ei9OGVP4iBxlHtm
frMM9xsX1/ddYigA+5vngUc7kuTNg5hzxbdV8tGauov9tjlJmF4YUA2JH7bh4dQivM2jE2Tlf0/I
vF6/SNCIS9b5ksrpRfL7hV+mtHv4zxzpVgvFGKmoCr5KGOWpS8UWrzORZkMu02c3tK3IpsjUizIK
VOq0QHMpfzut3cK2QsUdWdZaX+jHfxEICZXQtjQXLqKNgUjRAFOlSejsJUSCQbP5YAb96SBt3QZa
a28M8/vanicrtfy+dWlLfScofqzchNZztLRs/23/KwtnrP1/ciJlhU5zocFQe/cUOa0DtMFwACsw
65LIfejRE8yDNLtu9qGyunk36N1wMtRk3G3B2wHacsqyl/xJBoLi58G517k7UyXLmTmZ/4hsQLmn
mkWT97LM2xEw5jLLvEm9q+3kTzrdUBIQWwrrPVjhECXZIBoSFFPC4DHoTPVdiu7Wjpd4ePurRHtX
L45Qre7rZSURrjnphzT3IcJaNshASWNXdtSy+zF193Xaj2sSxG70j0mALnlRhiWIg0zvj2plVAdX
Rdd7B1YHrkSvvlCkIMVb6OOp9yuAWcJNs0752cQrs43Q27xmsRHjK6YbobexaWbaFx2Nau0+KOnH
ghey5cJSGAtH4s/V7M72cHACmghCKo7rdSVtzCOvltZVLiG/o/P04qndtwAyD3LReXUNEttMienO
R8tNVoSWd50NvGA6OKGe7F7wgMrueXpjgFi6l+jfHQrTrbZLpt5br5WNXBAlMFnIROkKuMJw9ICk
Lj15TvK4AewXU7GY1hz6sgyVIXlUMwgl/ShuaY9P2vupbX6s9T0tn+86TbeepLxnci85wErIu3gO
zpkyivc0L3ikbAKnlmsfxbKZbbPzTjG9A7AjESpD1k5/zKringWAnyz/9yqaHkdZCnBfZjKs8Pw0
qMj+oz/+woZ448daMRFJdoPyEeYwHgRsfv9lGRbpaU36/1quNQKHdthzoI6QMbb8r02mEr+TwQrN
BnYRVBrSRUhPbDaNOqZXJ4+yCg20jOk9vtBI4T96xRjzt0JDOY/AQrzJbV+9GQYtWfJL9WvppJ1/
6CGD2qPsHT7JYExB9JQEpIQLR7dOrxx5Gman0KDu9coxwH5CCoMqxq+TFLqXdt6I4JfkpyShZTft
lYL7fJVVJnkAyWO5OGIKMJdi+J7qfvUgA5mVep3JMlC774UCHOaVXZaZqVYPqLHTCDeA3P7d/noq
4v2UkNEBNhTsl8eQ746PqMuYTl8ztGaOmg7nE83X6RvNyf/nCNdHcKawhjdl4CL6Z4JPQfunP/VN
O1x9Xd2VeUuvVzymlNhrOEbNhTdBBqu2jFvdWgeV7obVJHbIYnv20Vlea0p5vy63bXZpffE7gwaX
v2/TFt4FeOMTAJ8W7F6/PmeLK8ygPA5UM/biFUejuW9cgJOXjbK1GGyq1Fl8XZldl6VV+dF1vRIJ
ZWuw8Lvy2ro6MmkwE5t4fc+E9rfceyhogGKs0BQN9YfabrWHOmuNaTdXsIvBgbtH6gLb4tDhXp12
stZ6LTxnI2LcVU/y+CB+OcJUVWNfuzEdhctGGcYijaaF7uZLOBc1txEOE8d64rou9xoPMEejGr2L
1o7BO9v1P7jlkH4tTAQW9XEsQFBF6dcJ2WWNYgt5yCi+51pIjRahgFOmlum5KoJmX7SjckPWxf48
Q4C+kGfCjKtAV2x86sz87egATNWjGG2BtJovbl5FO7HJ4Idq+8aEmraFUmC1a7b/3RsoEkqANrUH
13ItGlBII7mSSypCGrUWafTNJjMS/+SSBNAqa2sJ9F3rOfAV0vXVZgmWU3WShRe0Cc+Srsu3BN2U
/TH0Y0yzNIlmcUoKT5Y/fWu2b4tItT/GCmi7hG9m2YhPztt8/zxvUHNqCUZ+1kz3OTEq2VFZJqoT
BQeZ+q1z8hs/vIxAUavTlkb93b7Na6nuy23WmPD2Iu62Nmhxk6lvRuPRpf6xK2uX7D6tqfX9tAzw
H9T3UVlilLWZkFcAh1mcJEbcW6As18FWEDwLjdNIzpSkNoMeFNE6g1r8H7b/NS4MUKbnwfQsxwWt
+2N2LPcEoiV76BoeHHYylcEESFhoGSJstpc9bHaZiW2ufZ6/s+BOTK/3S0gb2dD3U76kIMdnbHtl
NshH8ji1S2NTvVm8c1AKg7vOneZDZaS8KgANhMKEGcAVr9jJVAaqCnCsQB5cLN7N/ttgOcZbAGTi
3k79V5seGOFOjcDCbcGyV3YUhpZdrf47D6GqsofyZr4hI7fjTbS/6gIBQ8d+vqWlNpcXmUqMzl3+
YFUgcOoBcQVacFP1troRBtvRQFscl6bsqzP4xrXStZdD8feleF/Ztm1yioS8sqUdYotWnMFOtHyG
6tNJvvvdZ25HK25dHOEuGHbOwoJhKcZdkMG4XrVu/gjKY6FSWPBi1ayvjpe2JaZrrLumGV1IQJew
xSQnyWxxauEIkw6iSX1CCmjoPRLTid1GCxNtcqtivXmepsE4Q4VdLrVGI6SHtEFtt1WhF1eVCfr+
sFA0YDu5w+v2OE5n20j/A8s0HqPmSdlahufIJlRoKgrr47pH/I6Zw+y8MObJ91Oi2aatp7Whmfnn
Fxcv7Ig2xKD8i2Qwp4VzxARYAZ4fz7re/sXbia89qRJnuxg88AnG6vZWNw50tAMq3zKLS0Uvd7Je
p2Kd7dgsd1s8uo8/WitOT+IV+xoi63pAjGK/TpfT6Vdob6MbX6ZpjK6oSAeHwPWrw7ikPPrRo4lQ
kRxHrekIDVPIE09X95AaLhkQWcLWOF3clEfxxV5EdJPAnHmstMG6bYPlW6DV++QzYJjg/Mr+r0sg
7tZNtkqIx/4QANu6f7MrngN/hE6X7DAn0GJHZs/vgGPV57rugdPqIcpX9L17h4if4OGFUaP0cJea
kIxLDOJR8ZOxDDq1xYdgrHj9XFSzFpOtuOotSPLzej13K4t6ERWn/XbZho6rWa/5YlvvBjL1aKU8
TLES71/dHOaClzmt6KuDqLcbfAB8AJW986gKX+GFGnmomEdqPsi6Wzwv5gdZgypwd0WXxMd4cYvt
hVvCRzUoz2k8fhNv3oBeKWETFW6mfCFtkhm4TnTloOaBoWlGfnIP1yIfojlFwlMTrT47CZNBGJ3o
Jcv3rqmHh1TRQILSEYJkh6YEN5nNuh7cqG8t5KWL58W0cPMYmK/skg1KYDa7RqVdO3ZodjCXxomF
bmadiW3OIv860nr+yh4uG7Zd5WhkNJGl8Mb/3SEh296J2gh1gb48bh82WGV8RxPyN8H8NOpShrOH
L4IPotFlQINrsanF/EUiZsEM/Yr7V5scEC4oI3K6L86UDVMKu8ekxWhcQYfGY9/8oVWnAdJC9S/p
kkYhxT/1yTCf1LCMvvgwOOxKjewyiYcc8EB4aPIk/qIEgXkNu8YmFxArH/vis5cuSgS8PCxjyOOR
vwz0IfypNqlxlNUa41BXtPZi2AZbNsqaQv/z7s0ttvXwLUZJfHf9mM0Ww8dwVmjmF5NVt5p/XD8W
0Us1361zcaZK199NyP4qpYMAWeB12s1YUsQykwG1n28o8MwnsQ928TPuxZZ/TH9tWuNlq/X3c7eP
eREjn9h61jdKVcBol6/z4uzfbll3j10Q0KL4XncAXynK+CGv9eAhpEa3dzO9/ApvDgV0W7PuzTG3
P9BkfSf23FfoV3dH94BgD1igbwOyJnQNA6x2eGFfmFXKr37svqlciHGhc2ge1Qq1YLHbTYfmbzkM
N6t5nzpGclDyWL3K4CL2eY2ycch2r9fi2iI3dwLJx/OeLWY9Y1tLuGNE4/PB2/btyGD73BfhVRK4
+5AOhn2gjw5qLbFLv6eRHwK7sWAtxyZDOdnOdXCrDqXIxShrmdWLR2ahhqbV6z3ikcFsO2g6tvW/
HykxKLOAJlJJl2z7tk/djnnxqfJVXsWs7tn2+guFNzRCO/2a2rp+NXnVMvYybVXdzlALLJxsDZCo
fIkS/7aUWaUq+lVmMqz7JNrXxoPZNcadbBNTA+EGr8K/tojRaawalB26hiogTE8JSTktg8wEiSmz
wqq067Zco0sBbm57fDlj9b2O3c6To7bltt2ZjXPV1wG4a/ChW1ig21TxHbPfT8Bpit1AtpRS3NBE
Nz9WSoi+ey262csgRi0aq2IH6y0s+2LQySafcrP/9mLntgecjvEcuJ7/4uSSLsUb0BQDiMv4pQ0o
bTVO9YY/5+KBnuLiIau5Te62dc4fKXnDSDltthcxcgJqPesJEuIJREOmMsw+YFmuKj4KKHxA2nR/
ovdbnd22SR+o6tEotDQByrLX5rk9UHRMH4yau/2YXWShLZbJcXm8lTjavTN6EQ0FBuRy4jEZtwqs
CrZN3d21hVo8jBGp6sEarf32xWW2fnv5Lkv6wk2N++3Lvvjyfg6UMo5aa//CODVV1R3y7DwNk36v
I/LT5ONQlSf6aP0D1c/pltUdgrkylQFA9HQrNqOsxbMrY2O8bUGv9shy3Qgn9rQGitEwgrLavdj+
wvrqkHV/oHWkZNT+iw5149lYenqSGYyGDOYCGrSgAVodpYhx1hAYvTBKYLvYXjk2m4Rs54epdmxn
ugpKx80BSzDY9fw80IscIEi+rEn1zzQtIWHtV1mxxkxZD3RjC4eocjy0tpbsdXlO++3TGv18AVfz
iYab5TlPHuO67m8UnduSZjjrQvLeNu+GHImLmhIO6tp+wu+CzW6ZBkPLo2FfQnOa1+kaQw4zQWb0
Z7TM1i0m9N7Nbolu0vg5+vWJUVaVaEPTcikxbpJVdPwtR0I0PdKE13707I7GsFwDEhvVEAkHvTMj
L1p64ePcdfNeT+kwDQ3YVHdJVsz3/RRY1olMS0ui1qS5IrDRnh9RnLvPupAotW4pVQ79p/UQ8bS5
1V1zY1xYIjlYPkMcZfbVhG0HwrDllGhR6ZvS6hLbIwQHy9B7RgIyDuR2g8hCuxPji6nWdBpWn84Z
TSU7v+wpiuJ5d8KbGMSAvYWcwGI0xkce97SbhInzef+ybftQE920uzZIbrJp3S/Rr47vWziiUTc4
ARSkmp7NpX5FApc7yt8Hign6tbYQuBZHlbk/o//7FvGCgDK568iedS7HvThptY6JebOdXjsby4W8
SFsu7M1yjZe1zLZhszlyBxDPumdzWctBk1e6YICy3Wb/3TFi+x9CXnzc745xU1hWhy75S5wvgn8/
/d0Rr3eqcjcTaz2k6NwPXcov088fzL//oF585FDTKZu7pbPLUxhX6HzurhaCGinMhdBJ2L8G+lAw
bmuJnHrSJjuZynZxRzr0/utxsha3zLaP2M55ce6rT5SYV7ZXH6V1pXOyahgelu+5fYV//UgJWb+g
bHnx6dvHrf/+Vx/VUKmHY0BtzCDaGYpZ3SFSbN/sJd8wq2N/sa0B8ghW22BEGu1Rspbg9tcOtY/w
/H3fGq3OpOFPq3+1SJRj9OvpgZ4X9Y6XBDAgvhYd11/lQOPpR6YyFMvDSbUMuvyOyHqWR6TND84u
POopwuOvzyjaqAlPYq21wrL32yaZrSfJoS/O7wHA2Khg7Y3KAUsYU52SobK159l/t2lVCPGmxBij
/z9t+V+PfhX3avn/+pav9r5abkepaPjto0hVD3YcnEh00+6s9pBjZRZ3C8ipC2ja8h0IYBi0vZje
eJlKTAI31d08eB/mBNKrXT+llLSXzTLYFmLCTQPt02ZbT6UW3aNUpbsHOUsJHB0BI/mEJv+LlFR+
yCPEHpanRxma5fluRQLzGFaDw9H/FFu3OKqYZ56DZf2Hx2brFhsRDbnkNLdGX3vJ7dZz71NFgiNi
cUqEKgneBg6TexuHhIlDZsKsLLv+fuTaRvzLMXT5fDaG7Dv8KCR0l0FL1ObUNPYXaP/RwVFyErvi
KPOhj07SZLBaDSVM1z3i96ubXyFy1FVG+J58q3IZlX5aqIVhjwot55zAanGGMCm770hY3QdKRU4y
zXaA7fhdFpt46ap7DhHb6h4cLzn6g63vJMabFGRXt8Nkz7aUjfNc/qdJUvck9kQlCdUZgLyH2AGh
aHhp92hRLuvKubypkK4/uiDJHsUeNEN/r8DW/couTtVyEWSLkJ/aNtROb2kLVat+aGg4OayBy6GO
ZV3VIIQR+O81o61c9KqOJEvXhOUWzBfEvNSXttit3PTqOCvLn9AibM9hX1Y3pJor9Jl+zkY7gC0K
MaQPdpX5J/FK3BbywtbyGOwiI2yMmkk/a6OcdL3316XaBtaTOOyiyWASz6eTLDeHUZmXIdWD+82k
OvF87yLpSFl0lxSae5UEmMxkkESVt2SrZLY5XsUFpjtD8LkESsyrLdsx26k8oIQUAMOSJgNpJzdc
pTyJHvMAddZDaWsQGA0Iw+s+hBTA7p66Sk/JOOTDSek885pUAHT0gvarnUxlQKMDXOqvQQJBIz3b
tn1FjbBMXY/hXmy5QlVst7m3s+it/umRc8AfFNcyutTcAm4y+AsswXbT56XYdEOvT8Uw/aVNhlVD
o0aIOLa439l+bfvvsesnkvbmBrt8LtJ13cFrIvcktO5BVrb3ZR58l5Wwv9OV8mTD5wdDJbzvGW+P
vImr4UoUn9CE8IZu93W3xAca6FFVscarbKiqOLpUcQs3SWLP79MZXTsnLc9I2CVvffppnyJfJx9O
h9JX+GqNfRM0fC30dD66NdQAQ659TRJ3OvUmLFUSxpvBrijG+rPZtB04q4Nm9cht/+rXkUJzEU0k
LsU4hMbPWvKLsjJ44eCgZmq1l6AXnn9Mec+5+I0dXCyEVu5lMH7NdK2J2h2AaTRcA2AXi0Mb9DaF
l+rX1MlaBAdKV923cJm0u6DmVfOFX6Yh/RBXRN33oW6F7U5sVTDzdCrhasXNT4wzHeo7vdNKiAc4
Z41Ru3S+WENdgXNHmfDBqzyQKJHO7+rCd5X3dnQC5WOvBFdiWwmvEiv172kbEJMMr0iv6BKJ0dul
/fUFQ9b/51CXArJ6aLXwj97LgG+Zw/Axb9PiVvleiDjhMpWhtvmrfrFO+q64UTNr92geg0r/FSgO
WZY+FE0p/Qprv4idDh59gkvXCICjmPa36g/FqizvUi6keG01GvR3zT5qoWUcrYH54pks3aEdm8au
e9ktg0vnaQU6/zwL354EyjkxXJMnDbnS3SpFMouYyTKsCidz2pD8E12T0qF7DLbxnHYg/KJVsrpl
vWqfSPjzVjnll0KKxEOp8VM25b/E2w48f6kFN49Wj1cZTKv3aC9pwFoDzEwyflSLz27U54AtVGwI
JBC5xazrRWRSG2D2Wo8Dn/e827N0wzyuQf965quP2JbrF4LAcIRnsFNRShkuubwyL6/HMpNhkJfp
bZ38cjfLK3Qtb8KbW2bpco7MYCXi5XpK/4Biy1jPl23i3I56tUuWW0g8I62gFB1Ko15Lcm2BHKh6
Od8EbCAzJ4rIatmm5p1ttXt4FZJMdv8MXzAyfVD260HtgmeYu8ncNTHMaLERWvxRa30Hh8biehkr
nzJ8dcelVC1fQ0LkiO1rTFNmQ4uzbBbjFEMhGpkR4G45XIyvvpxhZfqxrmA+qK08NI5lFEMKb6Kl
8ZQ1dnv1vTgafoiVNiGw5YZFl6Rpp+MBCfFWD57EBy6ru2pm710mpQn7DBgVrDdXv6yMhwgIxENb
QpVT0hi9CrgooCOh3mKAtAzuWV1/ELGWSORd1pguNEJkVblsDYGFBnUUX+FH3lmkkMud8X+MXdmW
nLiy/SLWQggQvCY5j1XlctntF5bt7sMg5hm+/m4F5SI7j7vPfdGSIkLKrCETKbRjb2HUJ2g01Cem
esvw0U0xEUsGKDrxCDBaHTd7j98zcdx9kYGAwLX6mlm+Ye6+mVL6PjKsoFgtfpcXn8Fbn+7AlR6c
waQdnKn3MIwSPHPjpp02SeRDXmGJoZ7f445xvcxxAXA1xxGsH1h0ntFiz4N5y+weW7lTMe6bpteP
uOnTQdLQaLvaNXc0Inv34Vxs1PvdEHlaELst7t/FPNho/eUdLHP/3Ta/LdZC04HrAJgChgKlScrm
UiKX0ryAG4ERRL+ShRrKFcfZCZWy02xeEsBYxIEozLXLK+AFWHWkU4JIIpRCQmZ7pdEJYzmLLIeL
h7NGg5vAVZJhU3l3kLk7uSwHm8oJ+cnRt2ShxpAJ+MrA5yYiHMQekuFhnFaHrJSo1v2HxDtNoAw9
vl3wtYVihh394ImVf/YHkLfRz2uWPS7Ly7Cabcvvh7wfsWRffqcf9sUE4dBqZ7QQiAKZvn4yEsj1
enO31IPyQN2+Sc4h6Gz2g6gG1BSpyEGUluaBYx9QjdL/ZfUL1QVVhu3xMe/nlUIbBLSDAmDRTGgU
R+UBmUmlcD/5e5z24xfoFWvgRk7a/aAw1mRrebOReZXcaCRrK7okmn+lEaS3i0vYoXbeHcUF1dPi
Qj1T4+MR8sxY1RUXqB2/252kQ7EES3IoKOueeHa5jqsdJUGctkC39trYnJka4hv3xTRE8mRADemN
Wfoqqez2lRmD/ykIdWgqIChpEmjcaMNnmpL0IjgzOXEcqOAEvgd8q/1Qrclr+tPeaVHvn4PZsVux
2hFnMCmIsx3jRBrFKGfAgMyWbTf3EeRpgQIDs4zfbZap5FjmUc+wtHyfSuuFRrZadAl7iGVSQNTH
cPYPS5oRO0oTIl0lbRlFpl2mCEwwVonKrBDkqJkyUdMziN5zgAO2FAsqU9QLURdUw7ieamowrwxb
zuPm5kQCdBFuWD5DxTb029BrNOhmW3r5XQYTg7TEcwr1MGvnhE6zTRMwHKKyYLxSk4BJCUpoEjnv
1qjZThvb8dTn7AjedevNzqtDoPv5C7hm8GFoIcUe2W9OElq3dmJvFKMBBnjSxhCC6R2z3gbHLXaN
aQA6pVaA/imAvY3m73VLvw3BJA+ZuhChBnxVEnxi7KzjObonU0/3Mw8hwPC/zyBHaE3nQogWmm8f
diPqwOlsIwFp6V2FOsY8sy6OjY9YBQKKLjHr9UwAQNX9jdHsbd/oz0QCUCsmgKTMnP2I2iXwMipO
ADKmDkjOTQeV8QszAM8mcckZh85Uru8AB4RgeZQD0436B3miplA9P6lKAxIukGC1Uy3wmgFAqPLn
KCwwvOIOyHEmAxtK1zihaqoN1tSN1Zh65K5F6EDCkYJyHCVlwrTVnZGCljlW2UEY73GcmcFrzbN8
t6z78FptFbuHMuXe2Mh83JpxP25G6WITkgyogsb3Iu6D5ovQXmMHDrGvFFgi3OXjnIju1Ob8+Die
XWS9m3DXJRdNtdhYbcCBEK7u1rubX4MQ/v0FebKxIBUA0Lg/3TW1ejwPwuhSgMvheR//LuaX7d9D
TKj0zOv/e5zrW8CkzK8J+oG1a0Aj53dvgRbMGZhneeJ/4rVItkmU8r2NfNfGiSzL03EQBjDPuRaR
9U4pHKoynS7JGIqZwIXVdOE+ScwUUajYozI96kFcGjVA1JWSo5Qt3lmKcD5ymucS5SEXGrGyiw54
IgE3ppwfETw3/xrMflqjijs8LUyc1CObATQPKHw+3F3ZfooLE+fGrhlPTi7H09SYltf6+6BG5grF
SU27oi5rootjdtYelMxBdIQqTYPa7ixfV0q1aozq9mhwd0WjpTGVONY/DsmB/0FQZCYdEIaRqokC
DwVIDgcotdYcVfS9ONlZOlyMrgmOqHg+ddg53vQiDW5JORg7s9dxCPiwUU+DYg1Er88P5sxwwg1L
QI5ENZVzpWXe9LaXDqjYncdUjgmlMyAIVQ0nRQ5BvQ1d7NFBTN0efAuYcNxJXwwAE8Fnq7rzGC97
sb7dmaWSYo5UQwEJNvYiNazDYqIIcpLNKLQCgpU5A/Ls17LkaMomPFdJ8GbH35HvQmWYE7g3PjF/
rfk4ebvtKMBj2+ue7JNmI5Km5aird8VVL1DlNRTumUYUF3VRvAeJlrsGLZ27a4ZuOpZmghfYp1qD
y4J6KnU8+bB3SpjlbJjSeUiUpAY5etb4nmX6UGwJQ3aKi5KdqGejtATfsma0WWzkiJIcfyVJLRlS
Meyawjya5mBDf6oGFfpOC1z7KZigjbBy8uTND53gRDYoKtgAmqGCFQmstbB1tumIVEXYSFAYvs1Q
NtVDDs3GfRF4AYWFDxFqHPFJHEG9cKmcHS6bodE9TeMXaLn940XR3R0RxdyN5QC1a+9hJjg75TrJ
eQCVO9BaAIKcnTVD5luUKUsgN37ZyFGBC6IBIB8x1FhRlZ85C4C0GZJ93/t+ueI+SKBH6jLVNQsO
9vUBpIYKs1XXE47o1F0aqSBayKACp6ViaMhHkAW0LgBCTtebq94JE3wnBLGHPSP38iTAn/uj4aCu
wj35x5h63M2nI7gBsEmsjV/uAoo7UcGtfch4fdR0NBKYdhBTaG19HPHjHak3G8lPkWQMnQhVr3P3
YToFRbTSEk/L4VOO5ZeXC8KtniNJ71eyP9LlGPXoz0K98ONecHH8o41CcqcL3+8FH6Ysw98GLi//
W3dQO65XmqUDcK/L9poAQiWAjqdHfybTLHOxoW5JyLvlD3oXRX9M8lQEofvtGJd/+K8gV0pwPfVv
gGxOyb1lbIcAl2DfdJijyTHHPEzM5Lb2Y3Hq7bSG2gd0FwIe7IFRHviXj6Emg6h50Zj5zfArFOtY
eoykowNEmOAu8gtoOh3VEvM4yEJ/No6RAWraQSKF49d4DC7hGfgtqnmsVTGCaNIcb3SxuXX68ntW
+V4ztpC7RoV7t+KKAH/ulg3EE2xwEiXgMzzQSMNl1Xl0JOugvo0uGeOukJ5we389+Fq5BU1j0uIO
s/c1j4o6qZyTehn+fFtrgBbe4lhKQRfvQnAGeZZi3wlRgH8Y8qnD0JabUHeGp5S5PvL4KAnMfANs
Y/b4hZiD+9q3UEin6IQZSH0YSljOVV78suGbGbWtLepBiGyYh+ZPp6mKLRC9/XFQ9GidaqhHtofh
EqIZWBsVMZhnKB61ZYXFFtTJuaumNwght2ewzUBOUimO1P0Q/YjS5nXszOHVBrvftu1i4YGxPQff
jfZHj2ftCcSMAATEOdCPsVIIofHSUMz4EWhCZhfUKvHglWUePu90PF6eqSv0KXxGxcEBle+4IFZe
V5miqv4TT/60qfIdNvHcfWlsB9JvyKPVOTcAdoorsQWbvdyUIbLWeNSAanM+b8d+sA7rFOXEdLym
kzk2SRBUfz+fq6P67HNPKMCvZjJN2gHQw3/ZBpi1vuNGUu4f7DPR5hL3sHsgWoeHKWRro13WcNDR
CZ4ZHs/L8QjekQK7yGAaQSORlchGKyuNbWWc/WRcmjQCO80cOfspVNB8MZrDXlbWmmy00IjKFEiQ
quVoTAvdvQfy6FZleqMO+WIk75t6AtpA3V7aChzdVPV7b7H5ZtquHabpuBrGeR7UX4gBk6dmejTn
zkrj2UVRzIwxwU+x6cT2Qttwh32zHTfeGaVTnYE98AwNhcG4+AYGpwwOGWAHNKqE0MDYUGrZirqN
lm01FgwnBzI2EoCBM049Dtj7sTWiJuZMqbsN+pqGfhZ1fBVXpnuKJGD1arc0b5xwVQWMaj4KTwJ7
k9qAuOLGpHyiJnHcaDtkoAdfbFkOdG42AEasGzcyG8WXLnTb81CDQMSeAmcTQd8DsNi+viALWl/I
QT2y4SZjAIbcwacKEQ9hRjMMA4Qdul2vJVcoKNq7QJVxRFTL4Sdg8arTF2z8Kizxe3umJSNutlUs
GO3xAcJ/Oo2ooYXUGmSHbl3npXVrrmvND87goGcTCmxd3D1Y4wvZAATT6gt1/dyG5rnMjnULxSMz
RZ6ZGhpWGahSsAn7Md8UZAJYPnUvUdoNMOHNjOhTBrpiuBtDMto4zuM5lqbRKn024jkKvsZp3Wn+
z8S0v6atZG9gcC9OpW5GXlhw/a3TB2c3iTLeSKf9ZoLH+py1YPwb2Gfeo2icBgXI3XBf73+mUQ0i
rRcZF9NWND3SzCqcbMGgaaCKiet9oOevNlAvkJ4fITopWbryIRB4oCGpKYKdK11lEXu3EUkEtKne
bQtnxJhbL7kUHZgNGMAvaVCdWsUl2il+OJuoRJcxucnzO5ubt2UxLyG1nqHu3ug8l4hKlznzkv88
Jk8BrWdhBAfT6KFCUGsSbMV6sOnKuF7P41KICALX3IZksPI7GqraenkzLAdZ19i/hSgCQSlBKPkx
pq6lCkhpTM08rBQD091YhdPwbjrTDHuPEtT1EgchW1TlVP6Lr5n6hrW4S5rv6v+ODvidzaTr/CzW
9E2d1uWKEACPgXY+racKNCCuZUJ9EjfvGXab0EPxqOsqjj6Uz0ChhMaRw7Ojozl82tyFjk5vrl2w
xXhNzKDdIvV+XRaZ+WYjDbUZcXzbViDGegqQ9nuGxEWwSlyAonlVx8/UpP2krUrfNneLTSvDYs0h
M7XJxlCsgS91Iexh+Tcr0kqUuIebxpbajUzUgCOq2YAiAHxrfeBA30EFjyZ7yh1Q9lGw5Wbd3rRd
sRq6Ul+BvKY7FyrbVyfamaV2+8wKkb9NyL6qlGAz9eDbDfVnm0YiS45u5n9OA3tjcms8N7naMN11
g8CvgH9u/VXlOP4RioTTmfESNuzyprOrGgqnYdVrfwyiBeH2h/1uxXmtuAUFj1ULQKJp7Yd15ngB
/olN3EdI+S1va44nA73upGn40yQo7Vtilvdy98LGFdxkuBOnH255a4kt050Ezybyjf2lGsW4bvXB
QMGIBN0NGRcPVH4Mz6I8Ro+Nb98YfAumyeYJ2YjmUNssXIEjnbnAwMFo9/0xS3lzjty8ecLhu3mq
UzyRgCnP12SjhqfRdC1CMU8qGDaaq6EHGXwA9PduiWtGHSLGQR+uIhCmPi2O5XU+7CLN/vY6yqFl
wDRVIMZAwXWPrH7m/5VB0fhTrLFxb4dy2E087D6PjfkKDp70Z9qK3wbE4G22HLBa6pmXDJ39ZxDh
uh6slcGrbY7RLpwCEB+XPbsJH7Jv9cD1VZiAEsKKVC7bQXaqrcJmG6X1DxotdhpSE/oFai6oi+R6
vi5sH0RJitfLH0W/rsJU8zS9QpJ+4flyIW9/dEwLhfF/4/+iCLJNxngzjHw8mHmWe9hjxFtKJFNy
GdU5gOhYEF2awDpLpjyMyqMR229kWpLTqEbOPOZwXIWpXDV5g9zXb3XvzenqQYDxQOXh/k7ZScNy
qv5Qpdy4nv3F7Ek0nMuQeg9TF5uaXyUgCltMQyT8XajhalZpKKfGZCmd3fVM+jOkvnXt+/ZxOJP+
+ND8pWB69Jnx1JxYxF/oNqJSor6FxAbq8YYiivmnPuH9ITJRDjRfYDRJggtaDZuaEZwhNhhg5gxg
loVykwxODhgAPmMSjFDrrEtG6CoA42OoxufgUsEWHrTHariAf2hIMCCrjnedXcZnIAD1W2iBuLAu
QbNKw1FM7Ea9rIOEjYXUpggKdnNVkxW1CwxSNdauF4URyIiBfi2AQUBdMs9PdQ04JEqlX/WMBa9a
NshryMoXfO2Gs6mv8oPMoUyHBFflRV1ubyA0358HG9qLpK4YygQSWgmwmEqrkezUSKAQoH6G/SxY
0o887dsVj8z+NHT5279fGNPF8qgK2cqiCT09z+v1Hc/KoiM4CgiCOmk6rYmkhdhVqJFgHt5hd/o1
yMsMBRFIU09piCvmvw/vbBroiQMt42uyUSP7Xm5dpwcputo493Gids9Vv7FQ44uiEmyXyYGbOPfm
6l5nhyDyd2sJGikoUS1NE1UbN7TBdvlhtzQIW5VciUMPkLB+cFS10q5qAecgh0jCZpdpol+5VV/e
TNBBb2wBqJRvyBJE9pEob3GRsG3UZdocQ4GOqMsNqpFHPPpG/WXKksYr22raVOohVhWBfmZRhbqd
ZUy9dgAmue4gvzmR29YNhH/MMYrwZz/ybEvHRSc3GSQU0qhFUS/u2LBlsDyp8s6mYeImgY6JY9W6
+1Af1xaypccg7Icj/+jRkBxk66MG4KVlTO5lyrLCYqNeI6FDpOt/PZiX+IdX1PtwnN8KzVimLTPA
iPzrrTzE0PB375FshtPaB726ceniB1WN3rXVCkrMto9D6KB7jOmNB3VLXBhD2+BTmOX46h1YtSpC
ffpEtso0QFSlSdQ71vqnfgL1ci3GYktOPciSVdU54NTW9OSTZPU31sTjdwcbrlUN0qMbuPl0wHDO
ZmroAHQWPyaz1fac9SHYGH41vW+0qDpDJdtio17IO3tvmP7PxR4UIryZheNekT2AuNheCS2Agify
nzSr8Z+avtPAEqIz3AgbHN1KFBs8Y9m6CBpTQ0lI2u/tPAUDhgqniZASHc9VFp0zCiGbUpxL8VHr
Y+dzFqfJnlLNSyY6+shJWw6+gjsD/EMqI012CosLCa5mGqe5om22AsfC9g5csUOT+KgVBJw40MPs
iZoGxL5HntRv7miks4nspjqQmMjV73085ECiCNoCKM1kbwmrs6fEjodjn+E3jAofFBiKoTriGxVw
eVSbn5LR/RGPRZp7ZgcQ6OLNR0iStcLZCL/EthXizeB1IungpXFNP8KVJnJxiy1Uv/1efSXkmRav
Hxx1hqdRbfpvZO8HHm7NUgIA8bHrWHYXkJGR4DSuE3udlMC9U0xhiGHenow2m7aTH/3RjmF6GkvI
ZUFVo4pXQ2iMm4BE5cg1kLxDo1TkOtXg43QGRSVQ77H6wgY1/FUo4EEmzAC8zVF4gRpcG+yUo7R8
XHCzuAl2i9tJoGdbJ7fCAO3EBO4Me83tYjhNYbGzgsqFblyLnZRrWuXaxpUoWBVtY7rmU7HPRpw3
x5YP9lrHdcFe9AAB0jDLQ/3KelCPQlg22zb91EGEWM2jxjy0wuqud+YYyU3AvXuPszw54K8w3vDZ
Ddeg5gRdgG5dRpb7fwV9jfc/2N98Jx+8uLPw4IC62OqODpy6xBWeNCBe9i0oDfzWTUYiD+86JPn8
QG55lq7F+M0xi+lNlr6Dq7S0OFi5pr9YRgEKigl8cGOY5J6oI1XP2o4tYFUgA29M/TygJuzcRBFD
2sMA976b4O/dlQ4Is0IAURrbDFYDODG2bpt259JxgIlVjjlGKCN5WrvJj47LkWqCabHTjN/ZoBUH
OrkSXAT/j2B6SXwdrMchLI8Pb2V5CeppLbCujlH9xeoOwoOhrb1G+rDiYCw8xUOevnJwuW3cOtM3
BvCzr5MbROchY9jlGIUN+sZxZSO/9sm+mfoqioSx17RAfo1LDYBiCDTZuD/aQmL3zg414h4gKTcD
ctxMii9T2kC0tg5BIwihjR0S7tUeZ+S3ecicJjvVE1TT4yn9CZWZVaAkZEzAslTu2z2JqAPjUcEn
aKaBH3I71KI9tYPsTgBtdHNvsVWunvu4jwDTgmFAfXjxTGIU+5jXZfyfZAD7u65BQos3lv/Jiu0n
aJqN33qDlWuyW8qOdOdsh2Luu93niQYFG2PvV+Wu0ur2Yqtb+LbRokNtgBSPVOPJFvvDM0WQyVDX
9jj7aCtyUhO43bOJ58jjGiP0l00bOqGjSh/mIujBoCeSemWHfrfV4wYMnWUbZ5vJRbU1klX1xVUN
nxOFqttFoHhpbf8Uch+z7b6qd11S/iflgClRI1Uvi6Jii1KpboW6LfA/L27quVMWXnL30ZwoPtS6
VczPkBnLV67usC0ZC6srL3dLJWr9RK1P61EM9ebZQTuEl8Z6XH+QYQhYBTR25gKFB1I8a5AoVYiH
cAfGgQDs2KqI4bGeYQ56qHegIXSJdmUBGSWakqUS0N3QOTgl+LpAyHXGAY1dAi00Li2xPdZTWx2Q
7bolVWiCYlu537t+ECBDBp6ISIXfzaGgSMG7fKsKdjREgRqUMVLAtz+gsyOhZO1iqjesAePagpdd
YqhHDQFrH0Ie4uYFl5jfLU3LPMyjYdAV3yA3XGzdVDIIng5mcpq7cdimyGYVLs7ShS68Trnmbq2e
dXdWu+Q+EuQqwOy75FTkU7fL9Py6mP5reXLVtPLcVWsOUMEGWkUtNL8cBFbjiTHIFPxaO42E5QVB
XXmjrzWnBKV7xSqMi/bEHJFkW7LiMiHwPbcrjgWKFPf5MFjFijzU3I3nSLLGapGY1oM45eRhMz95
83jxP86/W0q0oP8yNRCAFHqsgb0T4gXSr+urBqzM1cADn638ULYrywjC3eKJVAwNZc9v1WSJA82o
Cv4+l5xM/6NoUUVJvmW2O2n2Cfn9zWKaX0qrU7bHefTb4qBX8i0UW4W4548MoKgVodEpMb+mBUBT
kyOQhlDN8NEroYdXruYwQI/LFflpTL1oAJlAOES3ZcqyzF2YerEh6ZCFXdzLO+BNJdfSKVKPvHMg
uWlM68zvZJnTWn3iAYKFB9yEKmGXAUFOas2zMDMUPA2k3cK17Vf1mWyzeLOOkop9k8Y/Ym4VO1+W
7GL2ZrAdhS8OduVkn3jAf4LbKPuhVb3C9NvA3XKLHTs/BmEWEmTfeQwGOARA9Rn7QsnYKS8yMNq7
wOSn+s/JGq3XBIjEl96K1nWtWa9kKox6rYfgcqWRnHSkEnlyoZGYhsHjTicPlVbZeCZX2kbTanfT
qunYOGWHoNS8Blv/Iz3EpcySjR62YO4tw+y1iyMb1Zc28DjqmW6BWfPFsr7SgOKjtP9pmJl9pmf+
UIXJZmJQV6MIZJQhENgZw4oWw/MUWrbCXeEGvPjCnQwZIQ16d7h4tPYR6jQPXZH7VzPnSCbovf1W
W/qf+Tj0/3Gfctmb/2k7+7sNpuN5LuRailusBfbdXOYM01oId56Lf0p/BUQIMpYK9Rzh8nnT+2mw
WVDPpg3UAw7XKcrADUiIlvXGdNPxmSY0A+rO48r6zrp4Anou/waisvAHlHFAhuoO0TMO5Aa+X0IO
Bg84quBrXFfaK6gVuccmvfoEyg/3FBTmX2mvVDSGuP6ajbl5doCa/6RzaGeHSHy+xyqb0TirtO3L
56R2yk9aMCF7AB6sDU1g2D08xbLaWH4jvVz3/Y1VTO1ZqKZXxVS52khSj2y+nTFvVKVX5IgdF6oM
ZjDYzWruUxTuvQ9jOhSHZR3qLWvroTUeItwb4h0XIH7F5WiHb5/IR6osiXD0om6XdLKBevpQnGls
qWBuZMEqbmuAk9WQbP81h1yoJsUuy0KK5W62mtMOHVTaGmNPvHvEw4fqleBEPbItLH3MbAtI+4mv
D3aK/d3UB5uZ/KF2qacGRN49kukm0kZAv696WeIEZbrBxcjdCGojYMiex0sM2ViY4MgPvNX/YlYj
+rW2dd9wX+pvoSkfATqog/Dd1IHUTEd5DGIBcT51nqVGy7VvwEem54Q7AeCatjyCIfQ9QmjJTrfz
Un7XoZezyoEbhXBiEWN3Vdn75TRiJByJXxp/eOmYAu1qSECE3MH/Pz7pkGvdGrgEfaJPbqA1SJ4O
LAfjOpxxz81dIJMEwD98SRh+z65A0dw6oLBr72MqxWb4f/dk0+SH+TsAn+OdJstknTMboodac8wj
I7Uu2DNs4qoTu9yZdq5w3CdqdF6BuKvx/9DH4d3EgXi7JWa3ogDIgiGxoXXNzjU1cHGrmRQ7QBoG
msxufsghYzivNvoyAY224eDyC9QEqRO1GypmopIlqmhyLavETlBfLybqUZigQiga6/ganauh9Bhf
YZ0dgHsmqKFA58cb5JBjnL7Bn0Q2qq6ZPhxzOQnV1timGW8qG8rVYZ95pV1mN1cG2Q0MFtmt7yFz
0ATgoecids1Vrty8AEd5lsU/KA4ZWji0tDJOWhMclrnUS1V9jnR2i3leCNrE69SarDOtuLyqpqWf
IojfQRwU72Gxj1NWrzizgA/9cISdL3daClVDxnXtlMrC3QSySVFWUmlg2oeNHDRcGrKRl2w0bLVi
9MygdT2yoQRLq+ZlaFxBJ+l9vEwsUbJdNWW9/d3SYFdqN0XKwNcuASI3C7v5ajh65PlTMr42kdsi
1x9EzxwbwK1duc4FUtkZtN4ncJGgiGXvs+qWM1+sCt5lTyGz0ifwsWRPdm2fOI7uZ7Jb+LLdQA0J
glykZucqlvKA6yg4huLnZjbKxqo3lQ7AGIEjWhTKXOUv5Cme9s4VBVMjyFSBKVajQmyA7xSzxgrU
WzdRP30nHZVFM+Vu+KC/Qp56Qj4GPzW0V1BhngM5MznrKMpG0EVJZCK7Yqg9buGyuTMq/Uo2akzl
xdvphC1nMwVkYEK+ghoARKRgCFkttnk1tUYZIlEooZpJsQAtRp7ArQcyQWBDo2YqXVls62M80lHb
jIttl+ME4NhFAjrh1ryiuglZqcD/zmJQJ2uRNK+LffKBfpQ8+kkmclI89Zop+MHVpMVEYXnBt0LY
kFVQqa9UJcGqsAvmHtnwx9nlEhTA5KRmiaWhWxhfjLz7Ew+i7DC1aQ5pPr7O9Vh+AtXWEfQB9jnA
PdcZmdpuXzP2RKbFTj1tGLGPp7gphbJnbIMTiDx9kJYAIaplljki4N1e6Px/rVWXElWkYLhda1p2
mvGUk4XiJXuMv1YmrriCwUfatIud9GkA37Phg6VllFn21ILi8kkKkW8prph0XChTXN5acxxoEay1
r40qF/eLCWNhx8A3HjgxHlgwyr4oN77vQ4hR0Wgs84geA7S+L9JH7dZbIAGeDIz6ZgRDydehnluQ
E2XtwcZXysGB8ATKmZh5o2ZSnBkVx7VriavA9YND4853Qw/GA9kFK81bnqKWtsWnd+Tfe6lpu9LE
Dpb1Tv0CNGDzopuyAvLc8ndkoybQPo8ykM/gF5QgQtvRr4J+U2HQgexVhAcy0e+N7GXvR4DhTv8V
C37BObZHQRtw9dKFDIZIN1Ub1Hu7ivgXwfSvUFnPnypDsFeooiIr0/EvWZVpOxTTQ/pkfGp7iF5Y
ROyN7PZlZvMGQUNyAWQg2E0NZFJm40z8TaHUpKGPG+8B6m+zX5v69lhl9cmweHhOJRQhQ9QDfs19
11qHgZSHPI+ir+WkQOOFeNGNPnpuOvmZooAE8ncxg6QyDXmZT6Cqa/tLJwc8k7TEPwiWmQC2FHI3
77PVZhvQoUuIjeyF9tqOyZ1r2pRbafgtVKWLJt+XQXbN3P4K9mhQn9slaC2WvWRVlZO+pY2ghLDr
lulutlp2kI3UouJlZY06ZCApFFC7VRbY1uEfGV6I8IWYYJaQEZoJWl/qM7nMYv9dLNk6aNP5BejO
wbxeMPMkGqR4+QCKcasGChCJHnHtOBdXC0I0K8iUtrsxj5wrOagpGyn3SDXFc/Ayo1HTwL2JIgxb
SepiJWpovh+4VxyfptrwdEAu0RjRBjUDKGAsJCTUTFJAFEofMSoHBjlxMrcDtBLJOo8hB7kV7Rgd
yFamxbt3nkPRZNShqLtBWg55epXdc+0oPlRVegMb3aQfydZl8UEYU3i8y9LNXUPRcPa4zVlToMgj
ZF1155OBQ9xaCq06gO2Hf3Fb9zbkHXvuOiY/ibiYzaXQ62NvDmDSUFHJWNxPSgdxc6vUePabYp4U
aHm0ggBBmrg78Ch5DGn1P1C41q7s2nRAdtgXL3EcvtaTXvwBYS1rYyPfvJ9UmDW2K8jn6s8BLhlH
7G4H3lylmLY9UJvffDAQb3phMUiRN/1bxsZ3uwB5FYp49XUdWuaxVU2XQt1h7jmhdT9Uju7B9jD8
CHlY6v+xPIXgtrbGS+6suDdv1Oiabd6aBrsziWPV/sER8D+LtuyuixlCSeVxqMQrmVpkQ292uX+Q
8JCJLHZVZn1d+OBnzvglrqqUUEgGbNCOx/5X4oi/o4unsdF0XbOiLgX2TMyBjfpU1VrX7iatCZ/x
27eu5sS8CE/v50GZqBeBWz1A0uO2mBwePeM5BUnKj1Cpm7iTkQ4yC8pGzRiZroejTL6lIb1KOfbO
Jm95ikuFLgk8VLdW+9ZGua1ZH+vOPnVxm++c3gkuSyPKNESmvMURcYrMP4OU5Tuy5baNwyEFVrn8
QteXdFVJ95pxDVCpXskQ6ATcfJJj0IDkEE2CulqYWl3DY7gusFeNyyqEpqi69bRHgJBBmHLAhwFu
f0LkshbupqpLExhrJlPn7KoqBdPpnHMYFS1EgPuXNs/3mW2nN6RRsxv1xiFJbn8uxiDp09mjT+5u
qoFlXkwUBhTIT2H5wE2rlaihiKHBlTPohEDkoBzLrCgIhzV0Lcb1YqM3IJOx31ZNF3jLUomaq9uG
v/dr62efWrhCp2AAi+wTxEb2D4vMP4DZtqhkG8ZDrSr3JlXN5xhCu3alRLl77pZ7LjtnX5j1axcC
GUpNELkTNtmEKe0IP2oqZOkSMBqHwQ7zREdiiKEWwMzlcw/1uT3UGnDqjHX5TDbbSJTqTPnVZUlz
lNL8matQlKAMF+nLvVW78XMdjvFzF4j2qan2EF1tA+AOYU+FD1R4LL207pAzA2KtM0dQqof5dSkG
oaIRyd99Pn9Oo+rNLh37ubAi8VROT2bSNjGgDPjfB57l8zzs/dLeVTzLPIqt/Ew8V1XA137R8Q0N
yYHK2QHXpU5y4CBbBvg6ydd527Ibt0EP3LR1AykGDLXcYrewQOP07bSuWcLXVgZRHVaD2KNStROp
H3BcY9oOkCxqjD1Uug95/wLsrnOInKmERJNMUmNV/h9h39Xktq50+4tYBTDzVVROI03wjPzCcthm
AhjAzF//LbS8rTk+59Z9YbEbILe3RiKB7hXSuDkA2zRu+ai2hqiaA/RNgPAx9YaFYjrQvNYfx+p+
yf8afuQku1YSVAQBK5AuQl0/QsfsFGt0edHy32dxKkYMdKEhITEDQipGgcvDKc1RMObDbtvbmQ0g
hvDIuoEamrxUaf4ez4G3D/SSy5lzsAPAk5tHS50cz+rGBZ1yHQ81j0PfypsVSEkYoSR6kuhy6QNU
nYw1PMByUCP/zTW2/itQnDB0yYokpABASyDj/0yjMLMTNNHTSWBXiMJBBeP7xcyT/ihL1R/p7HF4
5CCrV6zTXIIQCUhgYYpfwB9gYRI3zmHQBzoz3E47+VbABBZW6oA1mNsrBwUerKuYgJynTt4PFN8v
bxMM0SkNtfhsoO/QVSviB8ZGtikKLfdXDyCXUI47EYgjxAoMNDWQzmzWTfsMv1NTgnf/QLz4eTqv
YXoIAJ1GX9CAxs2vYLmdLXk9izCrUnOLFX7ygs1ddAIW+Uxc5obDXxOdE2h3RdMWulsZYKepewgK
6J9Wo9OuZteCE67O2dIALr040Xs/MEHh7oOeX0zPxEY4gYQCFNOnrzTgFX0Pt6V00zY+ZO5yLdmT
oLgOyqw+LVOn914UcNGL2epibOYTA+qzKBjsH4cp7XzIY2oqFSWxbUwXBec9Gi5Veaj8+POhtVPo
dD2Sf82R+pK593zg24FzARtt3gvHm/ZJ3c7QqEH4yMG7A58IxWVePrUJqCL/a94jl6va2pX+t6rw
ulNbFt2JjRO2UxSrDAV2V0H6uBjRfdYHvJmLE+RnganPJlDUYyB0VIJDMp4KMsgTQMqcIstzNqNb
Xpu0X/vBBIuH1GheeqwWYDiZDTvKASVu7NGlLkFwq1YCRqenvDVgkGSl8M0OOoDwg9xh6SrKsfoe
4dao5KjOQGAB/Nf1YtFantgyHqGsOD0/yh1UpgBzTu3d2Tr9VQGhsNYAoHFk28lHLaeGHAq6y3Io
n8C1GZZNnbDlMHn4Awdj5qzw3h9CVbrg+Rl2sRPScJ6dwo+XUZkKVBiU++xksXmd+1cKaEIGYPcq
B/RipfoaL/gAqn8arptJR+I3pU8TjdD1sUbY2FZ7eaSkoyDNK+DDu8NebE36oXRIcuji3uOm8l+L
IM73mSkzAAjAeYKDeKNlQ36/lvLCB3DBV6/0kqI8L5JpmwbwbGLxgE1MHcFHCFXvfMKjic5aYX5z
rMbeAXQQrKwAeq1mb+RXWJrivVhKMzTj4SvqthVgKPl45a49XD2nsCD+KM4tD6wteIFDWDBXrv2G
SaAR4oFvoPIe7QIj2ks1sdC1g9fAk70GsX/3bY99FDUkEnrT4BuYe4rnKM0P8BPmywJ6OEttyvKU
6MOUNP0TjB3AhOOKA6aCXGZY1SE3wB/oM76TRiQ/phkQIy9x8xNLpbg2sZcvEhNrZgiagLVS2Mey
ZtanQwsvj2OED92xPXV4DNJcHvOoW8jBq+H7EK/omRr48y8mIjSP9ROWHo70bJ3oifl4zP49rGer
3D3bfb6EVynfmLGfnedS5mc6owN2uqCS5H28YnrUGhRQrK5TbNCMGk/lIAesc4HOaulHmOsfHNlS
KgUqnMW76KkqpG7vztGBDv4I4NCOTuHRDL15ds+nekb0GAQLOTrUMdan3Zh9tKx6JVppg+U2zO5y
eK9OZbTJu54fiJJKB8rXkRWEPjihK8oVei4NgJtq7WxXvVJ+bKwhWA64idQ3oRmPOz1uUvv9smZB
++yUHCTPAQaE8Ic13hIgrI9pUU4LqUOwkIN9YUA+tHGyGW0NSOwAmjHqA53ZQG5DKCyTq0cuZYU4
lmBhQCnzz0RKytEVx9qerljjeBsafOTpzGZ4XBoKVGbU5boQzPl+CREO55hnILwyCCQWVaCgd4MD
saPpDL/9X75v8PVfeXybh3aBlQCONCSz7ubnZrF5XPu4JHWt1cjBbCbGSDz12MEU5RZItvFEqU8H
SCadaEbly+09D0zVEh17tXy8avHFQsM4nioYM+P1axhC2gtmg/jTMfMwwKHaRmNg+P1iNrxsNWiQ
9SM1yPGrM6Zq54zweYr40G0fTEEiGcLu9/cAFchplAboCpz9vuLOPKRkEJX/dRsa8D0pAAXoA7gw
abUd66G+TE/HkYR5/Bo1RmD0IeLhenj2Wjn2CrxrdvBBtw7JHFgHOsNey1XrCpVVqHGpLeVc6Emo
tYOv7H1OX6T40FDYCImICUg5W6H84S3uXMu/2JlVUcEXPIc+SVSl0XmsgxXqgc4erkH4mhBbk3ib
MrXnhWgAIcWq6Tk2zWpr9RM6eoDxww01aYA3TD1rrcCs3VHbIfIlP95HyQ2VYhr5z3mfOhU0uuz1
wqb2xh34Mwy/Hin3xXsP7u2684tSrlqAVip06E9cG0mTm3TmW2IH/zJAHWlKZMV9yHJAO2mO8GCy
tphsFJ/x2vyf19UqyJeDgpol8UWEZ7cn0fLdnRFCIR5Fuzt9hEIs0Hd3z2iAVf9rsr6W7gTs7QK6
uItZl7hdMRUXhuZaPXvlmVJ0kGXtr1jreCGFAOfJC50Nlfg0l/JZacHYCkpNnm7u0Ed2/7z1H4I+
5EyhG14ZP+jDf3zsFN6n6j+N20Chx3PQ5wqi7wl8FU/TVPLXqQY8Pza8eUuhB48qeNTM6YpCHqkI
YKMR1VygQV4dg+WXYWjhHo6IZsx1Aa/I6Ik7CvVzlX4XogpLvKFuc18N61gIscMfd36NuHilCRBA
wR7MrIMnuzg7PTRyH00WaqbQIQZG0xZYbT06KmMhgUTKI2Pl22NyzJoyARXGBpjwEScRJMmb7icN
GkaNdzud/h2XdF1WiiIcmbMAjhM6zc48XMBGrMIkE+LHbN44HmU/PTzQFmVUQ3DSMWJAqoPkZeY2
kAJYoKxog5aJmB+DwChzPFsFaCEaSN0TzwtLqkQYzoYiOsRE7HrEtoZnU5iwAZr34AqF1PjhPVbn
bWBjE/HffSPKPaYNePA++kZjGsQbCGiDbNMbzbGL5pfpj5U5mAc9NJ8kVO6HdshD0AdNFMwUrFf0
HPI3Rz0CRoT5lbNSHAfdYvdnUYesyeWu06Fllt6Gx0EGnXT049PScc6JbJ4oMvnNSU1/k+X59GTF
drKsLF7dxtY/eUZs/FP4ajv7hfe1VOkYokhqrAO4U+N+0LusIG+8HUHVwyM0Tcetj/Loop4c8Acp
6c0gHzEsJyYZYQ4cnNxlyoW/dLquvQBF2l1qE3uEAtQ2yZtVY6BboFunnw5dvhlZZBwrs0c1y3+v
ePYOw8nsI2vTHo0Xla3xdkk/0hl94BkQmrMjW/klQVMTOPT0Q2vDHyTgXCFNE2LqltwHeZpGs2Dc
9rFxcIRvL/mcXrEv50eoIPIjAMCoQrgE16ZELNJ6q+dA2wKP1Ps4zY8gDC2wWYLjTQAXrjk/BrmA
BaoYzPQM0STD/mlb/KmxzfjilgA5+6wtTvDNtN6qCrV9Cp2CfQ5p9DGZ6cmPMImsfIOV47ysRtU+
V2wcwFmY2Y5ZRvMcDCD1RvZXGoM2YPOcD3EE0bi4ds+uRB0qTcoVFEr7VyeyukPcA/RKYdIZwXWQ
bkhRqpz+Na0hVTCDmYZGV/86WqkIOzx0tr+7zg538WX707mlM15DSi+FmMQKnKXpAEcn0CNB3EQ5
AZgvA8Z3/rQqgqhdJHB0PdGhcuv6hFJAHyaQa1xSjuEffJr04RE6Bfd2hWXsKE8zaPCvENScGxx0
I/g2474043EPmttCS209N/jg/hqgMJIVRDxhzjYCR9pWWRgXTnGO085cGjyb32WSoC/pRP94Loz8
sFv7HqQxqnVF2T1Nefp1sOvXSb8ESYWN6bMyrwpYkk/linKPAShb7/CUKo73PGOrXAx8B10Nfpid
FqhjOr3HTWIeLOYCAj0LLc2BKToV19o08u9L/r56qEHJjmqxp2tsHouVpniHZQPpCYAcvjbA5Kxz
IDO2FMZo4vfRLW7Memswo1wLs0u/5m68zoak/AKpi2kP4V/sq3S+dObXeDLqczpPG+Vk/FJHAB/W
HpqLzOj4xRAuvzjQDdhNhZNj9/tvjs6wU+5gYHWhK5lrY29YMpA58mrZqhgWx1nL91pw5RvWTSic
QQPuxYLs3ZoDrniEcGN8qGANu7HyvLrK2GNhwYt+yUADDOmDwfLwkiuJDq8Hx7Ha7LBemXy88nQE
uxmxDLTN2EwOYzLu5QqacODkkCEZzaLxFn8m8IETufQzu1120orPnWDqoKIoXqODEn+pO/vmNqb7
061nrKh96zaq4PdUkSoFvzaB5Zqe6kT8pvKqWfp126xaLQInNBmPswQaI7Kx4LKiD53dR5/jmcZp
qmk6cgMA8hNNfFxCg/d5zgi3dZklb4ER/COMvnge55Qfxg4bIz/Im29j067HwKveIQlSbuNg1Lar
tn2b1Vca7y3wKHEv6GClffsaq+jqdXPzbYZ/QJireZMVTgvizfzDhcblXoyyuZKYZpqbP6bIRQ1O
KbaxncFH8TyFr0QWFP6e4qRiH6aZ9UtIeu7yRiVPs9d30TKYtnMDBPI9mlpAM6dCtvhq4vGBt5M6
ldP8xWR59NyORXEs4ccdGqbFz40//6BqCB2cXOJraqKS9SiYpMJqlxUaqPjgAfjXRsARuf/Saau9
4egMT/ryMFUvFFRVL3aDY721JbffJmFAY74301/De+ukza+sY79qOFl8QcM2wfNt8k9954h9287z
RsFJ75p0+LR4nppfhx6APH0RGCDbGXYU3/B5lGHdx+7VihLw9goT7dvKgFmt7TegLPlgoc/tqC50
8PvUOhRw3C6DqAsWlAPRKEXVtK53zeD/ngfpdwXtNEgkPHI0OYsk7H5n7/jIF9XAoDXOobxQS3Wh
gaFk32dVARYG/YCd0wO3nEFw9SVoQFxwHKmF+lhbL9ElfeuUYy4qAHqx80jkU1bnmkw2G1vANJIn
qXJ0d5gXfelb+4dll+zXHBZ+aXxJOg51dqhCoyLUNNe5FQCDT/JgOHFzpbzpFp9S4JxVaLRAm5ra
DM3El0EvYPqY5eZTpA95YkxHjgJf4JS2u6BpkDlEYc9FN5HmUe5+EGgaJ8Jx8XvGtffJwknwfzr0
m3IAky6wc+yJ8+Fcdz0Kxi4YaFBh4LuySJ9RSfmdegwqBk9qD1Ii4WzVBsR4/8zhPUrkDGXCTedI
CCxH+T/0lnY6/LdqCaYpvcHpkMP7E+gwN91T2EM28sJMa0ERXVXD0GMDHsfnqyoJGVcDBQRoLaf+
BjRwb1PxvNiNaCgtPNdpnukwozMTljWwFR0T7T03qG3mCfNKE9BVlztzxhPQBcVQhHJyRNia4vcF
Ysr+ySqYzpt2osXgtATcp9NKywPeY1cxcF+tG/R752fZ2tjvekz8SIY0BFEA3DzWfiRYR+DVJC5m
Auci6MFVJgrlLazHdZiiDRfidW6H9x8lOT1K/aOtfbkSBQTYYE4PDAX9cDkNVxnkQcfCCqsxikDl
Kn6yDmtN/LH5eXIFP+Przs+oIHTryJ2xB9W5+9wiZW+eX1/8hsPjEA8KUDDRQKtK71Il1YTuqwmJ
5D85J6/ERgXx1fTndjOgqPxutxCF7LzkuwV+X2gnzD5BQdo6x1UDUUirSb5XvnGoIaUbJm0b7I2a
YTvBmvQpMg38xuZd1ot0hQeOnYdwQ4H7kTtCBQs77mdZonYaVVelA8rAPktBMTsHU7dmVQhHAfZs
/ZpNe/onsyAekCfu8Arl7HQd4McVRvYkhzP3CqgDl1a3bo1B7hpjGrA3sF/nlAGcXpkcVYl+AH8j
/bhXU1IHiiGxA3rtXQkTFdBkwaPpv2P8jzxHDoAybubZR1cXSOemAh2raEf7aEIdTQaRta905GHb
Wy1pDs3OfCwLvfmbg58uyjNmVe8nsy92rQBPzDOwDa1VuWLmCLUoHdYdWD50RgcmRqyvyrYPrbwu
zzyyoPU9KxBwXX/aoqJULHkQW29wmPwctglkRR6jCejfq6ybvnW96heDZ1kXnmb2ReZj/DRCeeCR
snS+rp0XFLrGbSt898RdK3mr5bpmvvmWDnn6Vsp1owPYp87PY//WNMXBNXL/4syt+TYb5T0ye9d8
KxzxKfozZuRW/jqBBVECPaUs40s1Vd6TO6D+wvL4ve+Tbu/zHoVePTiUWQmxl9Reg1X83ex8dwmY
pXEFp/sH8+Lpq2Mbugo1xCfKu3X+I++Dz/k5AOtvGIMBDzI0z/SHVsSF8Qyw+dJMmPk2xV5EEcib
2LnosT8zaUxHJtavbwwlsOM8+Zt+9HjY+lgAxcChfbCtUm37MXfFdKigBoyhcfqw25xD9sBpgKtH
iIZHnvcfs5mOh7zI5zAW+fRhGtiy+DyON1ZjYIMH1w3wq4AQOlA84/txqGBCDScKPf4pbs3kVeDt
B+cedbPSvDw9Dgx4j08hCBG3Nk7wEP3PPHZUKV4W8CqkFxYKcD3YxLOF+ty/L7FH7vEWm0cIG3vF
GNrQA7mpQHtOmOrbAP3GVZd2ag+LeuMlccpXWnIl9VCGzHXFGQLWCgDv2F3QgJkY3+Eoy55dfK4H
FoGxH+k1HPzSV1lkXdoZmMIWpcrT0Dm/DxyU+1OmsKMFHWRaC1UZ8OejI00qD+UUs/sFdKmysAQy
mv7+SKXHbm/O2fFAp48F0qfn7qfTOg8wVUzy9zLqMd+BHozHbHi0xP5NpkN/KjM0umRiZyAmsXhb
6zAYmxhsF9QsaNRN/Q7t1uQrDWY8K072xLA4Cos5g5eYB/cr3SKgQ08al7NC1beYsfsc0Lld0EjU
wurJTrNkRWHZtx4whgYYVTYbw8Hus21s9uKl9IvkbBfsDBqdeAnQFXyJ8tZbpHhd7ijnzEl7nOP8
K5oBS6dJ/OchAHyx6GFYYNSB9e7KSK09/F9sKAQVH4TVeAJew84+oFmcwsXEr48pC7YuL4MnFrjM
w2Olr1fAMcLgWCcfBzBa32LDtJdpBnV+y7C8U+q1HgAJqX8/E8XMIHyTe8uhduCnQMM0UQzZh4TG
cZjJWRwbCO0duti012DWN88OZEBD4TjZN8e1dp5d2r8i2a+VWZffJ20lW9QjAwXa6qG6TIATOuQW
47ve6S8P9dIHGqXLSmc7GP0vNy6LLF+MDG7ZfeMr9wwwSAaaJsptoCz312jWIJ65qp397M7XjmNJ
VMaB2NbzDH0AzWaJ8CDLubCfiMhiBEGzmSaIsj6oLryE7Rn+9U+JJsPQjMKSUXiXc/hz/f1uttls
/hr1MhcEPjTJwgeM1+BoipXSUmuC8N4HZqc/xWO1ekB76ayGxMx9LoVG0rVbYC/6EP5goM9gtbhI
h5S9uCjjXwbe7/wuOwx2WX3pvLnZRrFINoMf2R9+4IX16Drf3Ljtllh3xMcZErLX2FNqAQmieO2i
QrdsdHWKKlJ08GW2S+qk3z1KV60WFaBByj1CPVegpLF7pGga3XJQ/JeS2P6hla15HVUK6zl4uXiL
yAPFwQERzFkkQVxvGidnWP/oOMiVeoKVq72BD2d7D309nQZKQxbbFh5GC8p5dEk6cRMbOzf+fAs/
Z3KHx9l3mkj/QbpD27jmDmXX98dNKV9YdrF35vjlfk/K9VMGLYvhCUUR+TWpULwAaOhnZ2Md0TuR
8+K03bjBOkDsxn4qr+j/BAtep+ona/e8c+ofqNR1oN0VzpMFvdK9AQUdcMlY/+ZJ9TXWN8PG7jjI
uf6Inow1aZeQasns+/W2RY38oXrySXqbpuD5WwB5g/LcIgGqejFYEKm8xzQEKF8dTnPgbGsxvbT4
f3j22iQ6lSPWy54xsxsUlURoFJ48Of40viRQGKX8ZAIekjTS3kIBjN+wBCh5gSWocp9Ug6I5Pd87
/Sa4P/UphjDN1zTBL+3xiri/Dco84Iee+/fL7jm3dNeVw6JjpfSawDD6kDTjSNWNlx50lZbO5No1
qklBGyZGic+NpOXmWTl7YE7eSFCO5keFSI9GAtamxhc9Dg87AMr9FT5yo8oS4EXFmx9tIIIYSqdt
2MWtSnHGUhJ+cB4EWvB3wuLvz9kwxaELjt7xr3wtzPJcCqgj6EGaL6oo5gs6dTyIMwVOfx9Q9mis
pO3yEFj2/JxGzrG3hFmEed2awM7V5mZ06uBZeRy7GMGW99EKsnLL0ikaPKMwKqCb+zx5oC4iuGeq
0V6VvkpWxjeSdhl0M4IO93CEWO5dXO6vYZrjWU4D+kNQrnoDdtx4/x8SLSoLhRHvbBg+UOIc6lCG
B4wh5aTWp6WzNBYdbJACfCP1FTSZBigsSiP0IC5zzGsLcBka6IysWGZ+aoFCgjvbnXiaWtc/VrVk
QBVVP2w58Oe4s9lzzqAy6meet6EwTpR7TcAx0mN0sIDOXsNBRiwB1OHPLICWd59AZzexZ3VsE2ik
olEqdeubMnSIIhsb+MSb3mK02Dh0MBl0raKs6g9GhHUencHbUS8GTZhIBlAkDinp6zl3LbVH7HLz
OzcrwM6obWPC9wf8uHI7wLJ6B580QFmAB4arDpo6jwPl/kxLMuAb7JHXKyjxzSHr0OQgr7SHhxqd
UU7BkIplQBlQipzXyIONQr/13O3c+y+PPKta4MkBwTGYjKGVOU/nATaVX0ZAFjgbolcfEjvPI+qF
k05LE4xPrJGgMabDCrTujT/6/cqoAI1KI2PYKc0vhufMEQxR+2UyG39tC4st61E5L0MxGE9u4m0o
AuvLefnP+YkHh1+aT4OxciOsUoL7fLpIz8/1/Sl6zPfmPF3LvoTVja7IF0FXjQsABn9gLttQTtoM
Mh561LbBMVh0JsBUEA/ii56ZiGnocXAHEKl+LwNLZ98WhY0GUDb9LufROvVTfK8KgM8M0VI9lcbv
S9YZkJ8cjXnoobbQlQGopty5NsThYyfrE+yo/jNuh6Ta4SmtFi13Mf6YH/UpFtiW4W4tXR1oeJye
YhtCQDoaBf5OC12sEQE4clROqN3Iu4gMHP9ZQpSTcjQ5aOW4ZOPYrig3+vxUAqZ3aVu83kr/DR9Q
cR2BssBiz/jSsRpY1RFfRArZBJlv4U4RuKUYTcToQtZtSPaTtAGgndrqt8K8ghgilv3Hh968pMdf
HwMfF0BE7i90Ma3x9KAja3bsI1NsgFxFZX7MIMY+NJBl12d0iACLvufGgo2bdEhOj8H/59z/NcUP
ynGddLkEQCbA2r2rQHZJWbOtUo4qFwQgjwMr1DqvquS5s4HVkkGhPhIF25KxNf+xNRuolnBEBgJ5
Nzc+39hJY+6DwYeIDJtude/DhRtKzlBOtJrXVNVvLM7T71kLjzGrCOpLGfX1UWSGWtJAhJVDyeR0
s2D0sG4stwS7JWsfV/o2Z7BYRNVMNazeG462b2ax/FpU7VPrxU0M45A3MGXhnlMUPxuTte9N4GbL
JCqbi7JbvhlHg+2xH4CSXGLsYxmgoZgVJnSEE3bIBrAh7QYG4HHaDrsqhtVUpdlqac5wcKwabylw
2ShHB9G8tgWeI+D7oA3XtVeISscrlU4KalgpFuAFxGlWKPL+Gz/GZ8cFIszNxxMbgJbxOJ4qtTmM
cMN0i42NltZHZlbPUzlG1woayfhC+zdKP2a1kH78MG31bMwiurrpdE6ymv1Q0Mp7ci0WXJzwJYpU
/AVCSfXJDLDXpd0/R21gieaMs2ODNSwFG+ZDO7B/EvA/X+xoQsmlCcZNZrD2zTUC8HVz+eN/TJCu
rY1SGWroqPMdJ+GDfTuglFH0EVQPdEgD1jCxo5DBu8EymOJF47RiWMGDrcycF9lL7wR9+edm9uyX
2SucF7fuLxbD97EipSgGo64tTHETON/4ebOAllwC/BgONs+So6kiH4K4o738a4BCmkKTe6cDVIJi
6HuU+9gCYLR2oZYMUs3o5ck6GIritUUf/RCbqOPluSdfa1faLxkPaYwyMjOh8h1k4kg5gyXTypQq
QYsP8x+X3+82udbLDLsLq5OvPOv6lzRbYd2YH/ukWUNabNpJvaHHly0/Up5CQBLwyJUjGMLg3/SL
Wlf1xsbsl3hOdiHseewjN4A7v494uiR4jxvfugIkVm8pR9dNVCb0dMWQYhGU6d4BqptuQ6lk1EJ4
sG1YVnMBMFhtRJDwq4BQN6MSHYFEXKcW6M0O28SfVgH5un744bGuDYsJQJbYBmhpTiO+jhOu3mYr
/2YAI/WzapoDyp/9hzvWcgXJLHVEv7GF1EB2iVxsOGebA4xa5+0NWm8CGiw3hwXZdqrQOaMwbZJ1
hqrel75pbQBTwV/L9DSoY34MqScAPpyck++0cUjzQTM1td/afDZAJ7sC6f+T8qqC22hmFmzNeYbN
fjECJtPM/Q5eF7/PHJ2DPGK/gyrg/2/U0fPoLsyxT6I2IdKi61lNAU+MLBuhnPenCgaWfAKZtkc8
fG/BwTxSpssA9CncKj7KtrQWQSXaS+m19gG7GneZ5W73/eZ5UfO9ZdJfYqdjYilaApUrQCanYbsJ
AE5VxhtELv2NMFvAtOcWhcrMPxRT+zShRn6hg5NI++Ln9ZJ7bYV6/b95/MosLFeHZPvIoYRcQ/e1
t8NemadKTDei9QkRv2el61xN9BSfAoNDRVfT+oKhq0Ai78297GfnXZg3Stuy8bbCdIcVhfpq6Qn3
il2YeqrB3P90tYd//z6oB3XMzfnmVLx5E16/Blq7vo1VBsuEvDfXhgiq21C0B4gjxJCptoF3VzH0
J3Q+a3gbehY613Q5qM0o1eLyOvO7T5cDR3+A8EL8OvMGq2IUDkrDg2YJyzf5ZMU3XwUHWzjspZFm
dS7SGoxkne87q1w2VjTuDW+wP5rvlJXeJPcBCgBLCtPIAwUgqK3zjO81lFSgKUYVTThq+qesmiDJ
i486xJrFP8lp3jxqmTRDeWzjzBMYD9xe1KVfQSfSvLhQCjoA2/Pu1bYmQ2R9dfBt9d4UtroWTqOu
lIqQqnVq9qpoAcYPYEwdyAneMJWHwEnAYqBTMUd4aPPm9ilHEz/F91PKOjJXfuhPXnlwmnlR2iBU
BLNr/ki6JRum9Edm1X6YouN+jiGPdIwkCAGskc6t4RDU75T5o4y8aRGg6Xd1ZdsCKNQkG5CvjNfW
DWHzpQAWdrIr0HIxdoCAEwnROt8kRBSnNHY+coZ6ToZGHgAayaYLuHwzWfoMRbzqe+BD8T5KgulS
lLV7yF3IUNIAvi0JgLffvFEosM00fwhr1GvW4lOgCSI3b57t+S/4h6hdih/lOmt646Pl3f0OMmrc
MOrldIIDNARko1qBE6vOHp68G8DwQZx3YHG2mSo0FV1ZCfjK6NiJ0S68xxO6qBtLx/dVIPzNAEgf
wczrah/8rWienwYmxRO4UxwrSLQRHgOASoinLOr4Qon+94CdV/OT0AN/XUEDceRhoFIcAnToPNCt
/LTlSwXNiZ0w+dtkGO6NA0O/hOoNClJo2rzbQNlYaefduqFSm2wo000qfe/WT6gJwrrti4JA8l61
AVtS3q7Hj6qN4uemLsQZ5AN3oaoJvDTDGLbMso0tCG9TOPg1fzW8wDzZUX6jKGqd8YUBDqWH6FBZ
wREfP3syWou/FhDdX5RZAFcwvCR3nelP+uk4nnjvBQfXB8RdR3e9SVAGYEgFXsM9/M95tmMMJ1ic
vjfT3J7HIbW3qeapMJB5Pji+wgup+uFo6hBtsKgNIDMBr1aQ+yMgrHUaEItmhVJVvaVwHPxr4npq
DZe2fiOJSUOYfiiuhti6D4de8qHcpCXohy40R4E+w1Yjqg4FAx6IoTz3PIB7Bfl/rzxha8532Erb
266OmjOewdUK6E3x6rjwg3WtOfraZMbJCwBNXqhpI6qquYgJJVBQAEGM7CN1kYFfHYcqb5azNaXf
I9fD+iadb4bPf6+94yazLvpTmGLwpcqEAx2Cz+VxiLN6OlYO8HfliM93HEGodwW+vfrUtXx89Qah
0HQu2gU3O+PamqO9iwIwSAMAC95NFyh0X1nfM6j8SqBpoJpuv3ZQ51+Z8Fg4KiOWx86cg1WWSO81
EGWxGLV47K8RMsr/BCopF6bhwhg9AQBrrIwvIo6ML+D+9ftS4EtEIZxroGU4ZNaawtzqoP2edvUa
dRMRmkwMKyPw01tm+N9knUWXrA/mi5cVPy3Tzm5Z29YrDzW2Ld4aCNEl8nqZvZv4IsPXfrZDujoY
Kn8BlbDh1HlF9zp6v+e3ymo3Y5WzNV3OmXiq8dJ5KQZlQjQFTTP3eULB8Tnpe/u5h7GM0TfukaI6
LkGTmSESTaHRYcbo2z5eWP3/MXZmy40j2Zb9lbR4btTFDHjbzTJrAJwkkaKoWS8wTYF5csz4+l5k
ZGVmVXeb9UuYOCpEAo7j5+y9dry7vGoaHXjmpsuy8K/3oF4XgdKBOJ9bx/z15hNpDbJo1nocg4oz
l5d0Gec3NSkt37ar4QaCoHrK/3X/fL7f/fP+8/NDN5zfJtTu/tTNfzy/50zOyUa6oliXwTR05JKZ
LsxtY1SeUq4ifmyZ8XV5/k5I5zsx9l+OvWzmp5qK63xvBSTpdg7dX9/bNA8HreQctqDHPPeummFA
09EAqNr8VKYwWHXjWddkeJP2CYak882kDtF+wcwh+ZubUmAH+H+8qDfCM8+Zt768yOrtiqtI/X97
ESMP+z7UnG3pzspmsGL4V2mh3A5NZPgjF8C32tHXyZT235BPH+t+Kp77NAG6kGX5vqiS5TrNzXTd
ZnryKKYm8QwG/d+ZkXt9rSgrq4wZkSiOBb2af6xusG8Qd2FKw2Liz3pu34hINk1weVg931ZUByk/
grvE1O21oL91WuSInxSB54c5TysV2QlE2+wgUSK+SoVoqr4Yp2NtlfnWMKwJjX2rHcZq1D0Rpndu
XsrbwjGiHUR7bVvRSb2FjB0HcW3rL5lGlJQ6tz9HjQGvU1Sfc8oLQ13v7xlxsULQRPa0HhbR3EZu
7Dv55C+sTYRQnW9mDgy8pifcYhzuLF1Wd3D/VKu/S7J8uDMIYT2WYcTW63zrfH+qEqdjNB1Fmr01
VVc+4NSTD63ZbYHHNMdfdy3ouxUkXbvLg7FLPh8iKye4PGo6JRtJNfp5edDG9/LwdXmAsFbJGxTX
YRfuoIh2T7FWjttWSZ0z24WQo7HFDdEt7yW5thBCtPCKjYV5MtkRX+4XS0G6wRTl6BXNbIfIAnJP
Nz386jepqqleF+ryx826G37d/NWtil0mdecnWy50m2kcA8MKw6tcnbWbVO/EKtMn5b6zqUTMRsOn
X+iBbQBMrAUnminlm3BJjtDi6pv46cprXXbOsWmAuNC0Z2VQjNPZ6nJzub/q6/lt7u1nUZrW2mnH
IphzweYntd96shuIKwsz9vyDWI+kmFxT/krA75xEhurO96KLTM9UVP00pSpx76WA4K13w7UG6wtT
yfnH7oxbngvs5V2u9N5Qha+XmdVfI6y/abQvj2Sq2gUYVnv/cvOvZ//HhOxyszg/2dDTvz/5bxM2
vW3gTqatf3G7XQxt9QBV+TxBpymutEow4Xv85X+7PBxVY08m+9n6Vp6f456fM2oFgcP2lPl0ZYzF
i2Nb7C//NB3ZwErmTCv21uE+VSUPX37sNafdAcw+/u2+Xz925niiK5/t/vPNKGhNbA5l5F/eO6/n
cT+kK+XM7zcA7ZCs2nxfoP2Xf5aOJHfpxhgZDPEL8H+5v3GTVZWk5eGvp44xUT51mdq7y5tdXlAY
dHOd3KrXl/v01qSJWoCSx99v4308fwScVCF1EDtNx2jEH6bByyNmrixJ8Nfjf3sRJGbLr9zWxBvY
G9TXbXhdq3FxNIVpeVhLhg9bq/cG1IsnxWbwMoPJ2pqyNx6tOjtentBh6/RcFu5jWBaAa9xQCdrh
Z6S1+ko3Mnc9SZ0xX6oS8GwvVyoitavLTSs2XV8T6c+6mTOvTlLjcVLLbH+5GXLKPGjTHW0frLJE
awVaUsavSxS2HkQo++AYIwTGRDuEeMZeR1nb605Xi83lZjaMTEmofNSQeNJfHy5ZKFFWtb8+6svH
apaYpeiOhbtkSa0zL8M1/UWcQ4gut/m/WxqsvmnW8C2XUU5sRej4dqah6T/fd/lHc5r8NkqzeR1P
IvT+euDyCkrb7Iod6Olyf9iVltfLcl4P7HgOtmVdYRzRrqbzrctdl5+WgqSiogouN5Ji6g4JjdPD
5eZYpMquZh50uf/XM/58kE9GX5OjCMr9z/suP12ezFqXBaIELP/XfZef8pY4V4X/SEA0QOnZwFk3
FyWlGoI29mjLIcN0Sk/YItlfxJe/HsCxqu8YP96dTZVWcHmEt8lWlpkiqRUwT3789l///O//+pz+
Z/RdHStG61XZ/vO/uf1Z1bOERtL9x81/br6rw3vx3V5e9eez/v01/wzu/9fDbz8r+dv+fv3wn888
/7o/X8jb//Hrg/fu/d9urMou6ea7/lvOp++2z7vLL+E/en7m/++Dv31f3uVhrr9///FZ9SWhGafv
KKnKH388tPv6/YfmWpdP4tcHcX7/Px48/6m//zi+y/eof5//j5d8v7fd7z8Uy/yHbgnDFK6uC+Gq
pvPjt/H78pCt/8PGiO0I03Ycx4Do9eO3spJdzMs08Q9dmKrhOg4Bfoaq8lhb9ZfHdOcftuqS5uta
QIIt3TF+/OvP/7fv6a/v7beyL44V0fDt7z9MaL4/fmMUfP5Cz3+gTZo8OwPey0S4qBmGZvP45/sp
KSOer/0POSYCPXobrWDBVPCxOkLwJmsF/YwQ6ErVPKUvUg9+lS/H2Qd4eS1aeaT9fkhlggoipv2l
zNtiVI+l6h4007zJZb+PVfXajRk82Hn+PFv181QZBurb7q3Xol0aQ+WvxreuG2ZvnOx6IzTjalSq
pyGuqA06PVyV+qD5yIlYeUGTFoE56qfINT/Y/N6bhkF+tFX6Zlh/R43+hGrydlTMb4Kb8FG+KvH4
bJv5fjKMFy4CdLRqgv+0t2Ssv3WRIXbtzPt+gJi+IMcp29soAs/mhlwKl7wkXbLATDJVFvzT6pZk
+DfC92C10ODMyjbzQ0VAaTbtlVDcNzfOMr9kwe7chHktizyfVBMoDTvVtCiAqWMpaZMUDRFSdV9p
LU8j/AglMQT1DCeul6XkOYfHEL07PQU6ngYz3i5DTmKBSMgGUByW/ioUZ08/9aV3zlKLIl3PzAPg
XTr4vCLKLVF5crhg3fRV32xMh0uFbtVfhvI9htYxVIyV4tikpLi9r5aTRb5IuVLOSH+7fskidHhU
azJuMCWrzxEmKb02C08blNHvK+ULTLPf6tPRTAs+PhG9JEiSpyrdd1b8c6r1d6NXX1M5+9mQXM+u
/Rg5AlZEfIUT8d4qy6BhgukU9lOmhHtTilesB68N8NOJuZY1MkWCjqacZUNdPNzrcsg8UdmP1Liv
btWpsCGqQFTzFxGz2OkRGQf6Mjw3DtFyZJ/fqG7HGG6kjEgaNnmLdM+Rq21gpuWLKkzUisurLTRy
DpH0WW5toehsGXCq1rq2C8PvLMWnOcKqigXGc7NynQ/LbkQU6NPqu5ktN9suigrSZlDuytyFZT9s
cesEiRTsoOIi9ps6MT2h9HeT2Rx0ddSockiqH7mIms1rJdSjekVk6hsb8ucliq9lNX5qGcFmjYxW
Vcg3rKEJ6ptxjXskxR8SfSM4TwvMKVOUek4k2RQ4KjBqA3q8FyJ5Jdq2nOnMGydOIhBB8SNV4ZOD
paIZh8PYZncWud5E2+2WjKydsn4kS0T1RNFSXgiwI5juNS3iLC2sL9j3hee05S7tF3ZL7U5OHCWL
nbyEDikyjVe66tekGbWX9AFZOjeEhi9BGg2nzr0TZs0JUuccgEnkD5pxylVYEsX0Bbmw8BMbG6fz
M5bW01ydhTrzY50u6PQrWAzEcF1nEEfoT/xMF2VPmi4GfqLG3Nx4WIzkWSOmK1wCrTVSD+7QPe6t
Jyvv3zT7u+6Xu046ludI52NIRBNAHTgJayTtEL7LeL7E91HnuwvDcV1/UezwSSIlRROefaWasq20
4dsouWM27UekkjeTaz1XS32y9OY1mRhS4uTVEatrRr8dU+0lUSQ+lAelsDFxON+tKCjKrSGQbXil
YHsMmNP9VJX7MnS+smoeN5GF4zHrYtTl48akxevJ2CFUL8zQUbtuS+gIcsA299Ra55ug8EGjqvW+
zEmIcbtrPQ5X1cjEdF6oS4UEDm6Gz+QCd+cYpyj9GOBk8XrwhoJOeDA05grkGssQKmQPiwY4H/PY
T+fv+2fmdCeabI9lrEWeML/yxb63K0RZ1WJ9L5zKYfvu2uZdWyUkIkDnbaL4EVNwwB7qekmUjVPy
G4RC1qrqXC0zri63Yg8NSHpK8G8hiTQd42G2xL6GkMC1x2PS8Gjb8yf2sF1LBrBRKrfZQHi2qbL5
SZvbAe2o173kceGX/bQ3p5pI5OGxQyXuy7B4TNluGBV4pQrby+huSo1jpg6/k3B+1yr5Pmk2bR0N
bFREZAR24D6UfDJL9Fi/1k5/QEtQI2QyWz9VzRTMlCj9VLcTzxztINPrd23mUCFPkEVZ6+713Nza
d1PR4U3qPtMaqUmumZMPbb8sVdpRunNrl8tz1Fl3TsSZqDVWzWy1P7Dj92PShGOHhV6TRhxEolgb
hvNSZdO8tlTY+q3LcweaSo3t+OR83RWmLrnuCmh6zUeWmp8Og47zN9b0hU3/gtfQzOB4JWHJbDKP
Ji9rd++uW7N/TvP6rZBcqpXE4toLeXmaHqPJvtGn5EvPd1qWPiPc0zzIfW9pL49xspKtcZfXNuMA
zWVAVD5DZsrpy5IQOuDT0IuV0evvuRJdq53yyLb+eQDVXVX4XvPsPXRtrlAZAJOpX+UhoX4IiGWQ
qMkLC6W35MW941g/B7e6yitx0mJ33yrdWtI39pc4p5NdP9ZyuUvrcu+oMRxfI6Vx3V5Ns4CONDq+
VhgAkUOYlDn8N80eP5c4ll7MZsJTCFzQ2vAYCTIDEhl7w5invtE0xwSKO/7JOqhd+nEiMh877ZlF
+ChxeXlEnSosw9bWifVPILMbpKep3xUNar1IvbUakCEyElBuqurK6pzGz6Ji9sOeqfq4eJ3zoZlU
Ecjp05QCpbJrQsOj+eQqWFPQ5DP4bVlxUgw65MvRqKH6qerHqay3eV3VVAwAvZQ2ZdzUji+FM2I9
iZiF81WaMvlE10G1FRYxmPYvRXFuEWnXXm6OtQ8nbTYAxTXNfGrYjPlLqbhon9qKOq337eWt71hv
oqlgAlUkHroQFZxU9cm8b2Wr6Wujdkc95RBRiQHA+wUscSzfxqSe/Lqeag84VW4yQS8ZncH/Iaez
IjbB2hqaw4XOOXZ0ZT1Fyqf2XN7IT6N6hSJ61zMnJVNK5dXn1JqyCFGX6FdJa37kVU8/J8WRwznm
WvnoTVZ50sN7WcSvZAjunComttJcdWGx0YFFesr0DYnmumuVydPNjgbAspzbZnYQxV9hY3y1GuZA
Q++IwWseu0ZZ9114iIx5xcs+Fcs55Xb+pOvl1xJN+8kJd1FLoN7w2Y7aG13t16HFhDK+U5HCDxg4
ozu4OaCiiCjXOaos8ejG0VOpINZWxgfVaLYgj15c9r5ibo6q09xjc2Qw/p6JGy2WJ6dvX5zWwsFg
13trigHc5SnhSYMRwP1vovEm0hE1hTGSkqS3PNXtScZKoxWzWq7ppXvT5e126MbbSKDIH77TPMYG
O10jZGZMZwCnbzeM4TqvSMC5QT3pSRr2YROVGO+tjdZpRKLOr4uAwpkzN2D4SZ7vtsvkQRHl2q31
faVSDjZT7Qv00nlTPLuao3vqkmNom4r7MTkfbaz2avEGvZAGW6Pc89f7KZML+v7DGBSFthZ5/EF4
HOPPQvXj9N3sjAdpUKWGw7i2muEOfw/FsOrcxXCARunc9AXCNsuFRtrd5kNxdG1rPw3hXQouliHd
tsnKLQozDV1ijHOT+CzsyZ+anAp/LJs3fWjhVbj5dnbIee/UBpl4X3uhjdzFfgoH91i0+oNkyuYh
yQVUvTxqJaVcVU6nMI3e7GliRQAh7xopE7Tyg43Hp16Fa2NQ1tQOhbwJ4xogqfPhujBf4848jal1
RTidR3fkLm56rgyqdYyG/FEb2dGbdE7TBGZSMRrP0WCtZBx9haPzMFnm2lTfGjU82G19U5CYEKDE
fi5qrJktSZwyGxhoDKfQHjYCap4YlPto6I6dgdYhqU5V0qDgVHX26POzNciHMQYtmTOVnvIuJMAx
toJi7ncdyXb+HMnZI8Nad01GfeE4rZxE1EeTwibMn0QUoQ4SQa12L1PGxqHqII5LzTpQI98Ohc0p
Phmrgm/EJ/9qBz8jpaLTTb/E5O8XIVW4oMyUiyDBqYf8oAqNa168t3R2gbILY+SsO9VR1CAq2M1k
Y3zUMzkh4FfI1eBiqA+mRt0WqVvTxN5udS6RQBbMS2gPK6cpiNg0dNZoLQ+w46Sr9hCaJp+HMNeq
Vn+LJM090zyLg0VxPsyrnzKNGo8qBjSUuWSeslgMxUWxrIsQu+SE1T4q5aZkzrthqeIyWpxLzfxI
+OjrzE7Na3pmWHVeOYEBc8yC1BI4TfOUaOYLDVsKolbVPTNWHp1Z+WgZpHn0sxoCS1C/LnIbdfXT
yPq6I6L7MZuVPMjKqkQlJhkONHW+noYckLGpXEvMzxtJNqNXxX3uu5q7YNKrA0L4ltHpbwx8jJKm
1ibHrOiVdOhpI3GpHU3doqnT7CxVPiaE3m90xdKZSYS5H1UzVwU1HD3pNNc5jnxP59tqyQGY2fsy
w3Vk69vQflZxEV7JUVc8S4QSk2jjoyTe5EwGhKC8T7UwvipyE/bzBBInhry5Xvr8ntx5L2/kHT2M
E5r5L4WsLp95xEbXipckQv+tLdTcmUavnPbieujsYyq1Q1dbnPOtabMK3LaCdaa3mOgJYropHKlV
tFVm1ekq7rdpeT6Dqt6DFcB+d5hPjtBQbMdGFoT5QCo9k/iaXSnSAidjV7Yp2/a916qvUBB8ssh4
WgF3YkDLKdPWRAqTkH3GrSSB1VWc5Uk0BMxyHN6ovANhpa00OHYcvtZdjgzLX8Lhg8gfymfBFS6u
hOGREYQpNGT2QC7HK5EMhG1DJqnnie3/bK7i+yzWraALx3U3KxM51HnGFWc44JvDwVZ0eyvPTK9u
tXukvqmHYNjKAGQL2BBp/ZxaXDoUeyd7k65J05Uo0nSIEcgtDZtyxZRY8Zvh5zKXywpWzWbSE3wZ
BQqUIiIfo9e/dNdflPxL0yauFsqwyhlf+miNLMyw8pSS9Rggq/ooDVoUuVuetHZnORwQs7bSI4XG
ZXvvYjNZV4mxS4s9k83Ir/FJ0NTg+lOGPQ6GYaJJoQVaGt0zx9o4of5es/w3Zn6Ej+KpRe+H8NuL
7mHQ669UEi5bm/rDxEWpKrUntYH2EGcYZnNXUD6eugg4XDfZ7q2q4W2PUYtEYRRuGzW2gwYvipdM
bB6WRnqq2oAFtQfFi7Je36Us0b5b2wdpMlnMc8O+qathFRt8Go2t7UuTnQ6qgHK1G3qVArlWN5PA
hdEbB0eCn6V1tazgRd/Vw1z6cdFPnFjFauGQX1P1QaIxXHunxfFj7y67BR7BtVUl2yFjZ1ai+A2W
jlkNJAV1q4eEGswp9t+IbCjSgXJ9xLdi7cxygaOB5UeXnFFhZy9sC7koDAelbV0vPa/OrlBfx2j8
nE3nRaLBhfNvdWfkD8bhPHP82hIOlZzzrEbqKZ3Ke1HV14td0GJR9fXkLtWZ2SFXuTB25BpiaCs7
E7/M8pW24tOWThClKWHMNWs3UpmTq5Ns1brRWrHJDSNWxq+l+aVbzjHO94KWIrmJ5/iaUnQeCty5
pBRNS/XdGCqHtZkSuA2b13DSK3+WMCnmYdnkZ71F56AXnPvK9XLBpvT8d81R/I1R2htqcr4a5TxW
GT+HknwuB8CUSb7tlWulBKgXYkRm0F331sTOmNLFKixKUYUQA0Cgnq1QsmQmzPB2cNbWYDXryMQr
Mc79Cy6oCe5G81EUYkDINRn8l9ITYxp2R5p5KutlIRHR7n0Sk0cYcNprxiKBaIJxIeyn7STp47vq
asKv57UR4tVcHIBtHipVeHgIWAAtB1j+TH+vWIZHoW7CUKheNaTPxmjdc1GjZuqLOOjjiqG5w55o
egrz6pAzz/AUGNrPTq8wEKyi65J+KhYR9atTMiuQ2blKt4F0tPH4iiX/RunPDs++X4HH3ScjNixp
9yS8Hpq8eu/SvL9S2/ndGj+Ja3gk/eAtU907cEZXhkFy8Ua6zYtT1RvHas5h0AmIooY6B9g2hZuR
fTqDK3dZpj9mnVwLO4MmIPBuop0cC9SJvf7RjVPH5OdTyfDxLrW5wnOytyyTTep5z66T8BpTFymW
62c66Xs0/wzV/lLYPA/9V6i2GcFO9DsJZPGdlMWMFjKXQEUeWLHUICYfrUSeHyhM7naZ2l7PRn7A
se14mLXfUS9uzTh66/XrQVVAX0od5It+VzLQQC5zrevGZ9Q9aqEYVhqGddVqcaw21+w/ARd5mshp
P5qpBnSQmHGng76DBsTLE7RGrvQMoiEeoMquqVhCP2+T4zL8BICTcEVr90tuvGrpzp6JKMdzjVK6
ZoVJ6ZqyjhOpoVBl4Mj2o16BA0pq9K5S2ZyO0cMYmfZeTRPXr50M0H2ZjDckJMXZwLEbiiIAgX2l
zb1cxaajsbUB3kxhINs2YFiRw+Fjc6cXo8URqUyriDXe6LOdOmnXrZEdO1WAmzN1jhdWBXA8nLxV
8WwqoIlivm3FZZ11JIZ1s+AqxVL9VKfmFelJLemQ+j0pYMe+b4RPDUEG2YPDtN0r+HyblNgp4LXe
jGbcd2ioeVIUJ2OWjef0PY10hfLMjB4co6UdgtLfw8iFBmCkL9KytPUqG/vJflfm9JwToqw7NZKr
zuZaEc+fBcd6NRXZrdXmj4ljw9IOJxFM02eSM9cOrU+tNK5FXDaB2VV9sKizF7Yy3O1YhzK+4G4F
mbrejbbmXLXzPuKrRhLUuavZIRk551Jep80nDWnbYyWXgaEpt4AItx0+sqCrYDwykv8K8/ZWxYa3
RR64eMr8GVc6UVhjA1rT/qlP5K0IFglPWrOza+X8ZIRDHrAm36OJVtiu4fsFPxK02TmqGCMVdHWO
pbpbgmTFoEZuEBx8zVOUebp6TkB20v6gcu7V2tJvbSk2WZs/h4ZhBKmiHbJocb34FWxGS5Cn2Exl
vzKp23yDdhJJfgpbJL6IJXbul8m2132l3owuJZg2HiYjbDFc6NdAs+gE6L3XTwiZJjuY5HJromKh
aVttKx3QexE/6crPCFNnYA0pRXSKHUrXKNqjeFbpDYsrpDNkjIhsFSq4uKyBmk2GE2ql0ToVvVt/
dQKubxUFLqjy5wIcsavEX3qf6ttImbkuq1nsW1oRrysgTGAGB4kYVjy3fReEVkfn8ryS1xd58FsS
Gn5MEYbCCX3pEh9qwltuljSfNkjYz/uvK5C+7OuLdldaCTPKFvyuZRmPuCToaeA4VcJXFzGYH46q
uVlsBb9Krl6hPKs2DeJe9g/0jo604SCftEIHZbINSc8ejfSuq+V9KIhMGWsLH6U7DL7yJJzFRG7T
gYwvzGCccOm0g2ttzgkD9KrCFefASoyGfZuq73NsP8Q1aJJiIJgPa4dvGv2+KIpwNSgEVir6rU3s
86Hvd1BjbnN3mWAwuxV4y62aGvTkal1eldNSBplRHoqKrIwZ4gA+QyIV24h0n0qXr1narsYeaXHu
jG4QJjOtkCwOmiGdYW3VnyBYvluqJ1Eg9tGLPL5eeucNbxOSuVy7BdmdrlN9IGSVUYxptKc5g3Ec
M1aEF0SkaleSN7p0zMZYs9skS849vZC4gW3NdonVug6E0YENDMMHp9fuY5NOqdUL4mpzK5hbCrNB
1E+I3knVpPeSOTEd4bEGh1ie1FjbOY14a0lD4MQ5B6Ip2j7OuHzq0VaNoysgq/KO32yQNkwDurLW
59BQxtmrQpgPFn/hxm0SWL07If3JPjOYSNdkdbiVXfVq1iMbMGXLfJ4OW++cNOEGCFefQz3b6bON
S2AlmamtNdctPBaHb4uIEtb9dOMsQ7xhsrlbkvpRS0ATxJZkKIFB0BctRV0tHcNrRLSdSDXDvfC6
tO3eriWlOIowHi5e0iFaZ0U+B2k33RIuuw35zzHVO6hIKslhXGj0VtENaidnpk1QTHHoG1P4Pgzd
a42Mv05pzs0pXawo3zLoKjmflHiljrhNz7+NCz8DT9nv1FqJKP/cPZA05EQNdXXf1P22T6f6aqqn
L71Vrt0CV8Us6pe5eBdgG2fTEIEJJ8zvsnHbZ9YTLiymwW5QiY8OS8N6UI6tBVWhlnDx2/gxyWvh
ZaRjtnaK0L7tHtWx36j6+JC3J1qxCW2u1l41jfqoVOq3KZU7d2hel0IkfkHW9tIub25tZl5SsH6q
zGRtpA8eGJoVaCA2xq7dAIyrE18heHrbDOqTi73Ry4S7ynucLuyI4KadI1M1qrHeeNcdE+FG3L6Z
Tr6q9bHzZceOlHZZxS7cfZuN0J/IofTDyAw9Ij6MjLaBPapPU8PSC0qeWmN4itV4A4GJ/V12TwNg
ry7yDgnmFJhNdSsG84Pm6l1PGpa3NC150dNyvRgghKIRtIT7BobMDTrnrom6/oq16QpAcOEtjvUp
SI9wMD0YEy3TEZzuKhyY4VjpTSps1+vpMHW57YtyKvlB27hCubnCP8IQJd4x0EXbtJR3ia3QRGXO
is7ba7r6XkTDQz44T2Jhd9fY79HM4jCIlgnS8toWHPTMmH0haS+wa+lpYJDEoDM5NjaKDeNYiOvR
wd4mJ7zBpkFLpe65PFclw+mKmgj574cznXdjWfpFECaSkK/UmJ9Tp2fdV90nrYsODm2oFAgXvAJ/
tpovIsx8AqA5M6zhvZrVp3RQ6RNX8a3SLp8lWRa6UhJwZjUK5+A7WOCHLBXdOtOQvNjzPdC2NzZF
6yhKbs2Io6UePsPGfEHNtaWs6Abt3da5THZa86BODDVh05RMLkJPsdsrG7wo6N00CPsRR+GgMBkT
7yM7t8rBQq2Nwxpa4KvWOLuh0Vk+YFpAUCQ2IG1T2xtcmoVRmqxc13lBe8eFLd2h11mCLhuawOrT
29RIEt8w8+1SwEaMaXAyRn8zRha/aGUY6g3eBIMqkrwc4uF1OH5WtnxO4f2g1ncs65F412vn3dai
25YsglXdMvbIk6MxjXupmcPGhNfmxJZXs9ikY01YYwH6Fe2Yip9uVWnKvQM61O0XKD1R8pqcHY+h
eTDm5kpNOsTBAnrB1Pf7qHNW6DHOKUk3VhsGw7C8FcP4kU7FZlb0m2Fcdmhw4gCIn05JaOG2Gsd3
haHUlH7mrXtgH6kM1yClAWTRg/aXCj13FMnzxgNnepH7mGGi87hD34ZM4XZVRMXXfzqZyHytOaN2
AeW1gilH3+s3rqYjOc84diJln6nyRtfD16Ewn2fXaoMun2/1xaABBFBGshJs+qS7bQDPn8dBHrXu
xKE91Iww01Tb4C7h2mQD/DZYt8aadCAp7hge3kw5NgbQWwx5+r1su0PEseLPHa2GKHGvabh8yL64
ivvsMWvQYGRKRztGniZRP9g6E9yufRBVeZ8LOFN2D5/Xra8MyYURQPSVo/InKZETCJl96INx7RrL
Ws2IVtS01ZgLSTNMoy85PTQWjWy9jR76lp48hqAHpac/mKqsT1Z/NEh+oHV6XxZ5E0gcqy3gA18a
SFlGql6/LBF1GpQeyQvCRrxYZfkd9uXnoNRrI6ZZtnRaHLgJKrc4DV9DSjS7Yrg7ZWHoxfbSrwst
XAMFZkEjWxCATbuxoSl7MuHCMUv725oYVw59Fgb5sYGKsUqqYUIVTd+64ws0p2nwHNPdzyPpz4nG
ehLhvRpt/pqcslQzRIw5940hBGV11IYULgMuEpIJ8phpTnajMle0jPo+Ss5LGN0RFECspjK2164i
3mowLEJVhJ/nS7FykRynaXQ72NFnVX73y7x29O9CLrTBtYqDJrTv9LmZjgr9fQ+G5hjSM8q+Uc88
sgnqN2eEaJWLHTxI+jDxdFAG90Ex1PuuXghPCEk/talnNMfBqcnp2vcMRiuVtq2ed4Gqix1/aL62
2gmPfxwFg/6/2TuT5LiVbE2vCGmAO9ppBBB9MII9pQmMlERH3/c7qnXUxuqD8tqzl8+sBjWviUy6
mZIoBuB+zt8mod8K54X+n5dazAeXRRAURAE+Eq5l6F8IQLaLbdd+hf6Upi31HRZtUFvkt+qmzfhV
m5+W6pNtblC9M1omzSfzAAa+EN2IWYBwj/GNXfM8LKT3ME1in45pERzLAf2380wk8mPokHYv2zE7
pe0y4BBbXi1GDpDmj2XOEd2FySvKJbDTSn82pHNzOxzZevGeDUl6iRNTQc0s1ykniKi3tMUnJPU8
D/XoTy4fmSWyIBR7GcK9SWHZK4HE9ZlXBxeVY9no1NSp7FbUxRWZv74RLQl2acYFraPIybm3zbTX
VvHIC3d0G6zayDnLRKAI+giquISca9/L1AarGwN9sX6yMPLx2UOiY96gFiomb77CtcyMQwRcjdg7
QHB10/H+w0u47zHYI6xyNflkVW6aPK9hUoxmS7KUANKCH7I78roG7xbOZn7AGnOPh8ZAWXoYR/Ay
dpmSailOb1kNpwo8vFx6lDfJUh7yShKJN0eEAwJzkzGwzW1N+ameBhkU3ehm+dHtzLta2lfV8aYl
uRE/LEvL6p+WYFpxFRQAViTrJyHOkBLEJNTc53YW2gcOWxVA2XqO9yJH1zk4u1IDk4SyMveh6+N2
MrapXDkNqz9rVbsbE++DpWAvaN1O+V0hxTZ25gh/zmVIGwL5v3OSBiS0a0dzjOERxHuo0WA2h9Nv
fRQPaVHdwpJrIvWsVwKFX/Um/iGoQu5zdHfmom9UR52NOzwTBTIdjb778ERyaLljPnv6luYlPUbN
VfO0hKwqbo/lW3E86OxbWzP7ZTYAcFo8ovqZRn/GT++txoIBC8pO8NcvSiPJbAEejgmOc7trHy1r
47YJVAoTmmq/DXL2MSt+40q4j0X/5vCu+FZCiEtnELNO/PUGwW/Q6B4fdTtgxBmXraYiLvQsarae
csY99QUfLfKFBuXxJseZLDzraam5jWOnKNexBoJ6RMJsw3Bhwt0u3fBilfkdg/RRxk2yiRfGnzie
v+hWS32W18cR0UmLGnUzFeUPbXLPDk4ckE+SeFLvXjgQwVJjnp8dlPFGXP4q2/7grkK6WGrJpnUo
yJEuJrsVFZi/k4FsRVvVm66Izq2DqiKapUcpEaVmVuQBaDoJ0FQEbwWu3TXUDeBxe5RlBSOj0npL
wR7LOXty5DW+F7uEYafyXi2Vts3wm2qjrqNYYcrK2f42SL4OhVkN+OlNNNf1MyrN6CxU2PnKHaJd
14tdpxVGEOv2z6Ine8k2Df2sU03vj6kyEE2jF3SEsZ0s6xeTVnhQP5U9NECChDtxf+7zErzSw52W
ZmxdBJxwfNR6sNjWl9CgWMFzHhXnx1PqDbuo0vrdUkafjnM1SgpW8OfxuawqE/odTiUd0s28lJuO
UFSwCNwuVtUEyNWeQ5vRLlZ4nPTR3BW05aJTqlB/GsiSMk1YtNlwBmcTqoMk2lYl96CSZ+am6ZDM
K25av45k8swJc1iZbhqTt8d1hmc3HD5a5KdbgdwekpXHjqNshJerLs1Uv2lZZgbaMhOyUn7XdQhV
BNfZrUQGSDqZ8CevN7aZg/lMZR0TUvo5LF5xbAy6VsBAWsC/0t+5EW0xZBB9l4yftpc8epSRRUYy
XNcCLYdfGC3R/VEMrbVU0kOhZb6q1v420ED6dGYRXmf3b8h3qZuz5lMDZsUVg4KqRAMbR4xGIuXo
iC0O03T9U7XPJiOQYMLuSnr/Vrlsv5OxnI2oJvoiTLnP4IN7VN/bMqH+LAl5XBvycyoOtK2ZuEEd
1yx3XsuWOteHgsMRyG9ug8GWpyzTDyQ8oSsoCUU1Gm/XZ7QjdmZ0zOw2hz1m3ouQhtqTte0rmtd7
PX0Ko8G7yCyK95Z9Kmj92QltfujqSr0zrAfj0svncCiy58J2d6HWdFtlDhAR2Nd6epMy5oLWI/O0
8ZR40KOpebe4Q+fWe+tbbG4ROSRDrl8TFUZvbajXD1L1e1vemRctVqx/xx4pZ/k5xJgPyb5JDzZh
UR9WFT7mWQ7cVCsv0OuCeJbenM+5hBbQo6Q5Mg7D8IoQWN4c50tn3qReXd0O0USahj9V2JtbggVE
UCxecw1DiOTZWqxdO6Oq9zgdNmU9xyfR0ZUFIXcCxwRk7aPs1cKD9RDb0fNo6ulr32XqCUNfUE/J
FFgOjoA667PXfGsWn5XTJJR/2cvrUO8Jd/Ze6GKO7zwmD6n3pveyfhFy0Yn6glycpvmJ54x/trhh
yjzqXUq29JymvmV40yGLuhmGDQgfBIqE7YqQq/NSU+5j5dkSlOZcncdFVWeZm5qvK54eMnT5opcq
HfgAsNRQrFSdHdupzn9/1qM12uezcxeaRswULzSxdU7PKV51578/aBLTyObvT1VillvF7UU8i4PC
8BinyNbALbvz3//w94fKtAUhgiX5CG0J8R7boj/bY/rPD1mhaA8pVLL11uSpdP1fE+HYx7BD3bMk
/zRhkj8tfMfl9qniOt52bS12f/9XpNd0KlimfmMceHLMZTiNFTuayvj2tmmi34yww2o8H6wm0h7U
+v/8+1+UtO86zRt7iOSTZqdLEgyZk1IBT7VzUZvLzdAui0ish0rEy62gaDCwDdCbdOwwcLtyvrXE
UVyypTiY/JO5QvVkB+OtHjw2/b+9fHIOOQqwJXHihSaCkeReLkUiT7XGFxSIyn6OK6+7hnXVXbVq
ISfDXik4xMDohI3yMXOfy44qTTraQLejlvLMvz800GuQxckXosWLcIkiXPoGumL9IV9/w4ia4VDZ
E0/PXDwMoyCqIYenWyB26naKrmFpyS1lBHogEhjCxDNGX1PEngx6Aj0sZbsTHPSbqYHXrEokykMX
hhNPmzUg7uMHYCAWRiNKsP3Wrp9NbFdaJ9C0qyIbrhJ/0dVGLB1MJkcIyZ3VTheM+s1aaoj9D3V/
GEnuFi31c5F9Jdo47fv8M0ZcsBGZ/sNOGvQnVnqDKbu7Jol8ZFX3L6rXQRaX8DIAAdL7q+EubDIB
rmhMu6QmrDevLfXk6J16ipN8l6Pnfvj7K2BdeZ1cJsD8QLyEja3Vtu81yZX3Sg/9+dJ2SXurQsfb
d4Sc8MCuM56q4eX1OnmC49jDmVq+Tp7TrmkG85mVT784RviZCSQsg9coXzdzBj8PVsUCmPaTbFS/
Fma0xNG/PNvo/JRmpIulrpgBAS4jFDWWA6zWdI67ya3xCyTXPLDPJIGhDYe+Mq5cvcbbLGPCfOTU
3/PcLs7Ka3dd0q8fVfcWM0o/xcY9voMwu1zGsBZpOd5AGdiEVqGqOyCva6mOelQVSf3G0BVfDNKv
KEwtq9Ge8wkJT9uutvgootWSbqNo0YsP4VX7dMwPi6tP7ySv9lskwehlmOtPkaPtbQd7RQVZ9TXJ
H/EwgmYrz/v3D1k9HwZzVgdX8sUOs0aVR/5mC37hOOqjNx3d52P12aGI9auHD7OC6rVJf/Wnokbd
ECfGL32WfTBF70sL6xO6TyEqEvqch5T5PPM2k2S8t/KHAZvnqYwm4rBRHZwGSdFajrOAO2gzRPDN
RmJfw7mHZhGs0knD6H+ouCn8Os3I4wyL2C+rMSNSOzMeNdt+ym2QJ9NENyLrhxQhAb/dPRB22wCj
OzyBXcgD3AYudobj6P4CwOtWFW7/mFqlLxVLlmZHJOuE7F05GS0H8lw+QuIT9hoZkFbN9htpewZ7
taWD/Lsa6ukU95V6WLx5bxrp+Lh06nWKLG1Xu92HaU3mHmv2s1HNN0jxT7BHdSbpWMT5QAI0m0aV
N85xpI9pk65fR9bO6T6U+bJNGaCWJY2CpdNtKPAJ1SmH+qTJY5MQDNcOXbfDTJ74o6dti6yJtxaE
wS6aS/Fo9JPxOM4z2mTrs8ZhhgagbPywUA46RCV8EtE3s17q16Yy0RE591yMFHJ7HYnAk7DDTR4y
dZD+tpfV11CJzs/hk8oEM6BmbUOdUrXUETyIjTcc8o6BkPCMoyzD/vq3+2LK2PaaCvRjMH/AAJEJ
r4XDNu7SMJhzhePCbYK+Gcpj7tZXbEdINmVySBRW9AwmxN0wSAJv6BHBn+u/bdSpS5TReFlK3LFO
lgYU2NYYN1CTKXdta0ytzUMVL9l9Zn7aejNW/aGJqjsxZUUU0utTrGKu6U+IAHzruDVPI5KOcUaY
4BgQ+KYafmTGku/lnAZyKVNyBDhM+5SRYurlnrCv3dypb/pvngq+Q8gtiMo9KutKU7cW2FFLEn1/
TezmMcZZfKAa58ks67tVyb1j8+4kP+ZEeX7Wt7/nEnmoVo2ab7CMrVVsBLNk+JVDbQ5kOYz7xJSH
WQ9vUT0chnwytq2mCjIhA3fh8o3IKiWmVIAPllDn4aAQAG2SYxg4GOFR4tUZpFC87JGQbUV/ciq2
ao+OEG6yV3AuzAF29WWLJ8Mqv/qJU8rKxZkc08NYVwRY9p/OSMmGs3xLJ3H9qGYD0t1mD4NCc6w2
M6/NxN4Rs4EhJznHrvrmo73A7qX+AnNJ1/jWFCQ8q5A0eFwGoO3gOugnnINyf1JYAOrm+vUMi9Cw
Ugg9DKy/wg9sQ0zlyAQGdnEUCIdcR1oPle7nK2teRPFHWlc/u0UTfs5XhC/qsEj73MxJQJig4VvN
/JGOzV5PPrqc4OAw7F81axUioxK3aBPshXwlMWmfd8UtresvHFkf5apxbzs6mQ3lBq6VMuin9h8k
JyhR9la4DHsCPuClKuIg2M0fQiffk8lCmWauXQbHJg/d6L46BBtAsS45LUNAvwKSwGr4nVAqdzYB
T9Yg2f0UTAqzS6E638nGh5xw/s3QTE+x0k+45kus6c0vq5zuBNi+hHU87xFzDfgd+vI9t1w//5Qc
x4Hp9F9D4wTou1ZludG9p1Ox10LR+mWToQ103WTTA11W7D1GKDBHW/1HVdFBRUYudMUUITqbLq4a
MHT0ki851l5iG6mLblMdlSPP0+nm8ShXbA2vCHTohEFz4exypBFN4cfOBKeVdnyMA3EPVXmXFtYt
irnsHElVIWX4GDbPNXpc6Bp1H2f8kXV8L7uXXCaB3lsv+oxYfnAf2mSY1pqHt9nFlWZyCXPboci0
HEBjJ+RZKvuSU5tUlUm5ADpyoD13zhh8ftKixrNU/JJ2c6ZdR64BRxQsLbg9kl6eQ7fHhdWt3vxz
kyffetnadLzK2UcreEzrNt97VvpBanVEiFvx09UQKgy6pNZvLdM2muLgWuziDbUI9sJEnIwLk7vU
vzipiYhAGT8lCNzIw/XQTl3GZHlNkkr48ZAVKFlqy/fE+DqbP9MqIgusLKlCmNcY8o9KmiVYR/FW
53ZAW80vIp3zkC6UGVE+sTcgDHW2c3pXblFg4yWXIkM+TaoFKohd/yzo5bzA5q5qC5ZSqD0OkRx1
QONErxyTPmnN3XkWr15D984SasW2xqMNBKI6Uv1AHwcd9reJIrhrxBussnFko1XKp/rFdcBsvUz/
yYO0cvR3Q8iXLi3vOUAZ0W2szEuT7QAgyabZhRnWuVo1nu+MLcHKwLuu5yZXTZXnNFregGseTbta
xUwDi4xgnmP5RGA3/PQMPJxej7QN7mCTRI8R5QkbdkuUkhj8WnWu03C8VhQebBlEG8L7zYkVCudW
vSmpoOLLJfdyji0u0/jMshl2xifm7oqnGG07PvcSV6dt+vYofs4OhXvhMC1gzMPjqOF7AwmOz5pZ
fRjxcNfF7GyoADw2tsqPtOWNaNGEwSIinw3MSvu1w67s3qMs/OnI+Xmx5AQIVgd8SjuzJbux4K8/
EpVxIadKIh/vmMNf0Mu8ixJIU1QTc486Nar0/DqfPqTD04pkzN7KxXg1cqvY2T0ueFzbFY+fAuVq
bH9x6XpGxFT5tS2uOjuZb3ckweRYORZnOXr6/FMnFgOIT+JmiX0TPyXsStkEVRqgD3nSDetj5RF5
3feCTjfX+mUPw2OX45eqm/moKZJbURRhZUHGS5nrfoly3uK4SG8RoVRF557Wjtuugs4jVZHYDInp
DdIjGz7I/cIo3CApnlv9QO3sy5BA7oQuvYVVw3ZXIMBRbj4De17LoXw2HQg+t+nnQ5tGP11d+WJN
Hnvu3DQ5kcVj+oc0VbxrE2DmUtnnUJLdpVcT/4YGXMnEK5R5hyIJxdekiSC2aMyaSnQnnZEO/jxd
+qJMHpoqO5q4Y8s5psujJuDTajK+/sCw6Rx3a+y5mja9k1fJK1DOJ6fmc4hMtznU3g8vXkMQMo52
dN2SJxE1sk4MYCm1DxTZTIBJw0NvyivPE35Gt2n3XSx2VtevnT+CLpcWvbpIYXrTdjcPxbKL1ja5
ptiUrrzWzHqbgeBOe54rEtWdC/pvtV0EAit3hgoj8KiJY5yqpuo3Y2mVO/JAOGinvafiZztVN5tQ
t3zMb5w9LVTO0vqzTteLHB71Fm0K4bPvHekylXWrCEbdtohE26gJnNlE+p7H2oECzKvIhltYLK/4
VLxgARHDk4FbMMThORiFsRl1Y4eCXwvqxIQUpGIDjKOddgZLPcy8mzH+h7csafB1DqhGWT+CatDq
06QxHJG9XYUFznIhSbHRvXrrgtSwJrkHTEnDdXGZRJuSoSVd5qPTLSjj8tY6Ull16sptihIP7mwK
fdNuRh/GCTc/2Y3KHfdL1x7mqbV22lg8ksVNn1nM8D6NNvq8Tp01agTOf3+mWymaTdVuY67201Av
OdZzEpaXyfqePbvYgVKIc84W6rSPRlaUFzqm6B2xkLVI6rCSfu9pSke80b25YYM8VKTpzjU85721
eW5jvoxrq8fO+7gJ59Z695zo1s9VeQxLdIsa1+p7D5S+c0cz2ddLYb93a34STJV8IOOwCYyw7BAD
/BDzBPta9MsFeee6gfPLcRhsHr1I3xe1xnfMNMeNU+nfHjP9zXId51W4L4iNxyiN3vTI0s9xNH3Y
YY4TJerfLS2qzoOtk4vLObPFLkh3UTdaQVjjUu6zXBxl5GpvztD+HtsQ/c0q6s5ih20S8N8wD1b9
V5KbnUIHPH4RAxROozN6aN8yYiiSJb5s4FDf49VBSTGXfiyl8mUWz7uF0QKG6Us34e6qEPYlXYCw
iNwuO8RXSiQ2wuQhRmYJddT1OFxS/qRpSp9BG7n1WhSfllV6G5a2BEm5t7Xn7kTcUOkr0Wk+c8ZJ
oS/cOEspMS5xUBh9rlPMyJNVUqZW65m7HaSRb3XStAMg2K9yLj56r3LPSvsYQ/eHoQ/lGWvA48zi
6a+sP8q46kjC+7TLWojvASWW1914L41NFc0MjVCKSz0jRE5PbBkXGxgXXS28rJ1xdaX5EPRdTcLl
ah5aEmS2o/HHJCLg1i160IElcha1r1165n6wiclPbjImygQX3d6u+nQ71pSVWpQFZJWiUIO9eTD5
JoxGvAaOlucowyM1ZB7YYpS8Jbp4mKbFxepELKNpLKfO8f70BgrOhTQ6RGuKh2bRcNv2mn5TmALH
emZdRx0dgPE9l/Ri6Vqyt4zhnoyClcUBWykPXpydK4vHju4CVk1R/SgSizuGzpVDOuXntmVRsakR
O/CYEl0o53NSMzJayOa62f1dzrCxU++D022JPXPftDnfxVGycF9wtivj3YIPRLzSj3vL0W/wDf7S
j0EER4XDHihAZc7LUpodqY8uulHD+SjSFPOCp3Ho5iLIieJb9ZtkG0ygB3PsIBe1+kOWGLWfOnF3
0KcLrew/5grDFH7EBIhgvyTVJYvcGGUhmf6iSn+kGXlT7tg+m10eBaS9dycvrvzFJiG32iXd/KUZ
tbnvdRKA0wub6j2aYCBmh0G7NZutFoIqkpgBvGB3wleY9goWXxYDrJD0VicM01693gqtvIhM3C0n
IsebJ98tsajTG/zO+k2YjoFHd0lPVW6RpyHqIKLYY1xytSfr57k3xBDgEcFaX4LP52KLKQqnVBPd
qwIQDrbA29ah6cuiuWLT/5r15SmyzVNh2N0hXupLHjP9uBTfwFIRHR62y5k0kiM4osDdOw9bq03g
wZv1z+IPlKH8TSfAzsw1GrYc1D1WjVk7Tkk9QPMfZR5KaG/+A/JEKAGJp0w8mfC97Amd70qTyOdG
xMV+RELMKl9YOzkl71MHhVL22ifIQJJgkTGTa+QwQ6GO8LtpqHd/S1WKGBdMrpIdwtaLXSJErKf5
Mq2sZzh437EmSZYcjjOeq4MdyLkjMKPOnKBXy2/NOxEB6a6xe+cit6fNPPJIEvgwZFShTboWEfYY
Wuexq5+szJigUJEAk+SHxNbkbXccbonCPsusioFkXuOV0GwLSzvhHG23vBuWGvUzYZSb3kUWpMVQ
GENNrY3tfsvB2mrVDIYA6A8Mm4otCY4ExCFOmpQWxGjal0ikO0IZQu4MvHhxhBK9Ko1TORB4YGGT
z3pUdG74I2rnmBCxIz5ChjWT2wDZFGLO9q3UQX/ton+1GBrxP8CkRfpqw+KNTlzrmz89YgI0dhr9
M4RfgKvg0lq7ENV+6rI1fiOGouLwHNftZLIEMT3qYBfjcGBGYpyy7AeLAlZCLxAL1uAPpsq+KKom
3gy2sbeJ1Z6JHjhbxm5lNrYdLFZQGLzkVEgyXLvEucWx1h/5zr4RjCiRyruffS3h04RglcGT++SO
BJeMxaeXmb8Z+V6jrHrp85zsWWiVjWxQro6FgytOO8b6mAZdyyoRdWGAUAqDAAehlWndJSqNBrVV
TRKJHe69BW3JWH8aiYt1zBlsVNMWktL1l0U4/6DecGuE2WoagMGM9TDxqdFGvHLhXt+VPVxgFhuh
b0/Fk00rKfeP2Nk1RxOmlQODSb5hbo0QkT9k0fLbYAOEAV4+I8XCu6OizuYMhaFAheLrRBmiLMWW
SE8dbLoG0mB5pY+pzazreJeQ+QZpw6quSDyY6UagEdYqTnai1xevZm5tNSBQ3NdbNKUArtwVCIUw
oNuo+0J0BNtIx5nohfohcs3YrzxeudKIgK3iQw7WuyUmMgqg6xEFcbJWiJIBJ/Vtq7TnPkciVAo8
16UG129F3cHB2WsPrsbYZQnfUiRretiPzDJ1gIf+jJb2qzBdarvQEe5XYGmyuf5COzp6gz0yTCcD
3CxyHqMWCMJ4dnoEyHhy0r37UK+8Y+GQEAcMB4TSMf+YtBXKxPjZRlF7E0VBvm316Y2OuUNpeUwW
YroqEiyCuK3rbeY6MOdz/icq9Gd6uAgMTeM3lUTdVlqTtpF5zLRLc/KmJfvomqYLIV89XjFTO+aX
Qi4YiGoosBqv1+J0xQ5L16cnsHFRDB7t80G7ke126kwO2sbl8p7JrsVsvcQo7lACajqvxmxPP8sp
fmtNjD8orFtp8QEMoHP9KjDKlBV4nnwWfb1Avb1VPRqi0IkxM9jmtCf3m6V/cp5CeO+ehacwuCGT
dvkyPJQ10pmOQrbm1kOIhBA9e0qktXOdCk0yZQ+bOsTPTBL8VghaAg3CCkcqjH1HmP22SMs/mWOO
B2344pQUD0iYefMJjczrba7zDYk+DfSvPZcHIdctoUUWAhUNDmRIBm07xG5QjFDxCASeuAzfG4Gt
pHSNP+nkdUcbHcbI/MjCTkdYo65OCs/PPHZJAI2DNOHFIM/7Ohk0YLOGAdXY/euUFCsRZapDrMSf
0ZjJvW73mIfKCfC4KlvvXEPWeevx32nsjkn9G0IvGJh8fAOgK26nbD+BhZghxHiCXIFAJbZfRdYI
4Rh8gZwONOGQ39B4P/WLOFRZ/TFFmoSw6BDQei0rjvNlm2tn2XGcLEaj9Fu6FNpjanGQu+kU9jTF
zuxoOloFXGO9uuAYQ4S0TgMmx602hgZLhD1h264Lf1FyN0keYavoxhUz5svWa1+3FJ4T2KkhLhEg
T6BJi0qeHSUQE2gcuAlkD9PYOkjHSKgqy5r39MHiK+l2oscx2vFueC6opSJ8aVMa3h+QpxHwmpn7
MHdOToGld1djeIfPNHGnUzkgTATgdGnxzffao5ruBuWT/Cka4h0sxSFiVa7A7LcTF5ckW+JgILsM
a4EITHPF9hQuTe4z3XaIWrfRIJlUfeTVUBwSszql0vJ2tmSRdcOTVXPRtF4y+YoUauA18WZVHhFZ
9QT0RpaNH+Wg1ev1ZRIjvE2w+O+HHr9s3BEazRFxyA2Jam99WaehsDkw4oPT0zs+LPkNKPSAEezV
mMDRtKh9aJS9XNyBSkShP7kGJ0CltXc3HH8471EztAFCNTIJq1+8iqtIoQSNqHjJgazRv48fHL55
m2KkDj86IPlzTGnmFrHdt3C80zS1D3UX07NCSjZhaZBUDrI0WUESzDoVoA3RT1b5WpHUceonEW2p
tLuNExqOpTWerPaXm4XZsTK5hjIDyDQWWrhTyc1zdA0pd9Vu0LPwecNJP+YpM5NrTJeSOHi06SpC
uiyebDO1+O4RehJWIzud520dfah88kkr56PP8B5HIRIWxgRF4rJyuRrZzGXEjO4aBVW16efExo4T
pWHgAbLLeg0FPqawrR3Ovykc+UEuPToLV3y7oImbvHeibTEWL72ogZjXZ9es6PZNooJY8TGsGRs0
znfR3tuk7I4i7gDZqa/LTPUj5xA+E/x4d6y+5s2IPDbyiChxGk4uVNP9Ce083Y3Cck+aei0GnCtD
Un2jMJEfwnSwCEQxHgsUUQVuVNnq+6yFkzbq6SVOER4Co+Bjy9fmMme5ViY4Y0KydWmHD5USPGJj
31+KgnpBIGfG6uleNwTD1taC3/3cibh/lMaY3BxMnPqaLTp3PdeLxiM3mE1/qqbE96piU892e4lc
UEs8yh9y+ViGSX7WoU/wiNyGZNHhJuK8J0aogYJ/8jKhbrlrFz6eTLaP1lm7lxieIvr3GBP41wTF
IOsfTix4o9f2DvLEWLUs/plGTmIS3xeScijhuzrWxOLkNbOf2rirJHmipqoOaGn4bGrInzBDqorX
QWq/mwJJTWcmw86TkqwWU0+2aVTJgLSh9O7oMCppJg8JlNlDVdE+X2RXmU1/iKNfdoBs0AfDYZz4
SEAET7F3j5QYafSYLoY+VUcnvmv29BvQYnjmAM6CPjSSwJx5COaVbSrcyXvo5PvYSof6xuo3G7/y
TdEeNTrCg3/XNNkUoDRtxFxZiP5alDD8OeRJ0JVL/sBRN270GqlGZdlnvCYt3phqx4P+AnOqfzZ9
9cxbzccRP0clHj+i5GpMivgS5ARY1eiaOGmGwggb8bB5nHRdl7PYOTH19nBKlSN+24SfRbZ7JPLf
PdEczVbZLePVrWpzq+Qozl15SaNIXuqRuHqnLE6yyrft7O5IWoE3pldqE7lrcE2fHId4RjrS7My5
+xWOKJSTKfoUCNgGllDpyEei6QDeG/dlKF8soo5CgqE2XYsvdFZLEKv+pg3DD1Tvv8TasZ2s4h1T
rv7Ydfee5DvJoLwDPNrm+OHFOnW9qfvLoISLvw68rABxmJtqJP/i1iXzPrfBAryRWOy55/LljjwX
1kPa0pfZpJysIf/Fz/voFf3pwWzHP72Sp5ZbHR93GbJV4qudRyo4ZrA2N6JzYoQ2rsd7beAI1gzr
Ka77C+PC+zdqp7cY4TeNRqiuapTMZngtRBe0Q8nIb96j1HvNqxovnLm8DEI/1CR4J7ZNBhYgduFF
v6fOITuKfJ84hJ3hoyAQCNNJGP3sinr//zNI578ZpDaRnKSx/l8ySK//+39N8a/yPyJI19/xTwSp
a/8LolSup72QwhQG+Z//RJAahvsv6Vimq9sWQaeWSTrpPxGkUvzLMWyHVVC4Oq4y0/yvBFLD/Jcl
pWl7Qicv1BSO8/8SQGrp/xE/aiEREFLaSFptwxRCd/mL/iN+VA4ErhRRfS0RfaNOpxlKz7onEhy6
p7SVrH1kGTgmqXBOPP/7B/u/fiZpYthaHUKCEW52Th+SYYl/RRpMkLC9/oYJXD95UtU7vdOzt9EM
X1VWBrCV/QokAntbhhOtVwWTMxzIs2sV4z03LX+qWBvJytEDuf5tYYVbi6QOhsU+fchSasuwuh6H
ghZRJ8bfhG1ddyJCKbEdU3riQLApb2lvNvaiHftBsSXErb1F/fT03z7sfxJd/3uCq6Eb//M7yAcn
CXYlytX1CHP9HwGu8RhnUdqhMo7teKE2NyvrW6EBq5HQ5R465LRXei1a5gSHCFK9y+8hq9BDnscI
bFSCmKQBMD/Ztvo/hJ3ZcuNIsm2/CGYITAG8igRBgKRIUUNK+QLLEfM84+vvgqpuV3f1seoXmqRU
UhJIRHi47722SVn3E5Hldxx35S1ctOLmGMUYZIbtZVEszjW5ZXD/YOajyRbnxECwX5PccFqMUZ6y
RAURx6b5RW0ob3vJSthW+buSXLHp0zLUysRvVprDRUGARmoWwtN6035ArSCeRkCjR4Jk6NbGcXPq
G1pzXbXEeCn746CZSPqKZLktsT7fVM61e6gVKwI2zrQLZypFz7KnqGdOb2fVCB8TvByyRQBhk0Po
pqZeFIwz+3Jop/vnR0mtT/dy8UZGmbuegdpbT+vvgXGE84OkbQQyW5iHnhRuq61TgH0A21Wemlep
Foc1VdZT2S3VIRrJHtjCxD4fpkH4rZ4618pg4NyPsvOSLVSkW9N+z4Rx+crYz0+bVyUkUMOwiQdr
5yShrINboU3i95pT0S5K/y3vpw7N/SLexmRLgbBQ9v/zO+e/bz1blxRfKg1V6/9442iqbvbwrcRZ
ZxaLbr3gkLG1ZJ5Hq09pULMp9QNW8lBzGI1WofodxR+Uu6gYAgdhMWO8cXwReiRuWNIRAPKZ4dBu
pUThTBCXeI3V0bZe81Gjty5TFK/5MjNTHwvE8UWCwQaVc2r9GjcOkUJdSUjUVaUZymG01l8Z5hPc
FYKhGg0Ykmljj/5EK2039e7EKQpucSBE4zBeBLJ8Ssz6xyTB1oHO4Sk47cKfNOCjhsuqnkO7EGch
3/75Isq/333k35qmpglbNy2hCetv6xcRE4ZW62b9590nQsu8l2JCnUZUKxQKZMoalvYNYKBdCEtM
Zq/Xw/VAIJp6HxR61UkiCuA7hbh/fk1+n7ukv2O722k0PK4oXXmFNHmRrWiJdpiqm+AYxijRjr85
Y1b4YDxggJgxgYhp1cCyT0dWs958oRp+T/QlZxFwmKwYinPj7GAnsn0Kt4e2TNad6FeejOCNrdFF
zU18IIIzVlSMH6OeqLSEQG/mEzFwaoYAcWys+caQoWVElFFOU2F9GVLc5PGSaMestHYTdss3RgMb
Eyr5rhhIM1aTZBkaL8dMZdqXM2X1lbT/hbCrvDnbOvP5UWWPvyoUHX411Zd/fp2Mv71OQtXgb9vs
XI4QFo9/WyVFtQicxpo4haIlWb1dPoypL35LiVNV6UDBUr0/4DM3nxXGPQ9a1FOkGQ7VqanVXzjR
wWHCv38i2rH60reKr22yM3NEvBxZz+u6dSy6Cp6NUV2TReADafr4VEilfOxt49nkoOsjJzRsPfxA
rYN8haiyR92q54BOYrGrxdGyTThy8OwwO/AQ21V6dlRxlKPkS9lgHf/HNQEj/m/ob1OoOm16k/G7
ZB/ePvjPvZdec0iWoJhOSf6zHPTkYkUqDbvOWPeNXVm4tbGZcLw0n3G+Je48UglPhqm4ogLTxOqh
I5+POXt3xY07kMywfKgv+RYMQyclI9Gnd+z5qEAGuCSVSWvBrsfqYg+T4TPgXl9zi+wEZzS7QFRF
c6t4z+H0yqwfi/Mhoyb/blpKulcQ83pKi4AjUZ3pklfcNDruhe/FQLO6waJZgyxz23YaA50R4ZOC
PuFh6sz5u1asr7oi/8fKaWj/feEgsFuWKsm+1GxtK2r+jZlerpVilSlieUG2+nUONRZDGlPlHg+K
+L7kDQ12XVH2jH3j5zYzxh1LP21wIgHvi0bLURpV5DFp6O+OZLTrZJwl9bZ5XDJmTZOcKKwTA2wD
sNDdZ/oolUx1pMEFpHymT5/hbn0pmiU+xEoWnVu2TNccTAiUMx45nO7Vzin7+ewwAQ0JDD9/pvWM
m4i2j8ZXRqcLgoJOd1dUvvsBqef3f35vafp/XSLHNBybW42SxDD/vi4WtJfHDnHOybLL7FD39nS3
pXWuqlT5Ahmz8nsOaHttsiaGOWjJHBjEu2wdwh9JABg4+9nOA9jUVk1uFqNB1nkCAmsrf7W0zrPb
jQwGqKUKFqoRAt8jbIv//BcY/8dfwN4oWNYdzQA9sYHz/+1F1pc6pxCpi5OtUvcVuLZVJlL3vtC0
1xDxggK6+J6bfWAZTo85xn7JtpAnO3IAMQ5Iy1qLt3MLjuCpofP/IACKfzOiDbLft+UTHND8LOnl
AkTDlY151ynQK2sJfjkmK7e/HihZ0JqJmlG8MAtW/z0KS0wrnwWl7F5F54S+s8TNfsni3stkqD9i
+lQOZsHYxWxqA6v18PrPl0f/z9wArgtnADY829FYPrbjwH9eHuBvqGcMbQ7KaRI44efuSV/02Ms1
pOij5ew6Fo29wImGTp0Ys27A0xlHyGNtFfVW37fyjSMr0tEq7V+UMiyZO6BsXKeuuGZmeqzAmv7U
NOs5RY7+DXUHxVkRq+9lkkvAAnnvlaY+oZngPmtT432VA4hlZSr8ua6KJ+Ek3qBJxjiR/rpN/m7b
Z1qs8urZGK7++XJo5EL8x1pqGoYhbQ2wpaVxaYzt3//t3aKQNqA7S9cEFg642WNrjR4XY19Minmv
4+mhs5dYwO5CMVLh/Mfu3AI3Wluaj8J+mNScyULC6HEg++KelwNHIMBbGo14adv1l6rSrZ+ECGq7
cYh/pEtNh3dQltcxN8r/8cYXHPv+/qdgu+Ll1RwKGs362+qmqAuvkl7WQThM4qlOvk0q4Iq5bK96
R652O6PaiJJZOZEzh06nQT8NLBm+4Ix1dLfaWu1bLFeIzeWFDG6TUWpJpfvPF1wITd327L+iK0xG
j7YQwhGmxi2mis8/5N+ueZeAXaqUekSamz/kM0QmOL4TmYTtfNMWcYxxulbPMF4P0AePrSRZEZ5K
iJjKyPLHkRzYeJkDJvOQrpCR9PUlldFRR8uUrv1zq2Mi3vYR7cR/PfeaeGTU/5iQ51N3w9cq1l+v
sei+ZUZzxdPpx1p/SSf7UghW1J6o4/UBh4j1MdWDi9H6EbUQYb0MLUqb/jNO9STxtnl+P4ZeHD5o
fXguG3ERDWY586FV9CDrp0MtlQNjYpfWGbaNVz2D4mewZojxZdUa3vkFF5tbAy4LMcIluP51T4AX
4N0SpbzuZhhbpuyXQ5IeMLrlVU/2kmxgnS64b9bHCGXCvJufZbZLf6B0Q4SiomveNGnNNb/RhEM6
yb770pq/J0amMYV6HHoI9N24e2qV62y8KY4HtbN1vqvKc4iNd7BPOo34vth38ZEyAjYeRHXSOREu
StOzJwYkG8Igcg663e/RY1ULWnFerJhD1QwHcVW+jA3INCPdg2Skqc5P6CBETEcs+k+ImJhn5i4g
VcC6qAxN/cKo2aNDDNHejzJ5TJbBheYzMh21j8mYeiqSri5fA23tOKcyYk/kC3Tdh3GlEYs2uQZS
nXfdoR5PHfNDU36NFOUWa4jCivc61C94AphwDk8RbCl4bC4xZliDcHnh7qoxaZi6dmwzMKUqQApb
0Qho1w8AmR7CtaO4Wx7M6t2Bvkiwp4HPSnxle3tYAcIr2m1ewR9EII6iW9e+ZfAWY5R8PYgAGfNk
yfQeYUawiRJNSXkawnN8C6PoLVr1cxSTOTFl0+98oNPhWN+TaPQjYCskgbqIV3aaC/pKeTAqYkKI
jLZI8yOw4LQsvF2iU/jWRV/sIqeDHszGq1lfZ5Qf6UF7NZCCG98KuokJ0i1l+TmAGioseXCiisAS
080Ic6zE+1AyDR2eaXfvnC0VQ3F1zvebefojm19T51hHXzvrNvYvoLHttynKadqyMz0lSoxxJQAL
x5PFTqCAiOrjR007Rc2rsXKyCAtMLbju5akhXC91/BW9cxJILiZojjL8sD6qKDD0Wy4+2C+wHVVf
N3dR5U04rKD44j5hZN5SN+H/N8xl+13AmTJwiXeJkvg62uyK+yOhp4qfnCfHK2dCl1FrV0VuYPXd
TUk0r57e1Cx8lOix7F+azhQcTmhmLqC5FEbNHMVCIjN7hOI6WQu9SVx5wp+I3Kks3XgAyOgcF63y
SqN36WnBkee7Ehzh+KEIUiDJwqdYwvoRexnC3J5CclJnX+ftDwCOQvqpapqgbIDQCHOXWqU7I4K3
GjpLzuDDz3XlSARlpIATTE8yVenzXrb4ki6tH+1SkEhs+Q18OaZkOOW0YIxU5pugl+cKOZFB+E6z
nxBaYCvebbd2pJR7JWXwwtRinc4CkbgwKbVdO/Nz5VrET+3gRuhIq6CKj3CL1sFbGz/tPFAGbXTe
jEBxoHFXrOfY+Tq1MyyvNy37kQgRWP3wQDCc68SE7+rKfmQ+SA/vAoQRGiUqh5YKZylG6UKWX08z
aZdH/q63QtrjvhNh+FGahZeIStsTVt9d6M3/yudZYYZlCeBXu3wydVdrCirv2HoqEka7Ggg2tqgM
CPeYHdb6Sl7QfGhz6pWJ5Ea/Id5nb67tdwI78ltC5sCzM09+k3IES2OT9WE0Qh+xGYA1uwh0tTXu
EG8gFYaqPyer9JXSrlwdQ+ZRrija6FC9Mn0fro10fN2RnhjV5h2X03zowjTz2srJ/LrtbAY74wet
KEHP7uqo6sCsAYVuYite3JggJ5z2vadW9h2ROPs2b7t31RpN+MGyuKhFqb3lmDU+v622RxkAAbQp
G/hfJAKAt2NCdRp7EgPGjZpQosvT4v4LJlMNqC21pkynNyABxVM1N+Oe4s3xMRTi6KOqnrrJegVK
u16YOcJuydTpfXKwYc7awOx8kY+zKuZ7xyR+iRGir8NINknCu6Iboz8fdNTAB+JsLp9fr1YHfoca
RTFvrE6THiBr6qFu9tSl9o2REXMapcRMKSZGtn89UwsWrNGgwtVd9jXEL+LaSij2oU0TqB1S1bWi
7FsF/PGPH/z5Hz8fPr/216efv9ZfX1ss2ysibnDGwRge4kSlm1xY9Y55uwK1E7ByEJnbIQM/BeMa
IhXXnWyR7OLjtPef/5Rs//75QH41v8nnh2W/nU/wmGAL2WQgJPaUdBBzxdMS/dFCVt8M6iEfetCh
ZLsYMJrbJ4snL+IpGC2Fdp/1IJjb9xj+qLE5fUQuMeB7cOvuCFfbarn3o/4RiSYbawekFJSTtuzK
Cv9BNflqqfmK9jGo1ETiwuDKG4BVFiEVCGEEBKwPi+Yxhkk1GhG9cQCCeNCECqwSoH28vFSN7k8F
LwHK77WtWTide1etQdXFXlPGng51a3K0vbq0XtVlAcJMerStx8U8dg21QIdKefQqA2sSdPuCqSAj
7B2RrRfI525nnECTn5lBoaxOXQAILIKo8HvDk6hPO4idpEc9lOl6UekKK8BQaUChwLc8g/s3B6PY
Eg+CHMgTRuYVqcDzZODNc9wtDSnziTT8Wps96YvJwRkAAY39TqTpZV0Vv2oU9lVlHyfWrTbSqzUb
1wWm2ExwF7XvdXEGhtlNUCjlxVD153FtvzUcu9r2Sz6wT4XrGwyD72b+Osjeozo/o+X0RpvfQxPX
WOkvVVLfgFz5UfU4N7nXQ7/bXrxhtPcKC9+ILVBJlfPUsWsA9G0BmC5SHrTlZZzzQ4EkgKMdTrjp
UIA0WEbNFVHoOqRU14BGwjE7tvYacO9fyenbOXH2jlf8GV/HkSAET1W9ODI9VKagEK84aA/5rwze
puSezTYnajd6SageskE/S5C8cR556ryLUbrSXPTBCAaSBc3Manex8QPp9kHpygA+Hu9UGIKOl5e1
W+A/7zE/l8V5VSmH9MbVtI+KMWFqrlBnwNcybEcu9KDqKATH0SNE7CFaAqUkiF1T9gsQVoJlgcMG
WgTgD8uTLGAP9XqA7+3Qvk/CvjUWJCxe4UitPIV7Idfngzqlz4JfENbKIe+7Q1qhgxk8Am/Qh2Yn
udhnoeCYihlV1CwNovJoNmHB51eYV7e031QqDPgnrjMQS0CKm9oKRhIJZhqFaTPVqo1A0O5Olj6f
KkvZl/geCzkf2+G22vWhTJ1977A+UH+b3bDXsKEmsbYLV2DjnPkmhXMvx1knUjAZ8bZO4YAjKoX1
QzIXVy/zLUD3Ueip1C9Oo3qKtpyJLabWVO+NlpzapjqPCVxSpLNa4ngVxT0Vqo99rAmP1lpf1gjp
FAulNMUrJyMfePwpxKIxkBDFOu2uk0okCW5h7QmWXDDVjOC1Eb3SVxSt0Aqr/WLFByeUj4tKXie+
J7Xqr3UVvxbVjvbr1QpLbzRa7vbqtYpbjL/LUTWqSzTyK4+aJ6fnqkmO5FLurbzwcIZ4LdOyKFmO
moFHZRXYZOnlg9hJ8Ne24S4d5W6ELDlGT4q62aRMv9j2WBwNVZ4HJoD7Bsn3iKHO1qM7DLaz2X9R
VuOcTo+dVhy2eQ9AgkOB0QotFoWPHYghDdZxoeiB06gSG68O3pKihymnF4RjXrnWwVi9od70x3S9
R+v8I7da3xmSUwFQk1dolMVhCE1IFrpfm6GvM0Li1TzFrXxqYzf0pkww6o48LZt5WVvP0LNLoln4
6ogPQCEBvJv//H2r8yFLHun47tHfeWGm4NzeCTU5NKy/kaMcFJsVph5BNRkQDnOvoEAq4J3Xpdva
nU/M6yGVT4wC0MAo3xonPDprfrIU3BhGd7By7v+K15G1ecHbqR76YX3IscMSWBXMD33YfGNs8oEI
JqiG5bKFgC5hyV4S5PgM2F5ctNedtZxs0On12HmyVVGhQGjM33XeIBi9OnTP05QeWrkE1aRfy+Ua
kws2Tc8GgeCcVh+Mrrwvsekntj9butett8bIzvWi+sixD2ti7qElqK11XLrZd5jAVDohF6rumr3p
NRWR3Th0FHtkbbpbMrpm5RAAFfaZM++RL99NmNeLdk4NDgXHZDOsGkwO8O+uh7CdqIkPLbYMkP1e
BKnYYUBiG/VXnJBporm86p9Mowqt8zxttkoY1yi8LQJoy1LiqQboFPYXDBiMpmqOqk1+ceb43Ktq
oBn6eXZifE8KAqnqC/F6rySmwMylWAn1+mhgok4fFwoPg36DlZI4X6Qv1INPRmPcM7gjVg72wrkz
876a6uagfIzCAI8SfB6t/6pGumvhEZmIjUQjjI/rarevzvdwegKKwX7vwZcJtVOVe7baXVQy8zIr
OatJ9arI4t6JeldKYpzy9cSCjAbaDtBlvhO/9HOU0Ycxs7EScRy38SHPMS+x/83NgH4VQBJEanAl
R2nxy8TGRZCYVA7Tae6ea1YOxS3h/9QYtMWKnRbNSZKbRzwQhABWlrlfFbgGa++bU36XW7RaM/lD
LF3wly9WB2d93Svj4mt95avqQgeEqF7Y8Yhq3dAcA7Pu/aIApMLZMibAPEyufVy+wZ9/pLd+UFC6
N5rtIZsGzPMUdbAE5o9Kd84CFpwS5kcT3rBQ80MsLTfL82NDsSn1t/ylXdnbTSj12qkk6sGI0+Ih
iqrXlXD1GUt6bSaX2RlQvprAMDIkUMklFfZjxo9u1/mR7AvMsoggof8C8xpjts+cDkmpkVtiPxKS
emcE67fxeK+V+Vb3cWCr8VHe1xAiUHZRNi9Uo6sHtQ5dGr8BZjsK+IR3nuPVTUEAJri6THlRCL2E
QQWWuT+Su3k0bXCSQJkVYb9pjn5jxnMnOuOaNNmjoac0kKGeJiD3NjRF4VwKPcbg3gdVbe1RQB3t
NPVyRdzq7bzcqofQXG+51h8buTxGonxdwvUpS9czzlY08Tfg/S9oAM65SQ2X61DqOAURl5DQqCJc
fnAsf5LRfZiWS2JXZ1sz/bVFa2lh37M9UYmjGjavTtFjfPuRYyKKiB8rSIUTAKTnySvU+QQP6NjJ
+QQ8DF0tKnHMD2Ikaa1avugrYi4yPMKi/IDD8qWNlyfMzK+dqO6bs2veVspEvRScGZdK/WClfHOo
6kxUeAWUGYtBghN2H9ZK9Fs0+KKvCO/YaVUXZE31pPaCsNnfeTl9w64Jmnm4dWXlJai4rbi+CC11
6+YImRmr0XCMnPh5YPzZVEaQoQ5XayOAPHtHJ8OztG+9rB61wSCZBZ5g6veGBQ9BPQxp9GQXeJaX
/LHFVtIl4qlNu11IAkBaLWfGdQ+5Wt6jMv5axjKwKPW3t7hKJlVujT5R3jg25H1ojNOs+8rI5ABY
LGLnU57nN1tap45DIfl9KlvjAB2/5BnoEv5YyyioG3oRWkgUA5DSfi+4vRxCfDDrHhKtPUNx95l3
5YQFaNK3jeg+kaYwhPJEB7mbkjNbAFV6M7HMoO+s0EM78qPFagPR+cwMOxgN7TQsOd154G8Q7MY8
/jJ2ybuR6c8ykp6CFJpp0bWWL7ltnuSQXCpb8zs9PzPiuYymPGPuC0JHOYaLt6jdTs7KbrBVkOTe
qFvYQcjLbWZP/pgrwiYm3e3x2W7kjjZbrwNOqpTbOOIuXXX0EXBgYsatgMLIz/Nyq/OZVz0PqjxF
uIdMO7xkm+UXQldkfaksGdQxltieI/4XYayncG48lQpes/MgV9dAISCtdeangYMsZzyQpvTrrPTk
LPOjDmfESb1EpWjFlxEl64lp3BvO0WAagCs1EfcVJaCiUecgfe9zpgoiyM7lBAzVtI70cEjV0dlC
E/MgAKAufcNdE/ucfRUpbrInVicZ2FaGi+jKa5HxFsbTviAGIfrm51j2GOQRPNGm6ABh6OCgcVLe
Oke9Sl1/zXPBOj39GmfJAuugw8lBgrvm/IYX2c8L0gLU7DIkI324EFtA3BydInenonpSVvtVSnln
JHgTk3JYRHaH/jCN+rHIMQtGD9iSAoxVHNzpNhfiOC791sk8G+XkZvi8ZUGt3RmBZc6nsVjvwkmv
nMUf8yg+G8PsqwRwJvF5DI0PaGsvpBf9kL12tIwFM2B4zkoDK/IAXVAex2Q4TYsZpOKLgifRLljE
+ANqnbnHgIArRUuc9ie/JqlAGsVJajXzDnsvFfKMB8m2tonW2RNU5tLzu+mYT7NdfpCI+J4M0U0J
I5fe6uKhLXBpd80z9dbs1r8Hc97D3pE03XTVdBuKiYZlL1mogbDi9prF2Y2cUAultUVfoVGOOEAO
lf5LKX53RrMPVfUK9YMCw8T8g1+LcxCtDkV6c0R8U9gdhDYcpQ36VrU9MJtHoWin7Kkxqm9NHPm2
QhqmCvMZU2uVvHEPnligbtrQHZNK3JOJw09mP6pLyeHxEZkX/UjlIELTlaU4Ek591GZ6SCVbESQ4
aPsQysERQDhowispJZew787k9z7Hy8qZjEN9SwOl1IEN4/naQerkNzON/RChR9Xpiv6rtfLZDXHM
gX7F5xc/P//sk3x++vnw2br561PYjAS45T1xzhsY9z/aPc2/Gj+fz5E5+7AmKFmqdI0nLaYV0MV0
IeRSCApNJgFVl5S0FXioQ4I1lbIYMUA0f37t86OyYED+xzcmmUEfMonIZhEj4pVsWcsAN4Sd4b3B
LgQuZMO7NwFU6SZoBvpJKhkkLiRY3qiIcQIxt38+1Kkk9vSPz+kZbIXV//93OANwnuP5+PklAwNo
gC2Y7/7rWz6/+Pmf/3yev55i7YBhtR3xFJ/X4LP583mZimmBU1GmrMjbZSLO64teOslBVXQRfD6k
FUBZgx1yJ0VB8ykNC+arovjjoxyFH5duaQiztb4M20Xrt0v1+dGwXQpljGofKMUfHbbPl+zzRy1Q
klwmcz9zY2MjtvlMB2XUYLx+XtvPJyBvnSv6x3NtT02Y049Q0p+Po4aXjEgKBHKO324/cTXN4o8f
+/nR59caYePSD1dGYWBpu+0pPp/sr+/9/Bp8X8hBf/0LgPcNN509dxmXv594eUJju9Z9W7cHZUGu
Bx7hYU2Xx7HuvHpp0LLXB0nfKNR6bwJ1kSIanH73nJOKpXGdLQ1kMDkfCM/oGpzBhQubxRumwVXJ
miSJ96VZnO9KfQnJihvxFl/bdAGgneyL8TdKr5uuQT0j6aSiJ65ufYVseVx+9yETwHX11aE7Felw
iJJ+b0o6QFlAdPBekoi11OaJEZi/FvJJEB3PdNbT/YRBaNIJXpgSiqB2qtX4BHfykmOfj3t4PVgQ
MaR2FNWL5ceDcygJy4qGKIDe7abbFpRlj9UJPOIxV3hXbkCfitA6qZ3CdH7MZPNCO+U3vLEprE7j
jJhgaKtnJATBUPO6EUmyBVy0Xr7Fb4zYBsBZxyNwH64HOZQeg/hT267niuJBLdKj1jmBoXyEI/Bb
YArT+HO7DGuIWa3I9rwjUTPQo1sbF3sEVD4bfJ/tTfZAYfyrU0k0SMHwWHiG1oPexC5GDRPtf6Qm
+1zB6UpqnS6I9KI4AfHCsSvCEqDsakqPDBEmFOR9v2J1bNyfQmnAYnAGqNbzQGZgvAK5i6jkFttD
cM59n3pGn7noox4Msv3ssTrUtDJ7uXgRbiq7fQk5XZHEcsCmgP4F3aBi+iTUkxnAbL6+47J7UYv1
aGTJSw/pX9B+XFbOtrF4gkqIxUS6fa5zkbjko7HLOlDzmtrfoxjocAVta94KSEYnKyMtA3vHOAGW
bB96J2fHEGTZwMIAeR335j6lAsoYtKqNArMFY0pk7HI6lFlZHmL+vBEZ/iacZGRztJQvnao8wFAi
4oDMtPhF2HfBGWUsnf0EuDiex31xSX26yLjqtIfchlNMZqRSHhPlbkwkg+rEzxU/E/Pdyn/rvQ5x
jcJ9BgIHjJ+Qe6uvD+AQjrUOAjIf9gk6t5AEJlFjUywacL+Fm4AmbawJ/CEgz+apAmwSQcTZxqdk
bHNuTndz1WChRLC6hA82f5k6ZPsKeikRXz6BRm5TcELMhn1pWu4UPjIlBEG4C7P+VpI/l5SO1/HD
0nB0E0e62KC+rRXDj00RbjewcfFIEK2qrtmeNFxM9ZU3rN9wHkeS2ZeFCEFg94SeVtEXj9IXeghK
nOwzDG0AAYlydh4UuMVhmNNnbgnlnh8Gg7k4ELt2gp+wZUuBVy9mzIkjAJhYfufwtkHHvSaq3yQU
jMGOAnNkSlBr6Ds3DISyA8j8INABKsO8SWXpHve7Rmr7NDL3mZf+XEAhy/aiARPLw9WtScNsi4sd
gwondTSH1MjNszLlWYvqnAAmm0KSnaLJKxfnsFrhjXmcq/fcPjaFzcQfkZ5RZB5tJfJihz4lwswM
9WvPCWkYf+g86dJGbkwHVK/bQAfnCPdol9nFTvad5zBmkSOxPwONqxB3+Zl0cFcCbnJa7Tgv8a5o
2r058W5DJpHhBVOYUHSTeZiWcEdfbj9iHRXrL3X4DjkfTiBTJS7bkPuFEURzshfg1xJT3ed0Qnts
TAlMYpkNxzXp/bamDiHINQp/Ly1mRaHSOQP4V/Ka5lhHW2W9Qs4/VlmPlTlzJRPlWcRnJ1tc3Dl7
g8xam/U4pV+U57+HsL7PDB/tpj8SAUYLryMFh4JbP2k5AhTamHGRB3XpPEbyXYcgtMUaWmF9DMM3
YqwY4MtDzVAvRpGbs2WYWMPDiZmngtkYzUolS8+QCob+ZaMeo3MnkJokzqwv/JDDS5MTBZauQbRU
nl0D4EHtjll8gN0gSKJFYzpgnJponBSn3lRfYtWk760GTWMfDEapA9hL0fXUutcwNZ+EZBrR1M+d
RZDG0HSniWwGQGguew3dq2x1PCh6G7e+ThIc//BunN6tU3rfLJ6hkx0FITFjjSK9uRlzu6uLDg8v
sIUF/qOT7zRncmnSsOZWO5vfnSSKByB+rmXapwXCfsvJUtAQlEOHy6hx8xja0bpRv3CEMvKZJnW3
YPgq5XXgHNpEsKqS9KlhpQefTNtA3Y8aru5Ud53VoQVKkD3ozBzlj0NirVwqssrRjHd0Y7SIDiaw
ToKs44GEkD78HXd+vDzrNazYTm4DKBKvY/3N1Hu3GEkr5kon+ezaGBkKjfC4yBesIAqYv3pIXue+
vMFRe4+q+Kvet0EqS7/M7HfGs7uqYEVUOX1sJ2J4SXTrdFT/An7RQ2Joj1XMLI0t3erN04jYqRa3
FWiRKIdLUjxrRDemyfIcO2B5EvPn2nIKqszXNuIgXuNmWlfzHGvqvVMsfBbEDxukhXC6058ykT8a
Q0phQ8EEMz+LlZ25hB50h0vkJM9kg15h9H5UivJiC/aWcnjpyvQ8JPKIefEQ8kYIzUMhl73sBxpU
0c5kDV0QIKC8fF4PREbephkCY7WS0AY1ugRfmmSHsJldjpz7kIZ51bJdprFng8y32bqhSbcwrjAT
n5ZUDbbLoC1+rNKvmPhnXvxkyyDeSDztk73q/ij9aKBCiGIkD/U5XtgsxvTiGMaF5XC77Q9FbLA8
3OiD7XRGKtG8HJVBXk0GkVGSoc5S/EzrA8LkArB79DpfW007l448lbUIJgJMhtR+TOPw1KqMw2ps
mUMIIOnrHDrBUqV+og2+bdNcjNjtdNttaYdPW3oiyIGhO6fK14mAmhlvQQ57Go/znpE20SrdQ2n8
wA30MOrdQ1T/GOznpbpJ8VZQoZfkfcMiMFAite+WeBHrDTQZ4gR0NwvAHRos6SmUTxVBvcYNYldM
7uKvgvMXZ80HY0z53hd98jrtiLu+SZ9K+aaTR2D7yxs2OzbM9kVLyGvw1V9EAV2rd2gKaw3+6OCo
O+e78c35wppSwDB7yB/rR3PX+ABgXtAEUGTAZQbOMP8/us5juXFl2aJfhAh4M6X3pLxaE4TUUsOj
gCr4r78L7HPviTd4EwQJUR4sZGXuvfZTy1Jpk3CzIVdwWsTtsv9D2jLkQ5Jg+FmQgaSS+13f3DKv
gzHWZfZx8v3oIrQW53DgG89t1j8lvWSqrZesMaJ5pFVcH5wBWp/hgsjHi+8yyUFuxzeCxjzGOPZG
r8VsgRvEqONy18T5nFrGUwBA406W/FBgs09R23rfSuhPThGR7OJ19e86bqm8QsvrgchCObMNMQcS
+x1vhmbdO5V2rPvoTEps23A3BSpraw5Fapl4mzSjtM1kVjKU8IkmzTrMusPs+ykHBur2OMDLIYUA
SD0I9oggeaPVUpK2zBNoLO/QT7G/9rsmWQSsaS/ZOE5rFmjjFMRYlYReFOT04lyK/3fQRndnksiz
T8MRlboLjiNxJm821orz/VxG4vYuBGa4NdypPmkxBhNB7syHCddYAREr88F4FkJmD3ddjRkYz/dT
Gel7Y1OGvI0YVOtuDUq31cWFOJ8Vd0ICUOldXu4HO84S+lJIhYyTW0XihE9vvJB+Pl1MwxgvkxfS
Rantj/sppsLsY4vk0onRuk4aDdz5P3P/b7GfZO+a8eaPSOqpZxuNTm06pyoQhtdow1MK0lEVzNMS
oGGr+2feD1X6mRim9RBmjlq0ox5sjBqkbkh8zOn+yNHkyR3yC5gN43D/yohQ6DIYRKG6evVDzK7z
BO6KaaCIQQVTN57thDJ7tu9pTjac425OIeOfC/I+PNiwWY49JoSNVon0odK1cFn1jNk9q4oWqU8F
1xEED2OXvBcyoxsAtfFUTJ9Z/Gm7o/ar1icynkqg22nVhy+oHY75UKzjoqgedUuGZ6y2cpGb2GyL
ggF5n/ygZiFyOoP3MvFI9PJMR34G3nbBgw6rYsf2QT2xyYpJs5qK370fPpLQThHnG9pK2d1Bk4V1
Sjt69jXGmFtm8c7SFBMeNT8NxnJfdbp9C710ST6uuuT0fhZUhaDSbXt8j62evnVf9yfiB9I3Lf8g
sMo8l5KwOT3K3X3RkokZEVi6jgQMBiyFhtG6323tgD1KQ6SfU08AupR2uc+MJD437sM4Odkp0rWb
DhNnYWpddTS8NL2IsFcrKH3Juul11DPJcEOYb/2xWm+BsTv5HuKRHrfGeytJtYOhi6pYecpNt5FD
2mjEuNeprW/RZ2eBNbmXLU2tYuc1cXz2SxmfpxpqB4EFGxPnEUDYNrtqMnC2SZP0R8etvVWuZPJV
VdeJvR5DfrLd7pdJ7W6CIc2f7LbjXT4EEsBmGZ9pMEREkJnOJnmk5y/WhJMMJ8gjNp5tma1FHX+4
ePf3pKBn8Hz6HjEaTbRM5Hx7PyDVJjDSmzuwkoWd9dL3+fg0T7yVVbTbwa4Y6NKOcm1h/4kNc0sr
icy3pg4XJVk+0EE6ZuTzeybapamPvFqBCaZHDgcFkJUg2jI3nwR94iEJnVeJQe0CND2aoT3Oa2yS
VTWA6VsGdm1sJ4OwxtEqGXPbEl9La3TPURk6V5PMby+I++eGCRB27LJa1unUPVNh3tAYOZdg1Lrn
kj/h0hJeREMAmKWbDOExesxYQGKyMMsz0Ij+czDMOUairV8AYCH8LQduQHnHXdGG6hNEXMGgOPWp
Tb/FfEWqVu9vrkJg5lQE7oZmmSIuyKJnWAIsvEPnftvsFuh8x19ScpsqVElGhJb5TO/6hEaukQNz
KJNzOdSQE5WunqaC38JEoAH3GM+lcNQVG4dzxi2LKaZVVxFlzbUtwoQQRTHtbQIW1sFM+HJd2cdL
KUiGultX23FEgIHCuLVLZie5VtzI4/OZ3I36Ip1NEfeDHhFjQagDuFcfYZglO3on/J/SIBVP0fzu
mSBcpWPuMTDM56wn1M1+XcRnXGgYD8O0eoBYgkiozU/p/Tt7JvxjQcjBRxEgqjB7BxdOzbyi97ke
rTE69/2ASHcacZoGSlxUA07PN0vruXFQfpQBBsP5YOtlCcaELLgiAYkWzhbFMW3Sh34y38TQR7sp
VWS4zLNQvWV4lwA2OJuKiuLu58BIS/IR2ZUHVvP3unfsN9uLQEQlnnF1ItXv/Jz4jHkFMJsQn+Tk
YPboYnGk2YN2obUv6TQNK1PSwrwbr3Ijmth0FBt/9l7dT90PHXF4eaETggCd81Da7W9Vx1TbDGip
NBPyYVgH6ZwcLXT8ckHXMTyOGpvA0AKi1Pl5B8QOUNaKCQtViTlkiFmT+hC7YX6UEwwMLqnmLU8i
VEpF+p229q+udT//+owLU4uW0iZ3xQc6cbYc5+Zabfx0P7CQR0tMjtquQW4IzcEtl2Oe3XTdRnOa
+gwEXEc90qwi8ITQIiJtUBKmRroRc1gF1tKAlr072Ws36djmhKMb7AI7PWGCZ4EL3J6h2d2KaYz8
rWq/HC/3g9FbtIEcfGfV+M8p4H4YqnrqcCo+eICj/HDsCiiqcotzjgT0xPclq9QDjBM6obFDR6ql
3Ychq5b4NrPe9sSqfKASqhGPtraurbnEzPLghCN+HtlsUxQ1jhzys850/xz1UDvuT++PmJ5oKC1N
0MO84n4K9AIZ7BQEs4PAOA32zCJs7H8O0E0EeAyv3Gi2N7agrGb962DU44FMlZX0/BIMIgdDU/7W
0fyH+ykXZ8Tf8/dH/5wziTzNikNupNwnyxyOKruJwnLqMwolhfDd6WpG0zxvCJuCeRkiDJM10WJS
XbOJ+fD9EBC0ymZB0kH676n7K7z5vOD19/OWLNW+FxGi/LDsnirM/1ni9A/3Z6ZFv0OIOeeQpNdH
3/0qCrO+Eri0HS2Bgmk+cPcDlQVW7e+5bH5FyCs6bOUrfFliB1LRO1ZmQX3X596vxKShg3qhvLng
h651QGxSMn8gagnHKLrix5UasMdYr0/dKNHkDXF+jTx5Qpjj7aRJu8uglHxUmaE/9nNB7VdNd5jm
c1YsytnpHgFxjCPaZwjj2CZN9D9dp4adnPXnuDSsm60Mf49cEmRAh8w8GkjpU1P40FjUji0wxb0X
M826n4v9vDpVwXi+V7CZURunTJJu6unjN1ZraKZLwPIaoYfVcE7N9BUngb2pbdKvrbkngux91Q+2
r5a2/doNg3rupyZiLtUQDe9n5CnQGzl6idRujt4R+hva7VeSTg8y0puXYCLJz/5tZo7cuV1uXsnB
Kml8S/tNT/13j3vQwVdE+dlNVW5G8JAbFEnWSxAm/3sKlRoG5MUD2d0UorvcfW6BEawdI7L+Gmb1
pPxJDbrZExHz6FWKZxOGrFr42aix3BA4kd7DIdhIo6b2M+TwMKzYTtM6odh5jeye/ZJuxtsOHR4V
bBHuR66LWa+jzl5uig0tM0Unk4Iht6AeF93CxMW36J0y+N0EKUkaVAjQkq+Z3Q+/0E8DdRMTRWrf
MmVu0+6QV215Dm0C8VSbPmaFK96ERRvSz8sQtBRPMxVuyyhBPhzCJ3SmxnwxpxuR39Pz3bLNk9g2
Xy0vDx/yIkThCM1zV6PfeU3G9JzPnaBQtN4hId/jEekj3BuLHTmja7QP/hMjaK+0xr9fLAhvY2X4
W3Z29SYeSmcNPq+6aLXMd33ihtg7CgbOuj5nbnnVJUedvlZBkDxOQL2XcTvn2ItAA5RTPZHQad4s
zelfKpkt7r9bJvxzY47mvm2pZyVhU29NXWrbqc/qNRG//LrZB1Jbc5ONtF09Xadwd8vMvBrTGQ0W
2MiAeY5nFgLOll9e7o+iaGKEEyBxTJsOvoDZov40JbAx7ne7oAmGI3o6E81gWx/rqjRXdYQkWQ/A
eDXzORlUVbVIOwxHMn0SKqqP/x58LAV/nxo1fE6tKJCwzi+pWmhebDLsTV8YvdhWqWGt9QKPTNmH
YAqAY2782O+P97sCwMn+UCt5EvONQifi2YSfYwD/ioqdEzrOsTZ65j6Czqey8dgCUHeORgVIkOl2
9uyFT3dbfVNKkvx8o7+ExWAcM+0wUontSOcrt62T+W+tNzFzVvGXT+ZdDTmOnqzYEj5gvVQmVDTR
88r7pZMzBl7GGtJqV6dtOdm0TkT3z8GFRHZ0ZLG2mRpoDaEbaPxUFY2oGqKqxvLS0q53GuIc6oLG
2msgGi19rky92DsToZCOl6SXDtIgdDL5MBmpeqh1O7k0/+cUSWt7r+KK6Fxxsac+fEi1LHywvCna
2UMEQHw+dz/wh382J2ovrbTzdTJvnrL54MV1t9cz1CZaOVo3EjbAdwX6OS+t/pyM6AClf+kZxJ7Z
HAx/T0NT7ahA0Bqm9HdGV4RyHcGE32JD5l4vJoyvbeLgqezLfjfpTbfGUFI/Mbl7JEwX4a1Pa4fg
k+EsAzrYfWXH50F5P3lc529Mocj7E0lx06zZfuGFCc3B5GdCp7KzPdhtsDFwVZE1+VkFz3qGAWkI
sqvqA/j+WssOltssAjWrfDBnpaPR22dVlbu/9IbKU0i+NSK6MF0FR6R7gklXBhSdYBJ7Gc9aWSI2
rBc2h/IY2rz7WmoZT5nut2JSCQmg/Jqa4GhgIqWbPcFd083k3YMw7Jf19Mx63CMi0/+oMkvf+Tys
xVrkkB0NnH81xNYjX8Hd6W7hcEci5mEbqvInRi9YL3rW16PrWg9dgzDi/ozip9hOuft5h8EUaFdu
Fq6aLXzqBNYo9Ib7udrDN1fK5NGIfulkJj/Gcds9pS0UbX3GUd+fEsvoIxOKH9gNBJBJ3qo6GrcM
sDsE/VY0k5cf7MZrH93Yr6+pYxFn7PnNEb+FYkoCR8eGvrW6/yHvhxGY/gwbHxeZogF93wKG8EAw
oWk+UxCy/OjOzqVyYNFqMofBe3OGcB8NcbUb7x+ggwQdJhZ4C7Jwut0fpXWl34Y44VwdvROF4e48
dlcHUWMvEnFun32Z/CAnf1aQ1T7qjERhMp95y4UQ9RCuaitflN3F8/UAnD2WcG4CCfPzWpNrUT26
RBQDbEzZnerqdH82OAZatzaCgtf1xho6EfwQqytvhHt0uGfwf9dTK3f+2MklWipu5E4YncyskSfH
J3O3N72bY8f+bZDellxAsuTmU/cDHBK04hUUnTAsnZOspxe6y1iQ4jE7xZBMD1HX+7shrXsitYmM
jXW9p0mecafOivSVQIC5NRGuIkraqxRKPdgFg4KyMEj6jseQlGwVX4RdkN6jV85DHkB9V3WovVg2
HVUjIHGjpDWUjq7305vdMh1g6RhjFT86Kdrwqsj+RN2sXRH9R99BYzVnmLGbUxmGpOXe2Ob12BTM
XcT295C2VQm2uLMph3vwtpgD/z6a5nPx/NFocOzz//s60tKVNhk77CbWmyGnRzpu5cMoGbZFFVZ/
QlESNvjVhPN8SlZRZUyA0dt/HsX/O3f/6L+vE65yDsLFuXl/yTR/gb+Pxi59tLsRO2D8R3kdN2/d
1LsZV0mAuxTZY2+FLBVJ3Wza0v5Mats53oEwTA2cE+PDp96oGIejWYLUT6Et8Prs7ktOZSEobUPf
QtHlVk94wiYh5TlwaIGC1rFIgOGpNz9tZnABcgdK1iwZVl2IbyJmB/OutfyWqUQk13PHfI+cJ9n6
zr6ejXoaRUS2GjrRH7Uh0ttVaNRzdtdMYrofBrrZktaeSLT8UE7Jn3svEYswmD+F1pG+ZOaOsw3I
ydeABDZ/W3qk7tmEtzRnCaHoAwINYHt+XNLs1LSO/cI6a0XbAoLpPaRsfnsB4Injt+3156pu9YUu
/PBTIs0Nw/iJkY14aQx8tQRchE/SkNSdgmFp62fOURH2szFYF5/iAbq17TTdqzm6r/lVK5zol9aU
4jCBslrdn/Y1v3UnG+MCGbt8Mh2HqFysquShZLtmTKdNZ3Tjtspk/cswwzX39PGlH93yJAO68lER
VL+IhyM7wW0nBkKBsar1GJNr7rinwRumzWQY2cJuOvc00SztFraORwE43sZqoPw486EGGAZAPcMi
UCnvnFdau2lzs4o3dl6pa0TyxrFwxL5uXRY2Vmrk6JUuqPpxbPxtaErPXUQmTWWLdICDPTel7RDP
Syk17utzx9oZI3arQcYMPM7HbW8wUfins2dDfRospnwkqrDizu2+frLCdadGlNVLs1HmSvQNKFU8
6Ed+jcBf3h9KYcdbU2lmjfPdTPAx0EFmR6ROaHZeyr7Vt/dT98O/nWXTitsN+uBoUVFv14vEyvRj
CvXzSI6Ofuy+rSBtjzSPOgI+5zP3F9wPKIvHhTlljAmnwj5ZDNgYMFoJ2YaqARKWFzMou5it0sX8
MPB963R/3kfsKwrU3JPfOrtAB25J1c+7tM/NM6ucTx5S6xCRRDY1pg8bQI8nnzL1GsbQ3peQ8ssb
z/42sZy4vj8jDEE9jH7RQGpP7JU2djReILT97cSDByg2MvWzjZq3RW1MF/7+Uan78K3mj/59ajJj
CPKo2wYzpwm/1dLzmupazF/9fkppFbGlaXW9P7vTN+ZXpeaAslZOD8LO0ktsMBXro5aQ3LDOV4xe
bXYMQfteDCuYJuo2ZOZXHpkkDLh6x9ha0xmNN+QfxH65Gs1Rf7XrDkcaOFDeQfNHaXwvPAwFGEL7
Q1pqyXs4uezJNP8ZbJ+46rR0Fn/Pu3wSij4a19H67x9JUwKq6Pz8/gP7I7xIx6SPUOvY+dNI++8L
789JUlmD+tMoXXX3dD84UfjPo3/PSSte6RCXNhOiN2QFNvoeaVM4Gtib1EfdFhsjGknuHkz6MYq3
y0iLQTC/0j0ovqlL8zMotzqxjYtSTxY4gV8JJ9n6iVGttTaA2D7tB0n5HRF93DY9Eg3FZtlwZ24d
kCj6vxul/aa+ZPrZwH4J5VHY6aZQ0xZRklpP0rgR7p0sbIkNKhgUaQR+fWkri4gHYiOcuDxZbeTg
d6zf4NghPQt3c0MdiQ1bPDROgWZdufXjOKV6ZxE28uoTa5U66abJUKk2X9oUeJtWkSpaCxolyHeD
MGR4HT/4NssNXCcmVFhodES4IihQbmafuVs9MkjemOEEhJm+AsTPuf+B8h3N7RD0p8LEF1n45aMT
IHWJEufsoCnk38V8JhEN+620I+iAPkxMl77wX3TwXbzb/Ke4GE5xStci7AP46+iDE5aahSRRKRRy
nzTGy7yWkEwYrIpGvLkDLCdIrw8Ol59j2VBjv1QZ3Yao/Zr/pallUUUKzOE6qiImgNHivZmDGXsS
f5bj5F3SHshp1JongmsYsmKAzbDsBWn4OnXGc14GV2Zs2EYyUprwvn2ZdffOekY6mzY84I0W28Iy
gLazKbLNHyt2vzXxLqJxXBR1i0exfpQheSUYr2jvffei/a61/FRJNpbBhCPCJ4iT77RxI9opWrZX
hF8hoie9m87TQlJqL0zHtFYWI24beWM20zA0nGxKuoc+T5ez5TlkHp5LAhuzHsGzVJvCzR/FRCx3
6RLUzRjBpXdV1xi/miF5rqX5lgRDBDh/PHQeMupmvri9wr2Zc9pSlBcbCyRh2rcbqN5XPx2u0Oiv
uYBbnPakMNGrHXEXINbBa0EsS7j0x+ZTdcFPZTtEfCK3JaiTpUH3lrHF+BTzQhtZX76GFzIqN7U1
ariTMyLkjcpfmKEcKQKbXT2IKy2jTydGVYm6ktucES2iIf+OTHBHdRPd6I+RHIouNU6798rx38xA
o8Pm5EdGycQ9+eneqJqDxsq6TguSzzK2bMOsR6vCYFG1LenG9AJEhYbar7ZRTcKCF3GjnHTjKPRr
Dfl9bY/5NhgKOCJDgL0lKbbEIzWLzhEP1BunJKTPJ5sGs0I2qYWSzhlPZMTImVTNdEUp2szalc6k
pVndGiN/DpzEWI8KugQttqUjbNKDph6SkYu70wUg3Bv810oTXZUL9c/hWhc1cr4h+qmcDRmQzYq7
R0WHrGBlYyYC0+vAe7li8WDToupH3U/qTZUJ6vsAt27QgXzHtI0yBtt7noI+INEI+saJH43lZ54A
kiq0qJoIib6MD3jVH1Lp/c4TlaySKTgbA1+5pKVWTt8BGjYUFjiSCajYKhrqmxY3/sKVa8DD/WLE
yWhiYR6M3ehgNhtqnXAbpO51cQ1J514KT71psfzxGbjOmIcePSPhHeVyMrQfzdXeyZVH+ocmypWH
kWZZKw/t4B6FU+7BpeQr0RDnhPDIJT3I/uVkrIa5OX5FfmhhTNSdBR4DotlituaebaFG1DV+uYkb
bhBtE3pXVL80Jqes21qphhDDbVhUR/VU580bxdMPxsNHLw6/qXy3vtC542OMt8m4ZhNENKH7hT/q
MWvSFw03l+z+0L5kj6U5BlITjCVpvLIEUhtTQ7EURVh/s5SZsiXmcYf6aGULQLvin6LXEKkTg18w
nnApZl92oT7HAEIIpmqn1RAqGdUHZlyuhS5HLWIbe6CeWyG/HY+UhbJIHkI73jSsvp6LojOL/XFj
EpRk2Q0xJl7+2Xpgan0Qz/WYb8YMqWFXPhMd8h1VDdNrV71ZmUU4bWD9AIZwSI/ZtcOIWzKQu2ia
jHNXDE8xbHSimfdRb+2CTBGoGLrWOvVSGEGgBXRPcsfGegrvTlvmIQnoSRgfgwwZIPwKy4XXWDo/
2jC+oWSnX2rwCh+4Xa1ifzF14bUoW0LMKVYjxukdeg6tn9bwp5fkWcDSF/6v1oKqwrDvSsl5sDwH
lSHEBsIqkmcj5GuKwAA2modLHTSBn5rfhoEoK8bsbs7t8jodXkKBaqmPmI+XKS4OWNIaOK8mMK2l
bxloJzpJrTt5vx13QFQjmxctiNe+bMhusMm/9Nvn1l2qjEniYFUvdTlGWKPSreE1IL79QF9YYJZ9
N3DW5E5AhumImAh2Xmt++wq97hy9iEV5WI7wmhbcv181v7lKw/8TFaG9aMsCspNjdRBbLAOTaHfr
8v5PT6Pct1k247x4p9R45eppN6YlH0b0fsakk3FWtT+E5THYMnrcdlm19AlSJDkEJR/TpgOC+nNP
YG2J9jKXKE0NcdDcDs4b0HhM4T9mrqlVLwpu/9ompt7IS8xXoQUIinrg2kfrZABSVNclmzL1YTOV
X2St8Qp5sFgK3hiLoWm/dEXMmwrHk4SYH7UYhj2/kkj3oIJu2gCgIloteTFKEtGLkqZ/7j56Wtxe
yjYs1yMd2AVYN7zIWGYhQA3o4X1EwA7oLuoe1DrIPkCIRDB1p7y8mC5G9TQbJtp27XOHIGKPWKsn
AUuFQXmuVIETXNImiAlEWjpT8MblCWPU2pmmSTRARWspTfS3jDiJFXJMxrCk6CSWDkh/jCfk1WAi
GpOo4NKPSWQNB5Tzyn+mW7PqHTO+eHn9O54JeqUWoH1T0yW98/TmA8OcaYsgo4HXLtUFmpJPzXvR
h/J3rwb5HDkX0FR6CuRm1zQ0LdJC+w3oqohES/NtgigkuJkntcUeVw/YRjVxys4h2xhT9V0GaXUz
G4OYoVQgrYEooIhpZSCfMEPmj9clSGLBb7lx+xkMhGfYZH/WPmlRfX8xa65Qyx1ZcKvgiOgIDAaL
apZTB5LFcVChdSug2pMTmhPNJsE3FRtVOfnWdeIUrgxy/jZsHiXqFgxY5Ftj/Q0Xg8i/SDxcmQ74
pNLtd47t6VvChL5UXP/4IwYQk13xogqMmZGE+zOLTRrvcVMj3su5nIFqqdgbCYQIELr3n2znMH6H
EOIa5bzYfuOuK5P8upb+eh9pz3Xq53TDa2qA9jtH4kBm1VnmMdA1R/0aFHkHiMajyiqXtg9RzEuT
a7dPAsKvuoFoYOitEmPC8JYmPjeAwBxXVpfcGmX9gaaWe92vLJi7gmraBFliohOU3OV75Mpd4tJv
Z4GwIeF4gbkr2dmEY+FulE+hnuubokqeolrb+hEkCjEMEgKat0x0vIMdAZ6HETE4qiJAjEK3CTdi
CjJFaJO41gHW8RujbCcEaGKGOEHzjwp/PWmNgEaHiLbSQ3+thvhDm+NIU3LxwmnhaX13KdLpMlaV
WmsaAgSKjco23U1V8bWBOH/6fF43Dfoh98RtqHAtl/XDJMxvnQqtmbxPpzK+SYW4VniRsERvKkIY
9g5p5YirT0jm5o5xhCijtGM43QcGObuY9sVKpAXinqjs1kXc+SS3+q9eP5EINuQ3q6E0ndzqOx5p
cJuBhE1CnyPe+H57CIgWXBlF+OkQC7fotT9jMoVrXTVXwN1iNi5QkYapWNad173Y2FD7dHwraZsA
UoZx3NafVRx3q7A72zGZt0OzsNB+bA0NYbIz0AzPItQ6Ohe3ZTI5MGn0z1FZhAkRw6654dVWkoEC
b62FNg85XUE97wC4i8VDUDXDUc+Kk0HOxRp41Bu8hM0YuTCX5jgO6RALp1z0nOXw2gflOHM+JtoI
BmJIlxgX107fYof0Rtu21nYuScUd6wH3BEZfg+8tFBWvY+3dvoLzWYE7J5WyHFS4bNkuLuvcf03W
ZUM/AmdEhM7j6MR8y6plJNHaxIIPHgDlzqBH6kl8Ho4ihdG0uc/BNcKj6054NBPgFZnCUdHtHYFC
WTgssiyR+AEgQTWWyRgIn3hH4l4Nnnt28SCn9UgWGuoyOQndkktldZsqdY8YXItDIfiNtUSlh1kN
GYmJPhHL9dqPXpgmgpbNcJX6otrNkSdxZKsjsjS2eya7Xy8jAbxOCYQZoRnrLZHPlW2B+dGvpGKd
J48QjtIjM4o+3Ua2GLrpZSJH7NgJd5T9nl5XexM/26JxaNahTTj1SNXpcp/dXiCTV6xiRZCsRta1
B+7VKHRhj4QWtWqkaB4y9+0XXY0p2KNnvfdHrmSnQTsexDDbUIZ6S3nrdIiE7HYFc0k2e1x67QMr
DvIUdfClieDWpLoqmh0cCzDNbfgBAHAwnS+DDtFSbwZ5myb4vEQGgi0S5i82KMDcc/y8og43qIS0
RduSs2Y15afSp2E9ZhT+bUHn0LL3Zu4EGNFgSamACVSe1rfBqb6Ja+1FFSz0eMD9UjDZ0dB85a5r
rEHBcllodM2HZiA5kVD7PgLEoM31Wdk3+UqHy2j47qfNArbpIvuYkYhoODLb6pp7sSpydi2EvL3J
Z0FUcvmJOhZW4EKZp+8S9LzU2e4ibT19CS1kaxQYB3ojeo8Y5Kyawqc3qxdvIKKfvc4m64/NEBwa
WrzO1qXbuAgykMJEiOAc0423PB/wRjgI8Eh/Ys8wV0XQqwhJQEtsRXQkEcZrSNG5pb8yW3yqE79c
w2fBYTChXlYWyuroTzp65xCia0wMLhsUm8YRdR3k2QpzmoF+G9JeMqkz+dx//CHFIEwm8JKewztK
9CuqLLmmTCUf12PN5B2JoSGLMSZFMevwLtS5YERn/8Dd2I+SEUI1NswqeAt3HcyWDiaS4G2/bqRF
cr0e9Ut9YOhG45mxjQmgzMkfHNwUanAQEHr+d25yo4y8q6psUG7+XkQBXqsKheHgYZearoThPXpl
fsKrVgJgRnPkEZUb+K+s9rbLZCpVLeNIi6vSsINziDQjzC4taSt+r7sMTJMTI8R9NpKp3CsbSZj5
2w+934kHxTLWjolnw4X0a2T05SXocNfQmOHNhGAdGwfc/Tn3LQy/PDRpAOngTBM3W83fLsLVvWiS
/FemQ3bUFUtoy/ie2sH49D3iPv3wj2N0AddTv09d9qVdA86RbfxnnjRPvRy3CkUcQ1WKdPYaW1u5
r6ogTdcnq3ejgwcMcCz7VqvtTNsV9CDwCPreR+UV2VIGhDp7A0T7AktyYCcIX4b3IqbL5BVia3oN
/OyyMs9+TqKorvKQMvpPpBW70bCKx/shZZ6wjVAcLu9PFTstvDo+Ql6yHvcUl9vCByUUZ5jqwIJE
m6jojMPEz3ioR9AzqUNk/MhKinl+5uwM8AXy+BAX2bXWi2bfdPFVxEWwg2L3XM3i0kz7jdadrRL3
CHrkTCTCdJdP1bRsmiFgE2gRcVgExUrHmg4ijmAeS3+rvEq7lCM33ESPTvqIeU/TMaYHUL+60cnW
ysCTFQWM+I1InvApk4ijje2+c7xfbnUCSfNul1O48qtiMdBV2jNJec6T4vdAQ6prhie47tUOjrGk
0u9J4SuTp4AuLDmDE9wnAu8b0FflQDFCg/lXYRdPuVUfHWXiiQe3TeoWXROvuGpec/H76b3z/K2b
pxcy0gmlk3gnLR8zYVYik6H+ZZ2q35Nc3ABxrez81UDjeJ6wvluaFS9GFJbceQIkWfKQK2CyCbOL
fAAN5nmQXPzOUytyBoOsw2vUetZSQmeciP/eyrY4ID+4+BoJ84UercM5TlZhVgnLGTRFr870YOXk
by5D9DTE+BGbw7UW4qMys09NOkcNedRGTQMQf34SBLNRFW2ZlYUQfG1rpfceMhFCKC2vK5eN8N9q
E3OjaYH5FYhCYS/SiyueCqT6R2/wwGhwecM98OqjJ6dmM/9SrVc4G5OGWWgUD4WZhgzs0y9J2AQi
9VxCJu2T96EEdWMY1LLgF228+hZWt4SdDPEUDHf6k69jp00bm9WSgAikdLlCmeQQs0Zi00dE/h5L
wCEtihlUJ+JVpMFEbE3WJBOTSFM1NlbCGN+hDlS8q2g4Bnb30WFDziqFcsxwP9sw+mRz/JSo9pyJ
9qL+w9WZLTeqbFv0i4igSbpXtZYl2ZJ7+4Vw2VX0TSY9X38H+Jxd+54XQiDZliUgM9eac8yeOERL
4TQsQExPRvfqRdkHqV6EpRbUEHoVHkxCCruwPiQkVE1E8Gxkb96FDKbcSjtz7cIkI7uj88InCzyk
XmhPuc1oos3ux956SNJ7AgQI2wtYIqd+e7JKwMrRPQ7WYx3b2zgoaPdbv1DcQ7agdrbtaMGlKaUh
w/zkrAcD6ne3tcwOyJ2GNdD1uzHeh24b7qiWV5vYw9FZN+a3jKMdbMVb2hBURrMvVU4sBKRlbCGS
/R4TChK6YkUQ8kW3ubJXIieIysvEEbn4o5/YG3wp1ExEd+2l+oWG8hY5qb7qitK/Man7FUF9NnSc
5LOX1UOmj2Kb27Ds/RdaAzsSMr/m4PJVrOSJ84eafHjSFH3VujHeo4lsRTx6K6Ldz6q9I5754E0x
Dj5CD1fK6BELY0DV+xg4LyNz19i/9Gp8k95w01sZsnX1mo+3GaBPqskjmuzwHHBncSLn0bbNl0YH
5NrWL6ETfFbfZNY+DuS0Mp06iQD8I9cIV68F/9XtTlMUX0ayi3eAf56kl0OsrrEOyPEN6ioUMXyd
UBSo6YYN6hzj1PJhSbGVv4MovIJ2u7Ql94NiXh4KmhYeQ86gGJ0CCA50wDZRhVJxts2Etngqyfk7
aY03be35BEkwSg7SeEtYcG/c1rgCfXFXY0wAYyE1PgjrBeL4h3hXytnFQ4Q6lunbyiy7d1uCVEtx
hBLdFzD++JRvZ14ci1Ts7EXYPsW98Tqkry25YjK42iYZepdEiX0dksIY+cMzeOQDydchyejUzRCX
iGpk1cn9AAFswqJQa15snVEsisdfEZqynU3/dEsg2mka4ZKONpYA6m4IA5kdKfFZWYr8FbdaT7hT
ub6HY5vaLxXuSBScZ9ac3Yqo0LtAq/8gatolY/rpmKAC/PbDu9SRf9NYw71OwV962pymzdp79DS4
OSW4lbH97Mb4m2qmDdew+p78nHMG3xpOk5vQGj8I5i32E5+xyZp4mL7pEbusIyhEFpa86ax5/V3T
vk1zKItFkJ2i+Dsl22mjaZCeRaBo5gjQRA7FzIICLzGLRASMgbaq9Bys545SPKdNU6zszGICmrnx
Nih9PjqrL3dj0YNnkl9GxUw14j4Tjf5N1k+/Iq3DuWTHuzpkFZgXd5KKOcrJr6Hybo0C0SuVAdjW
oClLvl1KSBAkR1bLGMviZ2oLd7W7h5Ob+j3CfQ+qWj2aVJqoC/getRMdiRy+vfbNTmAKAk1UdcpI
CNeREsRewPrYdhlcwHY8BF1rMWJg1fZreoet9qrn0Tfx0sbat/w3txTM52sAjyXm3rCL/Tn/dA1d
qaLSeGM17b3RYXSnXkYwpwqzvbGV0sS8qbAby69wlpqSwEdSrETdXXJHjgoTY0dyK7zhLTMBA1Ab
EDNjhuRsyMcVQrtDElGUxIOXYx8YY2Z6zJ9lFVlbSIzczpnKNaZ/yxeLReFcz3Fhqt3bJD6OgXVb
2CTNap7GWbDcW5IjQ8KwLtEsk9etEZbsP4B2fmu7JAAoQSOkt6++rnebMOge9LYsdm3uPxMn+Ixs
FD9J0SMlio6Wad/HBh0BHb0cU5dmldriRKzN2XCDDS5RnO0TU/cAZc0+jx+kpj9ZVhWht/ffw45J
CnSH85Tk55gK4sqN7Wudmo9eu6rruljnc3QpkS347ogtKCNfgIWcPkjaIs5RcbI2X1S13zE6XPuI
SqOR43UbNefLL7+RnL0VFOBYCnMs0HainuYZK7ATvSQ8SGFk9CP7tmj4uPz8WZVoR5LMv7ewSWt5
dWCd86b7eb0qmSKtO1uxLM/6G8um8O/ryZ7aAYJSu9l4tgnsM6WZglTTYEa4jpEobRLTeACI669N
CPN9UxycBIyGTzBVUeifEK3gPLuzUpxblJNRMA2M6RoTObRmqgtBxgNZaKvfdCLgcqTWnzaOcGGB
eongOTWKnnCljf7WwYLA/AoowOgij0QzlqCCCrb52DxyQUEgiaxfIqrfTdaCR+LI74oJsY2n7fCd
ceNCR6dJbsICMyuNJ+wG2qNL/Ak6j51VH8u4eSsTOszhEKyb1H61ZXtWQ8gghFNtFQ352e7FXWsg
Ug4qCRjFZZUWyPpZH4jNHT7ofO27mnYcJfMMB6E/xn8yEVPYigigVEl+R0PqFA79Uw/FhInBTFdK
4N/p5qeiiKE1+H5jF0oiXve1LPCOi+RIJyteKabCXlPQe6iCZynIhoaO9WwouqtKaID0u+pDt8pb
imsPo0q4jch3UOhwx7vwMpNoJzx4tPrGTTLA28CB55u3QV7/1nKX2BX7HPQJ/7O3JnQZVmlO/yOI
qL4WFWtOiScmAnLoWMMqKdNDO9iftNA85Z9jQ2ZrJ5US8EUn124U/jK94pnFDWOvhg046vYI5npi
aP37BDzT3uv7Xy4VdCdMLuEwx6a2F3op03qaW1o2ZkNKBv3WHPrnwIYn65TzdCurj2pLUeu3C6WQ
VTZRXU7GDZH+DDeeiWYl4EqT5FHGltcwSojZssW1p+SC4f3TJP/V91sCz7vhbiJleqWbw5cTGtPK
d1gsEzr6wrTsJWUa4/isCHzsv4i/nR4HJXLnwC3O5NXuJAIy1BSIMiJ3ovJS/KIkfpdZz9hmQpKQ
AXqwxvvTCXUy83zftCX4WbNxN5FE2pmiUJiS9t7Wyn2ZxCcnwcdajHzdTXqm/vRdMQatKOvjjXgt
ps47tDnERV3PkZKERAZSflaUotalrt1UCYXP2uPGEdEC94F69FCzqHk5xy5DktC3HwzJRC43amUy
nE490p9aqCfq7faNbddI+NL2FHwHU+9dc8qZTvPE2trBbvhAJtEMXYQBkzMGFo990ucYA7E3d0Q9
rwqDGja4PXKS3T6GxWSBawFN4IckrhYpHP+ufhUauqIMQz+l2Sw+cVm1GOU2gpPGq7uzm8sdQ5C5
Y0G2mUtIoqZtVIbdcYrQcnrWQJVb9x/qSD8kdpvdKL99Nk3JVWUyH2AN+hs9/pM3IUBw2hD2SMIo
0YQoaDKPc6KhANO9gqxmOuBwmUaQ3/GVEc2BXgTU00GNzZ7lJuKqYauYYDKRjV6Jx3JWusPkV6D5
bOAGroo47VhdOYBQo+S986MCCUERzh34D6/FXUMV3vKbi8OXPmXVKytfAnum7rZPvN/hqPerhhCM
HPLOKivLx9E/GfXoEHCCkNnzs5sOL0E88jEOrhd/JJ02rLhLtetUMq1s+mJHma0MyNUYbkQsQLq0
1CrCu651T9yruHGmHaEh2tEYs5ekSimMVK/MzNpDpvdveo96DEe5mx5VRdHPDloKe7h1A0CGKmvh
a4NZi+N450KSXBl9OqfQMOeIPUpwU8H6Z9VI7WD7/t6cenubhTOWta2ubZCfVKGT2EUVC54MK2Kk
Dl2T8o+QR0qztp6oxrm/S48Mpapwkm3UttfGq/llLLPQ9mSG1W6qCZ2wTXF/T07aI6hgaDKxhkwC
2VGulw8TssV1J/InvYsPxPZSBwWnIqffQoI4TbLnJk+/2th8bzwuNi/TnqOasuzUDB8itD98E3Br
0jvQDkaUY3XZryw7u/kSSgO0ralNVpmQyUnfy0fqnVTfWV4zo2dJ5htTvdNZnrKOf6dKdJPq/Qtl
opVbcd2E2VM8qY/xU1c9RTZtkzh7vXQNeu71gWm+SyAX1UMQV8i8PQyKEjEbvAlazFs3xLAHImTX
gwApxysaolcjNL/KsX2aJqqVhZ29KD95auoa16y3Ys2QD8ltzzA96u7dJLN3PUOEZBsZkL0BFHlV
PWMUoAkg9l6Ti71N2spEp611Yndvj/1RxNbWwAKzB3p50iztK3SKgewEcszoQnKf6PFNzpVP7KQo
qHvWy5tWAXr3AOr3AejYoIGEZDD5h8yLYCTLN7Q+L01cbZV0PgvLPZi+/COz8s6r3WFV57Sb/IPB
onpdyQT+XOpA0aLNWhHdI8PhgC/zwuQa3jcJObpe3TOdgQfVUJdBtUzxjlG5J9RM1GDy/Nyiyzud
4hzQaSLvhpFrCYMZVdYY1kL45iMrJracmrsPpp+ZM2FWoKn3HSMa7WywZQ1e+8ASX5WWfqeO+B5B
2sUN7h6HUnPz2g94HtzEvDYaNZo5KKBGx70icYO+vDFt8gFBt9OMm6xzrHVT56/MTOBYITOkqNkC
G8+Iai3mN0yKkzvgO5/8ZwgczFmiCQ5QbuPm4COoS1xarndSIoJZso+FIddyIKwgxKpI3C2J9Gln
oGtJPi2vJq8mJoLeVf3GLNqt6sjbFhNWBw3MNeAYzIp0ZZjqb4xmvJhtAbHL6j+mtHyKyRX5hTkv
uiGIjaoNYa3ccskoBWQ7FdwHXXBDQucrIXDzjG0oXPeZfyqz4dXSrbtWd97LTN+4gfknLeldjmPr
rutw3aKH2RhO538GYKLneZMB4agujr6MnjFpYapnfMiiL91Me1b1b0jDv02L4gJinM88G1+Hnjlk
HTFseEZIfEEFLA84WJ6x6lYCUSDiBpC7L700Hhyh6azLI2iNrLqCkBRuQjN0blbSWMOn4TKg5LUu
A9takw/6oo+w5wStebPBQ4CaOKAr1ChuI00qnzuFkcVgnJN0Pjr9s1DjIZz8eutY0/3Q0DbUI/Js
kXKUENeKXU2U2MZJkObHSLnhdr1MUVbtdDm0G9132x3e7q+sY0TSBH1PjZVWDGB0MgCXRt0T8qmN
3vALg0S/Cv4BmD9WfPB8SscmsxlxE8hRx1oxvVUDXKvQpG7OFOQbrBO3B9Ydg2EhJuo2LZKR9dSh
UNDDT5lR7Nel92syWMwCubt2kllua5+7Af5W2UwdpSf6QDhBxMdEKTkoYjgtDuX2ODWZTzSvTm4q
xkka4UREYTYSqQaGON/ZdT1saoeFUVoDzqOoZ+uJIOOHZfw4Eqpr9jNAhdr0WoEbXldm+9VqbnCn
xEdZU0V3TDdjWjL95m7SnOld7eoBmDrl3Vj70/Ik33OLzzSkCd2FhrUSkcvCstoZ5NQT2omta+4e
+LWhn8aYmWjmXaPCH28sUbAaHvtqazcZ6HKj32NLUzupOSnHvfymYXzeekH60ZkhYSB5QI0VMKeA
4fRQpnsQ20NsTqsgALToxZe8qb8bqZcYtsFOj+744g8Q0wdBjS0RQORCLL6tGc16naq5oUULKAKc
s84kLEV9vUb9NKnoNbfQe1udHhEWop9YvA9YEROqkRl3/zFNaD76J01LjJXf+e+NC8Qs64Y/jTdS
jOWk0vAl6BW1Suija7gtQMEb62aQQrImEPHOQOjPuW3MAy0+hwR8XqHSkhJBe2K1ZURlifhplk2E
+Eqqpj05UKJMGvXbijyenerlbVKL9wywB4V4dRYiOxCR+qwltGpMa0fg51zgBCtnm4azjozkvmoA
aJsUQ0LUc/sJWsYK3xY3pHA3zE0YdKZ0mFSDL9V9FQ4zbJ1UPttzzBtq4vp11GmhIrQ82GkTXE28
L4jZIZM5BYB2X9qbwkBHOIyU17DskYnGPTPhgymnKjrhuab7DaxiFaUMlZxCkxHwz+iFvcp7OmEu
VQez8kE1ZcNTYejfpakHe8MjPgMY2sh4yWfXlkwiJzK8QB+RoKsltLNrtyO4hBVArTF7O5qckmmc
FFtRj/JWCciny2bZdSpVzbl4Dx51ZHjTFk1ve47Y+XmIc0uhUi+R8XQYCLDZoUpV3ch2Cj38moHN
4r1uSuSJ9QmBnLZLQhM363xo2SAdZ8km7KPTIvsXc1zO3000B+MkSzoO+cs32F7X7YwOxQENGHR5
NCNC/+6WM+jKgtPMCDjktxVXaPrzUJ9po+O8CfKA7jfGS1apoFGXjRb/99Gy683gVGJEGyB2B61k
vKly4IFMnnm4bAiDIN9DlBcxs2vTOZsnYXBbUbQk03fupS6bJijUz6Pc8ztjuxzEZFcj5J1flBmm
5A2NH/l80anI6WGRD//ZCBGzqO5PVh5pGH3MLz8DcOjyDllmGGuXohgTBB9oZKDpijfhdHxV2UDa
FJ0RkZdUW2tEj0FPE0s5IKnMfiI4YP5kln94ecRUhw+hSe51zQZrgCV0CjOgcLcptu1bFK07B2hz
Pn+7nXhWNaKxKESJNzpr1yorGP6pBRYgFLRpCEeEjn/sNT51PSb54u83s3xby6aev7egIdIB8RER
Ph/LeRCPwt+2hvhIanT4xVH7LUJqEQMfkmM8jkhZN3kp6c+xFreMbwqiv8mu0/CaY3Rt+C2T1ta3
4KfwdcmZ+pz8z+ciaJ+RqnuzfFY/T9PfZtCyfSaBshnoxc+QXqXb8OOWh31qArqVeV8Tneh8/Rzr
0On8PN0uD0PplLfLps9n9rN0EBYsNOHYbbyUi2w+YefT1DYnl4i39NWsWXj+nEz/e14tJ1eQ5sEO
gt2JMTKQb8sp2XQGyNsS4osxJAmCq+gQInDYLx+ptxB4lw97+OfS+Lk+/tkt6hypKiIMh681BxVw
uzwqw4mynaLPiDCCkqis1e3PRvf/82j5xOgm0O5VdPAj2Uy3GROn23FI0THNm9TWGiSCTEkKdDGs
uIESdlLG12be0FZo1x6EnJ1wA9aNoyCKUBaMk+Caoqs/Jny5pkxoZFPWjSWlETFMLlZK37nQQ7JP
fTzeNrllrVs/alAzgXtRy4b6fkQ7+u7v6w10anBNkvqw/PjyhBl5xEMUlAmWn1qeqMa4uUkmEqeN
2LCOtuVfAj30L9I1adNSGM4LDpGEhqrGBfpquXl3v7wiCpR/EVb7gQx8jlD670/mLazwsOJuPZrZ
pqLsfLU1L7w6ste3lISan2O9MYRXzSuIeZGlidab3WVDHO5wtODPLD+1/DzWo/p+ZJBo/3nVz0vx
GBVV3t5FeXzx9NI5JrIVF5ItMSZgi2adnIhLNB8b8UFvc5rem0lkEWwcZuLcCNX78pK/r3PiIwRI
7X75Rf3E4pgTYNqi+UC/O1ziyjZ//sjyAlw4gpTEiQUcPknugvw53a68vZaFhKcimEQXEKGJ18uA
WnvsbDOdvKpVZqf2RWjtrZwC6zTOP8v93b5oZACsc8y4++XYsmH4tZniUAj4e8wYk+w0zwfHWAaH
QQ5/qEXG18pNx0tVbQfqXlcP4qaD/O4OnK15cZzxMUn14tg0kXVZDrUjXUGXlKiNhtRjObQ8maBc
Pzgmi4Hl2LLxrbHmy/73EU2y5gtZUgmTeJy/Ly36GrpTNdDDn1+yPJHYZFE1jnj9+9eX4zCNVqly
CTH55135TL4oSdOXX14xzm8+bxq1ax0NPFDlygvU5cKzg/tq3igPXq0gea6bMAB5YW9fjNK1Lzp3
5HXpjBLpIcfAP9kXGOfDTCqlEzYfWzY+pIjjnA0OOuLv6ZVodnbnCJ+G27GnMLVKZetutQlIqexI
h0Qu/zw4SXIcUM/TFUY80Lr0hwdmorC9+0sjH0U0PaqG+frkDhtMf591k2oXOW8KNUS7yAyiuXQe
XJYn9JK8ZdNFtmOjo8XRMGTpeRi6w/KSn2MqOErW/JefvUQzruRcHHtTmHvi0qObSiNoA7vxdIcs
YDWVxM/Mna647E+hsj8ZsV7qmoitgGVWMsQo72va6emdjRZjNWhGvPHrnph3tZ1i4ynpTH9VSnqx
g+E9V2ZwUwNMrQPeMHeNla2cleOiJKn9c48/acTp1gzhd+XDaowrN97UpbOSZOzUeeDv4qz5Dvr2
kBgYxmQcqFVrpmrll9nXkBIyiqu3MIffjsx0QOCHsLCoejkd6epB9Sl8w7qxwpjoD8TbXNFnbtX2
7cRkveLXnPNh+hVq5JFy7R9HNBwSky4Pl43TeDrzu97V1stDMe8vz9hZCVoI8nOT3k/1wG1jeYGf
JcF/XrvsV0ZmADXlp9Q/j4JiGm+n/Jt8EuLGlif/57U/zyw/4SU14fG5fpCaBnX976t//mgLhRo1
zfy7+W9esqoJdsvP/euXL8/+vLEJcIPbJMQVz2+Jwqa1UqMpNqMX/PdtL6/+16/9+cHEaqqNqmK8
T/NP/n2/xt///edP/v2P/ShRWHb9r7+H/vWP/e8nZeujdyNIC0OrzXfw92cG6GBrzHeANMfhUdp2
sgflbldiuJZV1T1o8eDfhGPgrkgjmBm7AskqPLfkYCVG9yD0vrp2VGPmneVI4qphX3kRefIxRkp6
1Qc369Al1NxBzmPXjseq7C/WuG8J63gZHE3dIaYnEDgZ3AeRdRQhZp/s0Z7USBcoHW2aoTFVU4tl
+Kh8pEe8fqOJqXtYHoUF+l26z8kRfbuiyu63O93S6geHFR7lLcAzLDQMll2F0z36qEjneG+VGdiw
KqKMDa/31xNS0v3yU8tGy4tNWouDJyGkOsTfnUxBd8Z37Vs77dKTzbW8koZHEoxtU98u0INFgkCh
zh+mgwQ6seyRnjDRQEBrUtQY1ULgA/cxjO5dMRaYnOdHWhkmh55+UUBvz/NpL7UPGWFdj+A9DSKf
Zlyh3mLKw4LB0Dl+VEH/HuX8817BAl/XkYtWdh0ckYQQBWgq9yUv3D3uVdLq4oFwp94603IN19B1
3HfPok9MHzi/E6mjXbXCf+vpLLzLyrvLzewl8ILxQyTIgGhvPPosC46ZbVZUGiv/Dv0DRqVSe6Gk
617lNMp7fhifSkYRh/UAZTZ7ejPDHBtQIK1XlzvQqIn4wdcKErGLdobaGqAdvNlvrdGMPZcZUXcE
yEjKJ00KvLI92ss5kMW07jkNKSZieb+3mZXeVJT1gPpEu+VdQsRZT6ZJNE473WiDRh2fkhdq2RpL
R6EHTxWogrlJ159DgklvnVEP1yI3vlO7GC/UfIefjUypzBGZvu+H+o+jNGWhVx/cG1enBFMQmh1M
Ywu4HPeFq417qQ/08V03Ad9bN/gTEAJp6O19oqXu/m60eVf19SUvs3U7Y8wagCW4UWJaC/OuanTB
GeUPFyCYFBWq5ywPxR/cTs8wKeo3mqDw24uq2QUxiQils4fS4NbraPAwkRNGezKx76+akTYtwT3Y
7g1WYsfAsYJj07XBz6NU/EqKXjtF6VhZG4mMjYgjo3qwZxQdMu9nFWj+VdJj4RJC0qe1DmRPORjY
HBLmlkHg2VBrENR2iZffmnnQnylA1Hjpgh2ageaAUqh65QODe02QoikYN6tUwFxD/t1rmbzWVvXl
jWn0ClVx2CCLTu7bAKGdXdEGs6rhK0bjQCQBgJXIMXeiryTFc4CrfUQl0azpDwgDM0xcUwcZ09a/
7y3WWenEtE2fd5djYE9u/UoSlTHzSGLGDVE3770P4D5jgrdLmVFxT4lAS6aKoCRMaD3BQ5d/bTJ1
H3qVdxQ+tcl8EBBt59uIjLnCikm/ZE5SnTsZPhAhQDCkTpvrOFpAxS3SYO8JRnZvaRLHuw6q04sW
l9c0RowM7TEANdS+GcJwXltRFZtKmta9amzCB8IUtoMJiLYK2pNKBlbBtIB2xDoTG21F9qMXleEZ
xw6em/FQ+NG7FWSzpScbaeZIMSzHWt06Gw2MiR1zTu8aaoiNbQzIA96Gk29RtxK2Z96GHrHg2Yy4
iYLf9F28u0YwRQGRFDETct0G/hjFeqE19mNgK7X1kOLvWNu5pyqKv9B6l7eY8ECzaBEXNGjET28I
kGNS+rhaCsUti/rwQ+8BOpSBRaHSyY9RxaioO/onCb44v7SouXbisZo8TluRpYhN3Lpndce3hmUE
06/hHBIrbeabIvPapns20mBk4u99jaRrEGlqtIhruHqdkkR5hqz0sFzRY2eqG8xn3WqYuZpmDq8g
h0db0qvfjPE8gdM7dfVm3kCZd5RJuwA90ryL88O+Y1Vw72eBe461sHrmNs0Y0zGJdUP9AAia91nY
j/XkikcrkH8IKipEapzqmWtg27CyjaorznLedefdSI+HNQYLYolKJ74Dk4SpK07zL7vYp82ofo0z
GjVCbycNx39H/X23kGshVa81ILGPGh8+JSqdW1pblH/Qr8ziP4T4q9hOqCFgWTsFfhvvoq42Hv0p
tYgLDtt1UA+Ej820wGqwYgr1fslpym6M5vCok8UGxpzLWzPWhq7Wnm3PxEjdjfeBPnxbnoPxUtX0
eYUzp8AyakPkyIiU70V6dt4Z0qTa6ryFteGq8g7IxLBzYwTH8OuHvnuMG5Aule4DA2cvqml/aiH+
557TKFbp48/9PQHGfoCxFgLydJp3aVdnV6RQ6FP6v0XR8V9z5q+5HtHaLnfgfNn6PdETPZXRn7sh
pg3U2pl1nUb6Hxahatsaq+M1tNyTxKL6Qk4Z1qocR+6yi7NHW6GuhIqVcOUut0EpgHRmvnlI4tK7
I1E3v4nGKMdb0Z3wounv4DJ8/opw7qfMphdg1XaKmnKynwo8D/Ss53Lv7H5wzP880sJxWGP+A8E6
I6Q8mEk3yqE9kYwVTfrlIGlVr7Ee7VPS9Xq7bneGHjHrHQZjHYVYrKPCLba11eZPBTJh6MDOd++R
C2SElbFFUdFcKvRKKFHM52VPlz495J02GPpzn6v85NhUJMsZ49Jo+Hh6E/dzjxTwfnLGNZqv8a1R
KDURSVeHWOjRY6K7BLCOyS4Z9L3oamTgy4iqsWTtSuoTyzFRV4AF+1FduzTyd2okE0QDU9jL/Mvo
nKdS9NmtIJpiV+gYaaRyIFg6jnVZNpBjiBKh2IRqimPRgJHBI6t5mZTpwnJvTCNS6zFpccob5OJF
XUZkBsbs7TC/5d4pkRhmTKTwNxoXK8R0zznjfDsjKMou/GrS56wFTFAaXvSrtYhANaa4fDCnwb6F
+II3cBkxA/oOJLr56gq91N8t/9mya+gwRBvXB1GKqFRnDfloRdarLXD3FLCX9xqQ2qtreBSc0Cuv
Yy6VJ7KAm6Z3HmNld0/80W+zUcGp14hajtPY6x76NCYTJfTqc+XjQisqzX3yTaIemriQ94TZoul1
24ei8Pt7k1X5syHqh84eh/vlC26C/qE0JnWUmbyArI0vbZgy1enc7CuIqIyKwng3nQh/mx8Xx1Dn
FUoDQEvYOMinlkaCxt2MbLyuPYZWZvxqXNbukeZ1SDqc4i2o4MgPXpneaKou3mpGfVcwM0j9XL+6
mfEgrCB/YxDx97nMdpaDKixG4kigXb0tBbfZuKiOk13uei0geLHsvjoHXVDTwbkqip6UNBmKOx37
IzUZfIixrB9GvfjwfQp8iBmgQQZlegfD+IXSh/EEuDJ6Ar2kzTsO3qt7iEbwgbMjasPmsZNFe4/G
J0GHcOmVyn7L7BpgOvpt8muYbpveMxTTjSP62bIUV69hrBMukvt0nObdmlkA+IiGnpfEBms3ElSY
9NOT407EHmb4PH9uO7HwHXo3sPIrg3zuKmEtsuwum4WfT/4l5ktPOaA+wUI3anDPWuV7txOzxBCx
OiyL+RjZoIwuDLTnTpl4ldJUg5qkyI/Eg77xRki4K017hMvi3uN/Zc9qx+dMuNnRpbRwaXF+3BrG
9ItSJl6aSsGnnoe6ZbyjGZhDEqxwoDDwVSqpj5YMn3W9aE95Pyt056HJ/P+7f5/VojNznD/dkAwP
9eSpgzHR4anQ1FFNh663nIbuoNPoTwzCfePYPTnaRJJZbN6ZFW2rchnS66hiqHTGcmsJamC5GpOX
ICEdGuZH0rhIQvU6og6HBKKzk/LOmiqT+WtrMiel7r1KS7BOP+g6vURyrzy9o3LAfcqg0faWdmO3
QWmrH6x5twvtG7K7p4civSdeyL0vbFYhrA/Ht7xPLwx9Fb3ZwX4UpvU6IEbDwRf+RqEvEYSCJatj
VSJJhnqiFmpZk8KhqOkVdqNbvcd6Ct/E6l5t2/Ru84imeT4Ucju4Tcfkt9TOlM/3QB7U1UkIvK+L
XUiC210sXQhUzlQzp2BhiB4V3boA/GmUoXF2dTrqWhEmTxG3KQJ5vB2IUX091IR50Q5hv04qfe1A
+bpqOefd8sGWbYRIltSJtYNFdhOWaji7GtElVJh+IRxAT+x+aEnw+58Hmjb8krYUp+U3jYb+WuhD
eVzuXzXqK2y/mX5OUxHiuMczRbBGA5ug6j/QKXMXfkjBOm5QYgPw8hT39UQ9qSp9YqFOhO98qHcp
lUnbwmsyPznUVQuPBhvp8mzieZ8kKWS7KkSmms4ExFxHbNEbvnuaYJI8k+a1XY7b800ekrX/sxuG
9qtO2YDKc0uGJILT5VXeJMptCSiTsmYjdyq2iXXuxFsIZPU7n1j2G/MATHKXKmzkGpi7b2Int7/K
Nv1KciN9p2NN7bBX0SZLRnEYEoV+JPRxobfdXWbyUdAZ2gly53G1AVD3h9b/1ZFXmgj3MfUi76vr
/W2uuQVSONDIgZm0v30NCEbS2G8kOVQEhiFopazBhLgP942jJVgZ2/40w5+gRdG4ztAmgA6SxH3A
uwGZBmiRjbsBIhuyjgyqp/7VjC0Kb65X3/taixZeCY+KY1mfywrcRmRIjwRa19zNRLkMFGWUGsaT
7/TvZMgb55FEkKcR4sGaNXtwo7vVbuLchuaL28oZOD3TenBe9FRjGS6SxyDFYJRPKXp7W7C8tS3i
l5aXkEN+R4szRNNYm7eZHKJH3MZMQZ3xuuyBHcG/4lHN7MiqWQ4J6UePYvgTzi/yUn261JOJIPq/
y1P+BdCthgH8d16tTsifd5WNojhLK3KpLIdJVhk4nxRQ6UrMjD/d9ZytphwcjvPuKNEDebBQ07xI
3yO3fGrJgQhXIXAaJnh//DJ8wx9ymgJ/OOVpmT4PS4UlM2vFfKt18PAD9f25sLLOOw+SQDnuwsFb
3f6K4tZ4ZSrIwpuv2E9l/Ktptfv/o+tMluNGliz6RTALBOYtcx6ZTE6SNjBRUmGeZ3x9n0Dqvepe
9AYGJFkqMokMeLjfe26f5e27Lw2xr8rubehtHHVVjmZxTsVznoVi1Y7GOmlT6xVCgMVfhB8nEKPG
LiaTq5n8uxveKYj/3HbgWLZu0OIIA7Pw065+xRWbAIBg+rbkkYdDPYk+zHBYaa1+mancUQkSa4Pw
37i4BrMJgnTJL0KWAGstVEgFMkxmIs+iPsgRLQcwtEQQ7fsMUTicUIconXK8+AWZV21Xett01Jxr
qbn0cqR8L2sbG4DJWq85SvOU1d0N9xOCQydg/Iuzn3kASqekkjvq3vGmUavfRq9P9mNOao8oDXPj
By7FhtX1PN61Pc43RfKb+1bsx7n/Vdo2G+lgliCjl/8TeXIb0w9ItYhaP9wb3G7govDKj35IcLSR
F9/gnxS9gVC6abcZSwG3qFVc9XYwmBi3r0Indh0KmLV1i9g+0hkyEcc1zUsvFOPCUjbQ+RVfa7OB
QqbBoLGa++MA8B1TrQQHNJhVvS3itRkRO9G3UXtfDmNaEiCZtPMuzNOvIMnqe5CkUJeM8g+YqMeJ
eiVIIJbOMvKR0xfTlk1isRc4ST+LYV+4HvsvFz5HUDKc0GvORu6pomqfm9opnvska6Fw+eJr4PfY
k5VKqFocnBfwLAEa0MVsOUM46KIr6JALeX2hStqjIaXxVoH0rvXnCHmZ3fva9dE9bUuRruG4oIXo
oZGxbw2HLWq5HZFQCmxtNPQVxwKPxhAcHn8KvM/TJgpgj7QJpYub6Wfu2/QwUI1APaT6DbobvYLp
pcny4q5+M5wXwSDsX+qkcCfnV5AM9NMgFY5d/2bbQvUfW3NnlI73ERrTQTT5736OjZuut9mu8SAB
pU3mrh60TC3g+ePk5XPVoGRYoJ1G6UENy6xT+Atx5XhFCYjSX/nFH7dPLtJLFWkaqQLltQv1ZJUC
fT1BAfZOUYDLcEmjKX1wjl3qhSfI8eg4cvQ3ydADBNELsjTHOiFk05+mm/iTVlQEjKvIp62Evl9u
g2kCpoDAKNwgsqHvQWdkOehwb9By4+wycnjCzHe2gTEmd0PV7n5Q4xNuebZJSxIgNa0DBc2UWe3u
IqhK25TQkwuoPqTZaLu9tAr5//LWjIhSmIK8hInl/2mHfzBmhb9zDRlW2SDDemSIxOh2axzB2bpL
4mJP6tHLqPPVf384I6N5T8DrYxmAHCjEaojoOSVN35xATLKvt6Loy9VPhoYyr07ggLYiuuPB1e/M
yNeeNWRX1x3fuqzv30Ij6t8SoofgL7/6nlEfi4LdECEUKRWoIZu3WvDk020MKlHYoZFUHyPG5ToT
MeBNZqOE4eaxL0aiACuMBl2TsVQI5L2B24nr4xczOiPc4W50UHt5465C5rJLPQR/cYJpo0htd2eq
0p1uSEUCeGZeWgJ8kNsVdnIRw752oKKC/LP2MrW0z27ENMXW5TBVin7cpYBg/s8Xk8L7aczCvS4Y
2Zry41KhGF4Al+lAFxVF0tnp23pVgPUCiZSi5ZxESh5BIG/LXzoGwdqKJGToVsvpFBbVcNRjNqdj
NPxZPjm5wYwpjvNDE7jepTJjFwKNmyDI6r61WaHtidzCa+5rtw40wPeURQlXbejd8GDJnakZt7IL
57WhtvmVIOrT8xkDS0XQrmi6LlB5iljIK8vSBcmURAPHOzYaHWNvtPBC5d1cHWiP502nmAx0LPpB
4UR4JUhewszhjsVYvtYcczqNQYDzMMF1TkN+/unSqXrqZlTrmptiPG6ldjLbct64nqxuQC35E+K3
iLDkACQuCp310E3+/HuSbEJfMmlMym+xnwSb0pwxjnvi95hH0yZGJnCgf1+xxGXdnhZRc19277EK
VZplA4Goo48G0RK5FpD1pxSDxpcMoq1nDOY/3GNHz06LnQ0kb2N52XTBdxU8NXrq/qTYJvIG39Ep
dEtzT0VRMI32GDHyxNNNdJle2+0e6w8oQIINMqv7cEj2jEUy//BtIhHMMaGr6o8+Q3uBH9+0DJqA
HnERucTgZHivbY15YlCNBPqvHWrK6VCq5ggJGeu6AgOR1DPgScl97ETZy7LYV1HwUjS6dSW0S1mC
6+xXPP4RQjQ/S3Tka7jQq370J4iFVFKDzv1bEg8DIqlZL58tgGTtfUhJSdWdqEN4gw5PgY7Zbsh1
OsQzeYcawZEEoZtWRDdhEiHDdfhYjqVvl5XCUWvZMM8Y3JHfPsJi5nH8R7Auvphi/FWlsL+BAg4r
P5x2YP6pd7Qi/ey8jz5z5z28DMif0h+PhcTW1uaTvAA8wH2oDe+ZPeufiI30tekG1RXCZgfNqrp0
aJbwjYDPw7Fe1cCvAn81DvaMva14s0HE/1PrX/TrrC0802IzgsC90FRfWyp1aSyn7GL0aEwHUouW
QzM53onOL5m+1gpEQfTcWNmvx7scVvKy1AONgX51aAFE0AH6TV2urYpuVCzyXj9Pdkp6XkDgCFz0
YyR5Bqkas2fufmmQxQsBQKYsNXHryVM4Jr15sqee7nVRRsMrHHwLpWpWXzLspU9E6Ew3R4ACzAjc
LpzU+e2GBuKscoSMnvkQLILy1SflEHcUSMkJLRWKLpi8et2vcF8HRO5AupHYanZjjsl1HlKCDXMc
wi6G+W5qxbENRxi9oJqw2o2smFW7W1bVOIAUJq354kWNDh7HQfwdGHB23Nl7nQlcQZM+vGq2F+2W
u6g2u/GYOANySCbA18dztWClvIwJQwjAUt511srfHnU5xfIALjJvaN9n1tEhQOs1KeTrkv1jFXgd
Uy95qb30JTYY1oRO490e/2Ad0R0JonqrE026jmy6ZzQ3jI1l1zRl25gBTvkjjoKTG+jdIXfM4ELn
ykClS7GCSewpsePmuXPt8antfExC5AE5z643zzRLP8quIpFgLmxnDcKDOZoqptyB9YsKhlRAOwNK
4oelThfXwRZcVZ9hXxBgE0XTGtSJ+M5e9VdsMkstUkhRWP3urt94bNogEadddBx1a0DshdeuqKIO
7xpnsdH/PQv/ezYjNhlFYb7//987gKLHO4ZLq2ZBGucCWoAKN2CKpGENpt+8hBrQSoaJ6L42ubEb
u0we8PIXW2mK5Hs0d+QDBP1X3knE9b2pXSrXIH+kAcFGX8bw9eRHmyaHeGRnim78JTfS4JvtoOcN
8QdeyMPztzQKLz7G9QPiOWanWTdfrRb6eNLE7ZsZFkoIAs5q0og6pYGwzZVWaqn7lwPgRcYldEeh
sfzyq4K/bErSjxXDfjA1kMPoVtjcNvhdJlOQ6qV0OKFIhw091XqTkB1EGDSHai6Hg10ZbrULY6sC
7gynPVN7zKyDD9XWM677rIQHG9FgmSRNIubA8ilkLwkkFdeQDrL2mGY5ji6sKB/9hPoZ60qwWy5h
QCFk4u8esXslRMuHGO0wNhbGFH0lAeWvq/1+xBZggqr3TiEH2v54CCeMSidrcP1T6auhPxr1hW8m
XKO4LGfLwadJSrg5mWFhZUYbaQDFM2ZTHCWW2OVXXA5T9sHYrPgW6/PJUc8tA0FzDsf4ywQjNQWA
HLa5HMy16A2eoH56EASX4a0P5KlXh+X1JvubIpeHhr0lonim4crgljtoZPPBbbUEtC3lu19238aG
4GcLjoaVmOkN95YFzrjDvZYEOBAk3IiQKVrhe+hzCrvY5zSLz2OFjjzRsBqA2SJ3QT1olsViDL2P
x09q1MQ8kRPoQmxAnNvV8WmyMp6XI13wOpUQujjgrtNPTVmKTQpGH+huYr1oWPCYr2sfYUA4KPBu
COTqEi+lv2acbW1GX44YuCIDW9yMMm3/mPoAyT9E6MoBrDSwgJxlZkVwVURccgYwqYX1WdAd+FfB
YfJI4Af9sQgRJPhsDCVAs8KxzF5GM0FGMVF2kp0dJ072prlWuA6nFIV6S8Jb5JnNOm/cF21Ix1//
9ySgdJq10D+bZFow8MV4uTSnpMR9oBTdV8dmEhCI7NTXtlLw67DMLIGzRFvm6l3YRDsjqKdvNd6C
02ORrGT6uK0cYaD/igX3R+6H4+Ouy+dhXLU19qwxS09jVWbvOW8UO17TIbrAfSHCQ/UvmFY7VRXv
gxLLRBiabD6ICn2K8GBuc3csn5cepVZE+lUvGNolzcFE07FZhCUUeRujdrUPny30IQbsvgKdV0Cq
0mmz0w/0D+CV2EdVub2OHedTn6nplymOQTF+ixob1ps3jBtLXSahOIqmsI7pbDQb91fuQBM2VPnk
eJq8x8ThVblxmDVenkK9fmVcuB/j0vj0mnw6hnQWUU/9IrTEP8lGBfSRdcQpfkNwzBFdDZIk6SCl
BZkSHWq/RelRKbMEH29i6V2QRLlwg62dR+3FL+lTN/STAlUngT7sDlrFKJFNCJASqdCqMsT1D1Lr
yPSvuIoI/wYT3oF2biSJwdWmLT1GGvS5u9EGRrSYTmmVPfLPjIhlUGOeU8658SzxJFFvqXVEzZ0f
+/KwzBzcG3H+FnTJuG07wRaoMjIidvJgjbqev1HbMNafhBHuR9s7W1VDPUIoZKmSUizurQuLxilv
4gJCsxH5+I/h1xjguyBS9NOW0Fv5vlzWoSM3KRgDv65KfwXY45wzl9+jLKx2edOIC93Bv2fc5H/P
8stoQKP0tIS5rkB1glXiu2lp+BbVIfcqCFOpkmhFVX4m1qR8TqvkTYhEodnaCfd76A+bQT0xseWC
jROk4z7eoYpvWjk6+gigK9ra9MLwnA+ByW6kiGp+zji5mKrIWx73aUjvvSyx93YAUhJT715xABdK
uRXzsbhburujx5aod+fxFuWheTb74dSX6bcpnrTn1NWaj8Q6LOMe1GPdVZ5mv/mtd5GPbQAhERP8
Ql/hVV2TZAnhQysEjIks+ulmyavdb51SD7+sms0/4vHsNIyJ8YIjeYd+nGkURbswzGsJtpftRzQb
NLeS5E2TTNesrMX/1jl9sXN0wzyQp+3jzYzsVat2ClWXu/vGz/BcLhUf4/4LFIpq11qS4qKPtfeu
bFfYLenuzjUDJ8/mnea5aI+heUQZgVxspLMCm2yocKMm4kuRrcJgEzhSfMVd/n1RcbTGYLwSreBa
2uWxGSy8gYa8n2tnD1ush1O2gXTk9aFx9zy73VOLx3v2dTmNHwZAvUawpd+Naz1fLVNrkh2z23KW
Q8hz9U0729TbCc+VsmaLTfvPugZR+Y6j3vqQwgRflJnoszy64iANOpbxbU/W1Hvg6n/QqR4Cg2dB
Wt8gitLDM3LurmVX27lRewzSuNm0VB0HjDEVdsNkt0hFdLquK/rYO+qL9K4TObCK7HT6Hs/JvXUC
esHxRE2RdBtG794BFUOyGyVG3NhjxukNaj9Ak2e7fE6Wj81y6bo01ycz31pjrj3j2wyfuyFEigK1
CEop7Ui1tavVyNst/HT3mI/XE2bBwHz280rul9b74IzmFhNTslku3bByji0QDuLNeTZ002/ym4jI
Vro5L45RdAeR+Rz7snkRwvtepgh1s1r7yRPgNNQMNdXJNLvTjZCFZDUL01czcMJN1KZ/OSRrkLj7
GB32V1C773Y+6R9jbcsN+X32KTHK4dLms8R6ChndKBlVabrjrTWpRRffGvIzMKd7JnCHJ3Sh3zSS
AWlq5GQH++VhbELVXUcFUaP5IWyiRuM10MhMEodks7hvXqTsEWpImpXgu+jA8q/sQARnx7Y1X5aH
cFKg1GmMVmeDih0zL4oeiD4f6EZrTmiz02eTERv0bctbS5UbHhHnckWJCb9+rsINn8z8YIY1Ei/B
x1bAt37WG/LIxCjazymnoynFueo192CZhUMKopKdov+gKSQ6UqXM8OQaVXhdnpNzhjQKs8pnM0Jl
XT5QVgXhscHe8BE4BilDWF3DGZhmsnw81Qe1Vu2UxwJI+z+6W7LTd2wnx9XyN3BH6a1zJembgQJu
iAbMERnZ8h0Ru3WmIH/WW9KaR3c0LoNFiYxtQXww0vS4wzwTcba6nNn7BjrCK36tiCDntluTKTfT
OXToUqtdu2TZ39VGh9Nb9dla0/ichBkeUqXx0+s6O7pG16wTyZJZOdr8TBpr+hwL7r/lw7N8Aag2
TNAJgqRkeHJpNWgRs+nR8uFm6IfYeW81HhhZBl/ErflhncCk2680GATEnfQOomHodhj3HWR0hrJY
lIgVOwyWl46ymOFYdvDIJX1y9boibpuBAbK/6WZ1MGhmJyXZQoKxQ2rAV5VKxp85TDkj8qL7HniJ
gAw+aLfWsZSGA/HqqH3oWnFf3oO8sK3XDsB87MfVYbJ96OB4XA++ML1z4KCsbWO9uXcl7ZGInuq3
JrY+CU9QOq3OARNu00w2p8q9IOux6woUiVpU6xFzAWVqesMcaOz7aDL2Qq/D6xgWmyHuxJMVUiIZ
xO/tVD8QmlIZfBqG16x5bEcHEffmmgyZeFOTY33VAnxjnjscHhUrPEtMYmnye+qMFjs4jltDH8Ln
fw9eyUR70rrf/76EyWpbRX11dlPQqUupVgyMMUUKBTWgnFnnbtTvosXLq86C5WzKmaTEMV42bo+h
qEFKdA3kvKF7KelIY5g2+zeddrqnS+feuE1yiHq3Xms2Pt7BRT5NADi5WtCF1RUZZAR49JjtuvoC
OG/+2ViYsh1Qc8c8qcmez7VPi3jci4+1aGUNTslvOso1cgosCzgtT0NHQYR3XX8zB8+FLFATY6a5
TyW739VIkOPTo35xaPxD0/rnobOaBj3aJPp/YmAHObqH3mj2hpou5RT+e+DWBTx7LnWLyWFF24eN
VDmxa+Iw/fdsNmdW/k7s49ZDYeTo36gAyeYhKgRsqxHHuxgJ9LcptbFZiPCrobuCQs9dG63Xfeq2
/tHCx/uDGGs1phM5pnqOXttlNmbgj77Qoyk/XZqPM82vd9uhsW5ZXoU9Qts9RDxtIF+COthn3K2X
tGXtUeq6Sh38ybDJRel3y9KVWFKspU9QThzWyDdqDCOup9oDAZ5nhntov9A5Mnsxr726igi4vKUS
5AP5W4xy1OXyhSD2nsj7HTZhQuzY8mO4jKq3y6WuusiK6EGXNH7OagXJULshyFXpJWvlj+XKYn1l
A41+Kad9vdWCuX/+90yLVV+dbNx12cQQAkvHxzM1fyvoB96DPvyc2jZe8bmrkOJxRu+Zx7g6i9Rr
2jD+/WrU86vlQ/n43uX15TuW780jKNXJ6PxpaF3sLXdONrqXmp9GbNJDTKHMDoV9W5QN8WAh/pw+
BgMsvU7093YpnCryareCaUSauLPKiAKUqxqcvjc9dxqBj44TFYflW9umq2iadwmfKQILfdmHp2gq
k5MjwV+kGruhiQ3Ae98W2jrDK3wF4sFzL4MrE4rmy4qa5nM0WICVXn/qVVB4aSYHwkIjUoHnV68F
eJn1YXoL66k/u1VOnI9wso+60I8aumNLtNW9NOPmgxGVk3raexoZwatLO2R5NehB8bpT927rsv5I
h2Q+I3npnyaywN9n8xrQgtgWs1Jn271z111WUOLk3C+YD+9NHKXvwGu0HVQnbbdcjm38vnxD6ylJ
leU4ZPLwny//0FANMyJ7BWPr3a/RxW8WuHWw9dwQuaCu+2dtLJGlkLfyM/K82zhH7VseFs1xbJFR
lsBLf6ItAOAShN88LIh7R8NtSaZf9WGFdKNiNEvt8N2Abn8gtpSxsLrUkvaNKJX2nrdjd+3IlIR4
yeuh30zQGqrsPNFffdczmmRId2m8BpdKTX+7WWqHI65bKuKSqZdErXHo8qjb1wDJzqad7dJC8t6g
xFsvy+PYUQ/WGomJJvIi9nbtfUotIEO6SH73RIRI0f7hvVUkgL59s6ORtKGwaFdjLEBVtfQ30s7z
t94R4SdjlS6o21eAhOKcZ5Rqj2stwPPgwxEvu/Fdq0pa+VT/NxFODjsNrT7nia8d+GWtPUkA9mWa
KcaqMTgttUVa1PEtoPGyXOEgw/3V9s6J/FJ0IxTpg8SrYBdTfW+cWt9z57u7YWYFK9k37ijHnF3j
9u5BmmZ+HQuYV+mg6R+5Mf7qIHL8ExPpwub9z4Sm5QkGSZgO4ftg9ojsKx4+kr/zqXZGojLylETm
gmfRbHbij/d9FOa86ZNKO1MFUMt2on7pWI7POelZ69ow6p+Zrh8GIkA+Igxoe/qoMKKhXCBJDdjc
c1vopAUrgVDkWshyZMlDtE3D7wznScbieBZRzKjMIkeswQCCmDF+w8eoQqnM8DdcVnjrUUMaifEe
WDQ8rQpLCXjT8clsmfBFzDVa9GIdnJgTk/0G9giXtALGtY/I7UBSV4t2g2Dbzofvhqln3Nuq1tIt
elyVjWxnKTuW16rpw/UgOoSFlW514cb3YRTzwcR7SvQwQ+TltbqqfpRRis4vxw/fM0gJN9A3dIZe
XMMZVZI2pdnv8vLb4irqZBse3EHba6GO96nOlBxMqsQcipgOkFuxasv0VFX2dCWISGM65VVHsD0Y
7rrso+wFJPS4MrYOJPnvBtCgoinH5yL2lGiZ4iypXHO3KILhwG3A1vjvtq2yFxymuwHg+qLJXzIn
0V7sSnZnpCX3WkFxlkNn1njHU/86gp364Aa65AyHv3KXLWsUpCU2W9M5hZYGiiT3srOWTUS+DIX3
JBFGqSxScTfCuMBlCTuvSvQ7Q2T9niSojhD14sHzqh/J61KhUj+TWX1J73MZzFuZJcZnbkBi9BNX
kJDVtrt2DJl9YNWcdoRDhjoynNI9k1GMAijLiU6OI6UY3JOOWJ25lZiHtLXWHBFrv1ODIFecyuma
tNR8weg6exMvxS1OJOjDgEfrUMj0SFZ9cQ1K41vYR/5TbyTOx/IfoD90PtiJ+U+M4NwnoxzN51BR
hII4+2XQw1o5vdE+u0lLj7UJt/Uc2GcgzWLD3Cxb2Z733jnxeCHauX9rtdcaWuV7TOV3LKK8P6eB
+WKUbn3ix8EBAyOpX9eoKtbZEt3NZHRFNTq8VPJnZvjwrsZAOy71jwmso7VQJkeSB1JC/tnaSUMT
/oa7k4OBNtQRzU4P/HtUU51Ll6TEuEAwNPcqi9sYQFCicFzrY1R970pACn4vs+dUPUmDRL+UGTKL
lypKlf4k7QfcXGgrraH8mUS2cbYa8j4IYgz3/WBD3Syc94Rael80pJItZxE9ENwMTrXrcbXtQlwv
PxC0FN2w8mYzhL4p/n6p01gtagR+VInL+gYwL4H0ZXS3vgjCoyZ1CS5sSt4gwoXJ0crvmZyn51RL
c1QVI9jmWfxw0BNfTCSS+9mz7gRnZnsX/fATMhr9vbCrP0GVdH8syYTKaoyvOWd8STB7+ZLAZ9w7
VCMNkVo7PtPliyhQXAvSt3/LeV0Uhv171JC1yWByEdiiR08gbBXwmDcCfOnP+g+QqPInkYLBVs7D
cJCdQi/3fn6MDLiYTpnlPzsTirIaCBSxuUWN+YMh83TPzJ6oNXA0hMF407cQlWTRDNqbtBBT2tP8
gb62OceNjvBetRDKmtqZR1V38SClkeZlsRd00Fw62Aa30QDOeEXkzLurD3v6bOIqpOdeyglkAwak
6KtKUa8W4qWVnfGaV120we5n7js1mpJ9ezVZvO6mixI8y+wXHpvhCutjcVx276lGrxIzWWJS8PYG
fqLEGhJsITQylTsrQ4KBCwAWVk7YNHDc+UMLhoCMwVp85AHKQq34yXuOVtieSScxUIH3Oh7r0rPi
u26prpZ8seeUZdWo/WM60iioIgrJ3KXFmsoVfXHFLbTTb+zjglPilx+eSK0zwgDqYTUnzBuClmPE
FKSIBO8VXbZL7ZNkDfRhbQrnvHQEPIhnNBvraznW7b2cWdbsWQ5rqnVq+tFj9aX7AD7CmmjmlLPY
55mP1HXUPfUo9R/vV81HXUMMePcCu3zRS+O10DzxEg/J3ZYNqy+hEduoi3AypM4fMWbBrXZz6+77
/gUf5PcgU1VxhYmL7cf3pKItkCSWceuY8z9VEjFJhrQIJx/bzjIirQQirwdbV21K4Ujgys61U5O+
dENtPLedi/aIv+o7kjow965pfnWpQ7uyzn8snUKwlS962JC9QcrTs1/7xq6PsvCUpciuhyltdp0/
hTdTAtwfe5KJKiBqWxmP2Rt1BY3JAA/kcklLjR/VgBpjA/JbdnLS4Hv/vRTq0qybDMqO6e26udUA
zftExWLy2yw3U0SXmPaqBw6r1Q+PN12X1HtzMWm7xajTzPjWAiIfF+9OzbOkDAoo9CrVq1Q5Lk4v
iI7WrA5niXpR4IpnlFCSIakupWbHz7SGL7VR+n87RVA8yVaXx2UrZpZDcm5IcCsJS7hpVfzOG6t9
kH4jj71PLl5l4SsKOhIn3bT/otuFTWQW9WtbNuLazunZpAotV70kk6yxRX6kDVy/BtRSR1lDhxQk
y0uU09eKPoEDcSrKYK0n0/5xTUYYwhiiqlalRaxP3CFHl8A8zG2dw9sBUmIcfR6yJu4rpBxlutEK
zXyVpatdA0K0PKCiywbwcUg0toJO9t3WHDXYYmO47B/dYvS3mYfTcR7hKBC6lG4jbGFR18Ia6zzP
QXFFcy9xCJQ1osj9zmBw70QRFH6lIpQOn2qvdzA+9pswZ4rPCkrnwCEKtEkb+xCmol4vS0hQ0GVI
w6g8NWpF0XvB+hvndySe9Hr9Ck1TbHd712z89dKsHx2GagNJ1Ifec8ab0xq/i3BadXZjfTKxdfcx
Cu7toxPCkyOsQvfkN3OOYgFNMRlA5n6RvEfZ28QtvYbIYn1UJmkhue3ph+WyYRIDxk91dmRkf9Sh
talFdyqtMTrqlOkXyaI4IkLdlDXPg6gliMqMWCpcbnCUtJpZYM+o8/S49L+8CfUKtNDTcqWrbpgL
33jt41IFpmgel/JnOQC1PfZlWV+XK4Lj2uPMrggMfdry9KRUinWjoFErxHOR+SOZ8HV1qBpdO9S1
8WoKNfBU8r0hb/h0uf5n4jcZQoEKQJWazVSxBvGZ+fCLDWXtyGQC35m6XA7Is0ziAAHGmROBwZ5k
zrd8lNJmusTkf18fH7PB4/9s2/nji8t3dAz0HWYj1+UqSNhcTB2JCtHMTFbIHGvdGBK7MbApqplN
dhskdid/ZEwhq78333IHFticmMfOOQqM/3QvyMLFSEJwRyIwuVlZ7q3C1g3uKdkiZ6cEPolA9768
FPRNt2M8xZ9efcfyBVPLBQqnudgtry0H1BE3E+MslNsyBf4pW2+fAcMbK8kEEzjZesabaRCllvlX
MsHyE7ffUcM4xZbNJT6kJ21mYMDzDmgcoxxwt/dcYEVZBmj9ZF6WXrdSmMkprk8WPGEcg9VPy5PA
bZWFBPVVuo7q2D/2Y9h95jw/uoq8hCh374vwP8uHk18zPOCj1L95tUUZaRjtBqbiq9MDHKbmRRII
naaANoPyGjzzMfPteV/ZNZJ52tjQKtUh7ru/Zw3QtANAfoyT/q725YBcnCfxYpb2iOw4ztbwETVZ
tXdJF3mqimG8PKanyiy/nMkqu4uAKZVFQfh4KUoJmZ3ZrG1as5JX9VNBxfVv+UIislr/Jsp+00ov
ui6vLwdN0yN2oFSwpe4DBIkYQQg98mjuy48wKbQDg0rxpRVjvyM8HZlhPKbflzPiKrLH2eM1ycpL
o+ZJ5HXzYkV0uRuKvS3OregbVuRDZej1nhGPQOvY77Qp777PkecrKfR0zmXdXwzH7daJ2Yi1lVQo
F/z5h5HjsFgW9D5GAwO7mz1d+hKVSDgH55jpvnscOsu4dOqwnGHiyS52uXtcjLF5AQ9EEFGExE0u
7tnILD3COHBZLt28ekp+OPVQXCy3aHewufsNaYCMZ2bdWtP4K5nXG+Jjsj3nyS9a6xSPrnbOylqn
tUCIxJR2H3M8GAcjalghVFMpzC36OwYq+4JGv48qcd/bTLfCJvRxEXzVvUsjHwsNfprAO5jRMwtz
+WkhePeYnjxs+nZqv8xzGtyHutsSh6efBkq1aisnngqN+MlOgKgQjw1SAj3gSW8dxMPqYLKBPi2X
wEy5y0YH5oWa14558iOIzWTreRWqdYk9FOwsocXqHxdMC09d3w2HngnPvy8ZHqGMy0ZYVDYGO1X2
ITM3DkNER3Ap/JbXhsQlIxVwBWIc8sYwDHVBYRyyqIyvfUpkKp0jAdjPNo++hVl+JE376TGgW65Z
uOjUCv5UeRhae90z5rPlBDHNXGYaTsozJ5uG5mgW6XC1IGXXm8Zvk1VgoT6s2uEGAyy9IHS+uVNq
XMzeXP2vApcpY7ydb/VI0loYeTBU1AxqafAuZ7lrTNgkUN1IdZhIrl5bwlPar1Kpf7IqYBPjR84r
Hlr57jrKnWh5r1YujPe5/HtVqJGSKfrxbBe/mVxBXnCc4KoHcw6YiEuqlOds0p27UFu4rLBOuAH8
V6OogmOSIyzMfQWMrGJ3hy6lXiX1IDd+OmMh6aUKQBORtdVTDSOFXegUehmeNLOz/1671C1bq7T6
ld4l7s3N2PBlmt+tR3qat+U1eJ/DQdBKIRZMvVYEIzU98EgRF2jWeWTylt7NucLSbIpgn2je37Nh
0P64DCj2TIOaNS1B73vIMFrPCTCgcOifg7g8lYNZ/Jwyx+V5Gc2vkTvDh5m6fqshlaUP0YtnBK9I
BSqJetWE95x69i3JEtSYaL0JUbJji9CgClV2F2+RD8K36UvSkJCXnDx1WC6Xwxw10PFn/wbUdjh7
rd/DleaM1EzITaUxnvwcuyovh2IczprvICpZ2BkaIRhJQ5C2qND0F35DJsp/D21iaJcIMNq5ZdpE
mCS0SIW/y8sR8DxyZoDf+vqx8tphcZ7ptT0KLqxBPGMFNrGl5GrJz93/D3Xn1Vs5kqbpv1LI62UP
XQTJwdQAy+OPvE/phpBLeu/56/ehqnpaOqmVdnavFt0opHQkkQyG+cxrxhlQSHyvLUCQyf0bhKbU
CAg0sjkTY7+LGn+6t2/HXUa2RpbhtOPjWJKXKFauXRTMr0Vu25AIxaBevH0gZ6U8s2ys3b++N8jp
3LT9lkolRm4AjPRFPljVmYEynRtGmrcHAVEv4hxLRfzljLvAo8Mcp/01h1FzLlPcbOdvV7ghw/KB
EQ6wem1wmt6hwLvTkQh4agQFo9Gw/XNiKAu4T2YtQf/ET3UNeogjNIhAQA3owtizuIhNdrsp89be
V3Le5u25QIn765VilOymcrQfzcbHUhdWmKRZaadYIwX9QHNbmLSeY4zDh5IU0DdhgRtlfK5ZcyPI
yBRkeIjsaxiwL3l8HTSN/kqDEYxnGlSggwu5kg1FaJRziuOSFG2Fw1d/Q3dz5hA6+uvU3SOe4r/o
mg1tpah/eilZd0InE5pTPF0YmBavApN0dqC7smEVOcfeJPVtgxLjnu7ssEecRdliJjoAUpblJvIw
eiAVs2l+DMmF1ZHdBfU4n2baBd1rBD6DWr2vDJ2udty8OhHemUjkBK6JUDx4Ov01Tcpb7ADsezX0
qIjRCb4O7UZfZp4TnFM9AyVB8HpsoaC3h3Ctb63uJMsV70iJgASOY2Eev/2LMNw49jEN2rz961/f
Cz9+z4+F3FPMxAd3yHYdFaytiORwOg4WdjaTlt4EdLgBA3jxM+LrNEoGVCAnxGX8eNCeSHoHV1eG
/Kw05FkEH28Jpqw7MyIa4oYFm4VF4+ypl/tb5EVsPKQRiR8DJzgrIRyPAka8XTfDnlIXAsMWcWoP
uIX5r8IWgmnUFI5/qZZMXdQZ0r/6fmQ9vRIqFz/++Lf//I/n4d/91/w8T0ayzD+yNj2nRtfUf/4Q
xo8/ir++vXvhS4GOJDRh2zKFqWOEYpp8/vx4GaL+/OcP7X8IBJIr2cHDMq0GWQAlGS5Q8MS6AJvx
B0OaJw6l+V+6jj9Qq9fP0sZowxF+cS16khO7wHwqKPtmmXYZX4ZWdt1VAUpEIq2faQos26FMlkHr
FyeSBjRmVi1VjkS1znJlmsW4m/qxLqFu1nnJAWtChqIi1S+MOcFDsad5zHMdNVXfewWWeD6EUURr
2K8ngGfIbNvw5/+ikEfA98Bq//NLBOqNowGIzl+fCquGvPnGWE7zHh36GaH1BtPqQiT7Qdq5b+P6
bx8Gtn4b6GfsT0CLU6r4+OV/bl7z08f0tf6P+bf+66cOfmh59T+v//iVV3+cXK2vD3/ywy/y5/++
/PKxefzwBW62YTNetK/VePlat0nzzxkw/+T/6Yd/vL79leuxeP3zB+TjrJn/mh/m2Y+/P5pnjK7K
dzNs/vt/fzg/6p8/dnXyWP9x9chs++M8fK2q1z/GP3CbbV+TT/7OKyqGf/5QhPyHSpHHsA3dcCxT
qs6PP/rXf35kqtKWqiE0IXXx448Myfjgzx+m9Q/N5CNHWpo0VFvwO3Xevn0k/2EJ1TItaUM94meM
H/8cj79XxF9v6vMVoksu8n6JGLru0KGXquaommZBIfq4RFDepGmRdcEmwtxlpef9KfYld1x3Xdbp
sUUS7powttxK1KgoBqAtg3Zmh0SLogula1Vq50ZDeaIWeGJTEDyS2ng9KQ58+6LpXEFE6bbIQJgZ
vQQ9TI8mQKGTBsuozZMHal5MXb9D3bFHycxY+kOmYqLq2G44RC9tpNPDMm9RZEJdHXGiVied8JDY
Mav8zAmmW0crHBS+xit4BBGAlyWy9wUFQv+pKYoNBr4ORhoviVpjmoO9Fh0FC334+hVTOGWFHS7W
JwPFa3ghCKQogKBCbHiddqWZ2gVDc4q8Ouy0HI7HC7g11R2sHNNIz19SDkCgGx/kfrSf6TxfJdmU
LyHwqqtBxURuGqdpS6P+BHhL4EqdgqZngRrQi9u0fcltsVbb6cSMwVb5ovyJ6NyDM+wUiCcZO2PT
Iv/dk8KOnbXWArzA0GV8CmTygi3ahfD81xT/4hXWJMoypOuC1Jvkh6Z2+GUZBPuv6Lsskg5pijzy
bxxwdYWB//DscmbnD/0oT4HLoXmj/Kqb8AVx/+vSaOVGttbexmtjQrRgSeEGbnevb0bExVmW+iIx
TVRpUNhFZgIYuamABwSoAqsXzxINuBXQaG8gvM/jJxAps9sApheeDHUXsYGdLv0ntuoLu9vXaA+7
YQy/ZEyDp36ydkiWFkgvGQjvF6TvGryzPvxVe/K0ntJVpesro2k8wPHJueJMd1Nf46wlmBZWgVAh
JeK2vejofU6luorVsl5ESCbSy8MdL617rGEmBqRIX4uhYcKUTb7LO7FsCJLWSkaKO9k9Nr4nZRxk
q56OAPcRA4cOJuxuMeHREuQHjBxaugc21QzGAW5QgoWUcVHgNLsCqo9lTl0+wEfEU6iaxTlwyzGn
V2Hl60q1we9qirFnJt7g8PzSJBiaRjZKjJ7saGMazTob8N2OsSGQ3T7xxpOmjvOlVVcmUigSXO9E
nSkbyP3S6Eqb5Gacan6eIw6tu+pcGHykV86yzVHdTkvwoxkuI97IGGclcPBjP1bCRTUml9JJL2qJ
DKN6lJlU9/34SdeTFWbiwDerU9rM685JAqRni6sAF9oQURonoGiuImlEIcKl9A4QbVL22OLgB1Bk
5w2+BviaMA9MLXuYiq4HISvXhu7tcSnYNqPqJlEFSwtcSxn3twMNeL2MH97txp+c92zWH/cyADmq
amIYJhDEE9r8+bvjXmZQgfzW8jd2wqSwckSQIrkVITJdCtIEX19M0z67Gtpcc2yhsn8eXK1DZxhC
uOcj0Yp7ouqcE45cGwyrWcrTNnzGXeqkVuOzyMovgP3//Oby88b8LrYxCJ84SyxV0r8GoiwONu4s
pWKZ00ajuRw/ZZVlL3zEyQax2NAFZkt4exdpDXk1ObYzesOTtf76FqxP7gAes1DncwMlG/XjcJuG
MNNSaP4m7roTU09hPshdiW/iaCYrostvBtye/97BE1u6zumn6SrgPf0gmssMtUZNntdrUOF1qXpu
qvisoUHqVn2DW05WLUQAJoAOziKg3GbVWIVip1Tqwb61UZXHAqjJjvJbLFhpY4mHtD2i/n9rozvR
6vHWKMpTUA4bM07YipJmaY34M0xsdVlrXGQjmewEKQZE1lOthXu/eMgn/0ngSkonEJtg4dgr4pcH
tIFmhB00xzKvFuE4nUK5vWmd5BjOL34vQf+IKOR16mPoQWe5cU1e4SpsbYHNcb1Ide8cz3Oomj8j
zMzYQ4x6U7TaRTqKJTyfE1MbyLCrcJP4SG3lNCf10r7GV/I2Hu1rdhqnEde4fefYytqnUJ/HhRZb
u9qb1gpHWAIwF4tyeiIobL/NiP9WYHgSYpNb57+aw3jvQ5z4/11kyGT7r9Tjt8DQfU3C59cPkSQ/
/3cAaFv/MB2VjcKRrFn1Lc77OwC0nX/ourCkM29a0rb+FQFqNr/ErzmUL03HUXVSm78jQE38g5RG
wwBLUy1HU9nm/hsR4EH8x56E3BeX0Q3bsRxEXT4u4lYP/TkErWfH6J3X0yMoWpS9p2/2CgLW92v3
r8tobFi4Lwh2rDlTe7c1j1OJse000ttUlCN0ASglBesMo4kSHIhXLTCgGVNz9+4lnP+e/+mfXlWo
XFHYBsN5cNWYR6MEDtnfEg4HJxDhoG5/OvVwJMZxoTjhXkryUz8o2SCWVJc2jg2VogvOeQOqm5ZY
fUZY7HXKmZ7qj2GXLDUnfGiRpvFG9bIrnjUtvnMa/5rq1k7xgBhY9b6plduvH8SYt7Z3W99fw2dT
rRUE7IZmHWx9Wm/APXOGetPb0escbmE+p7iNDqcp2HRp4wHGjX1X2vwnZ5vw2LC0mN0hcMJjs6US
gZzL1Mpr36ouy/Gq1M11YaHBYh5NubEwESbowqO2GFfVIC706NJI0NUKzvWqDrH8A1IGkV/G+Eo1
jlh+83DzWzh8OEeD7jPnIdIW8znzbm4EpsinWJY16G7r9K0nnoN1r1C8i64LdCZRmnmJbevUYIzz
JFmlUX/SNdYGPoCL88xudqGsLAj1SoEMBS3iWC6ZWsdYjp1QZtv1OAhLedpJOtWJKO9DAh07Bhw9
ClBq/Ywjulf77PTrx3qLNn57LFI+FrFqcE7P8cO7x1KEBe/D4p3pme6OEQmAqNEuiuVEDURrTxVB
viUoLhsAmC3K23pqnGMOANmKtEPFEM6I40Wvd6uvb+yzuUToQApHNgp+dl407+5Lbe1CAtioNwlH
SCa9HajN+68vMW8a7x8daqWm6vOqk4aEbHV4iXGm/KDCsQmzVaraR+1Yb/Xiui7tRZKM61jV/qpI
fChIvK/0GIfb2NsVDd1EJMs2bBLujw8lGy0doyyoN/BqVqmOZaB6b4n4qkpBCgYINY/qva9dtGQx
gUQ8KLowEufImAzcfJIbGYb4RTagpsYlraZLu8vPIF6eiwT+XJ4uPS+6dFKxc/LjeCSKKNs9aghr
x3eOMGEBoQbY1yT57ET70wvL569HU7PnUPJwPOGxwqPgrZn87+PT0Zm1MM9VgGXZCtWk1KapoE8P
o2HeZdpo7ZAEP8ZGANMUsrcVxJZdAh9/HUgbuEeVH/fplTJ70qnGeQDQydUiZwWOD71XZEBGdQqW
CNE90DgPjyNk1VwcfxNMvX2A/nKmkWcGWWnrAefDQiHTqpfGR/5CYz1mth+hxd5e2oN9LztsjLLK
s1cVBuaTpR0HScV8dq4D1G2WmtFT/wz8U8T8jnJZJRjnhhtc4R660X5Fi3LrDXpKpaFcBwYuC8KB
JBde5tlEWTnDBTutH6PJECupWtNCQgQdVfDBqi3BNJdkoDMiKT2Gok4t6BdRDhk7uAqPqlqXyodY
wdS+y2plqY7DZoq6xzjFTtxA1cNK62VidYMLLz4GnKigJVilD6qyoYtxkuHiI/KajLede8F1sKhD
61l0NrbX0+QCGETfxTbJPVdIlCLg5ePeGvFJgIv10rbCF9oeP5vwWO1Ql0pCujtYPbgl7chIeQAq
elLjGJRRv0R8gT0NqOQNwFVd9i8DuLnCu5KVgekeyupGctOKVqwiWv7xOY2KAk4+V8ICgCYAzG9X
jUXhGtCzo3SjKVfkIgha4H6+DmL6zEOEKFznGws9bI/SFqaQiW9dMEbY2dTBhZdkt1Kxl/T8sPsb
yO1gXfbpsDQBj5Dro5+HCO4moikEqRI+n5XvhgJluNiQ9rorbiCkOFGl08RyVrJqTxQ9yxaRk23H
bphcuG5Pvj/Uy9JTmGhu2UK8IRNM8/xx6JxnpEJPcrVBX4wCjB6vB107CwDLLmxrZYR3uM5gfYpb
hgYsYTFPrxHnRyhN5aWGcMjXi845SO8oiqmaMAlYaFiRTB7uYXnaAjVKEa/DrzdY5X32GvdyDwsJ
iG/CEknMc7+4LAZ1p5ZCda0xvMySAK9iL4oJA4oVhd9tnuk1mlG08sb8p2bR45sC+oYKfsER9skJ
Gzyq3saAyV9rq1fT0J57io8QkGnf1zWdqqaNjn3iMxcHHVcayT2UNpAavkaNpsuXfsd7oa9wlDX6
Td8iNQ9U+1EPcCSsa44VFfQU2txU140cJFF0n1HvkEr5rM8ggSwHXOLHr8CdIP0W9qJR9PsKpS6Y
jtOVFiLlGIe/gECcjf2wjemImZetlNsiW4Sxd6YNW+51qzjOaSy7k6r37kVKRxAeHYUkfzFU+QhD
dfZvT5LnKYwuY9QRptC/bAXwpLFobyL0/XG3NRN903NMI5hiLwrJcKKGd/P1C9UO0tW/XqglDCqr
vFvdOEhXUTLHKqFOqk1pFndpP17G6NOV9hHi7JQwYwWeWY8yB32tmrHWcXKheZ3aITQ8QLp+RL2v
tMW2bJPXr+/s7cqH27twhGMAAjVmweWP23uv2U5F9bfaoP90jcAgiHbEZneijQ3AlKieAdNaC2KB
DpwYEAYdq7cdbmpMTWjsaZWNKGBEeyiLJ0PWbDsjPXNi+dMz6tkwMIZIbBcLTNwUPBd/tqbjrSh4
4ulsx3s1ogCZ1Fj7fv1M2mcHstQNU+MwNiyO5I/PpBp5hVQgQF59itBBKdRtHtmQNsF/uU2SYLo6
rht/ophr4VFn5ThI5/GD4vwsqa4uWvLeMejOvr6pT2aAqauq4dgmUclv9+RNNQwH0AQbOpxwInFS
LBIT2QjEwCbzHCugl6+vpx1ULOYpJ3Wq+xYVC1tz5gr/+1BLc0qFlvoE6U7Nn3OTunVtWEg0KBet
DvfMiG+8QqMIrC0cI9t8ffFPHpZrW6qKLrY+T6yP11YggiRIojGplHGLe9CNwjtwJGScnhaWboI0
+fqCn71yqeu8cUsVmk7Y9/GKoldsp4TltNGt4pUmLm324LyKwKcjK7JyRLuIBuuUgAFi94AvU7Kp
jWnJgf7aaPwCntVf39CnI2CYcx5t6ZZ+uKxkaXdW5TAFu3qvZjOteUUgtTBrFEiC8ZsEV5vrbQeL
WNIthK1uO0gbH/YanTaRjYe746YQ6j3smFXU58dgnagsKy+TSC8tLbnr+/TOpuLdDOG28LHA/fqJ
jfml/nYTFqrNkrIgspqHE06jBTtUKCQDMoE5Bc7S7druJQ62Zo7FtCEbTNQTfVdK8yqykm1bR7dW
lD1muHUuQQxauMGhzIzfysIa1V1Bd2WJWslVbCd3JoITunCiPZIPC1QA6QmNJ3KqOndKGtjIo7UZ
fDjAIa2LMsGy3VA4Vmxe+9cP+fk8c3RKKUIH4Xw4s2Wr4FDgB6yqwryyAg6yIdOu6FYv6+4YygI6
SNgDumYRPJtqe05scC1HpjziJE0wneZamX1zS4d1hrd17kiQ9m/FUDnPjXcpFfDgSFQ9YhKijy4b
VB7g6cJmxt4gzu97WmgDAOFB4nv+9VAcpnLzdUHQ2SQ9bLHycCRGqfgEMZC5k8nZ62V+Rznzm0t8
kspJg52LNSRRoD7MFn0ZtYif9uUG4eJTO9f8pYnA/KIMrGZZy2zXhiznJDV23zzZZ1vnu+taB+eH
7wTZwMEGTz2LH30TyKhv53d25zULMR03HfpPtarSRJKosUbtcyXFKeAfhIzQg2roxa4lduerPgjP
OoNeUY7dAAglTG6QglynhdG4aatcVNSkXEAeAF6wtOIE3Smp/1Bb0XPo+8whs6mX0gNond7q0N1c
7FQwp481219oQ31SIhmFAcu4NoPkmxz6kwNUmppB6AmjlOrcQflgrLVMzToQxrHCGk2Gk94oT0UU
XHw90J9N3feXOZi6cdsGUrZduaE0c5lmUQnF+WqYblE3RoIlW2HrGrp9C6Dl6+t+Nq/eX9f4uGTy
pHJCwl2WTNedZxSeBg9QmQctM9p52bAO7OqbAf1033g7/2keOI72dlq/W6W9peqBmSDBk2NXoAuI
aU1wTS80cLGvPsLHhWw3QyS4O/Fl/nPojQ08uW1n0z6yhH/59fPrn+QXUhKI0MoAK8r/Pw5AP4To
0hZM8BQP8bbzUVcCWYLkT0Wdz4VFsmlTMEBINdFwpadYWVNNyEY0PWJYgtw78sAx6W8zZa8F6tax
ns7dDCp99c3Xt/rZLvP+Tg/O9bwJBz3wYYmNM83NRwfJ/66Z9luldt7JbNNhIDg+hTaDJN7voJls
sXsvEDDoTLHNis6tG5WKQVyeJk12IRV5ibsHJF3vCHmd10CQ1qApT+OeDMM+KSNUTsthmQcypd8M
s20w4TWUV6KartCnG90qME/RzrpLy87lpHqeF1KpRkeVef71YP1W9nt7EgwFOAkMnWzjoFYTITY9
6EPKey20BzacO6Egta5naxxmjtOp3LZKgL6ZBy4BLKiAre6gNuTjjYJwiHpsSDpEtf5N7+yvCvFB
ZEAN0jGxCeHWEIP+OMB5yFSMi6zYmAWD1afyLPCpVw99bS2U2jqrUtyFEeNb+s50jjQlewA6DbZG
Mmrb/a8IQ+BVNTkoZ0KNMasCDFUHOiow0KUrIYaA4wAb5rmBSTlAy6kUD1Zx69cwzdWozNwOrU3h
5Q8KihhZVOXLvuK7vqnukJBZqh11E0gxqusY/qKJzUerQBNKM58jPVvRRt72OmWNZl9W2oMQKX5F
OT9cwNN0MzYoFIeAkSSAvPOdFafIcCvAd0dlnVeyQUcf2oIvdrg4UESKilPMTYJlXK3TZDpJ/FFf
p4p9FDXqquMYWKLji6iSB5FNQysuTCFNe06+cXCgUNr03msb2nEZVhKTcCHezd6cjGSZR/02LdVz
oKMnqqQ61yW7oeu3eldeFabD8q4IjkzkdoYmJfNYC9G4oacfG4q9qSyGFLAutQFQADC5UfIXKwQM
3aAqX9C/i7PoVG/j0yiTT5ZWrNWg412120QJLtF6JINgk3bD9mc6yQ4JDR4wlPy5djQiuKYJhmpW
izCXWPg9D5xElHy6HkyOCsPVnTzNrUpnJ0M+M9qOAjpat/kvbzLOOBSWZaU/WULxl2PZYS9fiBsb
E8SsvtUmB10Fq7z3Q6yWfJnedl58qqjWUdNDyEIf3ln1g+5OhnVk1EiPmSWuh3QXak958jv5NPSJ
6nqm744+kyK32/uYh4+r7BeKUqc6xJuwjk+NDhgHpvWR/jMprZxKiAmzN+4wseocZKjyZW0FrhW8
aDDCF3YQnWqzz843S/uTjdBWDZYPXTmHkv7BWTk4XunVpVFsQpMGb45sVaQQ7kElG6ZLIE3nagrj
ob2lLnxli+j8sYlTOjUsoW9uZL7QwWK2VRItzdLhtfPPj4vZi+B/pHB2NrkG+ie1rCPSQHwRL4pK
HHltsNe6+zyvF2Obg9HALXL4+c0dfBKesfpMMAjEvHM+/fEOLNsakDEvCzjO4iKwo4fc9k+LxrzW
uhJumrfGgunSCIuXvsm+ybTMT/I6W7d1wxBoCJtCHlzbrIJkjCmZbnCb1pdDTPpMkQnN7E49V9vh
3jeKX3mBE6xe/wpDfaHh0pVIimD146jGCOYBYLrXcRreyC52VkkgOvpIPeLyJsymTv6KVBR+BlFd
5iKFaGjka6/WbhK9PNZG5KZE0v6yleJKnRJjtny8xDCu2ps1WoxZJJfAnI4rCK+upoiZ770J1dm1
xFs1XYGXJeQVQ4GuKdA5tueq6Ddv5rPRQRyDyFF1aGu95anvopwRzsXoQG7b1AVyHUX0UqkKJGFB
kbjOHySoglSUV7qgFzhOP+FuIKABWgbVEKc4CrGvW6A4+ZQwaN9kEp/dmFAJZS3qAzPY8OOUMfvS
sJoWkYEUgS+RkBUV7Wn0puB71vtQNb4eiE/iZ5CV8wHsMBq0nj9ezkAHte1z0P2Kb+8mLVlVpVxb
jvFdm2+O0w7XIkcqub9talI/zP2awCnbqEJ1UDVShHTCo1yLb+IousJqap/W/s00dSetIZB4nXCT
qHaYYx+ZuMt9/bif1ZrAIhE/qUIANv0tgoqjxDEQQ95AYkpcL7TX1VCdh+Ze1On5OMt85eOqqxq2
7aj7plj+v7k4vds5JZfSOni3sV3ZNAa0fBPVauIG2NbrMj8tRbrqNO0McoJrOMmvTEmvTITPvn7y
TzIYG+yCQTcThMVv1dMWCdnZxrfYJEKeKxGSBWaLgpwhj1C0OFJM68oo5RVeod+gzT59aBAToMKl
ZhHFH8wwgQgCLGCt2MyMJs1Ub8PEgzsM2jM0NiZae25RaisxAvOp4vju66d+a/kfzDu6gcJ2bNQ+
aDEflHrwZ0hrkQWAXHtxSxFMIm03nlH+PO8q+gVmLZ6AddzI+srxf/p6u62Lbi0mwx0FnbxB6UL6
WRdjgSZ7Yz1Dmo7BPNX6sjOS294rEzga0znuRmJhbIvA0de14VAn18SuLHR9bXf1vWUSkJlIuGbC
egqouLsUmFJXRN4CUgXaetodhDYik5eimm4Hz9kWjb824u5Rq6srKxZPuKDcFxhbYi00/rrSLYXN
6cyYHcHCvhZukUb5cjk5RBL5yAaO4GGxUGJ737VYzZk7VV0WwwY5TIK9DtlcusOC7h43lA3O0mjb
u67xXoRqrEJwkMsuLK++fgvGJ5NvrvbNZkiOoVvmfFK/220FDpWFM3hsahYKM7ho36JspsykwMrt
cA02i6RYKlG6hl+xyftKXxaJ2EVFCp1Lqe8bCnYwDuwjtcDzwq6UHYRIOquqeKqmbPMmeK3TyfUb
zhO1bckNeucsFNVWWvEZ+dLjUMyhbKE32J8gx2g++WOOLh9uqClAvGTE7SVjSkAdnL0TrW/29M+y
HUTS4VgYVDzxAD6YhQ1MvSCuinxjhOlTG+p7NCnQBa5u6DzFS8A1p0MZnqomJtq4UlEDk5cF5OKg
ordrnOJDOi7qNFW+ua1POioaWBIAM46UcDjVg+JJkgxCrzAuQl7OIuKtjdN2YKJ7hOdjTSEUm4qn
skeFRRPAB3VmI0a73cKmQbRKR+8Xzq4nIs1vu56O9ngd8OPTUF9FprYGz494W8tQqjESL3V/jzYo
wjVdc4/aPvY2t+XYAkFHnWr59WT7pIAxR3uGIanwGg47ysfJBobHL63WxMy2ajYYZyiLMAdhmE4W
pMIwWsd9dAeVrXQ7xlxLyKKDjtkE2OSuSYzb0EzRskq9bwb7k31Q00yiUKzJ4fIDd/l4W3krywbB
xWzTUmdLMJvSwhmTLdhYAo3Jr+78HKDAiIpD910Z6feyO5x8WLUmXR3T4fSd60zvFiBYrgAr4DDf
IBLQFjRYxnGlqfteBeWAgtTUyF1diuNUGDfNXBiw+2+aSr8Vsg5u4ODpS4qOQarih1LF7R6M90yQ
cOuBzR+dIxmIXYwc2dcT4bfQ5uMlDzuZdqcngVXGBMBOdxKBZoozDty8/ibQ1n7b3ObraKaObhlv
Fj7Ux7FFT122Bg69G8Rkd7bJljVEDKva7sXMSDDl0vaGO7sX14gY3KZh9Nh05hZfh2VUbhylxyoz
vxEo68Ls68z0/utR0D4ded0Gem2BX+QU/nh7+oQUqo1B30bFat5W5HFdoUlWEfkG6SLxlJUaKqsO
dbxpBt9HW7aCZYUww5j4R/Dg12Z9nKLn4NRP39zYp+9nJvxYKE0TUh5sikXSNaAt/HxTFsp+xg4X
jbUGs7wMhnJnGgVN8f2If4JWh9dlU+6cOrrP64tBxjcVFdFv7ua3rHV+i+/u5mCYIkUJg4B+Dbao
QAccAmE5nFBAxyVon48S7z/jhkrBObDFPWSwdRCisxlC8Tz6+kY+nU2mZgEJozVFr/vj6/IzdDL7
2MkAMT0Fo+62tbFttFXunyYaUhwKXW0AD19fc362D0HS/Ozvrml8vGajZanVY3K2KZ1u0dm6K7t2
2Qs4pshS/r9d6mCxeKpXUruys02NYWvekwt4DVibS/3bBtiM/f3kqYSGOrjUTKrIH5/KMNuilIBg
NhPEWHewm2VUwVxtgLeWj0aonZn5hPr+wkTtPArQRiqfw3I8iuGxtJ6k6pXeq53/MlhibUz3BNcL
K/KvlW48qpvyu4RUn2P/394BWEAK3XgVW/bBWZxWBHqADrMNQJItOoObAbqPEtfrolaP5k2kx0ao
k+pRoGysztoVgbdCCtLVUn1RNNnbsk0CJE6z7g6vdYM1NaJ1S9dR2SOYGOHChkSq561QZ74q2vab
U/fTXebd7R9MWwtJsVZPmUJS0Duk3FwvZKwddV22zdR4hZ3x/806YceFPyHYvw7b6NFIGy6JvGyD
/tJ+xiMXtnlaefW+wIQShPAypT+Qx9F3u/1vDYl5rbyxSUBMm/bhrKrBaoHp4kHDkXxNynSFCZoG
9XyCS5YjjwNXb1mInxS4EZINdl8vnzlj/n2i0AGwCdyIJTV+4OO07khFMtx0881Qp7lr6wAEs/xs
wJnIbUTL0Q7sAPCjtjFS04XHbKLTp29rtrCiFFvfLK8V48rrqnDdj92dVgh7WdUUhwvNgNRemzPA
e1oqOOe4WrnDOf6sKe0zBLGXEPbobU812t0J7SBUU5dmC4/OCm6UxF92gzgxnTLfxli05o5TL2YY
UTNeZTE6s0aCCpKh7zVRnYH1uAmCgRPJXiZGdFq0+sZqzKPQ8C5ybCdaPF9Foe3rMg1XPq5PNvKK
Ltz+PUk7Rd6K1VmF12YKki8ogtPURBNE128RHww2umaSs/nGDtmRpyI6QlWg2Ix5BaiktXcqLsjw
j2+9EVBrO9pXIxC6VaFiGtHjeDaLJKH9fJJE2XgS1+j+9U1xFGCy07ZJsGfEMemKgLQGV6mRT66C
2cU2aaV6kkzDq9xoevRgKCK46MqLRMSIOZevlmwchNWCfDGG1SZQkmdbYNWt4QNM45SDJutRSjFA
2HfmKvPSRyvuV41C+mkNebSuKuO8CEzEnpPqCQ0HHQEXo1y0pb0XVbMTyC+dpUp+F3pID2TYyNs1
7Wc5wPYrquWQY0I6xndlbz4Bd74yND/ZYv52D5UUpTqKgjUxqeugs4rhWlNj0aotI80Z4SKaA36H
fbYAEuq4BApNZGIx3TqvTSt+le2lpdirNp4TWwRfXdnChpwGc9XlkOnKPIQ3iEZUOw3bzpRPjXbr
ldx3EycbbyDCbW20dlDLxQSmG5HjhA+YAP1hDjxl/QLE0C9PGYaT2lCfnFTeREQt2WgiSJG/FrF3
2nTRY+KVT8pWG7vzCsW2MJcPyIDdBz2+kLgCCAyiF37o0HKxRsbA2luetmutmLnCZc2a/0RDfR1J
cR3mfDHbJSpZcxUq3ikGAeayKLp7raCKDXVwXI4tOMQxFntVUQFj0kQ0UD9RCt6Rg9qni5wsPGwz
piM5UqiP6cylk0eTBVYalCjq9r4ZXI6leRV7x41UAWz6Wr9sEP4aerV207wx99ihB8DaXIEcWlxh
Ds2d4TDLfClTABNqp1F4DO89oR2ruPUkZVUvnRhhIgX5bRiWPp6MhPRg9VQ7eMa2beJFCgx+zDOZ
0rn1F2HWo6X+v7g7s+2osWyLfpHuUH+k11Ao+nCPjXnRAIPVHvX9198psm4BgQuPzHq7D5WVCQaF
FEen2XutuSoT0AS9mhWHsfsuiFKvr31jIbTRcqZrr+RPoNBq/PfDY5t3N5M2+SpMyxyImS/m3JtG
hv/gYtG3ZDbsqzg4Fa1zPxgjOZ3a/WTaz+5V14/hqmZAWW7kYZ2uV4OwrocyJ3SHcxfUii8uSK7W
SV/yvDjYFT7UiUPJes4bKJgGsSMvXSZ9g9qwRsriauyG83e9jhHQugpzTlBds+ie0xcIiB1nJ3Ry
Wjt8RDSHjK6S8Gzr2z78WCJNXYXVuLNC50C16kPc3JltivQaS2CUk+dOoAcKFPJVFLff2i2aII4p
V+wE6LZlWUcWaXRdaM5BCLErezU/G3F+1MI6X+uTSvZr0N109VVtw5inj5lQR1DXzOK7Uk4MS4QY
jjQIVIeJ7fWJA+2BYD+wUcbKVQOqQLRpVUdsGs1UVkN9oydm6/UPxs7uKsOTXXMMCQsW6amT2eds
HML16Egoh/N2rkOAkUJqG5HJW+CWI0rJNUdRbVXo+8hJiQbhJdbc/kZNdBuArHI1WAyh6tvYa3Cv
ELKOFQsA7qP+r8lDh5cNwAi85LRW5/KJ/38CJUXEkI6OKRyNLxTWd1rMXGzUzz0eaO0LHatreyIG
yyzdvR5oj0Y7pmcyyUWlPhROQ7YL23rh2i+169xJjoPsEQxmGHzTK9wOIkZdntoum17TF2gt1nrj
yHWJjGrVNP1NGTfuJp3i3Vjqs79wysu4XWYrd9VF6XMqCB0urbrf9KTQlp3N9sdxT30a0+5bZplx
NKuVXeQjw56tk0VrKoq3rXA+NNU0rB1gjhTOxJoSEoG/RO5UUEPDgp+ryuI4i27alQNZvxp+bQOU
tmGkL8S7kwFLcBwN4GE7SAzmlmtCoO1MHS2xrCEFVFj4G3aZRatpHGVc9aDExOhhEIpXrNARR/E2
PU8yVXzy4CDMpKFz3bkVCN+ZFzygtwhoLdIXD0q1sSmTeiClRr8yBp2SZHImuKg+OFjCk2p6nSFJ
bht476zO1rxzdLqdrSG+1gqQ0EnwZlGhouzZPyaB+alQsqciReJoWFO+kgNNGb3xW4ZfyPOLwvxF
ht2H0uYnMuYiXfLykTJNOoszLsYBFYTzYHuGO55LQvtWTVh/KAMVVVwOXM6ZYnfTmMvrBgLEPqdJ
c9NooPyK5KSnyOe0/NYlXdUPXKYrMEIrtZjOoB4cfwmTdjBkrXTSE0MU1GiLY5RIDUaF5nPhmpGf
U7KmYHynpOYjkJBkR7ojCLLym+qyIvUaE7LW+aXWdV6r6/uMxakP9Nu4Y5CHrJVeZMavRJBg0TZK
ZpgiYKHDO1606Wck7QTnzoa2IXzhbPcEWrqwnHeIiVdDqSS7wdU+jcboHOO2YUy/oG2N0OgDS2hA
TIJGaMj46fUvvRh7j5hMIHNzsHDD5iN69ekE/YfFUaUm5qgbekHoD+v6NonajZFg88skH8ZJBemt
xj4V6YdpajkH1863SMZ7g8hdCpwrvGLLCuuHyoSN/LFwlBt7aLDskoXVTlw4BSZIZhXP1lCfIV3P
KMgVoszt9NqueCVAod+qBImuJ0MlYmVonuq2fmxNuYtDklYC+ajEzCJNIY/a0DyEDZurdKxIDgrg
yloksMS8TXMfb8ABxZ4rkgfRFa9wCmBqWVN96ukzbKVKXGY8x34+M7HS/j8FSnYCDqMe5u6o5dF0
qB0Sr+gSeKBovhFe4jl8EVgAAEq0tLPrqX+ICKpGBLXF/cVCbUp7o2YYitkKL1Iz0zNBVPFOKqMn
ouLVlSMpUUHHWyBhUrOem6XcsUM3vKjQbI9QqE0zl9qWENfUr0V5gnbxncpE7v1cf5Ps673BaJ01
pIiybQlHWEQbQZruzJj3TlTZAZfDHPFdd/FemVjEBLQBNCLkp87Zc12+ZE2qeEFcGCtdH49a1iOq
oAQJIB9UFT5K5tyP+oB/GkYwx7SwOVpO1fhuxNY60nt2GfatHUtjnQJ2disIaSzTr/Df+02nHlvW
tnUZElqTNLydItPXKZ5RGpYEddtjB2kueR0bk4xc9dUq7egqy+W5VYUnkXqomAP3cxfTEKDBCMFA
Ww2t3aFhcdc99HJ6Beaazih+yR4GEglllOQ7O2u9GYHVas4zMFnuB8E7h+CgPxTJWF7FEp3E3NRc
MitvuiJodw4b3nZOXSav/AjXMVu5aX62o4BisnglB+MeAjTqueSrOjT2Cr8UBYFonFCrHNw6PQwS
Mq01kFUfKh9oCSeYNRBBodYFWnNT71TzpuxfFXEbJEcJNHNeWyEWnZXewQe8qcqHPHiaFmrXV4PX
kjxJ4BSPE+jn4T60v4AEWwk5rZLyRR+xkusWNqiUXkm41jArhQmdmuFTEJ/wINkGpIgZt+UsfA3M
otPl+ylv97GI9qEttpm6T5rmjKWKRGwIFI1zZJW/Ggd8MJxkClccG10/KWN+Peof0pl8Or092OQq
RHG6zexuj6X0OsyY6lp6zPR+x9sxHWhpRJvETCgl6mfNiM5apu1I2TspmrI1GGy0UKmw63uNmO4+
8qcu3gpOXZzH17EKrEuf9rm2gl5+KDX32BTkay50kvSV5ZTkDQXssVgrrKhOO7ArHH0zTjdlDqPF
mv26wBUVhEdpkHFq2nT+7fu4xxKZA3tin0N84S5wCCowzA1oeqa9ja5Zu3SKoNE1D617L7rqVekD
7BTGdWiF9y1R5lrhcvIL4Dv1R2fODmYFo1skV0KVy7HHn4JhyUtmNrbO7jTdUbQ7tWSKrhQ5eLNC
jqDRk/Wjf3Xb9jl3+3u2Nme8dWXfnA2yIGWUIT1JPTfu7ky7OtL920SmfhVbgIvDfctLZqXhbW81
O8fgRGw7d9Chz4lufcxbuRdOeQjN4Hmu5ceMl1WT4QfFMZ5gWII/lM05NSiUotcvpvEQRMouY80M
dPUR58JBVYcHmveCicf03WSfzeLVDdR9bRnbCrRaQK5623TMmtbKnojCLBwvdSjXUE0MYv2lVImr
SQwfgs/V5M5rUhrPUxeBA4puqfawlAF3EddjwXF7UD2iFjaGJGx9drZpZHiBWfqAdrec4FcVc+Fo
I0XMxLGSlHjbduUIQQM+92qMRbrofdXNvNpizqwyTzW/WfqhIOyW1vWeJiAdk2SXzcp2Qbfjt/HN
1ty4pvIB4qzplD5qakQbiwuFydox/EEjokCvjmnJ2uuS0xc55k1fiivINBVN/S5S9sNQIgcSmyyb
D9j91+M0PZiEKhHZF7ilLzvyIAQaFSxagZhWjv0lrPKtOo444MVWdrrfKOk+wvlGVvoKnh8tfGw9
QlnnlGRoCK1Jedi4UNzJB2EahYjLopEV4aEWYhM4zb5lQagp35nwQbto7cb5RqvFlaYlBxsHuG7k
+6QgKTbdYzU6uJG2aZR6R518G4j8zjDEw8zJurZIRmuUnTNxRXZjbRiy2qFQNRN/wGRo5NmOGPlr
u2QryWJLd5aEeE31Gx2JNrNYwBpZlTYlgXZvpx1YaFBRWr4D9r+ZMCOWE5UPLVp3/aFzd11HrB8m
CeK5KQF/VudvnaQEwKECMbBXD9YGuZ2fzMXKFRJZp75GgQWompW01nd2Um3UNPHVkwMsfSLjErD/
mtr7VqIHWGggh7rmYGOWRNbb2AUVOIDaqu9fyClcp1yXB010E01jmratwrm2fG4GsaZ160NY9q0Y
Or7twONwNrrRbcnKXdtJAudJnhLzueFlD/jSY1Vnix3uhDDgLlPHCWYffPZaxmslOhPr4nFiX+nh
8+TA5hE70djbuhwIhQRRZAQkqiie1DKv0O+yLqMk0yh7JxY+wY+PQR8AhM+8vqUH2U8HSZi7ylPr
TOaNCDxIanm6o3gKdCuSG9cdG9SZQBKCR1ZJaNNeDakVxGs8w1HyYBXhZvaMBB429ifFVv2q8wMU
9m2+TVJ3rREa1Mfkm5U6h1iyTKXuKxDqEUl+RqnuQ/Hya1nxzIjD64tnKesbEh4nCqHqFRMNNR9S
npaQNVyqXa7v+Ysx86drrFBsd+AUFICtaFF2EZqJUG6RextQ6hQHXUqA9lLV1vh21p2bHx0k6C7X
Kln0lMpeTWPq1QXJyQF0p0LbxWWxAcIEuwXmd7XG/7CqZ90zUWzJdRe8TED7GQ8sd9T1cGYG052W
f3ZGDeDDug+x1QVkOCTH3nD5qO4aBCoGjjt8mBlH1X6I1+lX2UXQgK1dnbMhKqi6GOlajeUmGst1
KqFVCQ6g3BqKtFUeDYhEzXWFVXiJb2cUbNUyX+wxvkAIOi9RuEQR6BXY7NE8lA1RGyoJK2N9lzU5
W2X4tk2qriOJ2RbRWlrFpzScb+NK3+qwJzqTsLI0ftDkvDN0bd/anBrK8Xl27GuQTPuYXLRySJZh
sFGWnD+TrW2MQk7dVpq6UVUg36RbUdXjMJD4QRtva02sIJjRSSSCZGKPxP3ZxXwiTXxnGxpAXCya
ld+RoaIhjc3MlI0VFmfiSZYJlF3mSetJxdGYLd0UmzTo4kXiivgSANBckQc8TZtRGIAqNv00HNTg
2+h0d4xOdhbOZgq0tTkSdU+chBx4Nbt43QuLAFPF90sn9pXevrWUZywcB00mu1IX+6aeT00aHyUd
kLBjvjcXVzUYrB4HhxKvc+KtqGTMYJWjJeA8PfR1cT+MnLrSVEUonnkEGrxmgoJxMl5RRD5WxNCS
Gb2SBPACJEfm+qmMnKu0G6B9BuRgBnvyoXdZ7myCGFXfYPqZfgsczKECDb7CJ+L1XKnRkQyLI2ec
G5JC9o4jd337KmnYlz1o89S6ZaO7jylH933sl7Dq3S7fBc26zcpNwB4jFdWRgKR9SWCI/ZJUw5XK
YwtZC4eSbupYbwIRXXPIViHFN8m0IceQVKqg95PwjDrqS1MNDzP55C3Wl7wZth0kJqOBvufM2zoz
UR9CqWSl0pIQvcidMpEIyYm+65ptbxCm3habti2XCLytAQowmTi3J0N319RlvWmGujz8+EedquXB
UdP7XiuqDVYdkpPdiDbF8m8//jOK5Egh/z/99vffuPgj3/+aKZ//9RdOujqgwvj3f3//7R9/7p3f
/v6DEJsXHpu9p0DWH90wHY7f/+3HPy5+rQxinBbffxvJHM2opJ7XP37GJCWzXP347//491z8iElY
q4P1ZHfx6z9d7uKv+utK33/x+5+Js0rdT8h6fvzS93/76+eog7dF2NJ4zljt7OhUmdajNljd1sqU
9qR39W1j4NCsynRclUH7bVL6B32gQv/nbs4bHXAcY6YKrwtJJKrAX1s5phpVIDlozQ+WvXe03gtT
WCyK9fd7c4vHFjICOmjDuJT5REms5k3BNNA33QHyAZsQ3qF0FXP2m8ZmY2nvgUZ+1+AsGjI82sgO
Fr2nWLrcP+lNTCLvk5bcwu0QdhsXamUAH6zvChoz1ZZUF5i/9oYEpxuHtXnoh7u4cE6CXO66/zIb
k//n5/yW/OXnj3Npsy5kHXBW4UEj9TqWFVK9CutGml+1QbnvdFjc7iJNpVDV0y5wUAuWze7Pn+GN
BukvH+Giv9soo1KDLOeJDNW1EVxHybMzs7gzWxGec6WP7eHPF3yjqc8FaSQju3Wwc1+ITcfZSkdi
ylH25pOftYFPkI9PuRqedveOuOfNS2kaGB701A5yy1+/7VCnpjIn3FtFXo+6RA91xi5qUj9VxHsC
3rfeGaxgtrYYqHX10sxpotNWYXLnW4661PAiuoFt5uExImy23BsVMpxK+p1CLyyfABrCwY6qmOr+
RHNG3Gd9/Y60+b0PdKFo6MzSHNQRwUZFoEqc2Sh7SD9xhrs/f51vj2FwfohUIAn+xhHMQJQQ78gp
hwTrZOUSzaMWVsIpP72KBbsatCsrB+ONoxcfZ3mlVznFyOC9N+mN9veCaDPAoZHNbpkXw1gTii2D
CSUjSZ+nOoZU5EzUEZ5rzhojgTEpgKoJZFNoDrvcTd67/BvNb5CDC0gRDi0ivwtNhwoxQy+zttgG
tfRR4K9stQdblT0l1rAR+fwYdwy/uUbPFwnMDY3DdsUW75n43xDpcHWMFUSKunyc5WP+NL3lnOiA
chdMGXrsUjqjdlVV7me1zk5Jl993VrYynPljphL08Odh8LshEtAxjgWEQTreFtW9mFmnsunjsWaY
Ezfmd1a71aEIs1XXUs+xtZCtzzotsJkZmbVr0kXhPcDYTh26wUutr5/K+3luOR9SmJRmctPlJi6r
HBWtTBPCraJ3dBrL8L/Qtfz0eQFh/vqoSiVnURI8KtE4+0VyHjjmO9qtN6afRQfCqHBdyAKXgyKc
7SqDm1Jsrak95jZVnSuDGCqL/uGfH/4bGh1sl9gCNdTMpvguNv/pa5e2W0fBwKrmpDUdRRhSqXlb
0AWvmvDIafUdsceblwMGaKMdhsZxKQmaOavWqYlmErgWWSDnqcjX7gQic7dAaP98a288Qxfytg6F
xDQR6y+z3E+3VsfZPOnkkuAW4hAyB1SrspUFbdwyb/98pTcGBLx41lQX5AbWk4srjRCg1ZIXYzvG
gBEkTUy9dR7+u2ssd/vT3YT6CJHLZe1LcMZl9LawmL0zFS0f82JccxusrRbOGXZWF1MAhi8OG72S
b1tXhY0af+1Lcxepk/rOC//mF4PgZ3Ep2YAcLh5XT5t3VG2uk4v5sZfJF3ZKVwvfD5DIP7qlH5e6
eGrCDPvKKlnJysxRiDogcNgBeS3Dvz8l8Mh+XGcZ9z99O8owGaOouCUVzLUqjFsyRt6TNL45yiwY
cAYMG9fSLx5bN9m17RKJskVj4HeBvsOb+U++GVx9LmosweRzoZosnclBcMRtkEJNaXxaB2QfadML
9Yl39o5vLDeItvELAba0uKWLOVTt3TxjgkDrNmevEUHQMwZuMzpC6ZTCvq9A0M/ue6aNNweeQM5s
sOXQfpM1a3WQ2YyHHAZReV/NSBcWc5aR+Unfv+NNeutSWLIMG8o++4pLZPGU6UB4UpuBN7tXrkLd
K9RQOEJ3Sgr7ne3aG/twdzmWAF0UgH/E5Xs7tJnlFmq+HTIQ89pxRU6bmMObNHxnp/rWBGFyZIDV
vnhhfztzaHVhh1a/CBTlCSL5y8J6liJ+x1/11mVwNwG/xeXKd3UxNuj8SSekzbg1BHTFYvSqOvRs
iPt/nlHfUrlDg8DCpVpsvjDV/vrSVjkhm3nOdZpmseBQLedadnC/ZFLhDAERlh1DNd4EdATspqK6
a3+jCtWbxlZfwm0rDOuaOA5Wv4aD8s6r+N2/cDkbu6bgjIscFOjvxZQyN+3sBBmDtaNRQlC8HZa+
AllTlNZGoRKNYhPEo4VazqZ9B0ateU6RvCiJhdYEURzZtK2zMiu5mnV3mxblmjPjoUvM1WiEh5zS
lSLSXY0EZingO2a5eefxLl/Tn27gYmPbRARwNwveKuyxqrCxpQ+vb03962hgFDL0hSbgm3r9zrK/
PJffLmvh/1QXUjq61l+/VUWXnV1UvHkkia6cmQoyeA0FAcVYvArU2X++y7fGKvunf1/tYoGRE3Cn
MuFqZqfzamOn7cSK5//nq7x9TwatCjbJGKAvRmoepW3jEJC5Ha2J1FnHI5ZqG5onuA5eYYt3ht5b
cxdAjn9f7WI+6VG4JWXB1SzrdUK6IIxpaymPkf7OXb397HDw6It1FMzMr99U0NOjkyVFUkeZfCW/
VQmnI37zH93Nj6tcvEfEQ6uNsPUcFe0zDsiVOfWANi1fM//L27kY74Qbxf1kcKF+SRSVL5n+bFX6
O+PtzZGAwc2gWKji7bw4K7FoOz1z/LKhabbK8GoQVVUo9Lu1EUWk+86E/+ZI+HG1SxYT5pG4awau
FpqNP4YuIkbYq47OKHfe+ZrevjH2A7h6qAZcDga7UktDtSemO+O5i2BsPEWPy7sknfesi28Ou2Xn
8a8rXQwI6JiO2qNa2E5CX8fDwSm6NfLjd+7nzUcHQJT9NIsyAJZfB3eTG3GQd4yGtrhd1hdYKL5R
PUaN/EcXMrFYaPzjNxd0aE4itwWrfxYOxCg7FKcRG0TspuQ7R5DfvyLYzho1gsX2iezmYmZtEg50
0B3ybaCIzcLkbmCLt1glyf0U+d/eIHIx6GPESxjfAZm/Pr9eLyOt05lYl4uh/3rss3IbadEVsaRb
aZz05pgDLP7zPPv70OCilK9twi10UBYXM1I6uxmGKPy3RTr7qniC1ntFiMw77/AbdS8uQz4Z6nT2
wBy1fr03V0PRLCRfmSD6qPVlgWAQAHX8ST2hXwrc/cgWI6VnSqb8OyXUN++QMgGgCAJTfoNEVDDF
rLDiNWuVBQ+Kdx63nhxG/x88SJuLYM50cLJczIXkRiphiKBoGwaoBWnjznQ2FejKf77Mm0/SAkXi
GhSOIKhePMk01QM36DMWe71FmUbrWsHiPt8V9Tk3tmofrWfqZuJVfSqqv3+LGu0Apir6ELhzLy6d
6EWWRskk2QyDFi+UE980YOP8nSlY/30bhSMGmYcJKBZP4eWxT51NpYlTR26rUKoI/0zinUqECOT0
KSq6GsxPZ3Oeyx3F+B4sERUxM24iNFqYHfRER7+Oj7yN55fYwKOfOteG2z5lDc+lMd+zMP0+6/Fh
2Xm6SMahNF72ZcK8z+LWNeWWAK8789a0yjVNqBs9iN858yxP99dd3kL2MHTUKebiWbqYXlErZEYm
DAmSGkuKY3HDsWK9s6L/fkjVLAIj+Z8JaoHt5K/vaeskWJPaWW51d+ItfZoq8k/lJ6miwp4qX0ea
lJv5lz+P6eUvvbizXy56cWeUW5DIIhzjDA4wH/aBYQ2onhEicQxxq3hdF83zny/5xsSOp5B3lfEM
v/+SmIJOVdV7u+eSZe0RF7INrJnQUwQDMVKSuXlv/lu2q5e3SHARRDL4LFRNLrazk9tEQ61KuR1m
uWo0sUEztVLBfVtz5WNa9QT5DNO06yYBaPq9c99bd/vz1fVfv9XOLtOZuiOUdGPwyhhvST/6MTKk
EItQKu2/5om/FY3z/zIz0eKd/M/JOF7REKJ4F798/jkdZ/kz/5eOo/+PRa0UBwhObl3g/Pt3PCLB
OZC2bIsSDQXVn8NxtP+BRApQGRvx8mK6/Jl/heNYxOawKwb4u9CPBCvO38jG+e4g/3mEUkihLmVB
mgKkTLHjYo+oyLlTs8lNN0pTuCcl3fB2LKna9snAnWRjl/CpKA4rouWjU2yQAtHU9kOkNGjmpuFM
Fp6510V1oyswmI24Y+oghs52Sgfx0O1IMtMaecI2xxl0zFXnmoK/8lF8/emB3/z1cX/OxtAwEly8
aTZNrWW1p5yn83guCQ0chLMmqlrdLwfVJz0w9VT8CmtQ5sFuHPSbXIcTFIbaNqIBeSZSy/QrvP4+
9IuPidpb27avV1mJ2BDA+wFPAFCtUXPXDZZ1j+y411RXUK4E9spGFeLFnPnXmLmPLmHbSkKwspoL
f57C/iyj+ZQUDWFbtnVUQyDzkq0q24RVwpbrOu5qy6t69FGixrvcZY6H4YXM47ZLt2SirlDFfonT
+rWy2pcIyx8gqfArrJuPHVhgPxqQKxVjWt5N0XTtZNqtMELlGqUk2Bun+GJCIvoIGO6D9dGFKflZ
mZVdvLgqkxA0XahjkNbNAUmcU50ohXi1/cVIbQNLPLLwc8XmY0PMOXJubQ7JmUg/xJXxWEQ4XKIE
FVw3Jxuy0I9T4NYoPgttFSHMc1O0nELB1crykZoDLMJBbN043ha5le6qan4YbTjuZk6qgdP3uxRZ
qd24uLxCJG1uA4yMnT0iJDmvsATEmz6RqWd00VPrzPGaADSM5qP9uVYx3hR6hM47fTGVXuwcpJ4U
evg4ZzE4ml8N7RPda49k3vSOzXPLCh2gUIt164j9kKxDJWRfQPj2aOFLQ5bjjUTorsOE6PRhdvdF
iaDeUTDt6Th5MBqV19bcYRGYhnZLDPnarbtTE6QfGiFPbJ4Dofcne1BUhHhPaGaIAAWMtFKlaSIk
NhL8TEiKewm4Y4CNuMroN6xKM0p8V6umTWBEuDQ0boFEaU/JYP0FASWtvjVug7l4TpcMXKt0srOd
mDuF2FtOC65nKPSRHdwNBG1Ua0123T6WKDfDAWdq1KvyYJHfvHJz/BJBfGgScz7BageBqMn+OkY4
g/UP82dWxjfNKNHJpjVLQ9lui96onu1W3UDgTogLpydpRL1BcjrchFTmG7ZgCUO5+Dbo8kNKwfex
fbWiCCmwcWMUmjcF0KA6GSYbxHqMtkktfJFnpI44cSAPmibzwxxVPeeOos8PXbcAhnXCWAaXaJpi
DFZWO7qzV2dD4xu19RprQXSsVG1rCQ2A5+CsJ+0wQew7N6XRXNV1SJx442Opu6bBl5InbZyKOX5m
QT5Xmv0YQ7bDovvJ1gGkK17SS3SxxgPpLOfJXmo++6E/1nMUe52FPyHCq4BNrVq1I76lcXI3oqsf
g9z8XJrqh6bMv7JPXsIkbpuk38Wt9lHXy5umaz6ELaBHOtw5aI49bVnNS9TG3hkZFxY87ToaPgzV
sBu6mdfA7QdQNY4/2YtXiNDRmjHg3qoZXxIgjarDCm6m7ZmF+naM08pjOdgKPd63xXRqNQWLulkc
VVdmzFT60xKCC1mzuWvmjjS8PH8RQGHbwuur/LGWyu0wfqKPArjBMjZuChpYINTNA68zKOlmnHCo
tSXC07TirkCFL2ZtZ4a8hWOO87ZALqdOneWpHOi8QH4MUWug0XZeQvkpKodtHZS4RPVnagEr3JED
6SYqRnDgBrMrCGm3kWfX6Fi6ajdm2lFWCR1u81M/lNeyBhvSlK0f1Ml2MVXOAVT1Jk3anbCbh1ER
2BM84EbbolMLz2b+QX8/nHKMQCUzxqbIyi+LEizSaxCrk/gyjIRwszx5uFUJXnPML2o9fBLCfilk
chQ13sem0IFZ2SnqTasmNULVsbZYN+SlX+ENLTdFJUr8zM1zpQrJaUeiv4lm4GfMQlALjGOY9tWu
brAZ2cl2NsvwQW/yO0U6rj/jzfO+r4zEWhp7vNjQDBw73STYHmFDEJFikh6exeQu9dgyV0TijLsI
diA/RoAUMabhpiizY1G0M1cc+nu6yA5TUOOewIsQWjNGrKlh5JUTiTy9FKu46AQS01Luw4g+poK+
4hMazo+totX3BZ4p/JNMJLUyf02TidkUS+x9PAb2Vs0HZTcLs7jV00EBIB4AFm/CkIa/dpDk+xIo
nu3Dphz3jprJjeBuqGZG1/lMbPk08jqWBKVrrgETsH0oHe2Gl8k4oQ3ez9Zk3Mgw2smq1G5Lp6vX
HTM7Tu3eOIS1pSzKa+NJwJME6x8fDJScC03gFAVKi0XcIe2H3QnhSvmi1Yfg3wPVXjdpOVybZdtx
yCNSI6yTzFNmOZ27vjTWsZm7uEDj3sdjPF1bQCU2jOH+nGEJwaKDkU/rKLYhBk9WGniCuzANmZ1K
jdQCDC10YtT+rszU+SDVBlu2AIc1p4VyAGV71eFvu8u1mipupjwAbtvPQzA/TsGM5ha979VoEi/U
hBWQnuxGweZ/Ew8GuUfoonYacn765vF12xfhTYIERwRSuxMas+w4zIofJF9np1Bv47nS71STzUCd
+CMZrGsTYu61rKbZqyiq+EMVRXjv4js9jCPfIJxzLWqtvsUBgwslJ89HyFszm81jPqcl48opriX5
uh4Ho21fm/WjWoZrhWQts6zwcphOu6+HCOhBkNiLJRmHRnOboRAHU36sqw95OcR7WfF6U/FjAYgb
x2/HYVOkTsDquuRBy9THmPKgDPjK6/KKger4SkZ/MwATNxdAbdU+nb2kxVDcOljxyv7URgru1xbQ
l7ocMjsnws4b3NdTvotmd5fIpF5JhJ0rcWVXzckOVV+x013UGfxl+CUmM5ZrxzlrTryYKNh2TMUz
sozNgBXVrbCAWN205Z66VWm4e4vMDr4zQrpC68Yak30lmlXtFnhN9J6oZvyerL/iS6N3p6Scz6Gu
fXFKdpNu+TXPKw5sPRL+tCoO2oiVKLEINVYzdle9ivFNx6gWdV9bk6ZyD9xiHTiQOCIlplwBa8Gz
K5Rf7HNU0Lme3ern1sweO+Kp5oDA4zTHLqmzFenaAW+YySE4mE2cEsIP49DvtPpKK03AqyNSoB4+
RmW8kgRL1IgQcLgA+zNGH6qoZ+u4RD2P/UMbJztzJh+pHkncIdAMI8LWSRpE5BZufYXiaQp3caUq
zi5s3bvWjO9lmeiwFWKs8AqOvsE46JGzV8xcAh9UvwZ98zWl+E/AHOFBZp6cJ018Lu1SwWHeEh4A
rPZYNZ9mgySt5HrMyfHubusOvww2ng+QN05Oku6KsCaOMpw2nVWyxtjJi0CIg/cXjw5mrq6YNG9s
a78ri8fMDORKqskTqWW3WjPs6ql6AnIncXVaB20KP4u7SivAXsU2tqY2+Jz34/1IzFZVP+olQQeU
ULjR8YHjzjU+umve2jYOsYOYZ6vpbpKBJTANk9aLZ/LU7JgJIty5qUK28AhYYhx78r3LJ6gNsR8V
BqlTQXJbJte9Wj3Owt12GR83rzRo17GurTCf7DQFz1ZMOB+gSBoxRci8krVbTolsvVI2y2mi3pYN
Jew8ko901tgf9DCjhna6s9FWJBQP9r27qWprYyk1kULafDDM5sAOL15TvQYQE/BJkJ4Yh9IlBF6k
r0HQmJ5OrxpsoO7hhxtqLKyz/FwosUpINua3fCr3TICabm/GZTiZDr+AE/JlqjL69iExCJrzYEzj
fBOnrPpS4XBS98nsqVV6ZufI0tZpymZsTiptrduhD1VcWA7RJEFgHNueJTqQtfPUGn3oN0ESr83C
2M2D9DVRFp6bu9UpVf+XvfNYjlzJsu2vtNUc1yAcatCT0JpkMKhyAkuSmdBaOICvf8vjvu6+VS3K
et6TNMtMiogA4O5nn33W1vsno8zOBO8tpqAS71lYOvsJhu+qb3vrPdXmbZ4Xb1ibqrMshu6xsq23
EptxGbxlqRGesXoRWqD+GsjAWJPBtHHzaB8xk7rsCkDEy3zsV5MrxkvuMzVn18FTAOjh4OddDDlD
JX7PjNn0aTFtdZpzG+SietVQAzzBuOIPjsPU/rG9leb0y3ECJlOm8BS6JqFvUlwm1mxvkvVzM/zK
eqbTfIOma9Q/Sjdsn8nNK27+FRPYN+HS6WVKfe3F9eqb6ZbA1VPvLayJxGOYjz/y5FeRFRDgZZxc
Q5CRXNpS7Oy8T673fxsia+VlMzlndLFjIZKNFXf6yg/Ezk+s6kJnnQWFoRYrm3fD5L85pd3twmBm
2LX0HshVeBqE/9XmGGlgkXxUhc4WScJ6ODOyziS9/uGknrGgH9pfTI68zSRp7UXkaAF3pUCNi1Pl
tMPSHY1sX8+En1stSPnmvZS1c5YNs7+m1N7qtCcVaKgoNiwm37CMO/qJealxYwxutWL83ljeT0dg
hlmI81QcUzNhd7bHC5HadHOYgS2C9qpxG9Hh5xFPO9d65sTrODLeCsO1uEeXRS6GfQuzck0i5i2p
1mWexoRt5Rc368bHKQCmDig/WNVTIlf3by2Kqlgl/W+T0Dr2sWvZ5vFWdzVrr5vFGfxrv7mf1mLR
D3suuhuYXzx38WKuMmfT9tGwCZl/9hgsntIC1rAJc9pIxyfWTsJimEfeTJlgjNKdSRNMUje/WfFr
Go7boUjyc1AYHB7xsi8DgBrfdVW4C62FWtSIqD2mg7EouHuKXH/iw/BWWouUYUVjukmdCR4Jdvvt
oDkAm6RnL6zQsC6N0B90w3zwlQTTjaWKs2yYjnbDswF3JcB5kJrbVmgOtI2q2PWEuFDYWu7ayUCQ
DInxTvOLryjMRlFN/K0HnIhRqfyzqJrvsrbBlfEoqno1dz2IUIM/Xzo+xbECGNPG4YPyPTKqlfNb
kk1vifkw9SH0/OkxC/3HwRyGYyCCcTPXXFnC3+6XXk5Fvhjsalp5dfNdzHG1ySPGzMfUyFdxR6Sg
ERDbGrMCzMyzbPpOjRtWvPc/r6PFYSAf3fSIbThirqhfxtBGGLqcAeho5DZ5QA3Cxn28/zPZ08RG
ztqTQWAGQFbuL8/HHWcMYNKToBpXcWbLbTUxf2g0YORzc2knbrJxrOI3kY7ZspiddhmOpD0F+Xgx
58yHqVh/tZBAVrp2a+ybzQl8GdY+ZUkGYccK6+jPe64Vns3QqrsAah2Q0dAxkq152brqvXHtVHO3
kxm4LI4KaE/1GD3LJmZjndCl8mh4JaOCI0KdvQsAWVc9s1dxIoJVkcbdMZkEk8dG7Z6HejpE2lzT
T+5ASs1D8Oiq0mDMiy/kSFhDmCe2DL0NetA++PhtwReLWV2vvTuUJCNklNSQ/V6rMnIP0sh2A4d0
4H7moQBo8j5lza7tbOM2+aVcGoz4ltJmpDYHKm/0unVx74+mS+RMHgH7yZtE7O9LQh6Z5I8EzBR2
Xfbs5L/rwPdO94ccb+apsfL0lCCM2Sj9j7Xw36oG2Uyr+mfS9Bh1tEEbNWMOBEtGw3mcycOILVIQ
fNEBb0oMZ69pxa/767cDo33SYnud5+/lSM0Tu3G/MET/7Ea+durVs5Njk4UXxLJUjr5YjkHE67Sb
pVYalM4MeRyZViVWskmNRezP4AKldmhKe12aln5OLH0Ta11yGp3nsF55g2Xtm94jA7WZLWQgPkT6
JZ9ZOx7SkUBA0278B5ZwQAxJL46l9pwyRb929XY41AxBD65od9LLqLarJ4vp4KMeTN9dJ/RTFa4p
PMiJzFIPsnBZbTsycJdmG167Wo+39uw8E3+c70a18HrzKtcyYw+p5uv+2XOfvbWTaT1lc62qM9j8
jB88mrWk+IT/EkAwycYxJlZ7uoS+8RtCWQmTg3eAydva6VpBTojbuvua+T4S78pzpmVbnUP0kzXP
66IAjs1GuzYNOsh2NneXYExvTJLkRCtNPfSJKlnHNY2HXkHJwi4kA3eEN9KY83LIIDclnf9IAU0l
Qmgn87yAD1i3RVQePS+iXLM7IElBKJax3ytLgRoMCN3garb6grAuMnJIN1glebBPPc6inazzr0rs
lXs8CpKTrzfGgmSAFjmGFd6qmYy3E0SyOvvEk1s9wNpmnihkQmyU07Guugjx1xqIKrVR+NQqwQGr
+kgHQY66TQaYE/tMjP7OGks/pXb4XmcduSdhnByrgZhcdyrLpU6O0DLKyA4rpCyXsksJexqtn1aQ
tQ8hZIyuMcOTNek7omWbJ5PouEobH+/reta560bP5i2bTMU4TDwweSq75f2C3p8YjXN1ItOr3gT+
dhqSbGvpyYulo08yGYR/DwC+wT60qtRDZvf+KfRFyngxB1J0V7Gf4/HBTlvug6F/KtR8QZ0w2ukX
7IOBY6+MSCuQwFJ3KwOYKBYEmH1ehCT/xlaDzyfq13bmNAsniltC6Ox11OlRhXhpUfnGOk56L4H+
pW6jvB9U8PY4wUYudmiE8NaSgpaAkX96DDmvjaxnwjqV1ZvpHgJ9YlK5a5Nn+WkJUEB94Ua3wPpp
dCCcxsRoQRmKD1dWJM+zkS7GaNoF6F0s7NzgJDqwfoH+3g5h9ZnOg3H21PF4yJBiffQXtR6Zs0uK
DbX/n5+o1kv6AmqG9H6kgHUjGQD3fFCjmOmqkeis+xvxsiza8nA+GA40+Kgb0VN9s1mzM4Ur4mOM
A7FBCC80DY61hvAWMxj4XHP/c/uV1QHYV7HX+CQZtGzKS6dl9Ya0aIFSp+1H0A/H3M0YUM4aB8Os
pDwMbPO3XeTjuS48eS6Zut3M+dCDDxX9Lg17Czq8tc1Ajj5orBVXrWrOKVIjSHx5akJV4VPeL5NG
N3fcRlyfuH0L0na8+ftArVmhMB5rgEqRF1wil8UEQeYhNl33MIXzFabO5n54GYHAUaj3RzR/a6VX
0UBC8NQ8sSTsg9DsH0H1hZWlvyKZwU7seYLsTAaLjKHdr1T+mhuSluK60h8hjDE66GuvaUXw4pKU
2vIaTTABDDD9u0yvfoSKeKINI+Q06A4D82iLNp/nw33DZ/R2mxhxdI4/LYaJL3PrcdRxtWyh4fk8
FDrqjN9XCQANrdhkSPEH3+JkAKmVeZUALPuoLwObkMwoQP93jCnbGLGvEAKyuMD5So3aOMHm+c6Y
emAGh0jaOGLksWt5LWrfsEhq2rpRtslyAARNS4B90zhLspbKFVEtrw2AnVQ7l7FRPXVadcthzYK3
kuQmT6SJV6nBL5E2WJSqI2mlZbNGr4uOhYgbRRR5uB88SZRvjzRQOAmAtxwc7UfbFZcSTRmKELd5
EYX+yVeHR00kzZ5cRDoAWvWaeDNNF1C8+zhNdto41V9JxrbO4OoJjT94Kauc3Joov2olxZuFh26y
0uAd8R1FH/aQNTTORWvlU4EmlSPvH+d5/Iqkr+1jBRlxgL48sKpy3gihUkW1YR/Zd5tFPefRrrWF
ygFw5n0sOvcpqVLERJzfg/U2+E0HNSX9DiXtmZaJ7OX9iGH4ofVi1/wyBIDHu4baacXej2FMabLw
qY8NFxJjtXJTaIV4b4a1GxTX3JcnjWisTd6PDwaMEDuow7f70tzVFZqJFeYnnHwKJteqaap1bbrt
WTMrkGowJ5phjB9ELcbHcQTIyBQDZofEXZhWJs70EwZ08URfJZNRwvdIDvdXVtmhePVl+xzK8DFE
1DzGCagSL12LHlTJ/aiU+oz6Cz88dxuh7hXxg97baWxnUnnATBpAVY6pTzNkdqvqMR/SQ+ZY+aNM
6Xt1ESnVtci2TCGMj10MfLe16bzkdW2TI6PHbKTVFln5nM/dd+rMynVLKSRLWI4aFPwip7tfxpSu
bXGk0rM2mcZ9SVIZ7rE+Xcjg2KcNaTwCdd+W+kwXcNIWwgDyOmdRtfPkq6NDmVrgyVmXfVtuZOYz
gOaS4M7AcThBqjSa0/3w7tLo3owe6ewyxDU7zSszyI9NG1lUhe1vsKrmrhfuNRZNva+hqKxEbA+M
C0FID5rg6Jr6Wsa9tzEQBQmxbF9aDTmD5YM2qHrWNKOMVnQpA+QGJ9zez/A08XQUlKqfT5PTQVtK
IpLWtGztDIb9alEvr8a8a3a9/QM1x34pVW+iSdHVgALW+4FiaJvBTt17HPZ6Lxz3fs6wttBrAbWM
h6BNh2eqfWtv1PJJkH6pZX71IW3K+AGqhqxBIMTQPNfs9dGOLJyKlJD3+xE36hBkh+liVUO9LE2b
x0VdnVKS41csuW3wrf4z895/ckoxS0L8HaYArDpMEv7jwNccYhRLByLjDcWbHo3xsaFtYDvxU+RM
9up+Fg0t/yFlwgHmBAi8Qm3IgzrE3F+jrso0U2vC7Uj/CjXSOjjzcaq6/MpA958umP/zhaj5k//e
F7LO/uX5Zzb8/C6bvxpD1Df9mzHE/cNh9MPAHSlIdjA8HFLyV9v96980X/+DkWzsDIQSKFfoX60h
4g8V785/GBbG6Hv84v+3hhjWH2qrgJp+DzXABPG/sIYQwYrJ5O/tS8L0udUEP1S3GZpV//+XYS9X
zONkzY69SYbghlb9WUbIg+0bSQQXGlLxcrLRF3FkXLox2A+BuOQDQUFB7BpLHdmZwCalacC4qUFZ
66O1Bnfrb8EPLbOI0dZeq1vimKtukUXhpnAwwboNAKpIpv0ya9AwmpltBxjYQTqutk5ikxYJ8AMW
iYWTjIs0s795VEgN9d0LqMB4ich/07zgo3C+ZyjBFHMtDM7Bvam3QHv6S7EuY6rsPIyXQ5kePKPm
C9DSGbR1aZ5BoJsL6zfBXfBIe1pC9/8z6/BllO6eBHVrUQZujKCfol1LH45nv3B7mayyxFnn7TwQ
MjT6y7DgJyWVsRpKDluZf/NGEmsSi35l1/AaZX8wnfSnelljx3ExJXZonr1bNhBL5pjYEqJpT7g2
ZVX6mRiwgF29AosSVt+0j3+gL/rLuUf4MEL6k2kLwziU6ySCCAYG7jOChxXOyNqtb7QLrZnCZZ3/
cEBVLRo3+sw5iSzIdH6gGLjlfPiN3rJ+2fMXybSnCgAl2S5AijrR3OoqfHNkHi+ajESlIk9+QEH9
ff+X2o+/tPKjVmJKaenvNfdKHg7XcDYPUw3nvM/FvuFsQdMqu0xDAec8utg9sBwAxWLZJaRFNF0H
hNWZ2KmwH0X6e05Peyf8a2kXl9FlhibqaeMoVG4Ljbz2HWKTmuB7CrRT2BbpWteRPMovbuB50eTi
xizMu5HXezPLu0WSyBfOYt6yST5qrxmXObHDZHXJT5ezloQ/u5Ae1D8zDwguYvZp8sdrmAFo23Rm
1lw8PrsFLa19PO2M2oOoZsm9pZnjPg2yfUFD6xi4JS6dCoW9rMnwnNhtL0DwYrjbgl7o0YwbHM40
YpexFl6lsBfSnrE5lu3Bn9jZ9Lb6zNR9nzpo2jIW3qYkcgZ1+wqJywVGCGfLJ2NlpiymF42/Imoh
3IqQHnUa+nvDDjdxUv3WE6NeAEwjAdoVH0DyJrJOjY/MMFQuPOfxJGPqhE1MPJat9axPxb5hmmPB
uTwBCWc82jpHkIkuoCJTLPvGP4EFc5YRbYpFjemBCcAnu8UcmvOILh35hvP7bezgcY16ytnvO9Eo
MiNt7Rc7U4++TUMUq1LMe4q7j5GKY2H1wT52YDdqab43RHDFYPFFDbQZKoJurdhfFm7AFc+rfcAD
ZM7NGrCVudKzpNxXHbFGkTy7wQdd6yf8dtGzY8gJIwjdMkeG1Ynr3tC0QZ+ihS24+0cQwn58GOY6
P9J13sdxKQ5BQD3R2PRR8oDWbJGly3wYbwUr0Vjp7wapLjtGAIplMOTfMpbEorald+yBvXMKD19k
Zy+aPhKrXLjhblBCWACu07KLmfb10O7uOaeWnYKzm1MsJeVHN0wguyArjsivh5wTFfYDTC5cEJvq
67nQKyDprn2sQmvc1MOzQ9zXSh/kW5sGP1xrW/XJQ2xldAU1Ft2uLJTUXH4U6dlPxh+TnX34Uxiu
6hB61whCbJ42EuriSo50piOnWHgyuNFu2ICVZ6ZuA6O1WUwvVk0KWSbwnIXlsCJowllTxhsbv4+W
+lDtGdqPFoAiYSnXI7MWMfmqfgVDymuuDJ/SFBxgjGmRZfN9aP4WJYLUZm/tBTQWxVg/FURerDqK
XGHm3/qANbsw6lvnZWoONuZWxgsgguKFvgHyotc9efFjqNsdlCwm/0orH/Z9+IvDS7EIso2YsvVg
W5fWJGs+N8VvrZ1bkjSgYco+xkc876vWgt+V89uhG4ZGBzDQLV6dyAxOTgyLCujYR1vY1Fd2sars
EbB91WerrjQU+zB+quwoXzkRLoLKH/odToASXl8ePcYTpnt9wj6CIsPNyQ610X6VOWkIPxFll5qZ
agvTR0WoPGI0Ij9mWfApJkgYXfUZ92i4iPPx1dVFeJBIUEapvs7skUcc4zGyYxLnzV6gC4WPja+h
HFoHWQOPmx3vtzsgeYnMK7AoYqeJvKHacqCll/Ywiem5rosvB3ORadYLrcMl7wFiBdETrNNYMX+7
+SJmjyrIL9vL7NG8Nfz0AZFyovUu+g3k6VOIc2CVVIQHVROMMQk4HfXa9MtDJr8r89pJDYk5ShWN
MNlTtk/PZeu/JyOWBzcfom2PJyftY/M6TzLAalXj15mc8prSJERD8IDW4XnJusukyxfHqMNFlNFL
xKJB7DYuDqdD3c/sdj9Apn8ldm7t2UuXDW3hNfWziEkcjHUXTqzLWAxQ/x8MeBe7Rm9+N2FV7h02
dTtHaWxnzOx976/NwY92tTcm29RbI+cXgCTrjyZpjz5dj0B/titto5Gic5Bi3LWacnb13naw2Sgd
Jz7dGie+tGX6OOXJWY9Db+Hk0Qfo8Xo9m1ArpGEc+ijet5X2ZMbwUzTnu9K7dHk/JJDIoY0z5iXM
E+syMNKFT8jaIr4Na5GU9krUZMoWpIB0uszx9bMXjcTF0dcaAgOrXP2gt+Vq0lYiepwK7wEl4WLT
v1wOmGHWwWjB8UM7a3371PEgr8Y+3DP6d1JqOFaZ6EcaSRTXGj9l7O98CGeMyK6nMgLyGjFIZeLB
wF2FzlqKr5EBuG22SPTqgl3xajp1xXbsAFpOun0J1bYsCadoNn3eaps4hugfgGun/3sMneEtFWSp
NIb/PjcWsuq1aWs24TFegbE9F9jnFqFsJXP2vv9ip8qfxVbsje2KSnLd0SmqqUqXBri1ZsZ/YkfL
yCq7fRUA19fCKNq4mlmvBpMWhEtTa1WGDIF4+YfZjWi3Hf5Lega4fqFF7aa+TpkgZZIPKynEGfd3
oe+cNuoIamzrR+kEBDJzbFzFNP1XtN0JcFCdSho/tMlePE2Ox1xnfe3Ks0wiuTdcxeW2NmbvfScJ
lwmPBm6qy1hNt7AQ/pJ2xjEe9N96TFnLykSARRIcgiKyH/LRuPTJvOdBu/ZV8DsphzctLz/mERda
Yl9HKTGSDIULgMj8nm1jp3E4WwXkg8R28wvT5HHsm3bTg0FnllMQ7gQGNeQYO/RGCR0jwUErpqtJ
/tgKtPAiZnNCSfz0vYGV3YpROsSwTrv6WLrxm8wU9a31WdQr79qU2XJseP+Q+QQNrVCzfogs+2r0
W+MPu8CU34bHcd0LSnRgiUigG8/uZD/CvLsludgOpoOXMeYaRBn+jdDId1K8hKSKLK0cZrSBgI0Y
aS5lgjWWLA5uiMZaTzgbqm4+p6H5y09fh/JYju6qgrRGI4Y7PxW4dwQ/kFp2mSgrTZiXePVMiOha
y6yaU7/mGeBJvpo5QO+tf6j6+MPVihJ6jvc8j8mnID5BBu7Ozy7Ath9c34j30Q/baS74ox/63L0M
TBHuEy99abwM3G+5QDlhTiPsxY4sl4wB5N9u0F0bvdsBgq4XZRv4i7aOchCl+tntneFC8Q1tmq36
YHQ1gQLGcDIi5Npwrk9m1qdAlZyfRhblZy7mCgz305DLBnEbeqtuq9agU737j4XbBIfQwwFoF+PE
j9BojbSvVRs559EChxg4pQ4m+KMN22BliUFjHQf7qA3N0Yn6p8E1NxquNjJjXOKNW05YVezu6R/d
AkEVwPyWv2ypO/yWUxXPWEKA5lkGcjNk067382M+Uc/xoCVLIXFa5FtX1QomjoSlZ01fIiR9ImCJ
sSOqLDQUzuyh/mmEEZct52EgVYijBtp/6noOWyMw9sBWyd3asMw161YHZMB72ESCED0273J/zUOD
VsPkqCi7iwhAYMFGWuQJfRihDn/c8O1KdC77oHQ3jexolVZCW8fOQc8iZKI+/SwD/JOI8w9Riy26
FlDtNTQaIYjfbAio5GNideWNJwYhESLi6KSDrEl9sh0M0hqRmfwjp9Rf3qXlOKSFQqWr/hyj1/vX
5iNfd/8khrqDWV/QAow/MU18yFIeSaH4DEPKOqdiC6c9xbAZZCb1PUMGVV99be7Y+DUnXLpOTSc+
TMeLDt059olwrKX9VRXXDDzMU2MEBzu1LAIWl503RMtZg3dndNrE6QXVzDHSTxtzwrKYhn4dDa2x
6aSYjsosFqmSAC20u/b8+EGf6EfqIoVRqj1mo8jXWYWTR+vPTZ6ay7ZNMy7e/CIKz3uSuTjlPhdB
xwaQd9pPoeEQVyBD0+6sF9JSFj62Lj3NsFcW3ZoUWn5UVxirnpOtHmpf1AuYpafs815v4qzcz6qo
8s3f//65k5nwKiNyizuDrIVO1/eu4J4Z+qZbN8QIID1GzxU5PRV5Hod2qk9VUaTUoTjue6wh9iHG
eLxP+vJK2q6cvOaMRTgqOv9kZ83ZkpTuSZFT7gSBsxSTianGNWnP8pxMmCs3ZO04K5sQTWzm1nQp
iTxbRL6TbmcnDDHKrFxj7HhKwndn0oOD65zsOcDgUU7D0gElTN80WgD4RqTmwwmnJxqSPe6YgurL
Eo7qMfULzDzrKIPy02L6aKJrhmRBltYNutu5NNtvmXwbnXTWlZJOBtN8sKX7o8y5ZSjeWnoap6iD
AVxSurNvD8tK59ZpcY8BNNXp1jnkJM3hJtE68pJgl6EA7vOQR119zp7eEylTQ6BouRariI7sKUwF
X+muSy8iZAxXV8BTEUbaLaP6QHa5zAXKg5AMwDUhrwnmE3+AvjeB9S+716L/GRjkZvi4muwg11UO
ncVeFdzsXu3caoVIDP5mmv4CU+OGz6xfKNEiiWkpoBgE4/n+OMBaw8XSZp8upC2T6JxFXCf7GO16
0Y8VL2ribXAEsnKdpDzel/qsPb42j5wvbRAL2dSwPUbUEw/vD+S66Csay32vSOOuYb7pSd+upMCW
NcPijIDq5cU+m5K3jIOLujnVfYnTh8op7B4xIBZhsVELopbMl5CoOUKv5g0wFnJLqALtEO3IpgcO
is6m39WdtZxnTNfTT50Dzp8vh646ZYhalZB3qkFbq9j3khUWwYK2N4ihVdYBPO5tMnNdqjBsF1xV
tSA081LDx503hA0NPUs20UCf96ZW2BL9UlNzFzA2ysibGQxkLaymdyJq3Ptno1ksdaZ4r4n+Xd7b
9vfLIdRrLuIbAMeftcfLUhcCquPNkBqBfuG6Lg1/WRqZtRggiHau+36XzJKcH3f/fCelmM1SIFyJ
dJN3/WW0x2uShRi+84NIiThL3vw6/WnNzVMWj9kKNuq8yzxSF0qfdAVbYtGQAvt753Fa0VOaNLrW
DutZm07uyE3sjM28aX3tlk/ca2qBvC/cY1hzJBu+HBcxqBkZ8xk26vLft4DRYdTXD22EejX64nJV
PK995Di6E2RRYBsk60gLZHoQLYVRiV0AplNar1JRhDuW85Z9GV1SPSZjFGzskhEsbFdqZV3Rc6hZ
ahdMULV4Zv2bHgw/q6p9SZUf4C8C8H8xp2apicu/TtvZjFEbwOeY6GUgEPjY3wuqTuO2VRgIuDaC
u2YijKbPjzS5wKmvmTZeOkX3FXPDidG9RAlP1100zKrgpl6ZVjBElIbvahFQ11b42bfXkXB6GIv6
sU7sfc1NGPfclZW2VnKmX+lMpfPk08S6JJZ5Nf9ZUO9/mhxW7whGqQl/zrFd/x8mh3GX+X4HNgZM
uXPJZc75HWXMjj8719iWY//upIiJEprQ//xRmv/VL4YMAlSNFgi2P+vvP0oTntFEEcRH2dSbMghZ
EuyLkoG7hKmCzrkIlmW1iigulaG2/L4nMXyOP228/13lf9Ac+5z0oxO38De6BRGYv4Q63PQ8zVEY
7zxS33peOLkgn+rMMNVsMv+UaWX94+Siuidc6Bk2854eWvs/vBErAUQVTbG9kSYPnnrlav2TOAuB
pzte8lkNzQP3PDFtPL4uo0ug3uNPZ4oR9jh6CFYH4vMuLbKuC5E2KS9qiU9ZgXsL7VctcpPxNdvs
mSXgSHfiG8g5+fMgxMw5SxI/r7XIUyxmJFltra4lrvXP+yX7vz6Q4nj+932gbf+z+5X/zP5uPFh9
y791gTxGfRnpBYnrwbkBg/UfXSDzD1M9VS65skDqcDT/7V+Ksumif/2b4f6BBuuYEKiBEOi6xQ/8
jy6Qa6mvt6GkGMBW7f9NG8h0dXUH/mXVMhymkHkd5LshBEFEUaiNv7SBUpmngzUX6VbUI1FQqhKq
KYmsSF41/3euKiXVj9qRZIlPnzIKh8Ye48+LVPVVUNuXJOwf6D1c4h+F5jPB5s8PQXYZKc4UYA0p
+BNd69lT1VtNGTc8BJR0hcEgQsDEWp52rzBbL0lK1ljpElqhwTpd9ZCAIlJ+F2qkd43R6lCq+lFQ
g8zjMUhfM4rLLDfOkxlsol4o0TpelSP+gCEjTKoGpt8wZsU5kmp1pGoNy10W8gN9Vc82IogQN20S
c8obbdXH2XhOeo6BKaSghW0YzMF18zfZVezQL8IpvshT+4HWhi1025mq68I+aHbBFTWPJCF6HZxw
sjedtKjakWRTMzbHoKFNP778ZHSB/KWQsTGfeRbKebsiIXbG/AfZDOnUrVG2LFTE0EIFCKcWuL12
rMf+F2PB+0ApBhPSQe2Jbw4W9Ncc1N0GeQG3FQek+gPp7C1IIvoHSoeY9H3fWozoIFAwwxEcDDSL
WYkXkVIxUDMI36S3JfWbuDDJwFk9janm0T96ZBAlh4xKGPFQSAqUEi9zxiNjkob0drmeGidMP+2i
TrKEGZiQUIghNhbVbLFN2SRRJR6IaeH+JnJ1k5F86fRjum3JudsZhHByREopLwgboFL9KPuKpEsl
+fRK/GGStCa3r4g2XcUp1vBpzWiej1hdDPOiIp7N0pZVMh41Ga0DJvioSjn9IDhpSnqKlAhFXhzD
uehSY2YyTYZS1d2wsCAbol9lSsiKULRGlC3E5VWipK5BiV6YIRqs0xKvcIIm5jRE+wX1WG0kelmM
bobFjPbsVhbfwlv6vSTPEb8WStusJDcd7S1Ag5NKjJM1KWYqus1NfhgZWpQzyJNPIlXEhM2qQdFL
lbTno/H1SuwTSvZL0P9GdEArepy1lYE2WE3tQ8OMTiuwqXKqrMkRsC1oE0rqlYRnX0K9s1fzpn61
A505RI18iy40Y9RDhMlGrJjw5e5UkmVs+d95021bapegT/ZdjQhpBdCIMCoxLp98MPZCHyBIzw2K
aI0y+ozp4NQrsbRDNQWFq4Jwx12gBFWBstqjsHoIeGZ3RND6CPP4PIhGOTol5W++SwtqZYZZH2KP
YSMbA3OC6uy0oP/SBPnKsFIfZTjKTkNyhQJfqCGjnBGpON5VSfMRRHNEvLs4w70ztubU1StRzW+0
N1cRNy8RQTjtzG7nhFQFpV5dc4McQqdRsU1Nm1B1hx6OVBEvZWwfMZZMcBHt8OiYQ0b7BHNQ0ob5
JpZOshjppnDT8VwRzYg0Qtr7bk6Jp6FsX7jeGJzOaTf8NObyuc3GPaQqLEjQ0aqZYO2h2plufIBt
9z0w4cut3tEojHrElbA40uFeM27+c546TqKpiPfGICG4JfjETQa5tiH58aSGJ8uom+oH+Ac4Y/Be
BmMQrNrG7RmUG7ZeT2hRGL4GDl0vk4eN0dSKXk9gyI3u95COySSboqttayXD9dq+IfzrgFGGuNTa
JWMyD0+lj9kqiEp7a4lpH9/P/hl4xcJPfzHryZRWHIPdJF6m6FjpvdToV/DDLZ7Q/pqArV+NGTJ/
ShaYEDNtRx+Vdg5Y5JjFxYaiH2LeYl96zNYRida1enq2I2O4RDFHVkfIpypmTmEqaro+7EcEkjHv
MTFaBA4bJYflvGek4GNoiIetiJZ7RPW1toygkgXlhc994s/nLOecE47OFX+U/RqnM4uuVv3q5LjB
QcBdARiL1m/9u7GD9Nj4mP0GdxcwR/oelP50LIkKxKmw1Mb/x955bDmuZFn2i1DLoIEpSQDUdB3u
PsEKCa0N8utrgy+zX6zI7KzqeU88qNyDCga7956zj4Z8LMpMPpMk3NrS0k/jOkZr2pYwlZmu8WL8
LG31Ct7AuolshH4aI64yzbz8wnlSA0EpMmTaOZLFPtzBu7U8pTc1xBAaaY9W7y+11Z55n/ccne0O
kFp2tgqA7AP+lKdIF8QuMogyU7PdD6KdfTbDxKcS+km2pnS/dFP+0iWT+xN1ws7Vqs95dOonjFtr
jFRmnJXOtC9JYrAYKCRnmyI5U6WeW7BCx9opX5L6V+wUuMIVjGoTktmJ5KUdYbNrBB5fUxL+qM+9
uaQBncyPy1BHG81iaSVAlv72GFhFcyR5F1FubnijMm8bcSmt7KCH+OA1DfvmWDQlikqdc1e8q1re
owa53gYZ4S0p3OcIr47ZagXuDf2NVO9ldwvTEktD8ajMw1M3aIxZU6xrsR6tYWWYPrOwPtaZ+ayu
UyDCEhy/RsRKcJemnzA1RntMAtO5KfkgwjDepXib3ohKxbBaiC+NFac7FXP8J5Nvkl2rzypEFNeJ
qSPQ1ul32ipP1Jy53E+N3sNv0D6NRXefhjh7lkwTryiDv+pOp3uZC+5pQbO5n1EMbHPYtZuicebn
3Ine1LJA2p1XF7PRnX2OdHdnuGQHuW3QxZzWIXOEx0kZEz9eomuCMryeB3lJZXuZbUpDd8ZqRJof
iVGuOwecs+xdqqzui9YJt0PikH1Dxl8Th8FQrfq7qnibdOB7ecw3RLGmj3Zg6lT2C+tifVsMPbpq
7qju6T98jfEnnZzEBLehJsKvaNLHTZS9kCLNcKMbumsukTK0bTscZEQiHbgu9hGVspzwBH1Xknp6
YCPGi0B1btnzdVqSX4ulfrHbBRSF0/rK4AwXXeL/mMlZG2gAvbc4E/FMlXKDX61eg7fTR02KemNi
7fhaMsLeiEEZH8MGoK/KWYV13nxqlUxe6HKYD33yJrt5ZC6pxls8SvgIOk44eRslJw7QF46d7hAV
c7WP0uaTXaNxriJX3zuL+sPNmVdmmXOUKVm6ak1O0MkcOMHyXuOjAZAyMtwN7Dm+liTSJyTTtz0S
pQxjA+Jsv1vD64WbPiA3Ir41RD6wBtzneJ7shJzNuZCBQTtZJtbJzdSgdmO+J1hc44khbf0qzPZW
69oRsXyJZ9r2ShdZVfTOnqTb1iV7qonnPU7mpSZra7aab1WzZimHmECYuvQ43qF6hwRh4uDoyWue
LO2WoFVPU+NboXLUIHPVPYFWWxton2g1LrKqwewjtQIzeEtQePeCSR/2CmOKQd0X80KY6HyluNhZ
tcsBbON2U1OOio6++1JVH3nJbElbp7SpFC9JD/OD8QSDsKYN+kE+Zs3cn7U1e8eV4duyMhissDhP
+C+DJH5x1hCi+w+XySFJa7LHPDqTS/fbjfeLcWUwLv7z4l+/1S48R03Xgt8e9Nc9fz6+uicakcjb
Hxfnx/3ev25iQDGefvv13269P6ol1vCgsuhW9IqOzfojdcl5ul+9X1rWaKa/b/vjIUlcEAB1v/uP
x9z/wqKt6U5//M7ff/Z/dfe4JlARHkLDzzSL49Al5TFDkjtv5Xrxfv3ve+63McpRlig8tJCnGDUq
TXn8+xH3S/fb0CW4NEu3LnFHGbN+evyumX6//8X7j0obsE3cL1rFyGNYkqsdW5yREIowXYs/7UfT
1o2XOXp5lENUHR2zjxDoa0j7o/owzMs/niKKv39cClEODc2AVgELP44ytcCZOxXH+yVlJcXQ1MHh
Ua1GAUVnJrj+AO2Q+OPQfrn/V9gp8VPS70TazX+qIGk/3u9Q8oj5twIgQkwkesWoxDgQ7BoRuOkm
ZISu3tv7pfv92mJw//3G+3UbYd++dzjtrg/+7U/cr//2d/6+v+qW6dCleeg11sDZiWiZIzzrBqvA
eNSWCAirJR2MjOsbIB2VYLUc3/52blDJjOtH2kYK95frp3m/fr/UKtGwcxe4Avfb7j+MNZ5OZ5Un
x3X9OIyKyEUdzjy8IW3YM+i4vwf3H8n6ifx99f42YarVcFtt+jZD9LK+cfcf9/v+vnr/JYMAwr/u
pYvGmeF+/X7P/YEpeXrbUL2GFvPqiGR2IqqtLapz323X2Z/D4GsBjjDqz64E3pAVl7EJb4b6lfHX
vlyGcwOXQZTqAUZpEHXznlpyTwiRV2WKb7v6ruT8OpM6jA+OiQhLgPqEp4yswupBmNqpTN5s0gQz
4Qa2Uh1rrL21UX1NMeUSA5rMe4SygeWEXtzKvTRbXxokcqhEU4rRx7DSZH4L+D+rB49l8NYazc7W
fkXlr25J/MJYxRTazjR5dePIEBldSIRvzJIB+h+/yVQfBj9nWMRz7g1U2m4lQZCb185boonDVHrK
FKz5WZEX9xEKDuVdts0HoMDHYXoHc+gnlLxZXp713vbLqgtoMOxKlOSWUZwqtz6R/ylPE+Hrsmcj
qLdBJnBtFikvggqm/DJGxtHuu9NIGC5u9qOwtH1lOGerm/YAJvZhqn6fivmlD42PMYnPS/tV72nQ
RvFZ1TL6pSmD8IWKYDoNnXG0ClqctcHkYPRK2zj3s9yrs7ZvK0y89YQXl1zniVNufh0GTiXKdlJx
pI1IaLqKfYD9FC7O61BUjw6q3zpu0IOF9UYmwzP74EsGfmF9Acb0JjOvsvL9AmGyn+xDVYw/s1x9
tnT9tXXFrUwELE3AA8RrpxkqzpjZZklCjK7/mGDTCEJb8qzn3/IGVuZSJ2R3MwkNbfUBd4Go4sMk
mwDCpJfTWrV1D+vVtvL0wtmnGkOky4TqzJT5GbbIIVe0oLabLSNUvK+IVHR5tGX9FvXTqUIaaQmk
OmoSaHDW5+naWCkmEG1vFNZWIq5v3Okx1OprBjFGdfLjopQXd+J/hzrqfHFkFlTsAmAXHxXzS1zO
TPA08gpDZkqmL4V90hFjZlZ3qKo6yCCsKNF8ouK5zPqrMmT7xNFOMhIPhBDf+hQeTIT5CH+4TFS/
/Boj8EhnYkkF4XA9UbzLzpr4YATwijlwXeA+RnjsTftsOuWl1fNz6WgHq08umWMiCXlBPAY4a+Xu
29iEaTd0yXufx19wJtuCpYbp2aE3tFNmaMe6as+No/uO/VEq2MJMjZGT0YxIVwmiHekFKFsZIlkl
AJBMkqeK/nnWvxnTN21Ge9nJsw13I540P65ZfLp+F80kjobbpukeRBmxZibfq0S/DiWnO8c6yPAV
Oe1BjA6HAVvNaT6Za3dvkMdRp0NhnMRoP6VgBzJrOCxp9Dlpw9XkL9A+OPKXP8wpf6Ki3ugT6fV0
Adm8MF5dHpXOOWYG0dWFs5Np9Dg0wgd1uK9bgg8Q90FON9Xm6rTyTdTOSTT201IbxxT+Xo2EVNrt
o4L+tI964BaoXBuSOxNc3axWZRSwQlGU4pKbs2tWjl/t+NciMXA2FdyL7sgonLd2r/Dls5boMe6H
DzTcJ83Od2St7mqp8RfEW2JoH7k27UUiLuMCEw1BYwugKxfhaxPPj1VqfnGL8iPNJQV/uAcN9gXG
TkDbcjsgs6hldWjt6ZQxB8sFHbqJliPKDEfeFFhZGbJeO2SQOrw5hXylbtirdRiAvj6W6hly5CF2
qrNEYDvY0VMozUNHL8RozyVDc4buPtEmDHuIg65Z3VPjJVPkg4avPl3OU8hbLMrXmuIgowPjmsuD
wltcaXyTFPXBTtMgVKN9WVv40eQx1+N9XrgXLNaPfVJ6GQJoHXxe3GRXIIw3a7Cf2L4+hKrzNoTh
i0Eqlh2V+woXfaSo+1AJL0OmvJhZtkF9e8FqHhiQApd+DWJXDhmCkxoLN3QfMDioZglftp5sEe8r
GR8rfLiQc2iMqoe4jJ7AXV6tUtsvebLrCc0tCHHtzX3Mll9gY2uWiSjg4ZqozrUPkwu+XKagkELc
Hr5achnH9DQb1g2b3Ksep3TFcwOg3qkyyR3W6l38pDdvydjsOotCD+msEChbtWgfhvleLNW+1LEb
Tx9KO+zH4rEJl2OtOUE4LJyfhH//iuvZ25zEtxySbZej10dFZ7cHrepZZTqsURgSVOkvYr6ofAvC
YT6IdNmZ3UfoxC9wbrzZnA400jf5Uj5VyXDQURgRZokGuDvI55QMMiQV+DhYNyvCm6PSC+FsyBOm
pqIfT8KEuhMbF8saydaV+6yat3UothLvrJpTlw/FOS8jP8uSIxIDL5XhO5amH0aUvVuABsKuPBAO
vhpg+U6TEm0XT0tSvaZ0FDPH8IXTXMo8cImuTV+EGSTE/brjo/PNbl/H7NaEjBzxs3lmfV4i3VPl
ZwOqDxtvyWF0NUS+sXTtVrpPZk7yh6rekNQ/4cJ7bLr8JZmiQ4XeIJTaTk2vOOhcvd6T68s2fu24
DvFr7VRfqjrcqkW8DWO8lMlyNB3lpM3pxWE9mWckwLSFL0ZlbivonzYo41GJYfviJVlYEcLFj82K
bzJB7onm8Yxto/50lvIWNYmv5likM1qIiq9Z0yFkNxEGpqzOiWl68lDaltdEF3zSG8Pqn1ScXKHO
FtMYjpae3EzjqdXG7eJ0oPAzL8+MwJg0b9RyDxv3buqmA/XY3hJMFsxdY9C5jFn1ZXHGLJFnZjBn
x2SyDtVQP+k40aMifzCcZ7d1fqbuzZDmTenE0RCZ7wBqauqtVk9emL/P8BlFjCaIpHonHnddMZ1o
TM8FHlRr2Y7WcQrx44faoeznS90aiJwIHA+br1TNuXGcVLZdOCWcoFnhO826hs/ezBktdCXw2egY
l+VpbjjFN8pXqkkvsR+zvPMbCDt9XdIHn/x82udqHoSJQT+ddqUzbStg+Q3eIlyOfmmw/YoOfcxi
11c7Vav3LmznsvzmRDBg1MQr6J5baLJ1PbuIsA00dPKuE0ISXB40X0euXpuPVidONjOaygwPZckT
DSmco8qPCuLkuwdk0KcJhaoyT9/Rdz5ZSnVY1Dco3cc5VoOsn18SazlbDo1Z+phWauGBFzBVsmNr
EPWsmwekmJ6+2Ex+F48OGG3mK8SvsyG/lLI+A3ZlPcqoJUaP2J2tQYk00+UOlekATpCFnTUF4lu5
kp3oYsOWiRKTKQ4mBnkbF9VXjcpX8MozxUAQFgZJmAUadmlDYfnOnqdCDSIlPIiovOQNm2/opjSc
XnujDcyQ1DLgjHnF0R+/LpW8TUb9ThzLsxPitbJin+nejnCtTd1/dtqwG8DKSgqehvNiO/pKOB9J
p/eGNeFasFNm5VBVIqNN9bVN0ZxDp7SXmv843FfvqtYfjDDaa4YdWPovunk7XRTnOY1Pejo/xSQ2
L9F05g8ySomOIuJQWePtM06fY0AAvKe0oBOYNAydH1f4Gu1qN7rjDognqkukIzFA3zzz+JbtFmDt
nbvg/XV3s1P7Tf+Q08svYGyWaKxMfToJByiPM/p9Zu5MqaB/ISq9Fp6ugj3oC28wEqZwzWvFyWha
vKTDuYxC0pIk15SLp6fTrrYzvknWGZTaSSPjmruGcc0q6vxBoIZf0CN18fMEQ68dOUd1mN/GNEiq
Gm+u9aC85ik1ioMiugA8ovVBbzKB0tnjdweWb5q9IWpqHYH5UVbKBgl1sOiC+HqVuU+z63nh5eoB
AWKqwZHVak/HgGc7J7NLELoKD9CEF5puwCxsiE2CGcojnUrcvcxQyHbHaXyIc3StY3WIkJks09Z1
Q1/PVb/T1XMCQmZ92egLGTxUh1zIY/EzGQsfykzo4qnQ9KADdaU0gWG3+1gZnkm1eK8q2qy1uDUO
2wY2t1XNKk7VWIMYblbh4sBevZuAk0kPIwCvA7v+/DLZNlm7zIJQaQ4dc7QUqEtBgdPyIvCXABnZ
9XbuQTEL4L7OqKcN9osq63NoLDdbpGSvEvmd2+dw7oLcRLc9fQshN2a9exRt+6UuHvq1PBKI6tnA
95K+ttuvcIrbCKl4gnxhTsatMtJblFgPVqzsyma1aHAApemlGiSvo94VXczS3p0MXf9U0LiRLkr/
vFX1v1jzGBEUVw+YOAMtHoBssImKrSAb12WMAN523qeOuCCroaeR7yyFXZJkbWcFLFNrlxJhPs+x
zx7l3Boncsq8oUkuZs3EVx3QOqqMBSwP4EbQuR1xukGcaPuB7KnakPu6y8DltcHkartlrnfkzgZR
HgWONlG4WE/0AvYGfI0BgXnJ0qzH84vRGL4KFbrPc79H51N27qYYP0McSZkW9Jm16VfQhqVfcY0H
pXLpFwOf2acD+XTkhLX0Bka6eZuUzba16Mpo+t7AV5eUlQ8PlWJ58tYPD+kpGrJxaw6jXxPZ4PKX
7bW9M/THZKBHqzxEtXYwYpcTqgShBKia/D6VnT4AuDC4N39wU6XbumOEWEmdBhQDqeqIyjAV3v3i
/Ue83lha4EicVs9Iy8rAQixFwePvdyFFWMcPobJ4cGtrzt2i2fZAnRnNRYkWzEAm7+2PP7ohf9/2
77ooyRB/7XqeiELI7yZjWL8Lp04wlMs+W03LDuZId+j/NNAa+vJb3AkzbwitJBVIH1uaiQQ3wx+U
3g7+6rAZHeTmv7pfGLYuaVU5lE3/7PncWzqDSfFOjG67E5XiSbOeGCuZVzkXHNftSs6Sxfge2ULd
5DbIy3FIrVdoNfjMmuE9rlznMFb5sMP9WTzqpnwrqlChscOWSK9F9yWtT2zbwvMy2s6mB5x9qsIY
hbc1tO9JofDFjEr7eL8aMzzKcJS8Nf1UXNbcNA4At32PCdzZmU2eH+4Pk5ERWFMYGBBUsMH2Pe7U
G4W1eltG+UHoBny0XM0AHjlpULCH8iemUO82PLu5dQ4x1eDNBgX9qujRzq7NZW93WuXlKgKublhQ
xVFbtLqiP2Vdzn7FSnYyGjEwOxhILDVMznU6HJBZj8+iLHNgZvW3pByZ3ywuBwVJ4IFeGBOnuKtp
VqDz8ygLVLoUeSJ6vLix9ag2xTPID92DEyI1S/WzaVJe9Fn+1Ma5u8QqZszCLAJU3+FHbuO0Re33
NuYOLOxcXU5TMeB0VTMEzZSrUq13Evdab6wIM3yqIIcLFj6TBmeMAUnNvmfkBmFujVxmVWd1laQc
K7FpovMMM6sLhuQwlAGdgpJ6Z+2UIm32QpXh6c1x0CJ4EgTWpADaOpslWnJqnCopAaKnXo2qoFI4
9RgsGK4W4BEDPqE9g7X0hS2OrpDML3ndg3kQ1fIAbWz1Wxzm9jKgyEAZfVqaELwdspx08YweX0tR
kVOLlN1k6mdjPmK5qpvmmKePeVgxOE7xuY2HPi93+cB3wVX8aui2Vt4fVMKBNejgThd7Ai5ZreHD
6ryZBJ5S3bv4jfqyRO+O5GSJ/czGP9fFe4XOTWI73iJaf2CmQrOWVuC8LwZiBn9aVOPMVlCFv5Gs
wx68e3CAmpQL4PKixXSY76rM9S1oFmUb7VIBeFRJDpBBtz267Sr6NCSGyAZTutG1+wyZXlcyCQar
jiMu25afZBPCp6jTT11/oMlhfhThB/pUC8OhTI4zZ1VxsBodl+EpUukCwrQdcTsp9auqnWr9Ai6K
j/ZIetzEPDZhdYp9o6DJ5ldO6osXDMJp/NJaDzwX3oYue53cd6194YSIWTceaaIp9Xbun2XJyq6+
p8mqYMGxSe54btm+nKsN8DEmrNtcwVhhfOWS+speGh5urlyx9Gjm0Ubo1UZfTI6rY1LF+3rBgyec
c6nNOx3Ivdpb2B93NRxVoN/s1I3NPMnDVBvfJmc+0rf+RUGFf95Rz+hJX/PrqDtn04CFWt9GoHed
Kt/ZI9FfocXYIF1EXdGFr1K91ZxjpAsCu32YkQVJB1lU8Vln8Hj2Jqwto3q/uzfZ5sdZwpuqr34x
qkBjNcfrSH/VvUzH/cL0CqVZa/O/VLRqldzYOWn/mKkLE1YdNvN7pJUc2cqDYX8K9irVcMq6jspg
hOiUbXuqUCC66KztF2fW0N+3J2eZjo7VPM6QtJbY3mO2w10w915FV9YxDhXTd0F+Ejrwi2tVL0al
U3CTAiyaIF/EY6SNe9GdKsMNlkwcFr7+GNiAlLhf0lal6TqdcPRe4mrerzRzubMi13enYWOP1cai
Mq53LDOZsYc6B/C/jfcJGhlm6MVCdZ1ghnwe+m+1FixaINu3gcU0elwPbVULcr3ERzBirPkVixeU
3pHqbuqrrVxDYyV0XnPgKqj1vxODMT7XZO+NnlHvTfUg9RNoySrC2PqaOB9O+jFkP1OOj06QwkHq
DLEjt9JZ8z9Wa2O0xze72kIyvJ01CP/hZWaPnsp8m/ev+jAek44DV4Q+Qi5/kBpTEmMTR7d2Wi69
5pxz3DPsMAYl9MHwBmurQTHM96JUvAxCZJkhnK17zySLcKPiIQQDx455ix8ZirO8hKNzIMv85ibN
V7ye4lW120/UmMxHu2ttL1cdV2tliBPdmpKzxdC3zy3OTH1UyAypcWGVOxCNvhqNSGZMvs3ptUfL
MKBHYO6/qxN1b8Oy7J2nPL3cQw264cFgEj/Yr/UMIQoyRW/BtWNx/BHOrfvk6GN3tG1CeUAei69k
wFodwD1DWYnVijbilCvMc9HTWi4sqPH4EfLvrn3GPpJ8c2sYz+n6gFFl9zRVxkkp8GCxDNNszS/u
YmnfVYWtCyAnlVFxG53CCnd3hsjs3cnc4/0RVoMcp3WN+rnCKITxWMTb0cjtU9EjxrK1qD7mg217
kikdJTr5J4CF7JfG0cRVd+dna0yuuaZbT27bVUGjWw7j+br5qGR4gGgFPcJK80skBOvOmiyR5T1k
3rJSz0unRa/2Ao18tmvQas2zY1k9IEDne5nk0VMkTeWRxi1QjfJQzTFgplLJn9u0zJ+T7iRA4D/d
bzGFLr1JdYR3vy8fLOdc59GD4IyCy7M5zvbgXoBzUxaslyjU3Etn4UubFfMrE6hvfTyl0s+XFA5n
ef8pkCyduhk8WuokL46CCGwTgpE4OuuP+6VIya662bj7XinHibP58AvKBtPJFCCzpcbd1sA+vq30
6mdd0oSbhYLcVNfOJI5q5/ulGffaJo/yyoeAaVH7m4gCZauwzGEHnBL3wveCzoIxzEc2uSxliwQ1
6oQdu1xgZEwGGBZ00/xk90BgMwb/27u9sAyjgRONErC1a1/uN7EBPAzp1N5SkIVpDYdAB3UN5Hg+
3K9qiur6xYTj/n6VpIKX/y//ng8/kGILJP3/d/33vip/9O3X7ncI0P1X/qn/BtqjG7ZuqsI2gACt
qJ9/UIAc9790LA6OQVgZwXjkC/6u/zZU2yLa03IME8020WL/1H9r/0UCkgvkHofJSg8y/l/038a/
GC00eosWXhXTwclmij9CqmE8MAyCTOK7pA8yAPQMotk0E0gP1cjkYqRy2YYlHmYkbObVOQzb0+CG
TMdOfenepICU3me3Xk1uSTK/xUW3nd3hMpSPbgNIDFMZeAXNSR+KbPaiJfnSj8MHkpknHWZFmPee
U4SftbowNp28Imu/VQ6rRLt4S4+DC1OnWr4lSFCyOmZmCSy9yB+JHvIKHYdk/LOd/ofAc+df3hAd
XO8qycdBYtm6+0dkVmJ3oyaNATjZ3CIjb+38vHBK26D/TSKh/YhC9grmaDxhdIwuKERLZtXUpejG
r0Br7Z1qRMkzjDviL4fqFpft24T3/SMV5gcmZBNOfk6MjiLjx6RHhDebTINEPADoEiqFzZTvWzOy
N5nRtE9q5qOOHY96XJ119ZdezMPBUdWHPKVFryXGdlaZ6wJZgTvCGLDNmF+WFYAG45hLL45r5RBa
Q7KFG5cGLQTHTTmU6/x9ZPjuzgqrf+OxIpQb17Tj3WyExtrCwuAM1vok2p7NVm+pT4WFLtRMFZfB
i3Aveol9rrbiK8/lTLzTyg6U7rER+kLjHxN4C1yATkF7tSfmdtQbMUosQAUWjHAcOFFxW9SF2Wbn
nDVrrr3WJdmHzBX1RlHxw5yUT90KVaJY5Hv07pYI1pXmrGD7Pfx2rP4by5axRvT9Zn5guG9is4Cz
tYY8av/CWuviVoePNIVs/zuq0eyzihP2/SGD6VpgR5ygVs9VM20pMT8cDS9/lhafLhwMmY/1k8uW
4sBkf7uIMTq5pfJc5PZrl/fdAwp4tM8SEDjZJz+H9UKVOPKqosedtc59dkZheGpBCpUdwYraRNZT
ErKo9zOZTxgPGbADpaxJVNs0DkbCLqEeKFp8GgK2hFzgHFmYYjf/+R35N3ntpm1iY2NZWP9ZV57f
7SCx06AwcwmSULB1eM6I1AbWVRQwdvIVx5kJ1ErYp7kzdWEHpgAPy3dd2MkV/4MPzwjUYU/mFTYF
Wqoz6oDJjEG6aN0XI5YqRS6CkqJ9bRWI6WFRuIfR+e6srlyTaQJtuHr3n1+Q+i8HNK+B+F1QbMJ0
NSH+8LdYFUgeCCGmr1c4SzOsA9jXD2wYFy/TEZ+6M/kFAPfhEqbA8CfGZMxtpjytt1EKVkRLoerM
7vzeqVQ2qtTQ1PUggRo+9v/8VDm9/xu7GFY7A8MPzxefzx/LcdlViJfbSIezBeqXLr7M4iJIkuZm
ccQEC3FkJyToSg1skovYcSBS2dNE2RgapyJFnxDXJiJSKY/KNEXeaKY1Fhil8xj5lb6mzhgbYF9E
8ibkCBxkJjzDEbaXVO6joWirR0bs+3iuSAe7sUN8Hq1i5bjUXaDbw1Ma/opESiGY5y9iGQJXRdTf
JjQSgLeUnXiSEK8q7RW9jF82XXRM89dwJlplUlcPzCSONWqOoBlTmF0RoQd62zRUqx1RB9p7tDjf
hGU/1yHVdz1V1iZPp+d4hXwl+OsRjr0M1o8a+I9Uu3d8Hru4n89ANFjS8pfUti+g2jA/pNNr93Nh
1IktH06tbYKBkjqMNCwZaTGW+2RlETdbJucYV5FCxIuxbOsh/hY5QG06YuR2Lt/pSQw4WCufVKCU
KaD52I1ddsYw/NDH4cVJDHXvyISEnIRGgmJ8FU3kTUMCUkTPPxaHeJDGqpOtnLA+pUWdMhffzOn0
3iS99o0mN/6FTP9GW/PXUNnMw1wPxHrCAPpG2w7JRa/gG9eHW9Y1oE3FV8Y8u7KCkIO9JcELFeHN
AXu61TPnrJsVFa4rxVbo00sNtwm7evdZg8FfxZ9bRyE3R0HFAHThm2nI8lA4i6S7iJoeQUSK1dpB
/+wZbfJsQGcdWI1O49IybNAqsROoFjY0qKmd0sg5N6JjRBsjidLjaKstQwHYJx8JfGhPxiK+SoYf
Zbi0R+jF+sPSRtJHsnCBVPEoIrpR1C/HUI40jGMG4GBsJk157wb1CfUhQVkcmLIzAwNcwdNsYWMP
xa2IH1Fxd74LONdpQJkVSFcNKTJeZ5Mf5l6/ONlhLMGwcysFPRD0TWGO5uq/rUSEOcqRP2QCPcYR
jTelgog2E6JAbSn2ybTcwu9pEuLeVvhlKdPdAHOzwb+3Qe+IridJXylof5Q6jW4ShtRDKJtfYRH5
M0yqbX2oWmbgYtQ35fRe1zW8cTwhlsYESy8LwlJ0setKZnhm/m1oEfDOM404kcp5A3MAQ7fT2NuS
Igx/EtBj2qekokV+MZNA42JmHRS/1QFcLdL9OmXjI5lwJ2T4SNnsD3WVmdVy9gwSIjdhWYl9aRNc
EVeci5F/LrF4zBJt2sG4II27orCN3Yu5rulmTkUG77drqWxNM8WZjZtr7NrZS1RKYNIXY7osa1Pa
rbd6V52VfHk0egKdLLdDEFI/qBBVt5ZpPA82Krd5EhgEez56ewbtSLefL1Dki7F9btTOBUSqMtZo
j1G2L1SZnGatYMyQNwQsaMaPhCEkNkH1faDm9xQ0CnmUfqG+eVBH+nyxluPRQ2K9a+P2wRpfRaiB
mp3nzzacH7OKaryIb46N5YR28tZu6w8zzL9OY3zMGxf6uy1sP+0kFqp825Zz5LWD2u8TVwG8AtUP
oaxyUULjAFUXhkuGt6+NoovNptEP68SvGohFWDwa316jM/Qp+kAl+5zpyWekKdoG/O+h0QF0VYt4
lVqqXDOpPxjQLzdFL+iazVvDGUnhQZNk61AZLbuoCN6hVRGWUf9guEQh5np4rME7em4YFpC1aulr
bAo3Qwkc29E7sXdptjQO9XpJIEhjYYMoe8AGNLw+AY9ZzJi1nqfepP2P2EQBqCnRdhTRpzpOz4Uu
MBeYUwn9gITPhJYIdYpkbSgt0iUXtpu1tpvXlLEJ+ZqGMExD6EkntMaxjr4fUU+9cRUiP7HL0DeZ
vcVIHpXY/iFxX2yaAo3xzo06+kHgZiltS7BTBWyd/2bvTHYkR7Is+yuN3jNBCifhojeq1FnNTFVt
dN8QNnKeByH59XXojURXRKIqgVr3xhCR6R7upkaKvOHec1t+0PPYHEFTqk2g5T0Fkn4XxA4ozKHx
h4b4kb5LfjyJFNIuP7O6IES076iGZ/0xHbuLRiTDDhMCGU2QNxHH6qSsJv1GBQj0wZ2ui8TFZxNE
L7qy3yKTIZMxkYzQ6O57WHRnUXof8whxJ9JYqKV5BIgoGwbfzNqnbOQl9PgElYEbyHS+GD+fUj04
Jx7My0LYa2MZ6XIiuqAv4qttsdMJ5+TADmIbZIZ5p6W/Czwnq5RSezP6Wow7kc9UsIEijnYdhGgC
mXzbOly7fmS2nvmDAVF15rhFK/mOy4wYku4u050PdoakUtniMMDWIHQzXoV2Za0bldpsZlmoICpr
4s0QhuLoRNE1LPHBudGutQuFidV8Hp2zMnn5SquGTDfAO+0q88Mys6fBLMmUUD+m2z4R9XkebA2v
YKEeMgevQ8NkMHCLlLdWJ+XlC7G2trbs8OyI/r0Jp41qw58mPtUKwObot7yWa9uR5GilTr0yu54f
dNzta3ZatG/jpD/XLjiTcdAe4WVwKDrDV5KXyXXA72flcE5VDi7B0J89eOZQTwUzqvIH86YiU5QZ
KMEUnL2LAyjzUMsAIzWqosLJhxrBSb+WjQYirEf0xaZbf7joiYw8PhYCxGFvQnHEoqW5zmvw481T
z8EuyfuTmCg8vfjRteYwlUx9O37pxoFwr5XRecxYW0tBhKxbJhtygLpjw/vEaDi8aWyI/A58nutQ
l4HHaseWZYu+q+nptkPboDtJmzsv/DS97NeIPwOXHHD4Rre6Y8HqvhaJ2gWq+nGK5J2JAdYcHD82
4DhRQZSsXWvFcYDqIyxurUwQYfBXcKfPctpWmrfp2D0A069WuaN+ybl8bcFbpznxLNYU3KF4e62b
gpLv1WNau+YiLFeq0i/ot6ggsHWbpdoA7eYGFlwDwoZy56a4LBEL+6HTv8bG9OLWBqPiGKqs1x0N
i8S/hdF9Mfr4qJMN7Bs6Vydud2tttc7vTvJvctCarR7PTzqbZxHStBCE/jpqzB/JpjqxI442TX3U
9Hu28R6VYrl1C87LPmExojSm+rZlrEs2c1xDN8eZv5M0jrdJ3e+VhqbPak7o4oCRdRm+7l44yJXU
u4a1bu0K46lOG80P2/DQ2mi6ekj+VaM/I12euHL718icOb5Yn1eaKx6m7LUnq1KENYJaZDiuYh80
TSOPenmTLPmMokeUjg/Y8ShuOg/LIv0fPuxin8bTh+faF6+e4d9m5PHawr0TDOEnDyePKHCiFnUI
5d61/cHlaGkkt0qtVfvlBzbK4sEpxU/r6Admmnjq8sZYB80nwE20yx0YtnIct7ae3IpAgYaDHhLD
8sTAqkDld7uIREqjcZELTeh0U+w8hkQfYxfg6a34ac6RPs3iBnruUnatuUss01dVDz8eN/aefQZa
XnGHzTOjonNfnHBGubZOh2CjpciMuCyWlq3YILo8mUVE31EHlGLdbxm227lNivWA8Js3wfwAz0kQ
QhZ0yLOK3xUB2RjMk3getvhh8WHpzrutY8uTrrU3rYTc8Ay/NSGGgdLOuTa86opXXY7sXQJ3fEy7
4BTg941iSLpGfYzd7Fkr2y/apec6BCAcdPjdsLjj7mry1xRooIwmzrfRwPzBZSdqcalaAQfDqrh5
Wrh9Zlr4Vo7srx87uHCMziu+8XwklSiPm28Ut8CH5tj9jd/2iPRFVvX30Np7xBjchwptYOeloJ/a
5mK32k/mGL/nKDkaMHRDVbz18wSF3qkZVID3Neq31Ep/SI1Dxpu25466KW65/Log/g686iWj7eNt
V6tkjr4QJNDAVxtwP9y/mbyDTiiL6K1I2qOVRNaimNymXfeZNsRjajCHSWZZoeADetr3BN5YMyGD
e7D5hAd6sYBnJN9NdzonRfxQ5N2VcdxjmfwOMzNZ5/30SPDB0Rrucyv+7fbm79nrWb32X05k/G4R
b8aSDgdaZy7RQ2X4oVvrPXOL75FvMa+bh4nh0CbXKdogWRyLGhJ1OoFTGUJ7NZBXvWuDhRyR2VdZ
WTouvPk+jUSKHKuz1qbXnSYZBtsOhPjWiByUUvmxlSEOeze60wntXaHcvuR5ezCoVVbkzH6Qmdfs
MvlCtebCtQpRXAPoVIrfTGz2x5iCSkjZpYxkAg7cymuN3nyKuR+I3MIKxHmiaIHXkhp4LvF1lynP
t9GtjSg/Y+piaxvx4x+KfuMlBJwEzKAsoBTSmB1U6xglxgrnvtbFP7R/70WXt5xb6bk2iEBnz3Lv
EivIVDVCj5heUogEPvEoFJfJtnNpqsAGPKM8PpiCKlOI6ckGQ+nXqfop3fGlz6NX+u7zYNRc7YZ+
w0256hxRArllJ5GWj6Np72SOwKs01TEBFkW4nuWtZD9uLHuCftzUDOoSxIgZNX9djxP4unrV9iCt
bRAbvuZ85DGEDWMo3+opvXphMWz8AS7Byo7Y5PaYZzvXL3T1/udDH9yGwK6WoiR9qETX+7bsiLDL
nM/YcjDvDj0QC74xOjMou/KUuP0E3oLD03Ay8BzkKovsZSwbFNGafS+cbqWzw6ALia95Mjx1Rm4h
NBFwJazHSKKnb/ToVBbUDnnFW5Dn1nNMursZmveEgDDYgDPOFJEmjz2mkSdPs+NcACM+BEJ71l1e
OjBBtOMJoXSsNtoBu4gCBeUZL8gab/lMKGJpGRvi6fYtai1e0wfm7R+pZhMgNd9c2T6EVn6Q/AhI
qznlOAm3vQcNOQQNJuq7znhMWeOszcD4YKG8nxOybh2djg2nWkZKRXElwZ7Dfqw2U5pei0cXuNds
KKa01gKYY3XMnzfwGCFBuKki/GiieF+FNjYPZBoZTZ4Wxj+DSAp/CnrGpF3/Ogm8M6zZjHVdfLWN
yRlTNeU6lfHeo5nOJaHNMbErwHS7ID8MVTEcOWnPeTJ/DFkZr7mWHkvbIHPIya8Ei7z0NSAGA82B
aTiPwrU/DAs86vyZziSU4u7U1u4U/2hwnfsZ+EE8lp8JOEqh5qdEjeU+t7kuCAkFq4mIHdMGk7Kx
yO9tQz6rybzP8vfOHMnRldFPHUaQILGnRunBxWBihzQY8WS9RjOuqPHZwde2wq9znfuWmmfJos9X
Ol4ZhX9klM4xVSFXsCRsQ/8uBZtrCGp0hOrMsP0XFz4OjcRyeW+XiPugo2Trds6E+zwr+Z+TYTgL
9Jul4pmJSHtbRWnwPdipXHWqfkQmcE1y8WiO8ej3LaJqYW9bx/pwYjDvUSnOUcxVW7vtdZqZAk+0
LLhIEbiZH2VRoTch8tIaXshb+CTAmmO/QGr9+ueP1rLxmE0VOilzOnqJ+pU2pIVhZq7Hj6EweJFh
ISbs7kqDQK6gn146CRq5psbts+GtIzUc9R84ta7dJy0x8OaAOh+F70hIHx5ATn7yllXjhOteWWhs
3W+p80tyM71GEkIedpSSuvUtcfVfTSc/zEHuLMaW3IZbMakfRvvxqmdawoCEKOYM07rqTGj2lVrD
W51WYgm0c73h6v2aSkxXqUCfVDRM6IvSYYBr2qtpAPJZoNCYMBugwz2HCYVBNZ1N0gS5yFw4MsBv
fD28lo1xxS8nmRkFU8UMHE/plEzu1gFvOcV8eFD/240dRneBCYQb3VYa9JhWFK5xdH7ESgNLb+IY
ohWWAQ+g/YQ7CXWu9EVwGkojpOaY7mVnevtEny7BCHSSWOEqNF6bGFpMML5bVef5hMQ/Z2Z+rhE1
tgVWBsDOu6bXp7XrPYCdRVODpDxUv3XddPaWLl6KkcrLcLWtV2r6vnbAlxQZioXES33hshwzrfgl
bnmCG4JJN32WelRWwGK6GThMYRkX+jfzODdYbWw92umjtK6965C7MLsnzy1Zkti9hijMoNWY3UeO
Q3PbhGX/NKPcSo3pXXZSnuOw7245qt9x/EEgET3m5BzyUl4yIsM3RZByD7RRtB88qOjDaCSvpWWR
sVF4CahrIwE7wLcbpAVZPhyye+CC2d6R5tJjxfSeWa99zcUyCyjR+w86I/5VtITNhUhZEXv5FPzU
IbVZP9Ws3H3ZRfqukHX9VJWFtveiCjZTCYTRRNDPvQshI0++Qm4fAz3bwc3c8OS2VMljddeEqDay
GEJRHmjOeZDJo/SDjMVYbtveZmQhytiE6MhkyVR2CbYKgxHn4DTsApFgY0gJS01kN+1VaCTHqemB
xXrVh0eTzoSh029MGJA4c5adopgkz2EiNtTKVPRMjGC5gmJgnk0A/ZvooU5YNClDebR4ar7Wg4Fe
zOtrlPOJds3QnqzcVjhfAfeNNv3fX2k0troY8w3Xf35gTqX9IWK+xFJ/4GjJP3Wp7fWxDo5OQwog
cWPob2vo6JGenfRAcZzX5C7YU1GdrdT2ji2zckYt2Z2xfPnzT1GNPoAe0KHlY8sYVvdK6gxeW1A4
9xYSrK1uuuAs8ptZ9vl9mqvs4c8X1xpyWvIe8Hmb7wdN9KDMlXEDw9yc2jb5IQBA3FJT+9WHdnEe
RtiNck7aQ4Pe6THnfLwzIuPxz7/9+TLZ0YM3hD+mYpA880nynvT1ickCe0EdOWkdLl/a6hG4aLrX
lWyfiil9F6qqtrahwXPtOsSrbhZcs36K9m66PNp8LwGyykdmkGzW9ChZIgyx3EygqqfCQ+kvi3nV
d4pzAZk+yakTv0URYQH7q+HtSVLx0KSYJiBwkuAcy+GYhjdH2yFabIpU3edEs21QhTXrKKRIo5oj
3lC56JCtmMAMkV80SYc069oN9yemgFx42wz975ubOF8xSR1bS6PinG0eo7YG00e4QRzM7a3WGvPk
NuI3u5c1uwvjjrsRiSXjbFNv5/shGslxEWOylxNY19kF5uVkUGwDIkJQ2s/w/fAa2oSvHVIP6wHz
8x0TKYxGhM/f97DwZVefp5bxa+UxZ0NA4suSATUv9o3sDaw4Mp9QzsckwE0cmZ3WBcduztdgK5C9
l5zNUc0gerTbC7RWggEQ91hGlB6BvMp7tLJeqb9VMnSOTmjZxx74HA9T5Pmmw3lJWy33TT2R7TVB
SfJMCWe9ejKawnym6sBd345k5GruCjRPsM5cod0P9nRKSrPYKxUI3Lc2D4su97MkThjg3A9mK5j3
YxRvXShZuwExFG62sYR0X/9E/MRWsXBBIAmNEi+pp53pxWe9SuPTSIaIMjtG8zURpGlY32eFlvtu
CIomp06usGjfQvvy55Wrx7G/qxsg8wzRHDR0GbDKugZUlxebmDXGysyzG+U/mvm6n09uVMPZVUnD
UxeNd5lX74DTTPtSWt4xXAT8jdKqrSaK5G5kyzoxwTyFTX+USHV/Mcw6ejE9aaUprHaFq8HjIb+E
uc1w75Xdi2yANLaq+eazLk+zKl86x1nIn7N7IUckO5iSW78ayWQI9A8v63/NS4Lk6BKggLsMr11r
ascW1RVPCTNwWTKHDJYvAlQztItm1U8WOnot1/ZTnKTXP19SO/8kphXdFRp3/JVXr+IVAGZHvprX
nOFcbcLRImQ1RSLNZvaIGR3s37AeQvkrV3O3Y4CeYCBAjKA9IFpWGyPGWhwo89wmoidyUUb7pGFL
MpgpUaJtZVwiPQGD39zzVnCoq1LeCVTD64pQGwpQjtyRmQvmWiivsdlfeDrACeeYzhzLoaNP5vSh
Jd1SIWRCtWBYJ7ix4IuAGauZsGd77M5azoJYN7TNIKzpGk/Mc617JfL4B+uohdUwxXS6oV0r16Md
EsBbBEevIQea/mvnGMZTZM1Ym8HiIBwMsN6pJdJcVMaOfQ39ItqsvdYZP71Rf1YMjbaWCaGZTtqB
8GA9wj+Om1zcdAisO/r8Q5tpOMvEQ1o2EWzaZBOhufINjMfb8sAC19l5Jfvjrl0UXORfHC3+vD5j
A2rxuOEVzct7KxbbuvXiW8llbE0mryDGG3NJscMlhGaTnQLdg9kQEo5xvIK4p7S6P5olL5EHgSxk
vOM2NidVSzo65P/T7BgX3ruG7VQvtmNkZndVG/8umVfsoiERuxLWQGCjetY1hY9DdTcjSK/9nB2P
3cJmUonxkk0K3XbAARO6i2P/oVl4TmECpXegyE5APY0L80l0DJOshQPFWOhQ13cDuBK1YKIWXlTX
V8dc63cJIClzIUph+GKBEQOZAjY1YZpJWjen1HUBjugntXCpzKGF01HSvxEnu6rt70wwrI5kehRh
dhYIS840yi+OhvuzKQfGbhhTzulMgBBx3dVtzPPf2Qggo4m877ZJnqwk9F69Rp8IJhlZegfptM36
sdmHrVwr1eGpIuDgVmeMipOwS885qZl+bSX7wVLNua10glNMQu0tmEtQDJ2NA8EBYg4+7qxL9x3Y
6BUa9vwV/LkGGLMloCmQ9kMS6vd5lVrfREisYqZvZZkGT0U2mqekgryYlExNmrnFXmqFGRuhXU85
zDbPi9/meT+EmC00y0jRixc/VYLMIq4cHROF2rb9UH3z7b7OqWG9qM66VTwpK+qD+c4mcclhobQ1
KqT8hliSs8yI+aKpRkbRBDLQSGUFsDU5EjWUB621j0nUPHhkvcDL6NSV7GLcAjXrs7FO75SmnQNQ
QncOjJl5UXk30MSQi9m0pAORAV2xab1u080YWDXy2cmEbW+m64FAkwPsuIJTDqxN6DsLWW4EMZeD
mksX5ly00Od4nQ+5CBdv9ThssJ+eoM1hX8hpVIZksI5u4IGJ5r2m3b06OdxogJJVjY2Iwzvw+36q
/aAC7jghOZejehi8btc0MPO8hZ5Hol21ck19Fy5kvXJh7Gk0F8ZC3TMX/p6+kPjyhck3LXQ+A0xf
FXUbXZiUU6bs1sHC8uuB+oEg/TJY6NpMN/cp2D8P/J8DBrABB4irG4Fr+77REswyIS8J5BsOm34e
9+7CE2wXsqBaGIPRQhuMF+4gwcFUFlWVbetwDE8DSPF1SH3FSxSv24VdaC0UQ3fhGQYDBZI1Frd4
4mRqoqHbMwrlFdR90ZCj4KlX0ZWMea3YQKaOqSBhvMP0/5diLr1PDMqtuApx1ZtXZzSh73uaXMuq
sZkvw9AgXo5qojnUBorncUmXLBF5OcFuXliOvQXVUfXhHX69YpvITYWiZmcMXrRn37NpljwerLsj
zT6z7pCsnprQHhi2UNaI8RELyS36k+wTIxNxm/rRWVJ/XHu5rTf9kgaUEguEFxNM/5IUpJbMoJBx
JBd2CLVOPffECuVuwToEg1CaG1tO5OpWmH25LnoWdrLuxS3XJyIvRLSLl8wizGxv2kCKkUuckbXk
GrVLwtFSBxN8QuxRveQf2WodLnlIfDonrSQhqSEqaV4ykzLHQu4UJQ8T4zg4ICQrmQt4M13SlhJi
l9wlfylYkpjcGCxZP5P2pfYVUU2jxcAV5ozFoFgOFR8O6HKmvMWRpOnOnwh8wtnHvoAIqJooKHeJ
hFqyocIlJQpL0aVccqP0JUFqWDa6OplScKhefrolaKqysDcjQMa+u8RQqSWQitxIeLopxxAhs+mv
cphINYbF2AVcM2yXZhT6+BbIuMIcFiGeQ5hJBmS/t2kW16VNKpYkHqtdnBZtRWJWuWRnNR0pWlB0
fifEatlLvhajw+BsErmlkURPY85lgh6HxDl8b0Q/WKzWtjqBXcQHtateuT+NIDwLcda9mmmUGRYE
TL678JtzaDhQgbq+RQ6L78YXnXiweGAYYRIYFi7JYSYzb3jDzAYJFWOyzqicmLGWgibp0Fritrq6
SxLZsMyuOtwAvktMWcCgYuMOLKFKQXGcONUN7uoegqrNIIcRhyeXGR8ut5UelQfJ8U+os0Hdj4I+
WpLSUmtgT1wiwXieIt5c6W2x4foGUjAXQmSIeBVncLYeeKP9Zf+b1qLz68y3h4yUNuhqMhmB1N2Z
cfOrCmoB33AA7W2CuyyJenPMXUPwGzPM11jvMEy4j4bhjUg5bLKJKuCgVMWP9ZIfh7O8NygKjLFH
m573T+NoIg8Za9gnOCMSUtMU1vkV4Q2gk+Jh3o09Tstll8SWNdqbHlPXkPYpI6n4OehwSJujPCkh
SMDMqy+J/JNhHrwSPr+3RmJ0IyyvXlLzjCU/ryZIDxJidBfFgFFmpBEMkHPykHIylEGRIo8g0my0
tR1FXQOzgZy+puIhtQ3QIs6S4jcT5+cEvzQ9IvMc+9CS9lcPKLPgtW4CEnQzvT7wgLEZCYCgO8sk
SuMWK8OvEeqnhuHlEHdAUIgXVEvOYORmv6yBFdqSQGgQRSiLfZeBBujGh8H68vT8qpbcQpCAr3Xw
KjKsf1aLWcrQgitgVua7wFG0JIIVTwyiy2J/3U5sdSx9vKSzcWG3mWyKDN0qkZyHojUfyyVXMV5+
IBCj8XssqYuaNH71Sw6jRSBjuiQzzglLEIrBH53QRqqPg7mkOBLdgJxtiXFB7Yv5ySPtkVvDd2zb
OaEqC3vEbZyfoI1ik3yJhfBKKc+KAxsQx85xsGfEAMwkIiImTZBl6z4tcN3VJ4jRl7hK4pXjhsxL
kmV9JwKIjktqJWKU+cQDckgWLFRUDWAXJIaXaT/H7aHt2WvajVvfE9DRsLJxhpvHOJNJe+APS2qm
6ikDTUoYt+o/siVZExfPuK4TcDZkbppO94wymCk/cZwusZzkwD65S06nZn7qDAA12rsNq7U79KTf
sQknFuITAjOyPkNCP7PaRTNIDCj4zWxJBbUj/a10UCAl5oQwkLCINqmRD5MlSqCOucUr5yDJgU+e
3LcauaMDAaROQUUczeJYhMMNI81WVdPb1EaAaty3qQw/65mPxy2NH0ZIv1VviI07ZdnJu+iI0Wyo
4m+j1BJfuVmN8kroK1h0UFV1WIGtTfDkbLVbPe3ZWRZQoFL2oa2TbtMIlP5skqRN+3w2rPm5VVhx
sx7/YJyxf07bd5ycWOFdjZdEjkzPAQjT3QWINKr8S1a6d20XdR6vI9JrhkFINIOdbmqfvU557rg4
IwUZ4T4zXHTZhvHlKnGDGMlUwyoZpJTldB4ptHxRc1kkekQETzKruyjVHoYmsA9T3FPdYipxPVTZ
hoHrXkN8A6sbDmnYM/KKvCvHv7mPLdgPtkdGJMDNA7sJ/loWarpY1/iMWiKxuzF5qJruuwQ3npoG
2B/0LPpobfSKrkJrrU9jcnCzglTy41+mCMYnNugB/dVOFrGHJZ2kjkq3ib1ojXHjsZg8Fko3fa54
+FhVfOkL8dY6igDWoUYNFKfuw+ylt8Yu64cshqqUxWs9d0rg6q2z6kDU+E3VEVvcYO9T3uvk6sa5
EtW8VWKk20SLNOtdvektoAcFfI2kMz/iiB1ZqDUWAawMT4a+PMVVgZNs8t5wZM9b1OKP8FrFdia6
Y8sqV0kJTBcngxymV9Rc64howD/K3/8fnmBIQlD+a/fMffz53ryH/V/SE/78nn/aZ8Q/XJN8bH5y
no6Ay0Hd/U/7DPna0kUr7aDplqRoE07yz/gE+x+6sPHIWMKUQpK1/f/sM/o/UPjZ5v8wPmGJdPmL
fwBlE/tu5Nr8BYTj/s0t4mZQ3y3MrIj0HBztPLVesyH5AMEH6qOYli7/CMPYj5C/DWl9MYzxrCRV
ri4lIG71K3aLwzDb4DDFCbD1PW0MIWl9/hTAH/pPHy312hSWxf+ierng3e7a//O//0UIj4RVZ+tt
MVdBvKT/TdlfOmZlw6aHUO9y/aIQSCpYYsWltsIHVSO2nS+dq+3/+z/UWCJi/voJ8bPDWiEcS/c8
tp1/9ROAVaFsi4EzChjlmlH6GWKz0jyHUB8YQzEEB47e/gYp71c0+v1dmpmP8uCYbBPneNPpDlGm
TlH8mw/DWJT0//L34oGCmUg2oPP32Iuhae1mgkK8BQmwneBr5aF2XwAKbpEG44qZaYs1dONKWv/G
YvTnofj7Hy0kris8YdhP/p4JY4PZS7DONtsWLSvizgNMzBU2nYde6kzBg8iiccw3UxVsnHKCLYvO
mAlHsrMh/kPJir7hFNpwd8gVb9qrpLNNlLoZ4wSHcf5VonzvnwenvUsgm5hhfMmZV9H4iSfG1Ktm
kqDPCTdz9LXXMoDTDYD4PMFJwumKxRZ5vu49xwZSIRmtnZ4Wh33eMLvPcrJ3HVhTORirwkGSDgIR
78eOtKeFBOO3pf3Mb79VEk1jfWobCmu7JMS9rQ5QkzBlS7XHZstovOS/oKszNwZ25f7GX+7FwpLq
iIAucAJc7UyfYStY6FU1K/mJiNiBZq2CrbDqfv+bZ9T5l4fBwQWkezj0eIUXY91fH9JE6MLIuJG2
g3Ob0kMW+UZ4a4YTUnLAkFrju4GP3CQTCA5WUODa5yhaTy8OmEtvA94OwUvYAdxbTc/GzKr/aWGU
sNx+b7wVFT7Odla8uKtLWGgbwofwviSlL3rfsx68Y7qw8a454M55lyWgoKhXBpqnsK43+GE3otqO
+Vtg3ccxule1aaqVMz0soCtnrcWo7+PHNL7LxHqwH/T8E+xiB6q6Wv5EUE2dhnlpmxWHCrBBs4WS
YbmHAINwt52Ks0g2k77N8p0BXYkQrXznEMSpfJYYUXnp5WGkdQaCoV+bmCShQ18+FAVi1R12vaDZ
eO02gABU+RZdpk4RuhLyqYrh/e1Ec9QriOnTqYFT4KGcPlaAMFgGSGT5/caN9yPfT4V13Dolaq0F
YNCgfl1HlG4tyY27On7goYure7Bno3dr5jca4DF6DOPDzKdElEtM5i7+C3+uzmMp1hqyn4H6iymN
oa66t02H+6k5OcPWtBhNrNuvqFr37r87Sox/uQWWx8ejFKMN54rSl///P0XojCERjWUm061un1Lv
1VWPHppbUHAkp6xiU1s5MyFgEsHxdMesA3eXWMeCeV3Y3ujIH2aR7gbAkM7EuYNiqbYIzuueHYoO
bXwstMEfa7GleENsAj5pWBvq1TEEMTDfGMLXwmTb2F/qPPQh4AJV1v2pNfclPS5KdmzF2sbkeR2z
bx1R09Sxc8u+XdqunGZvTlM/MCiW1G6idxky4gk7hExbLWXavsubJxuk3OTr1l5DvlCE16T7QPuo
6/eiuI75o+ZevAyu1J4dZppuAVD2DU4bXwJjoH/qswfmFkzPfLAx1qLxnAifLMRWock0vYvp3Q/B
RRKqbu/xds71s949WtOrlT40AOVtVMCu/WrGnx0uvBGRqnJBoxQzeiMoVGz6YsCNWruzm7cRQXkV
hP/mx2uS0PTXm4KRqScFEwo8cRQOf7vjYxklke3m+bbW5vcxb5uNWwkMU4VpoNnHmxhUdXa0Yo3n
L9cfdI49fwwWuSY8SWOaziIqr3o33nm99+EGQLEbNGCBLfq9Y/ZHuw0+syE426JsiC3JF0vAp4oH
ueDnk10XtUgooSoplB5FMoW7vjA+NKnBotKi+//+JKRI+vt9TU1lCqwjNoZgk2v7b89ywtFsxTEc
bpS2NRcEOcy9Rspqg2PVby0107p9kZZILNmg0xmOuCCGoGfr7jAmcarjMCYIrEuO/sr+Ao9LWHZt
fWiRcae3ZOAE7seo4I64+UyYa93167pHx6Slhyh0L5qlII0YgD8K7eAl8KM9c94RGmKQ3uht2lRu
J/GrCAHJ2U7ZQTmD11vkvFEEzGQJRX2W7+vE2Ng1zNL7DP4vllcWHlmooZEo9wwhn+Y2in1p15uh
mkHpktG29iziSHmjUMgAJKNtZvTGma0TbwTpJT9HpJKC6WtIqSIC0x2e9DzdJCIN6POWeQQ6laLm
l3QF3VXB/omFm4oPbQ08o4EyzL4Q2j+JCnYT+AY5DPcN4SdEH3+UYup9ra2kn2eVt/JYIsElUleh
6eIoqxzJv6dlpz/x9TI27KcJuiU/A604ueIjX6KrhC6TG+5cv5ya6Cw9MqoZH12CzBYXW8hnJ3TS
fY1UA2LnMEC9IZsS+04HGBdJS6s1XNcW8s9Es/lYbXXodM05cght6X3lNcGocVGolXrDPBezQjFv
ky9HBhWbaKTOG8CrD6GJxw/CO/O4pn01c6ImR7O/75RZsagtu5s7191aRJ23q+sINGaSPkRCfw7N
zPiA2Waf+QmtQjfsSaLcl4bZILcm3vDPYu3PP429IP06VtFZS1rqki7+Lsak32oEfHyQkz0dsqBf
3Ft2vBXsRs4JgcM8R+H3kPT4s6u42UYhQh5XqPpM+NELq7Zgm/QtF0YZvU9ygsnMnJYePpo2ne1o
WyAl9Vp66RoJP+RqV7IAUQlo7ibfFY33FdQDMYxNiUMw3bZV4u0MIpHItzpaOd1uHrXs/dtHijjG
faLhHTcR6o7RMXRa0EJTxu1rf8yZhQo5T/ZmFz1b+jT5EVjSVTEVN3tIBx+xEMoot/F2pmI8VNrh
wS7scf2nn89hnhIhCekk8yBWhB+s9LtNyHhvhXSvQ9KTezstLthMUkoOEWEtGYVHEWAhGIOrNeKQ
gTqzInz4lQDsQ6Gj9QNt8aKwQpIVaBbrxkaOonUncIVnlXF/IidaJynC72iiUQ/sB610q3URtihr
Zs/b9iWSay35dmWvoMYmdN/KhAf3Xfc5A00TLY5Im31sxLUvMuNn0gdjlwz9uc+XsiKDuYjO1Nhk
PGywiOzmmI3iAtY+5o4iU9NYtjN2a/JuSIvDpkrDh9HFFBNBS/UDYVPJ6/lHw8/p5CE7PGbp0KIt
0/LHsgRv1Xf33sDxw6KQV9LK7TX0p6/R+g/2ziQ3kiRNs3epvSZEVUWnBmpjM804z+RGQTpJnedZ
blNn6Yv1E2Z1I9w9Ohy9b6DgiMxEhZNmOoj88r33pdlZMTOT4rFwrDiVRB1nbrM+MNZi8W7Cyngs
qMxe2RwqwN/I9Zjy8iw5mtmH4Xhbt4sH0L1pPJY9LsywnaBgU2ofwhjvooFXBnKxQ2zrWrSw63cJ
AswVzVasyduMRBkNrO1AprsqOJYvoubJdyiRIWF84nltbk3f17HsYlNGOa9N+z6FW2G2/DRmgpVx
hB/uU2a4Hi2sY20BJVZN8sRhH/aQgrIISn/d1n6k693R1KjWnHXLzsmGdM9BcJZk7p7kgc2dRRNt
r9DRefy5jsKM1pmZh+TULR0DQ1aAaV1vTA5nVF8fG5QCOyvMN6mBLqDua2edh9O4wcFkFPQQxST/
W99Md3ONIE6yp9ikDUMBIKdV3SxAFhZ/y8T1zHRckVeE64qBRChP6DHRDj3Z3O6kQhgpq1nGjaA1
dbUEFoxLKxF/uR0jbF6wUX8f0MhDaK+nWKJnNZq67Rmw7EEGxgvlO9lmLlmit1PHKploflKfpcn3
v4He3oHQ8jgRmuM9/lDGD3MNIWRMM9WD3vTEYxtkD5fDJrFNe8PWbmeN5NAMdMK4v5o9JNlZwmB5
H83DA0sSuldmtM1EjkBXe1SqLhWLuIOHbVQ12Lsltqep9E42IdXIIjOpVEcuZrFuApAfg6A3pmIe
yegBzjj35rFmccLqSuuOU4DnfFmcA9PBbT114ZlB+a/gXuDpX551ds2ZQNl1tH2b9+Fo7QSN6Vyb
H84SGZuOLnLhhuGWvVCBCqh9WcgS7PpGomq4NeL4B9ERXJYsHWN3YkdhsIXkPJKPvYgPbe9663TE
2pG3HjvHpGCQm3njpqhAM7uCCgBymVBkOyJihFQ9kZDFBBT2eGkE5IO08E2z5Bw4qBXt0JaJQpVw
FO3FfnPpAOUYRtKtc+5X8iOZsx2sB1ow+jMGve3O9ut9GfXlCtIqPIvH0eVMYhV2wr6QUWiv59R0
Nt7cDaspsqEbeP+y8SQE4J6bRaWQXHJuFBu+2PsyfG1JsOjxZHCwE4xl8acwc+OODiZ2L3ysuK+M
Y8Z+8Sp3Ro9+y8A9LXlySn175RvNfDbn2FvDVplHctemth7RETWa8an3P4JFZvRzq/DUf7isQc4N
4nrn3//EOhv8w7juHCjbWPQeT/0tZBscJJzz0alJroyi3o6LC1cZGLfkrdsTQO99nFniLK9a7/L7
j4zl6mVEJTgCz44i9JzpM88Jfan0xUWv//j+p+8/mhTJqiCHaqvHRna4R0nBfhGzNMU6bYW77cnl
n6Y2Uhu8LbSRZwirewEWzDroIOqQps8lTc7LlvPkWV5aSWdtZLlg2aw8jHs13nLCrTzOlrI40t3N
43ZUIcdFjdpaTYHvTMqtm2QV1mgv2Dkxh5FFicdxlfLKvYj1H7no9lYWVedxgaJgbKJx704NZ+Ru
farEyI40qPx1FKXtFb8oPWLBSFSiD9YG/pA1HYmoIBdDS5IwDcqhxWngBXdlHxkXXh2fUoNaS1Fl
b0Ogi5e62FvNDKYO6WQSxuX2pHQrvy+zTuExa8YXP6pvTLvewrxaqPdKzsyC/EQ7HuddoiErDFR5
E8UOjpp6Mi+YV/eXPI3ABOlnzhbMOBVrHkh8THkUB4DVDt57zmdACRTl8rPBozqY1FmCH+VYlAth
sNH5mLt4IqXXqiuvGMisg06vrC7BqpB5xC8pUwiWKGO1lPP+dgi54snkSWtwmjt7ZbpxOGyjVcU4
Z0enzr1aEoLIaf3JWnVZLBLsOrbm09xnZIfM9oYc6jncOcuvyXgvUJ4chiXyL4q68y4yT5SHNLVf
h+XFUYgO2FpykdT1iQ8JQ7mROrelSVV8ql+RHV7OzJHt/dAvXOPo0ROnGTbFUo93mMDvO8Tdbk72
3OuZmAxhJHcpr4KEDjoSCMFlabe3S6Ois5KRGMt+wPxU56slQWtbJ64Tnb0ORqZjS0JGYWDXOyOU
88JI0QkgHjkhIrsdv3JEE6FHTw7GcmUws0c9Ye57nfpmDbZ3ANgtJC1RsASbZhZvHcHHXCxPai7b
7TCsDDFdBzpRLoiWTzpjboenSWfOFeHzOC/OWsvmqDFs2ZxPO3OipAyXS03yh+z6SIidm33tEmrv
dLpd6Zy7R+Bd6eT7pDPwoVt8AnNUWzC7Rt10ROgCRihtiknQq3wPS9l0HhOrR6F3vjTNi4VoftVM
DjEiCmXZpD6psasZR3HeqnROP3zxCe2H9YzdTuf4AYoZQC00F5ImmEabOt3cqLfdSMV4KPuvGUZP
cwESQKDToEC7vHjoNzQ/EGmSILSSm0CzBSaQwQhsIBsrWhtZcW6NnAtqHqHkGLHThIJtTucCZEFp
diEmj9sDM9Q6+KPpBiubHmvNO5Rxfx3xWbU16gqyDu8sUDUfAXr+wpLvyIXic14zHvHmcrz/lANW
8KzmKBjUohz6x8hazksQjBgUgzOndTJDI8gIRsNtbvg2mXnNApE/B5+8h9hU7Iqqhe/QpIcRibsB
9GMAAVFmxbIBKCTRdEitORHC/NsMcOT7r/Y0S+IVdA7V4UqhvIUH1T+RJk+ERlDkcG4CISASrL/U
Z2ybkCoped2+cY4Tq3wFzOJCKYO2LJpxofr2Bqs/5/H5QwQEkwLDuJqKoV+XiSbPRnCZxGE9lRqf
g+ZoiuKN9S+Bb/AaMJsU3AYVwIPlYJysF3xa2NHJHtPSoe5tU8N7+Y9ekzsU9Gxtx/gEizHWuaZ7
UvXDAvbhjOW9neQded7N0BLtKer20Xaym1pzQgXA0KTJoWKc3qUozwkUjMcOuMhg4b9Kkw9qZG9C
4CNojoOtaSSOeUc2DT+kic6KEk6ogrh7gtWIV5OmmaB7Px1LciO7FZEg2msAn2YAKKFBKICoADAq
tflbHDbhBlEQF3SquJvBqJCSb30r9FcugFWlSStPM1dC01dMLA6qUe+55rIG8y4IKjoaQCBZsuSa
3woc/9SB4sYa7ALwUuo217yX/vtqDYD5LNWs9iCyxQTNdn9UhT7ifGw0OdaDkBmaJTOAyrx2Ovfr
kSuwDx6owr0yXHkNrXLvaB5NaTKNzOuxBFWTIGsp6FoJwjZ03Ia1pto68LY8p1UbI85dyds7LuDR
S1A4KLAbU7NxnKFDkJLRbYmlgAE81mB0lsuyWXN1I3sK2i3cU93LjW2S8xtyljcxOF4Dlic1n1dp
Ug8FW6LJPZU3FBFrvBWoz+7dTb+QvQP2mzT1two1AZgszFiT4pmpOmKG7t3sWFr6Po+NhfziIpqF
xCkHBbxP96xth7WjaUOcV/waEspFk4g1SGKg2cQFSDEAVsyBFnmtVaR7UpQD1u2kuUYkR+cjoGNE
Bw3L+S88xNBD48TvT8/3xFEv3sOHmSMfkgWpbsCjPUlzlACVniYrXRBLEbuXoMMgSsCXhaYwsQ6/
ecL4NBOr20RIL1YU4MJscixhAHFSzcVFCNY5aL4zjSE9LY18avYzAALtNA0aVJto7vHgYhr1DKrj
XCMqmKtYxJQ0S6qpUgu8lEfidl4s5jScZhOh8leghftMM6mF/1h8M6qVev/+0EObGEtXX/sONvEh
iy46ROAcplC0wzPCIZKxSyI3gGrvTuyhNMI1Z5slWi6FpeCjU/vGR1cB7punewtoiV0/hyWOmNdO
4hxLTd8qzeGW30AuYC6A7gKoW/BoKgF3axJzbsaww/Ce3Wl59QB8iWmRqRevJeCvM15y1WOOFXey
8lL42NekFHdpOd5kYMMSfNgFI3ZKw1yZGRwzhzsmQbIoQ9IUavZYaQrZpiEsgzn17ebHYOc8t+CV
yRZjfAmfSnVoO6ysUqNkIEqac84AnnuLjbVDpZwBCk2tzmeq2eiBNWOXdWRte8aHYfzll9Uzt+nK
BqseNV8dT+WzRTQHVoRQuHx1AbHtvr52yNyuvBFdW0twHSGwfQjAt0kGpsDchgpeO5+vf1cCepea
+LY1+x0F8/sIDO5oKtzSfPg8QoojWKWzFnjcbpiZ6QOYiGivCHHR5IDmLcB5s6+YFtD1sCVpCGHF
1iSquw+MZw+Efo4ooAhp0iORRBCp4s7TXHsHtL1mfv9kgLzXxj3qHbVBgM3JG1A84VEtrXbf6BTk
O9PkPANH2MNtDVDfabK+1Iy9BLZHowN1nzPlDADxHa95TaBh2tmqtRjqNJPZpu+VqFEOxc84eUtf
yBLOWz+UjxB0RKEYwFpkuI2UhfSU1cxkaL+bEk5qiNtcL5O4XZAHdEgE+ik8nyHtt1kNg0elrc3W
q/DWQXpWdN2+wmzUxAHHtz4rr7bBSEbtNPO9eTc644oHgH8I/Xe50OEc23Ryda2ikUx9TcgPciQI
NTKEEqPgmkjISMyFdY02JoSMuNcLLT0rE52CRKvQa7+Cr00LeDWv0wT1AgqGFhVD3OXLyqX+DPcw
oGg9dheCyyFG4DAjcnDZ2fLmiW6xvw/7Qls35CPuN+tKsuXZmJLzDI+aydxdNmayPFjaGOETzJZh
eHDH3Nj4lnkf8cpfG2gmOsCYbaDNE4t2UDi4KLSTYgw7guJevGuS+bNM41sp+jP9PBm1z6LXZgtX
Oy5UicoSW+ZKNZdNc+y0C2NAikEYFXV0FT6G0C8rwdm47033WchW1+mmaT159iveGblGAQlxbsiA
c4XoWCf1iI6APFydH7kJovU4LmDJzfRYDd2TJzBM5yEGM2su98ZUY5E2iPniuJu2lYHBvCUljRLE
1m4QX1tCoqdaO0Nc5CGV41/47L85oxjvPPQi+gsLR4aFWnoeUOMd0Ww7mz88tCQtswqao/AW0qXL
LoJRIgoTSdg00k4TE7mJg+QkQHayUBi8TwXnyCHlboXNCj5A/LLlanwJox8SZQrKKbqMDInsqN/3
2qrSRAgiOLDlyGPHDGvaSAQspddGPCE9UnEVqzZpEmilXmTtKeNENhPqEZOL0k6Xbm7OZi/7GsOZ
3HtLatIpYNiLDzXKpyzYF5XPLEdoOZ0VHY0svqdh4V00B5RIdy5amRa9jIdmBoQZGSAMB9o7UBDt
okmQ0mQBBpVJe2qk/DTID659bbDxuuXBntN0NTFY91gLGK4PAI/2hvzXuAbJuWtCFjdBvTwQsmsy
EqisR9qpYfzvWSw3Ay57wek3Z8ibFs1OBwyFdAcjCJR59+Yg40m1lSctPwp7ubY8bFAjtvR66Hr2
zcOVDsCvM9Q+EsXPkA+UNyPCmNP7AQVQPOIC4uMkieoxB1vc83ywH8j5ctKGQGjyW5ZyxrWHYvVo
w3Ea3cvSeRubpAuNV7y1Bocsf8t58ISeKJ9GRtqG/W4UPb2I9EchMjK00WjSaiMURyoYjwQsv1I2
Y2eFfe56SKEGtmUzbqSItu51tqicEHlNyN56AZazL3rdbZMnZ7mEIcR3fCO0dcnRno1pnB0kQv0t
kPl5ZoqTi6ppJAFO4uXVmceUo6r6Pg44bM613ynRpidyaiy/hfseze05fThvDmzTvg8ZvBO5fGYx
8ZAGZsvz0DHXkUWlAhBAVOFGV9oz1WjjVKjdU93SXlP+dFeomlmSm2DByIofPsIqhHFfgzZYWdpl
BR121vXiAkBrWIV2MG7tiFt/YZJvWBgDDG3Fmkc+Ce3J0qHzfjtoe5Zq5McoI3rMsDy05SbUnq2K
VeEq0O6tOiKYt2DjstFyLei5lPZ0SYRdJH/RRGQtiq3OY7jMRbxKEHxhDC9XpXZ+Oe14N2Xhi8sC
kUDlfLt07ccw8wZ2ZP8053uSPK8qKWDftFGM0ekFZeQu4/6Mhynz5En7x+wWE5nJHp2yPdDgRuEp
KxCWkccy9/yww3WqbWae9pr5NoYzC9WZo51nDvIzazK3U8K/VHTOtVMNxmXkWw9ua/JKQJ0Wa4da
jkzNQarWpuEzUnCQ9Wpqdjy6eMPmWF+0i41Tn/Ou5Ecf4qzeq9E+q6MQHS9vFbdysSTKfjgY3DVb
HtgGlYGc/9PCGmeSLxkZnEQKh2z0JVLaEocurm9QtRnyoaSFbo6Z7mTkZJLswU7qa2GBFAZOwqZC
LP6KAcV1bEZPLYVPg7bULZF6blCWM5g0P4ZeNyP4fNGhCcU4+Xvl1NTUcFTdpAF1A/Vd2CbRjmOc
lZ8BdBEBPbpDl595Vow9T1h3dR4H66Iqr/F5XEd0+Wy9bL5JAdhFXtOlhIuvj3kBuR0v9KjNl20n
Q3KrJsn7yaOw0ElbwqTpD5NGDKYV/kUJk4GcaJdrB6BABthpK2CLHrBCExjSP8qUnDV/g0IQwrA8
L72XIgHa5Dz8tGSEKZAOdt/2QTSEY5C9lwuHXYUZ7WayFX2Qb0DRdPqedUIJawbLqb2G2nA4tbgO
3fwdVSHeTm1BZPtUbDmGgzZMjk3NeqKan12BORFi9znYJ6K01wX52gFFFzFy86ydTPawVvKRIWF0
tY1xIaTLdRphUa7STaedjeNIYIJBLRelNjqO2u0YKO4xoeptDSS5Z27xIZ3gy7e3pRZDLooji4r6
3xVVxtHW9w+LaV6whgLQ1GLJuS35klpetyq/FAapCNj8orlaKOldVbEobp1E7iscSwRAuG3wV054
LGsttMRjdhNguFwwXSqtvKTu52bAgUlkoNuBs9rXbd22x7kCRI6XtxRzZqYVmqaWaVqIpzyt16y1
aHPQys1EyzdV3Vt6KCgIZGk1p5Z02jxs7Ta587S+05rJTuNTk2wWCxg3Yv9kfyLjLW2pT/G0BHTC
Blrp4HGEH7TSolCIgHsnQB2KD8y+sLCJ0luQ8H5APFBIjMWqYx1amMGmkvMb6r2rJO3Hq3EIN6Qw
l+NSXQHegf7oFhZTviFb+SLf+25oxWmbIDtVWE85vsq0BHXQOtREkuYdHeR2cZ2+mFjhCKcTauit
t4WIhD9ypJlRF35ANnGBrOm64ws8l7l9I1JsyD1rqgk7q4+l1Q/caBOJAp+KH76ZEZJXV0tdsyU8
tVHDYvXdXiqkr2JUa2Ox1kvCYMKBP1i0Irb9DPDF9locm2CQpT7+vjP8rQmTGmCY7czuuYJwSdsP
5Xn3ZYURxCT5nmGmrbSittKyWuV6dxDp735qPdt2c/BighxEJtSKSJu3NlOv3xvGcjQ9sn4WOT7O
gNDZMPkN8X35hnqIu1VaL7eBYASpqNWbS1RfGHYtI7kHsTU4v/zyZH/bRzT+SOzMEGYhuXmwc2S9
PJgOEpfroSm8GwGpCB6RM3nqRvQl/RXU+srG/ZtpCXCidcCzFgMrv2Ubrv12piJ0OKn82GMnPBHL
m7c8kurVaPXjqa4trpbvf0zaQXEbVVd16uYs6DLGW13Wv9TiYizCj2iMEyqbx25fpu1XPbdU/STB
3ooiUpwAcbEHlhLwmyqM5mnpvaaq7c6+MeKlY9FMBpDZcZVcEy7Hg2DPl4Hq3bNwiHDmgV5v+6b4
Ylc7Xw6ZpLenHg/kVUy6AhkWhP7cnS+8Q7/p656XHBvp6OSX4SNQmLkBYEMu5CfRsYdCXEtS8kFU
Tfgdgzcfn9chikkrBBheppZzSZwIj9JOrduHpAB4QXtdbr0qb/aIDT47LXwYzPxBzbV7GuoMN2ZC
XTdF6ZwAuyAS7lQsq0DNCVYm3ycHlwX3HZGVpSypzmIMQTMrSGfuFLc+nULKKvuNOzhqGxBr3jjy
MIr4SCsOX2XVKFoDHYy9Y5oeGknfa8WCY3J45iVfqUvcz89vA3djOMsxKsQpxHiE9Fcc8BCfmbFY
2T2piomaj12dAF3LhbvAdVrzMBTOU59SQlwF2hFcmyji/ca8NigdFFGza4paPqiuRz0039M8OG9d
Xsva61Fz6tNeL0Zkr+bJ/nAKVglWEWMJ4DCLjkQBIAI8cxjpAmRZn+ePYzETMin6e9ho54AAybsn
EHpXtV2zp5DOPy4sEkoSbQ8cCbKyrqxn30nFJQ/oC1wV2ZpGa+b5xOnCip182byX+cICjEOfrSM9
HW9sXjlovcXcUzNEpy2o9p4ohqVKb+BosCtrPjVXXdYhdTNWwjBLavU9w/5zKPRNPcrpxMXFrJfD
xbXITpbDAsoFFCa5Oj76SWGd4fbk2M+l34qkzzweFnZ39wzOUvLTpbdRI2RzIeadLdp47/mZdV5E
6LKIRS7maLzKmqm1n/rplUHKzjFZxeiTbVPhMSFAx7H8/Nh22cWo7Gkb9Za7j1Q9PvVGwBK/G/xN
zgHvRnUgMx1dyiYevZeh0Q25RhDtu8jbWEJYD8sIV+6zCx9RAK8GOmRUNS3kQ+bpsjHweI1durFi
Iz/EvMHu0zB0iNo5t3ntl9vGM5uHchiodeQ0YWNHRIUk3/rJT5qbzoaVDBeL/iMjEed5SizURqNh
23N7JSFcN8tkf3nuKHHosItMo73X2Ey5Ypg5b+JeTI0S3HAYXj3WqIxRXWAzP38wEkipwm3MK6NJ
srVhDHfCDtqrhnGjwXL7qhol662quCT9obd7S0UzHDhJI0tr2/l1dVAeTwiGHcmBjTAt6sBW53P6
GM9oETLcKbayPxagudckUVfdwrWuZlzGSUmMdDa65NbmGu4c4g+Kt8mtNw9fiGqS4wjS1ueJc6aq
queFkLeHAQafG3OTiaR7duP5eWoGexOkPJDiMGca1s5cwWUpTkbxHad1tnTI4Ajo+N2Wint15NW1
iubYPldk1SYmG2vMnclZPQ+b0bCdK5fKvF3Hj2YUFQ0xkc/KmTXwKnHqH7WJUeRr6v3tkvTqgLhM
HZKIrCiEtSFJHYmB5eXoEaDzh/Yqk8I+LaFI10Q6wu0keWMURPEuuaLIg/FLBaM9Xg8inVeCxquK
gqiREC7xn2jTUmJ/WUZnSRISVXf8cF8WOgDekJ6iBjjaGdIQRIDKj0D67xj+xvsa4v+M8/FVNrnm
Sow0xOaxZv0IxHmU3qwKmOgH4dD4i9qBVwO28xVd1+HdQm/zSQ0vLceHgZi0lzQ/CyoUFVbdlec5
+I1oWRkaJuMSDK27vusHMoAMLMs4MV+mkPwASa09X1dAPcby0vkDI5gh+rDFcMPx2pURqOKCWHrP
UWcAG6gOTqXOqVpJ10zC6ktGZgeQVbGJmdSxC7UZMyKqHxAfjFOS3spiSG+XsCIQa7Lb+v7vsGeF
hzLMP43arY4ySOojeYcn06twk/nN/ZwFxoMyvexyarMP/1aFqryndr27Y7/km1NBfwgVyM346S0c
UUGQbMJJXhouQIRconPHDcf9aC2fZZc4e3Ia9drwyuCmmVRwo1zREIJiVN5n5bL3VditncwIbvyC
8ExQhsOxcRo0PAG5C0/OlzmXWFf2I0MNAmFrl/BKaGe7UGQWmV8zfOqRlTNMA/D6/o/RpZm7T1Hr
9tdLEtQX1lw/wQnjP/XtZzc11CbuJxdmw5bPQY5oicrhDtEZiuSC0FsKoz3iFLUr+9CGabLh2DDC
+9P6T7gfqnUbhjZSIQpSq6KkO5cyp5vcOg8GIkbx0uZrhYqgGfHP5YZhUQEX0+m8zApe+L5iRLSa
m5w2Wy/+YftYhyezlufCtNwdopSS/wIsdVXysGJ6U78ZFFWtrGO0JGwxKCEezFmuczQLQUSexkwl
5aFMPQc0SSuGJCyZ6+HYmeoo9b0HL78bApJbAV+Wbd9MzXRbOlxgpsvgpoiLxwqylD4DcSMzz9gr
MBDGtj25FT1pYZzdDJTFCIPpnZWqA/2trLAbk8PDfKEWxsP1LprHKr1ijHpjptqBRh/adqifpplB
iz8Dr/oZq1YxRAcnOcWKnqcUO8c6mQjUyG64TjJ5UXshyS6iQ9NVWKgrQJD7OKfpIRTwkOFDjmez
GOe7xPXeGsFOrjYrbKS3YoneotDhCBZYoFmaJyK7+Hedm1ykT5mko4os0+OEYq3ndFnXDjx7fnBv
5GTx0Rr86B2G3oYx7+RCIaSXZofcrs5R6D+MBQc0SKdvcvtzgajnZ6m7VwZX5im0+nptOj0Zlip8
wwV8saTw9qltletg7D54oX2EEgkOo4qziHMQWu3W5cz8ivmDtZr97M7ogltl+IcUAGrVJPDibcQL
U/jdGqyYqGbMgVA7r2wm5OwjDihv7mtmEps6Hr9SlLSOzImKebT/ZQ2YSmN/DaN4bxowQsHV1Jvt
pcFAvO88JuosldMUwJkvEVOgRfVqVuL+YWLBfG/VyfzR6a0Lxdpl7QqSyEnx70j6/8cFzYC4+f8d
F7x+K9+K//lfP3Vt6f+P/4YFPe9fpmdxWO4DdAmOEinU+t+woP0v4QjbJhLreJblOhSv/DcsGPzL
lZ4jGUtamotzTfL9HRHQ+D//g38fA1fm/tJ2SU7RxfX/1LX1W7Q++AYI+IO+Ldt1fonWl44XdNRc
ya102dgTs8F/7xAztKgAbgKPOy1yv6TRiT2LImgqZ6HwD6wgsqmXaAb/KiDzt3Yn93Mc7PTUakQg
hTOnuHvakoY9Gk794tpEOE1vzLeZEVo7TsKR8ICSrZZwzFZuVD1RM3cxxDUr4KHD0EQhBhJipM+D
dSbffb3ET0j9rsqC1RlBRYPcC2PenNVyPE7xupIMikMa1yFbmEGZdHQQVXbvWQBMf+ruEb+yF25g
gm96ktMem/YeW/fl/IWsIZHn8NsF9jayIZKLoL7Fc8VZZ++8sD1lo+fsAru/xAO+JQlMKnPhR6PB
JeIduO/A3FjdT+owW8yWOEVhiBvBarGTSsveJPoP9mgqsjJNSPYWY9GAPWtBoLGKff+6YbBURfZn
JEw2KhTyLbb5SLfvp+UzTfecfeZeV8ZYneiD3KR+jfCSZH1REP8x/Klm/kCiIOQkYN+4/Y+GCYFJ
h6fvqd2S79CR5zwzh1fpaCCSNfbO8pMNfP5z18yXqojLfYrLIi1GyfkWHZR5634GpnrvEmrDEz8g
CXveZc2rVY8GsM9wsn2wM8pRwX9S6ynM5lR3gKPMCNKnPgizLcUAIXip8AoStLrm1Xh3Hsv1IJha
ez2QdxvIi6zzd4Mw7gVOAkoGJfmh5lZQGn5g+OowxLxndt7vuhk4cF76T1dcp1SBVd5Z1OXbuGAK
KKP4LTMReDnm3V/u9+vfGVZN7v4E4+g7xxRgm9ILAsv/9YJwWhbmyDa5IKqEtGjiEjSO4hs/jrCi
lA2NaHn25MYKLKk+BcHNTDMxbWua6DM4GCftA4PnpmsEqPWGcnAUgj4k/YwsB2OEsWkolECm3m/H
9Fpm5nDOoujfT+8f8/+IPqu/+x30ff5X/pOoKM8nl7QO3BhxfP2c+MtFzZ6q0CErk3Q9Bz1LxyBm
dOWh9Zu3oLJvGWMcEr1p7HNF8+8U3dTTspvz5iuZZbSZkRbUTFGQYRLxoROUCAbQTdltq/KT4PXT
hGDrnz/13wA3N/Aoo/Lwgko+ddPmwfrXn7iK6z4bZ5/hxcIy0RWvRqq+Oo+ZspNwW4ry3TXmYVVi
iLAF53YVRQtB3CZ/+OR+//I932EODabpuIJ8688/Bub5cOgbBFDk7dy15frPLO1ukaz96S/6/jf9
/BXxN7mW56PgAMf5bgn861dUj1HpKLcH04QpNEo/WmNIIRfbvrJhvpgI2WE21wfTVnOJF4Wfhiob
QMv4bLEnHhu4pzLMKgQ8IR7xYLh/6Aozf38ysrLijWHZDh8H26CfP4uQCyiq66HfKvpwlu4lrux5
XdRNvc0wIzHcErRoRx6duxB8rfqKe+okTPVY2sunkZz+cIH8CtBygfj8H1w9gjr3t2+mo3U1C8e2
37oLi1UUlCKs3ubGfVZ9wavODQ+8kHo/WNdphQzg/ywB/uZ2+v2typNAQPm7tu5t/PVuSoxpEuWQ
kHC1FYezfVWtuYQV4LOlVtjAQCoxYRSu/QeM29S8/M/XCHM5FgamhX3A5H3+8zcwzLLrSsQaRNWg
F6dmPw7NY1RWV55Z78KY7sdt5E5HpHZXNEbd//Nvbf7aFOcG/O2uZN3iSgpBv/n2v1yhHp6MDD9J
uzXT6mqYhvt6opWL864l8Ck4lx9xom7DoHw0DSoRmEK54TW82SNwHGnodqeq5g8/kvWrYIAfycKO
4fgsqNAuOL881zrJbofLFQGCKW7R9DIZtrc2OSExt68k+F7taDjEPRnSZL5yjeHCWOhSBnlAeaev
4olAH0nHcazv7eSion87yNGc9cP70rHNkvlVbsywp+2u5xMvkTn1fvOHR93vj5iff4dfbqsem8sY
RvwOHoJeqwyuA9rS+KYPf/j69KPql4vHAim1BMSXafMy+PnicY0Cg5qlIKij9tGvlls/V0dr3cv+
MFF5SvPwkdXGhyTLzhhnIzjUgTzkNHxdmeN7rqDGI/GnK/pvfyjeR6y5XGlb3i+GCM50+rTCj7hF
J4dxetgrAyQO8VzG7dVb8y304yGPy+cl867l6K67eLiHrNn2DFYbwjtzeW2M9fM/f1Z/c6UDpLJm
1h4JwfX+80clqjQvOOrRciXqBVX1PNjmRccZVDt323/+q/7unmaRqTUVPP0d79cXHQnsQDRwKNsk
q3XReMc2sfR1ro4kAKax1ZR4h7wZqUhi6EobURxvEp9V5x9+jt+fp75lA+L6pmO70hS/XB5Ba5ru
nIIa20F4bUKPxYdovg/cC8Nfbt24fe+ldxxj++Of/17r7/9e1zM9h79Uevp//8tTpTEoj6G9vN1G
i/Ph1eVrAerCQaS4KIbm2aiKq2Wur6aw2aQb5SG+kukrT2VzlVshu4uGkZ+IOfTi+O2LSRVJrvbR
mkmF/fPP+Vupp37U0I7JpyN9KXz7l9t0QEotmr5pt2EUXJtyfI/M+hntIIUG4QpEm+QZXb2D6V5H
Ak0p+aSHVhCJIuS5VX33gynwprTRnwTetZkN78nYGn/6GfV39OstLr9fh8ypeUH/smiim6dqLJix
LbPCB9Ax2xa3i2ldLCZQiFk/Al8vsNXVa1ssmzDxNlrU+M+fk/13jzMpfZ67LJl97p6fv0+eHsWA
64w7WlQ/2olTPOxY5E04UHKb7mYaTZTudsNRb9mdiADt6CK7ikhD4eNK1lKNN0jQHA6hKYwaU3PX
oCKlbSRfz4ZJVBPbwJjesBBy1wvbb45TQgbBLdqCbK9EvadP1aO8UXDEsmkjb90SqJstRYekE9qb
f/5df394BT56foe1Ib+naf9yywi/9GKisiZQnHxwTWc+qyJOwgOfU5iFSf9oTH9ag+lv8OdvmDev
y9KYtCb3jPzl0+0m639Rdl49khtpFv1FBEgG7WsaZmZllu+yL0RVVzeDPkgG7a/fw9oXqbWQsBhA
MwI06nSM+My953rE1RUW0zCvYNnE8sFdPhKiT41KjNQiyPLsZbwvbXfa2WUXRoEtL4tqoLFgGvz3
9+/+87vm3OIFmSgmbZf55t+/6yxDbzIx6d8Xcrj4qOPjPL3JOxq+9AWe981cdXRqDMyGEdoc6v1q
mm7ymxLYhG13lE5m+jonISCS4NYdfkn4tZs6G5EpFS5+Bap5VGWXHA7bxFJHd+1n0bguSw6xZcpg
b0eB70L+LIflFKT6VfbT3RAGeIVYb/momaaB3TVng7kQcYp280kmt6rjI0KQyP5lDIat1+TPcoRq
qPS8M9AELgk5dD4u5rw9ZWX2jN/87t8/tm/azl+/RJ99mKCIo2pd+8o/L70ls21RS2xqskCxXJAs
Z03mc9J7wCcc4jcN7FWNCpqNlydf7KfcI0KQe0LP19F/+P+9gP731QSWADfB6Ol7IPKXA1iWOsP9
R/45ziD2LwE4WgV2I611j/AwuxotbW8XtUqwCHzdLSPmgyHQv/79Q1krtT8/Ewd5ZmCGPE+0QX//
KcGfJUIPMxhW4gUBn5KfvlPibW0OxEw81w4S2Gb5j+f3H6Qo3rpg0OP5FLOCxnh9wP/y1icF2tEl
0WmPYOXJb4kt94i+EhNTDpT2McIAz0qPM3QMo5zJP5A8RD8tHfwQU4hRqXBntJVorBNxn1tB+h8P
u/3nw76+PFotsfYZBIY7f3wmLsETmQ5ABpclJhIiZdMweSimR7+NDypnpDCCYWDUQFJwW4tdDoYB
Vn9ELPChNWPm9cNtNrv5pmg+vaX8QJb/osm7wwNrZ5vM6YBmitO/f41/FuS8ZDpYjn3fAfwFaeqP
T5Q5RlclBLl2uYE9Ni928ZQ4Jzj3r1YYvAQpwcLTrppl+B9V9D/qCP7kwDW/G/XQcoT/x2Gcz0av
CxIL9tqFb425EhmYXb6qL0Rs93PJeczYHp3pYn1o0PsB2nF2VZ+sSl8duNEoZisWsUgkGXnQXwc3
6O0Yh83/cT/+o8//fp02ADAuaurw79/kX35zfeNId2RStofudh92wy0+jCgb0/ukp4GuxZm1Eeot
tGcNhjvin3DCi+tO9WDMvBN9P+CGVZlfcc/+R/1gO/94CK11iM1/uNjWzvbv3x4T6baGcIHmt8t/
k6Np3fSYM0D8mM8EAjlXI9mJG9z5EQSzD+7DEb9Cmx7qrkwPHFNkw/kcyhWAw1Ycho7kTqtU1tbA
f33vMP3MyKA9u566jVX8UipZ/NeHuxL4/jhGKCKtwOEoMrmY/vwV9EXDoq83hn2HmGiwQAK7Bi05
0i3HV+kB+8XvgsBreAFtdiAzwySTqr222gbnehFHA0pEpGmYCPFoYtgCsUUdPp5r2e8cO5t30EzG
oxtKNvg5LgO1bIe27HemRQCeI06DUF+EO4SnRhcvXj77h6UsSbdbswJkMlIoNHKfTtZhcooJaRn8
nSkn+RNp88msJ3+XlszN8UOR5bZ+jFlRBzuzMe/ILQk3dTgSHAdYY+snoXlIUSduMkYBsFRqtngS
Kyngu0tDvNAOLIPeBkm6RyB9ZLh6RXhIt/Fa98F0l2zjz+xplZO/mdrCBY3u25C/XaN+JqQP2WxR
fbnuHWI8IMB2Gfl29mlZ+wzCQKSc5Qemh3sUrK8lOkqRkSGgLUtslwyHRNzDb0Pd2Al+EzoN79QE
cgKFg8GKADc+EggsY6zqULwC/VfhTRgbwBi0s+zcodox9Qv32CfAY+IBNQQpDCHSdipa81OY08Pk
AOOeCq4k15nOPVE5LIHlVWkHNwo15s7Dsr6x47q9dWE5KAqJjZ0wZY1NCKCOIXl5uTfsa0c3kd3J
U9IkBC2hhNw0pVtGDD+IhfKQ+Vv2/NEvfPzx7NTn71+PJpAOpwvGkSFtq6iXHXpCCzda546Rn1T9
678fpv/oDTFOMPkMGDUxg/T/cQEYczNnLmjlfVKJH27iPE2t/wn45H31Z02e84XP5cHPzB2tRDIb
P//jj/+zneCP93zwYvCZuCRD54+WZ2mywMmLdtgbRY9RcxIUcLOL0jDZlf5dmYHTaPEJn4thyYF8
KStSFvhxGtbbf38l33Ocv1cHvJLAJDfDMtdl2h+He5kumBu9Yti74ZwC/9uvjOR4GGzyazjZsT0T
T7y0rIuq7J64pXdz3lciECdgWCmoDH5WxsmN2/wBDeumWH9e/dh2t7VOo0Z19U3a5kRJhliImyld
I3Asfjwh4Ym+i7U+FbmLscD41XnrKuj7Xxxg6bL7N+lM9uH7WR1LzdEsJJQcVM4rrQ58bH8ZJd6B
dkEKNMo7lAD9jdcfAHQ2QFKGQzqa2MxJN2EpUBA+7vWnZTLFfYiU0BqDc1M30I5wmR0Sn+eXZXv6
H0X8/3EhORzsNqzMdarpfZMK/3IhUcTMYTuOw540zXjvwNKtfPem9mp+/i52GTv4HWYyPwo42tlo
/4aD6u+d3sMKsTTBDk1aETjTCXIJ4KuxH/9j0Iti459FBdVPQCXGqwwFRerfryVpoRaPYwZCjdGI
Q9yNqP7jwl6rsOqIam3bGt69InTrRrSEYCU2IkZvPJAgNQKHzKNU9+atHYvp1qeYctqpuJ4WtNyZ
lR/svum204oXR9W+oYGmRKAGtKYm/DGStrENRdsdEEO3m4mZE8w4HRFiqiKTamKDYVIc5zL/SFfd
LMNHdMt97W7X/7bKmThqQcx9jk9HD9leaSskT1ZzpoTY7+hpPuflii5nJivpplNMfMi3ACq++kKR
qR7LvmJXtl7BQ5+VJG+SfJDNARg9siDQXRAwcFB13SCPoazDXzhHDI/iKM4XfjS5sfNNNd54ODmk
FPIOthaMOEOBrAkcG/1GNUbF+h1aBiIsuyZPNwRLLWvqI8ATBxfbxE2TO8fEF4cmDoOLLTA5zSjG
C95O2SK9rLOpua5BF23VdLa1qbAkIsjvVfC8elWgUtTAArrS3io16LOb2l9LtzO9wrpUZfCFYZB4
vQWiUlPxfu2MocnPpg3LH65dVI+wF7ggw503Z9ZNF7rXk0qdW7dX6T4p6ydYZeJU0n/6Lb62XgIA
DLniTp2LhAdeRbFPbHQqXVXAJnCS8jRDTYrIOcfzwh+XtfSbVWgSWN/CKNe4SeYkfVvkm87d+d6w
3Z9gbWYAL4jXeo38pOZrJlwxDfbcLt2R5Rg9d9Khy1ubpLrJlpvEyV6gTH0yqKueioH4tKIjsGjW
77nK74bjRDFwKvFo80swAaai5tyiVycjuPaR/yzzRc5fasbnOSZIceB2BgkPVbDYP/0hww8lSd0J
nPGutKdu6xjjre0t9LorsBZ9X31KnaS613QjgR8gSDSLZ+vsEkV1YaHQ7ro2XHacpx/zWm52o3A/
CtsnWMXPgMLkCofDIu2LtcIXMvKRuy6BVg+HL/WyqwXfB3lmZC7DIjrTNPELlPK8uOHzyFJ2cR3j
BEgJB6vR+FuZxuFzuenm0QNE4z1kmLQPeVzvs3DFBqUe6QSsK/al1tOh9HeWcPqNm7vpj3IM+nNb
mQ9Z49/X7qzfKuCu8FJvAi/lz0HD+8Awm/pCbbPeEz8AEjn3eV1cywQQuinK+EKOlkDoQ/pB3AAG
b1W2001Oerz0vWtgt9O5Xc/WIHHxurQeKIeyGHdVgGaHZUJ5zhuDeumQz7nxtgTxHbAVviivwzWE
qo4iZ36zFhFs2t5AVIXaA/WkceX0i3dl4nKnLJKXhuCPMUydN55xewwZZsUkjElBggztmzxhQXgr
DTUfXbuqMNx1B0CBCOM80haaJSqrIQqT3L1v5oloAh5xviV5bwRwWHxp3Lgje34jhx2OGgAaBQSc
enllcW8/9NgjM8f50Uz1sDreb6G7pntjtPGxcsTRzl5kkY1HaVoXB9vcpuNt7GD/hmv/1J5cVLXf
f2d15Uu3BjmLjskLme9GjNqs8hmvhCP7Px1zP/KAbPNlLu5Gq9/UnMYPSAJOAVY/3wrGM+4suJWs
6U+mzQlV9icpEXP7ikM1XStc1WGrquWEBty/I2S1Jl0VxasWfAM4s2+K2ds2OunQG9TH71JspvEd
M0pBcHnBHlwVmgNnsI52dZgdm25ESjKXhHxvDTyUhb7yyea5TjocanmM/FMvGAVkQ9q4L8onp9LH
ZeCNmEtBKIXE+5WacULWz0eIbv2izbnnKkaZR092cde/OGl8GfDHHWVjuWfyhyLUwRPer6A8WlXi
XdOAetd2ZrvXXxQaLnb768TX003s8ZeElcBVnJvXnYaqn1SWdWo4MFaOn7jM5fLcxgSmOCECCkwV
D4kiUTopxj76/tveJNJhRicPArMCrJcn6q2tpy08BowNYX9DPVluPdAikcP9FiVW4G87fdbjtU4o
0DLKysOiKDH06JjMSieulVzCxOBfMsbIhXpFBo7dG+4uiwHp8u2IguFqXk135bKMm3pYxc6hum/8
BKhhkh4AJDgnw8ATlYAD2lD5wL0NMvxvC9oRbMrdbrBbCK7K+OAeO0x0mItXu/uRxCP0FfH1lJ19
j14oSEM84+NQR/Tlb3GAUtXJ+ktjM9ZQJPRtGrKuNoF7MG1cpQbYn3NVFhR1bNDa5s3ViniXprqq
radyxmGAaKnYpmuZP7vhIzcULg4WlZnIpj2ze8InRAVbK4XgQCrGV+BZp+8GxR4GRIhrS9OGw22J
8aKGRb22J0XWPPVzZe2Yxzgn8gCKphwOGgsrWhhpAeHw7gtyBQNBtZZ23RrrndAGG0hbZgk5K7HE
gFm2aY9g13ZpnNeXvItBJBFn5TBTPXQLBU3fXRi45ZdwSC922DzolekzunGDePQL9O6ZlMSVyGQc
vWC2HlOkr0Cce30oRlvQURGOhDHeQ4OTkrn7EA75cR54+a2KnfWE3rqxbx3CtCcGws3ljuVOvw9y
0Dpy/G134LYSWKBO455V7LmEf2PVzVh4C7s76Xo54uv4UkJzMQNO29hha0QjUcw7M6VzW7oFPrM/
51tfExJUqGtVVs86mT/gpS6beULy7vjom/PKB66rws2Er/qQuaGLGoZph4oHErPBpqF+x+g2Wcul
aJEGGWXIY2qmF5DpO7NNiVMfzIaE5PalwJkG83vPTPge/J9BtgrzHLJFiLsMsccZHSDPmn6gCKpI
1XYUtkoCPCfPvKUmakkKyZwXNyi72+9eMogAbFEUwQaLWDUvUeB89SVcF9MLT7Hf/LIXTMXdmhFG
/cECq/+QBNadbZ9S0pwsDk2Y2J3bzWffjU+d1M6ecTTs2DLfFRVqJ4Rm/SFPEfL2s8hOWbZchsLf
uqGfPRBX/tKaiHkhfiLUb+rgWBpk/o5m8pp0IJyUC1zKir1p31rTeeywheY5rLYxfqvzBkU5XfkB
nzVxJdX5EZsstod83qY95jGt5pJf7oKBAqdEWGpj79ifHbE9SNaOlB9c3x1OOjCeUJ5Y00ZZYV73
vlE/zgHhhgZ4pToHsJbk5XysZ+dXZ6flCcYmCEI8sVt37ImtGDBgfXdbfgh4G8Uy3Is1wcfywIuR
U0nJ16zk28mBPgXc26nusX8gw38eXehRsweWR1EObmoVGyQcOhYL6WMOIeny/STaswuAGYB6V58x
oBzkuE6KBVl+xphlvMFVGiLBoToveEAwjdcS+g+zCF/zz9TlqHG79w9TsjzWEuh4ZRW3TZxWnPx2
ZNvWtgoVSLOkmTZ90BqnSXrzOWg9Ht48BsNTHPQwKyatLGVVkEP91uErsMM1h63LLr3hiZNdQHw0
W08SEm6z4ezH26lW9Eu4+ghi9O7A8XJzA7fajOM8H5j9hdeDl4aXplW3bpCKM6nQv1QLixSLHwTS
FJ2AIi2smyHVBaHsjoKNcZvk6TFD0BDnt4kZiyP3b4A/ZG6Plfum/IKlek76wCgBJaZj+GaMOQDz
1invAu+9cTAh1SZsjiVMCD7pz3YTEsc2yZlDr36eTCe5LMaMJT5Z0CEGvQkKBR8mD+RerhQEakJG
AY0RH8OgfatS2FA8bXQdCgyY7Ti3Nd4fPMB7Pjvvgj40uCYM4G1qJIZM7M6HzHcfJBsuCFBsOmgl
uQYMBsUtQ/INJ+IcLQsEQ4o1Lq68f/j+BWDFOcazJqJRf1rJ8F6lEOfFOusrHO9RpA/9wBFR6xxs
kY+eH8bsDJrZtYllvqP3g9fp4PAOCc0QiXc/O8AWBX2LpYg00lP+LNKsPpfqKLGdPkonszf12N96
aDaipbNP1hQ/NUAcdgKz0Ob7JYUK7CWL2K984ROsUtI7fVccn1XauddS6HibzkxN8MYBashUgsyS
uzOoCuskFoKQ+uawtEZymr2q2Y5Nm5xT7ClGLZZoqBhnmFX5kqA/33gD4YKQS5LIl9AtigwyI7BG
4NVM3Cjn0G24SISyR8Pis5SJwHNHTKs/D+PZAK91hN4uRXul+pIUZ8k4znSGiHUH56Qh7f0ETiye
R/WKH2KOCXNlQ7PDz1XDZyK1s/TPMgvCezLSTk0mIWCnVQpDVeKbHH2iIKA+VW11vRi0DWPTcFJ3
KWW6Z4v7rkLmUczVbhQxbXctjzxV5n1iJu5VYMSvs8ryHf6XZ8SsVJFLRk5gzeh7iHzfca8MlfyE
N0KNAmODuidLWL1O+2YImzOarY8Ya+BBu+OHYzbBZsLeFvmBz7t3GUgaWXBg8isAcpMlrLNLB0gn
96zqh2Ev5x9Y5dpIhfhll2rYtGVy7aB1gnUMaapS70PbmjgWV3AkHtqdF6aPDH4+s0FLiGkYhzsb
R+Ct6dT4IMmQI3gAiks/5j891MFXk+KnV6XTU1HPeuMlo3/f4VziNzhFWGAYgk6T/zA9MVWF8yWp
V30Pamfl/WaXqK9YVXbRAFpwnycTwPx069vOcu27oEoMraNefHQZ31IGpGPoAbnEqXkTh/qhXVoq
zgyLcAAUmaXf1kle+9zKTmHaPQQtSJLeS/yoKfTd4qnDqDIYGvUybRYmHRtPt6+Jcjr8CCLc590z
JDrQszE7Qge+K1GBXA0meRRAcjOzlvsMFm0mAYpMy6OAcADCHIXmXGOwauZBwZ4BmKZRPQVNNx8E
ZHorRsqsWf4TgGiffPCSu95Lv1SpPxw5y4PN2mRrWfqRzrXDWuyubsaEy9Z8D6rcZ/Di3oTBQNSw
DFHVDsN7YVFFeZ51ZZk5Qmsc1WDkjGPQO/dD6HpXaUgh1CtCkM1pPCXTZ5l1j90AhzR7S+fa3SBK
oub3fEhUhb4fUm4Za9Ytbg3r4GfGkS/pk2BRPpWyPGbMDyicseESqU6DVgqIFxZXaGxDHebdcI0C
jJvvGLuO0BwZROJew1eiQ0hlK3WwIHWzbVxwG1hsNiQxR+zMQKQooz8FpC7UdjJtGr/woqXoX6sZ
61w9iHqXmcWTHfREHCKj6b033eN8r/vqLouEAuYZJn1/8Pv2o2useZ/TUGNc7kkEH5KnEqCkgpqM
7yVdSFCwrhY4xIC3JbDUNU08DDvCN/z3hIEn4YZ4VXpcvAA42zc/NhA9anO1x+bFOW3JE8m6N13T
4CRdehQKM8vYYr4bJtvf2AztMD22e3soOANbsPZtoPYGAT3Yji5tncAxcqjHW+Ft63GfpQxwBufI
nUvkKQPJyAM6woX4IAYLwljCGCtz/atYzj+K5Rda8fRe2zCXEbXzfNYRYlTOopiLOkAYhOYWVgNV
Opxowrzwn/boyw2GFVm4q7QmqlaoQwyNHKPb/LD07SGVzgPt8HvlLReX9q/V8qaZzKO5agU8+haz
xseU37ptcE2ff1vYwQWUyJM9JBN1IQM2TE2z6MYIO2GwAyHLeT6Mz5WTPSQ2a1sktDxF5IIHdZrc
sTh9MzTgTT9V714h7KMF8aL+TnEn4xGXcibA15qO/oJZhBGLk7ChJtzQ5zy3OXVCBmzeRozBAHJk
fMt8I55JyGjT5m6UOtzXI2KDDoY0myrvV+zM6tyeycrp7uvSeS1yfktdPF3FweLfxRTmXpijF8QP
u68nL44mTXh9qilU2ZhtQHjASEvceMs65FJLAcxBe0gwcJpXQMMFqpMXPXnNwRt/wFm1jm1D1WAQ
LrRPueIhn6MFqp2ZAERWO1xdy8UwQ7kvGbMfG8u+McCs79USbu2ZpOcOz/uu8xIoEtOVb8VnsyQZ
KGPZbB06r5HE+vbxti5aBqjLlUt2+Rb2in0YwnQ3+mYPwsDYOQMW+NYyvuA3/3Ksatj1ixludeF/
qQq0dubnj/Mw76bkyQyS16KgUys6toJWW/92pPXexXcTyOKhCS+Jn2M7nzSWr9p7ZzSDo7TPn2D8
HJ1QMysuCXbqGsH/mItdIOoZE2EONIFbQeqh/GEn4qffhWfL7ex77dGDlGsh6+Xm54lM9LNVA7ht
mMjKLjt6bJPxUIyHZaS68XP1XAjOUN7ndd9bdHM5WoWaTNZI5FmEFQmsfT0+E/4HGSxsXphxhbdS
Fb8mj+i+UHMZacvhCImDds/NGMDc68GwQ6/egrbIb52pjGgTFQD2UD4N+UwOUDP+cmmBz75P7q10
YJUsHvPjlCUIK5qXDDwCKbH4uEMj/Q0K7dCr+RowpwDUV/82BmQUJA4NdFraIdDDIG97x/RzhNLi
nhnWyZsM7rzjJ+qFNvW+CPBCVMbMOqUica/xhhsXP06VHqzZ/OwF/IZOUkH5Re2ch/GLyXx9TmrS
KAIKI27gwca4PWgYAmFvHNMeEETD9m81DcYaHyPYKqKFpwx/cG0A6Vb6Cm/s2/dGmwwS3gcp19sE
TMh3Ra6Yuh+YW2FHyuMbwoYx8AwZBlJvfIfoSgimfIltpveynNNt4Xf4XXkAwQS48GIXiGbGvsU1
vIE3WhJq3h/cYvicDByjFSff0JCkpBhEeJIemSTZdiMCdhDyIfQjj2W0quHqOWokWTk3oQW6kEZg
Qy/ooNnmEoGTjh0Z9nNNYMx6O7wHKml3S2pf+S2bCFUqIqVk8mSBoa0cutR65ppq+cEwBcqJSZ2i
tn/MWm3skPTDm0shBdfOV8LM2kbOLVwpqKMdFFr+1hfwV3D74ynPG7X9juqK4VwtvDWzHd9sYnFr
s91YxYwYBZ84lTMAD5ITIJPtColM2zCddqM1mBbpqSeHVf+VMNFuln3+g9virs3MlHUaoSezMPac
2NMeJR6dpCaQIp68w9ASsUx7q0n2DhL9u+oAQKuW3K4krYHbDIhnRlY9yLCiPgesaTHvY8HuHSk5
fGYDQNECp+NqdWIcOg0KLOzv8DHXwS6jZOhFdFT63cCSDvHE5QuBIMXF5X9aAmtmkkDPq8qIHMuR
LBr37NRdExUuBY/ZY1QRLWi4QjFXSfXFMw/Nvi1XWk6dd1HVuTjaiuLYLfjyZA9SoIBYiaUXsSIv
wE4I5WZicxgw+3tpN4F5KB5KH84MVt3VqI9eGDnbqfPlk4d47mDYTnHu6x9d29TXyKh8/TG7tnGp
0/zsjMNwZTt3hRsNGSkRuntqwXTpPpVXTezuxjhs74e2Qoc50GgUAVtun2+H/lYRfkUgWaGZ/lUU
qwHnGtEo0bof3g3COk+F8W6lpntE6vmRLUnJpoDVupCPfpqZJ+H2Wy2S+dT2rbkfa/7foO60Epcg
RXqTjMFXOaYkwyYElQZ+7X7YrgAesiQS/Mkrya8OVxyDHSMtVoxqbLMbtTaN1ZFLviTPcaluCaf1
oomC10rU2TTGAOFD1rKVDsXJW+4MH21bUhfFLgRvTuzr8jQJNhu4C6xtP+hTOvb2MalJe8qx0+24
wb8KmCykFeIzpjNldk4+RKVvZF3W+3VoMFsiuCzWa89APYLryBFi9f7FjjUYal2fh9/myLWBBvKx
rHmWQkXwSW4L+9rtkNE0TvLl8Lqztj57pnG0ucEO+dDAWkpLgfyaf49Tg4iyavFDhT2rkxENtOAj
anpHRq1PDHPavedhfk5cnM4prMUJe2WfFI+WHpttN00WoLH+JPhVBGgy2hnVmqGZZhET+2STO0Nm
zA0QDGO7lF99OgUUo+iiLokZquOi65tCNsfZ8L+csv49mVjANB1vqZZdD29/S5jNGmRzCjiHd3Mz
VpGQ9UNdZHTqyTo9jz91y+M05PG4S7qZmTQbpFN4X2brliath2vbTm1qCJNVFFj3vVnRJBhFxVgY
SMkhnyi9mUB01MAVYiT2fUwOU7h6aV+dJo8+AI8AF63FF1thrdupekVqYunbKlI0ThkixqNUIwlj
4YezjPG9tPOoVwByteFTrkp5W5uE5NmpFsySGU2FQQ1urCSUuHMt50obFmAXEqdIybyxSEg68gMz
VzlJDxbATu5W+LnfieDsGfFeDamxUi+u3djaD8b8UjS8gHbCVusCzdlXZB8DLEfN3PRGegAL63HW
bau4nu4mdI4qlMbVhDoAbFHc78ssX4PGvaO52OYP2x6e6fC7pHfve37tcWnxA6wZx8fNmO9DORPO
AsL1GGoQqGZJfoptijbKXEpEzi8LSig7N7ZwIZZ0cAtawj4gAybbxQnQUhiLzj5TSFnwZJzX/Nlg
nOQNaNdi41hOVFt9/TSPDOPartrieeWsSYtH9vHZJZjTkZIegIUpHxs3efs+LQrbo3+KAxz6fXo0
ffyuSfnWdX77mJTuxbDCU9Gq6S6V6OCmAOyhl8tmO8wttFvhRqMvbXaXCctxVkGMsgggTJBCdH4d
mVb5QUJlR/eCV5G3/BGqoLhKO+Lls9G57Vu5N6oaY22IXfOwePwiv3UaBZyS7cJPp4J2gk4JcqE5
Z/eD+THAKppdwRQxYeHqT0fbrcKDrCW8ouVZhnV9onT7cKxRUvJbJzUDaGbgzONjpteE0siT32Zw
jK1Wr7PHqLBS/26eyye+UfjEbk/HDTZxNPM3ArTX7x3WdW1bgHHwUO+9ZWW9zIZJ6lqRneP/HaER
YV8RQXCLII0QV1e7ELmn4mR474or8FYkCU2227g3RpJWq353Q48zfxVz+Tuf6XhEY97qSQXX7opz
oZRlsRPGu+9+QLYjvFAtz2blfAQrYIBwqq1VUfh0UPoxusKurTqfZTp1lMeIf3ub22NzdLzltZu4
832bTILOusEdBvVA+/d65sdBcI0BWHc+xDNvDt4pcIXWueSq5vzOAlA/DGvbnrIr7hj/iVgoyh0q
md6Dcm0AOcBHQBk6gY23spn0lxyQtSBhpZlNJthcS0m97PTB9CodWW1wYDsBR11l/HrJzO7jIabx
9nbCyH9VDTqtYExf4Hw++HJ4nLUJP90Y34ouvcsJa2MnaKDSaxkex3320qj8RTtQCKvA3k02OK1h
wsLtzVuPwB0ivRpr76XsZwGlLmn+A19Ss8N5+3tSnkGEeXUl2uwpcZr3xu0oqtIXkykgFyi+9TJh
4erxdjvYOVZNLPucrN6WxPkYlPPqNP711IhPTVz4otCnZz1w8qxj3ZFZ9HbkYYJacyNOckHwgnhU
/uJGsux+ck8jC4HVgQbSPFRuy+4UTDmt+zkO/YeydH+ToEPIjksSgSsviJ9v+oHFbIFYRNOT7A3V
3tY+lSGzbAuiEfduuCNs5JRXJE8JJmYbwz6NpfWgkvyxGrlRzcr/0qy9qwGZpe2XIQG7yAg0Iosl
Bn7h0T0pxOWbRLCodGx5bNp+L/ym5iOvfiSWs9eT/7vx5IvZ8s8OYpL8Y/BPCshqYFinW5PvavS6
g4iTCQpVSbajB/7WLT4D1V1CG7OB7M6mrfurbuRSYgDF1qu4xhX2kPYWjzowgYPXvoq+8K51RReq
pbWbcoTRXlj0kalCc4cs6jBR2gh2cRt0wc0eW/wI0XK4NZDkAJBryRJJE8RlsMnhCApFUqzU2W1n
hw8yBcqHKJWAIb7LMusrVNmkVgAmFylJupaDMkWp7NbB/7T7ds+bBmAQ1Qi9Y9HBzoJ1P6Ov28l9
ktpdYBygSHCFeU4B2+4KjHgNwJrKpb4Bxp4uM3S0ar5Y1i5oslNfVKhAyDAEFbgbM6y/okXNI4ER
WMMagorV36gZXCWMuC3W+XBRKEbMsZx2Ppx47MUrhaAcCaNqOcVFx/5HMZIqEp+JkyKOK+6Ll76l
Tg1tZkz8eTTAuzAmqrcHFbk1Y9RQydy9jlRenecbG1disQD2IzlOYnOXBLzLJfCi3mTxa/GoU8VY
uz7mVbNpAHYocGQAqhI/mCX5jLLY/2TOaHIah5eUht2Qih6a2Y4zgUKbEsbQcmk109CCKdNgMLYZ
gWHb1UNrOYi7qmTgCTDMnZ+CAsRw5N8Mo573RWUhR3l2hcVJlyBp8H6nrfHQYNVA0jkzP250VLXF
r1AISDoPk658VhrFq4Epd0N/gdQg0Tfk6TnbRCcimi85bVdktPUb2TRb6YpHw9sWVXbIk37fpQuJ
WCGmXHW22KqrwvyV2hgs0GCTidGQHQLc6iFdvF/Qv5g7VMfB8tuNF3Q/PWDUY3tSdOJMqThSJ5eT
Y0FU5BQwfaSXQYPwtitSjtYatcv4hDHr0ZXNTYX5bJOsoSV6Tq9bz6MMm6urpartvZu3dzBM0fKU
I1PidVKzLHc+bTl8/V1gOe8ktv4Pe2e247aWZdtfSdQ7DXabDXDrAleiqF6KCIUczQsRndn3Pb++
Bn1OnrLDieMq3NdEIoF02hGU2GyuvdacYy6R0BZRc6ra4kRoY+0YKVskj22YArhO1oiVS4sjUXSL
tONSWWMOii4PjpaY2u1AMzIqFbbWglGOmbGYWY95izIrF/FaT9h2qbQ82gJdEWOM/BwFRr0Ys4Dc
txim8JgcIwihi7HQXuK687ckxhWxhiC/wCBvMARTokxmcVNjMj9HhoH1hlAGHpmMW53Myfe6uFop
8y1IJuHGDGUdxcAIdgm+61KdgnEbxLjDkcjZgPKxTkynWJE8J6TSGzv2zLx+kMEX9Qquwgl9ZLyR
gGTwEAu2xm14UanyVjV852VS4sTSw8yNVYp0/IMmLdaR7DZq1YrvUEWsnkxQl9Riz0ndgSGy+RBW
Xz2mZffyvX4oGNcC9TyXMqptO8Hkk8OO4eFNzLXWGOpGFOx8YsWctmrDDC40x/7d4t09dvEtejRK
Ca38AEmmPRJKCC++Cbp7zH2Tk5jjdFNgCdRqypOKONtlbZaYqvLyKSM3cFaCF25FkJQIxI0Ip2NW
s23xUEkt0aagWhCU/WoP/yzR3yyjeUZ9/8q2vlqSUrbUR0IN+pHdsNnykDHkbLzoNcn9yTXgFEQy
4Us+c5uiRVfNXHjDWnIn98PGMup7IjQpVhVOa2c4FtmePpkMK5MpdN8X5ybWn7My2jTDtLfbcqNa
w873TLGQbHFj6vmmQBc+7+Br125lqs+C1lj4EqrWW6DxgrGRUsk1FNzaJCAQae+akIRmP5LGx82H
qLEgUVMvaa0A7S04DSurbR5U6DeFqTheXO98nlzEOAyKo+cutm/7MvtaDgWIpUcSUu6refrv6/Ud
xGJU5iYLmKxC9Q/Qi+PhJ6MsJ9yC0TLpN3M3H91GatzCnD9WLekwqc8oufBedT8m8S90upSVs6Ug
K0ZWEd5rjt5X10hmrziV8klSY2MzMABFqo8eh9HvjvgV1Dtqe0317KaUxse6a10jcCPOI4lxxXuu
y2zzjBeJZmE/koHWWdDZ2BsupEI9eqnXLhhMyfiuqeeLYYssOmi8lyFtNmEHVrG4KKWMCL95Dmrl
Gvr212KUjtnE1HYEIkj8zMay/U1aYw1g48KOvj6Vjd4eOFtLYutIBUjkQyEr60yr0QkO6reSpLuV
1mvWtNRTQPpDb+OqoAvYgLTZdA1BQ7S/vXQHDf+f/5NSP/vzz7T9COrpSbFXx5SAR5QlCzVXoOko
iM/S3WgUFFxKei/7UCDg0X9oE3aHyrIbR7PVBzXoNFLkgN0F2lyZ9u9IsssnIJgzgU9icxZsbKQb
d+yMF1Tv7NOVtDtnNASZj0nWzmLWIkK0KwLBeGdV6U7qQKp0FPbArY10r9mlYxZNs5z8MkLp09rL
Ss5fNVgddsO6Zo8tyWW0u0mZuLU93r5VVVI36SgVTXYyliJSXmd1txazCygMSAbJeqEyTUtuU91n
AK+hg1ECRCOKzpbp+//HD2oCLlhaNB1k0VUG92qBc2Ok+zlwuZqiWaPyJeUszs6wSOfEl5DoHV/K
uVB0zUMzRoDZ8O4HqgscGymmihE8z+1TI+UTE3qxj0hZovWWrhkZV612M/jfxoEs26BRlVU2xsUx
WUOmXkxN54EHit/MFOWo4AtMVnfw8jpf1uSJO2obPKBnjpdtQFCWH7GBEaa8YltMlKqR4h5FUE6M
VLqSQVSR3UoNgX4ExtBwXyoDN10YroFCrOWcjJ6+tseVlig3WvGhojLFRALatMasZOzDdiL5lCxU
9F/lTnfRzdwHaNsODXC4RRl0sqsihJ4am05JNSFFrl6DyliLwgz2We3vcMk9xXP8XoEYDTuk7BQS
ZpgM4w9m+a2W65Q8Ale1qg4fGnDVc0UICMEvOHRJMb1nZn1t+5w49IiOQjJ4dzQs2Ga1+VsQV9+i
YXw1O8hXTRuvZZ7OZWpXkwNAEkMqmuquxlxeN0FDBDpJVLwTiBY2aMWS+p7z9OmicH0yEU/Z9GjU
3rSy7PAxiPENDAMIWMF8LpwEYThqiVcm/MZefI6Er70VyU4qT6C9E3rP8BazaY8UFtNW8liGUOaZ
zHXEr8vWMS94qyFg2PW9elN2tr0hL3B0sI1EZBvxaSug2W6nK+/cgdBiv5sraJ2vdSYTdLZ26kRo
I50NhI4eoykJAPJC7YA3mEIaljJIEQdm0oI5IXZt7EYIIPzdyLRnHeA0a2jTdENksK8iBXTqQBaq
ibKTla0glnUVMJdYazJzarsZ0jXKXfoT/jHNDdjElTiRrqDCPLQ+RjWbFqxCIRnJ/lXnw0eK8kYp
0HPiHVk1xVnYxzCvvVNXqPSos72aUE6LIOfOo7Ta1xoTCw0cFFVQckt/RrB5UxJ1O0b6fcGArui7
7BJheLwdGv5RT61KVW64UR19U4ss3ooWMJ8eeOOuDDivzVcUgaNTRGj7U5F8S+iOilGeXGLcN2KR
5Ny4eg5IvhrfPBNab20Zy0whEyAj5ySg+iBRB9W4VaOKTOyWqrgcuAKYC4tOvNQIRsJQjA6aZgtd
Jwa8SR6P5NPAaUWlu0it8EXzs2fCnO9UBdeaLWUz9LuKLpXN6jhARldMCvqx1BHL6RCqIzP4QLOt
rtIpuFVkIFctZS+RcxvotA3TxqZhkM8gK/SrwAVg6QpMPehTugP7D8eEpJQN/obh97GEyb9MFRbv
SbeXZlO+joKvJcXCVdCRrWapvWbcFX31Do45oZ1MMRvScasYfwzd3qcOnTOhNSdnuNwL62vcEWlR
VWCgK4NkZwD1qG9oODYUnuHAGzYig0iTm2wtDy+MwulK5xSWo0IzKDLees6yAn127IWyZgTSMEPA
hh63ROjGE1wZcizRr9+jnI1XuUmOvC0NdwHJe7zH/G4C7UiPKRphhZoqV0QkeUTrHdtMXxu8Z3R1
GTawzFHS4yhCH1vo/NMxCPrdOCnjOuiY/9MOwfEHAtYBpk1TCi3sNO+HQqFO7lA+oIRAvae5NQYK
ecpOwi/eTLlEhqHvG6OPVq0CJhhe8DGeCDuBB7zsB1NimeuPCa1tJ59Ix6otvoHtX5nzAZYMSBbg
ggx+uc2zuWGWmh9WzX02ay0bXuh0VOMG1Wl56nI1XoRlRJvcr168NthhoktWesJxaP5Sb4JoWMm1
vR4omgp/VbkygYarpJHOY4t4wM9J3k0TRDuivuF74lgU+zSmBiQMd0E53tIrGnS6EAxAV/Hgv8u2
zbbLIrZJDr8ZSrEVnFaT0hljzdQs+rpnKKPbLw39NXrkmBPoV5U9LgS/ZRInG/FHaxmFk6XAaJN+
QkJY3oyxYFqd+gmRcMO59sa3IhfStrRz4ktahCiRkHW3irp62QXWwkS8ZDIjJZp6vAIWL49WX4Yu
7d5kX/Um716/3/ViuIlyDCa6Xx3a6T3wc2JgCN3gnV9T34j40McjKoJ0YsfhKTLWeraASrbU5wm8
55tgC7KeO59u6dZOWfdGtuW0eqc1MN3OTYOwpvipvhEPvG+GTtmhRF6NlS9fJK3FphIzg5Itjx6P
PdxV5L4umlS2b9sap64/af4uG/ParUECfheqhZ7XX8qc3EUEECmrRlhk/rFnBZ0Ek+exwj/uAabT
w7ojWlV/ivDguxoZX2j93ztk5UvS4lQkHgEeyra5VQU6kgp1T1PR8FBlpP1Kp54637qdJIGxQkcC
7GXvYXdhVAO4ELROQ+NuEUyovNrBVhYWxWQ9Jq9aPWwTxiDSodaHJ9W8oEN7oKvXOUGqPJCgzpbH
qFGC6cSTzraFWSP5XbdN3hZ6y2GvwOde0FmswNUxxEPsAqMR78Ko6vFWymf3UEkOOq/cGoPUnIQH
Kpz6JqkPXUvThf3LsvYleZHXAqkMz30Uf6ulciMqxs6Bh5IiGPy3luGmWaZPBJPsJipWr3+3Tfnc
E0BEOrVBbmVbdreDDZQ2pNAJpfA1jAjCsYM9bsmvhiU9kMP2AlrJlw1cAN0+JsxT8pX7Sqo+nKLE
WNSX03vO23JZ70EsVq6UlnT/hvp1YKukx998a6oXTJD8V0mhOSZ6JC4o5WrpvrWfwqB8NZXmbfSr
N3mQd7oSLHVt4N5QcvBtMAM6sgPDjqBaFZvWd1ZGijRumuj9dCEX0silaww/NLOUBZqydZfIeyIg
yP704jdd9RC7th9wLlZxhJ9CZejlJzufoFBVbx6BoDLSYX5E3p1rqWSAy7P9lzqCLd0YjI4QN5Z4
D2kGmWlxlVWieLEl3BIDy4mRX8GJsDYU1SPJyXc6rYdmgu4f8C50AgUPUE078GTTVGe7ExrpOtCi
ftGm0PFNbnv6RMO0FEN3NyUw6uazL3W8WHyuNK6UaJnlkVgTqbgoQftAwmgctaJdjOMtdDOD1xE1
y4Zawq+oz31UieswG7/CjDiVUVhtNANxn4Hqn70vyvI+AaMst/peVP1dDDT2NNTZrlPRP4SmtO0q
9T2tusAVfcEsTcsp1PtBXZSCIZZAq5SShq0N3K2WZdzx4sGflFmXkoTrTZDQrAqa+qxqbcmohdgz
8gbW380bhJ5wI+TiUmeWscXARe+vgoVPIDa5oilIvmZoLrqvLTeRTpwq8qmCDvad4tHE/C7AGST7
Qymlbs1g2sOWhfQCr9xq6DOf9xVNlnnUERF/tiYxcZ0rtbLJCCNbMvsmEE8m5vuqhIG1aWYlfzaE
/OPRTBwVmZ9rW76+kuzwVaVft6wjL2IxIT5ymGih6Dn678Fj8GGp4d0IHXmT5WRPVLK9kjqw6za9
K6dAbOqUmOS/LzV9YU0bg2u5aAUb/ZBt0556UaWyC1V3J1SGElFVm67ZSjhXpL7mXrDcUjKJV2I/
NJZvcZe4VpS+eHD+V41PJSEPk7SqaasvLYVXdquH/VZJ0Lf11bDUK8IHzTKmLxP7vCADO1qVma6u
ml67TxjaLaw2JByAB2JVSAMzK2xuqtlqRPpmKxuPIatzffU0enjkAPcrEOD7yUc68/dGaf1XgsOM
EEPeYpiGPEOgfrbK9pKGkUdWyxVsbPIkMnWn9XNUKubA3vSfvQ6wizAPnmJd0jQLnNQIP4ZUx5Za
4WKkQ3iNkvhE28Sd/0sUQb9IpodCqoxjRVRG43fs2kLvjpbTtgromyN4X3WkztKnDF/bqsDmkxON
1zds4xrDN1b0P4x5NkSodsfzf4OGQoDJzq5KH+W7mgn3Ig6zYN2yePObxBIGQ/wbOMh3ONfP/nFh
6vje6NhqWK2UT6dFR6Xt9dqsZessaZPkpMxbdsH+J1/XyB7SQv42id53BGoAWP0nmt7UvyS/up2Z
PADY587IafXnYHqNeGaEgMNP+y1xSbeVqT73Ug6rGNEdPUwYX0gvAPqB10LXrWVmTjve+BYXRBcL
glGsKGF/9m7N3INszrjO62zvFQByu+o35u4ZYPP5e0NQRYlg63zt71CzH7zdmpyV/oR9YdXqxkmZ
cma+lv8CRB9zFQqmRVnzGf7+FsSR/+tBoQmBsJ79+oZlzIyOHw5qkq6sEt1ervz2Lq2Kj07GNDmW
V1Z1EnXxHkBaWBATdFd5akZjWCWxmKJlyFLVHVJMBnN6NhDiha5aLI0A8SVif2WR7jq5QagkO4Rs
f0ilURP5HB0hOOFs0CuPHWR3oFqc6LFr5zDxV4lndm5jagNxVyQLTyzBcomG0I9ffTLchM2MmOq4
ds3xEc/Uk5oyTSQNgaOZMwqezISV3DQpDV2Sr6QQr7tXKRiIBmVwREOMZlIcBstOD355BWpmLkpL
u8ATxExlu9CspoXogpYRfnHHrIl4qfgQZ9ptaZn7Fk7ZsnpAH0NIhY2maRxoelCCzOFx7xEzXNwo
2K5xW1GRNr4TDNIz3YBILRhQ5vRGDO9cptqeBBAiKDlfK8xfZ7OXTrPUClRrvM1Vol+a0DAPJ28y
7a9GdWSk0OKrqX23zqNNGirsYPLsSRK4srNWtvaSTi5fzf6a5qVtDQZRoJx44jv21di8ICCtr1V1
+Pt75hfGsilguNK9sBXGpLgTP90y9pgDgezLnNcEMvoh049+Hj9YfZ0z4QuahaViBgvNzlH18ZZe
TrylWlZh4JTXMXIigyiJ1hswdKPWSWv8RUndPJmx9taF6WrqB31rMEFeBtJEovJErHQR5L/haP1C
ngGao6q2CkhKZb5kffoKHX9ThHS5V2LepsgoGUu93PfkWC0waF+EVELvCPI/eEv/5vIDjvoLyeu8
NC//+Mga6HWnl/TjP//j/1Xt68tPTP6/iPyG/QWZncEIHRuJrBvzdfiTyG/KX2SWf5NXgc5Nhkvv
LyK/on4xuHjgHUHlz1RhEBP1H0R+/kpXFIE2W/8OR+Le/b//5yfydv3pz//I2vQmD7Om/s//+Iyy
MIyZLm9Zimyo4D4/UyS9fhzStMChWtf+HRhF1kPjWsvFJkEsYQbvnrAfetV++OHs3Pyx4P941M9V
waej6p+4TmUvalMzyYoKTHOjgGnKu93/3xE+cb/SPqiryGAEGEV4+Ms9nZjF3x/hF9bgfOY09HiM
4mXZlj+9wke2znLNKNaZkLaNtHyHocJh+zsm3Iws/PGN+f1U/XCY+VT+8PIiRaQh6oDDjIO8qIar
svyag6/8++/y+bX8x0GEYc3AVxtq+M8HmZdVhnwcpGg3Cs6R6Y3Z+4Lmd/Qbvq5m/utDYTQBIUQK
xOdLL0cR7yc7IaSLUIAkhY3EKDSdsSKUhHaGbp+XbIRD1tPd2pCXOKm7kUmV9Cb5bzIzjnmilfZH
9GYB4QRNWbu9+igBG281cElTc98M/r40D012TMYLSvC1NHyYykhWNQJo9AJURsDxFiaYvSw1iVct
DxJx95Tv22ACdhKhj4CKIZyqEIBRvo0Vg8+2diS06W3b3+hW/tIXrKAJoJ/UI1BVOEGNbmPO4E3o
bT/2ibTwDiX2pxieqRi7laxhxQTPWlOXyjQI0N/JKXlY6RxQqy0b+2ZIb3XrW5eyJ6S3o9XHyiOE
j85BnGtLYrYXuRJsUuw5hbcE1sWcKl7HAH5En+2ySWdLjkIYV76uSRuCxpbIpjWGEWES7WbipVe/
59lXTRBKBOUipE2F/AGzCt/IXsgjWanVm6ogMzi2xk0zPvvxfgJUIKFXliUJORjqHQUJ8iVOdnMY
ZuG04gKweE2lgCgBWV0YW3hhBaeJkHtd2Td4/HGBNzZ5GfJjp5E7WGYrHsVevImCqST79Shr155Y
jnqxGcxnPb9NxHWIHmVdrIvapA4nD4RQQ2AHKZo/qzmTwbaIy2qrKIxMSL9o+kdEl6ukeis2Wjet
EEById+MCM3rRKJURA4FyYJliQEW60tdjk6VZOiWH9E0EOtj3pACehJJ9dIPtwacvhg5jWlq1wyi
gdnN24jIcBpVIxfN2AUITTEwORJNU2lQXEIRF/i7ZOaKAxEV8wdindkbfX2Y0Hql6kelXJkGsaju
hk0nhyc/7nY1EDRNuq+ignk8+SfMdzGp69lBIvCgSHPyRFc5HQ0ESB/QmxyaWatIa/cSVw4BmNt2
xZrxcyAR3IEcViGlVMuEiy/DrbJxr8JEI/yWznS8I6LN6edw+Lq5Uyp138jtPT7zPXSArvqqonpI
jO4i++0+hGda9TrmWBAGYctevz4PSr7m7txJTb7MLAmbFCMrqycesttYcGAILsc9rS90PLRj8xCK
CvTDu1/RHaS9p7yKCLUUjjaVvpOOkidEISotofYkWHT8hEGdRgEb68kmb3SnypkFx710CELQT+SU
+C3yRW54pT0WCF2kAoytWTuC4Tm43idtZoIr4alKGNC0EtQQMhAkQkxSbi6y6R2DPl5s9zujypam
k5PrJE8xu+QchSG36GTu9Qm98IRqQQu3io4TwkRVYOJoz8bbQfpmBu1WQZoGqNHbe4b/1dyyO8ci
qx5La3hWh7Y5sLd0R1B0dcumK8sOwAscC0u+lFzyaI8BuQiQEhj7Kb61SNrWuj3s3nOKsNXrg7Wu
0c2j2adMk9OVyQpRuINJZ2mSSzbU7bKn/cP32vWWiUeAhza9jZHM6R5+0AmFtY52F4fCcJkvQxad
RPzadvYyZhoIbm9vNv6dPcgu9sBFhO5Fdv0ekwbIpCg8dr/FD//Ltzoc2X8u7Z/euczrNB/UDTnp
TF8Au1h/VOX/ri0p7v6mtqTO9NuXf4z/WLxUr+37T3UmP/ln8pOhfKHMNHl3a6YiAJ5Sj/xZZxrq
FzzGKkBZDcA2PFQuDHarOd5JMb+YuqyQwEI1Q0jwjHT9Z51pfLGBnOHopPqkMKQ6/VRX/m2d+fnm
oAEks5cSgk8m0wD4VC61UWCRv8D6O67HNYqqw7hLDtnBPBcH+yyd41Nwk57SU85/ypO3mw7+ftiG
e3OTbvJdvhP79kgV4NRHgAjH8ohM/iidWFiOzR45Ga5BwCcbSGOut/G3wy7csnHf5Qd2PYf6EJ0Y
vx2yU3/QlsxID9Ku3/bbZDOsi52xyXb6ntTfo7qPz2BBjuE5O/pn79Tuo2NwFFss3FtccOsfruL/
oAbmhCiyTmatSlfMVK25UPqhsEsGqWUgQxb51E9OrBKzmP2udvwX5/ynQ3wq6xRtGPFdcwhTgt8p
GNFa+W8qR+VzGTx/je9fwqR8VGT10zE8IupI5Ua3KcL6LGfvcZPu2I8KZIcJubHHUoQvaUzNZpdu
p/Y3jd06GEq2onkL7Iyb/a8n439yTtEC6hY7KpVHgDv6074iZyxOxzmesPAgrU0YcE/iN/i/X74v
hzDIRJtDcSiXPzPWJaZfPX2i0UlnQ36TYdLw58bQbzqEyi9RIvOjBzqfDpwF0hzn9c/3h1dahpbE
PDCYr98ZLV2sprwILbvRkSVM8gmXEgrXUD8B0cBn2KxHWhUowyjOIGg0dFcSM7wyAF83mYb7dHY8
uvqAclNidrAAw4GPJNPdLPBfy75O3FkslKBh0ojMXhoZZEIbs6FTQOKJZcJHIxXZQU0SKLIrg44N
1ZWF3cZmaq0Mz3wccB0TUxF+r1LWF1gpW25/ug7e3rZuKx1zVzSgwFDRE1UeL2sz1oHRmRgOaHBJ
lfbNs0xoStL0jOz1tTGwnJkBnzfSh02Cbq6U+y053brhP5FDfwnM6gINhjzJGTAS0UJlBDvY3aVt
VQyCs0wpVxE27P00S8AM2i3ExHMgVU9TbmK+GmPNydBETl2yFMTiwgBXCFPIEU5jJu7jgY1jN2Lo
NNuTMqK2KS0U4K2OgkkJ3Sji/+mJ8kSsNmNvTQhOFDkJZljs2vysNGipYzGShzlQWDgITBzwCy0D
9hV38hulmJPPUCrP0G/R78sWEZBxiWAAgquFUFjMyICCTm22rnv9kgXthUCCa97l/KpK38OdPaUT
UBt1an+zNP16j9Oa5fEBbqmikfmcJ6QOgZmXcT44gwS/iryrIE/c2Cye/v5pVXlb/bS3tQBO/3ic
uTnxwxIIICbzrXo+DqG/dhq9pI29DHTjJsedQ0jotraqfd0GmzaYDnVjLTsebdJVnZi0tkE8iXyt
oKrPPXEzprNyNH6xDeohEf7R1fqpa/Jjv+LzJvz7BzVZVIBXEOLw+YTkCfuyRgbWh/1z5uGsvEm+
MkJd+Kb8m9bjL6lW87F0IhUYCs39In2+OD+cFLUJwja1td7Jo8y1pPJMSu1D0Pg8AvFHhWRYKppl
B2+3S8XO7P2TEXmXqpavWpz95gL98v7gowgLNDhFAxTFz0lzgxxYBXvLnhGkDa+t3APy+s3X1X9J
cZq/r7DnuCRZhftqfioMmLdEYS0xIp5fIJpVnRu7umO4j1/VvgwIZBkOHn18JEMxoDXn5Pd9hD0S
IS/SXb9KZtLxx8T1Z0W9Dh46osIUN3X3LMzWbRLvMn96rwQeMNQbP5DupvTZ8JIXMSgHLjYT8gKc
Zqc7lt3P29opX0JNXHVNzuYc456hJ/dqVp7TstrL03RIlWJv5vXZ6GK3qfLd1CpXE66O2j8MyHd9
O9qluCrIwP4oBKSOMdhkSfxCa34HzmhRwcQQI8rtyna8tN7nLBhD7W9lcD1Sm7h0apcsEk6bqE41
dM6UtWjrLpYWLNUM2+b8bzUIrwWkhmxkA2M+TCMLv2Kthzh/agp0JqOEWid88yBoYIJx4469NA18
hMIFk9rgDkFaMoZbhD/r+YzLWonPTrlODdRvv4fOWiKJUqU1ecAym0Gb7JhuVuwrUqMuKiRi3Ic3
VWzcYN3HiKhs0FrtfRFsGsM+pna4Fl5xF/fpLhyrs6cErJupvVYZFpe+75ZMUODmPYbkhM2alcHp
rPIJkcns9oD1VyLp6chpwXuJH1mkz/QHHFJ4MDDOt6F8CEf1mtrlczKeCondkYx1RrKyp2kEUhQt
7IkzU5fngYJqzktguX6b794aW+4UG9gyDobGtUQTzOqHpLRwo7J/qAnz8Wv1avh0VFTlra+nY+hR
NLHrD6OvGJbcYpAuas6EuRPtgzfQy7AszPjWcWjrfTIUd/D53KIP7rBUS7J8sDLpaCv+NobrGiRc
9yJxW0jLYeXf87i+zOur3Fo3UNiP9S3SB7u1z3Xb7KWi3mdN9GSBarRmiVMEx4AJZbjNpgqsLRJz
cmTKcTx0Qj4E0BVlDZhtSotICbeaUtxFYbDuMGVHQY6uvSf2h2vb+fd1xm/Ls2SXFf4p1rhUGF46
VdsZXSfIBi2xDrQPZUWI9EszBluV1wsEFIkBpYicrvX3EtwvdO83Rq5dE30Cm/sYSgUWDcBksX5F
Pcv0x3yP40w4aCWYjuWELpOOUiiiWk58BqnTVk1An4gcIPgYORc03uk0NDg5YkPQNoAX/DEjXbmk
7x8UacoXUMAWicU9MG70zr/M671cm8+q1X1YBGPlYfP9TRFTfVRpfiGK71YukDKkTbU3LDLlLfsy
9eO6i3t3vvpSnLi+l+xSEmMWsRl/hAXvoEE+tJ18jZRu15fbsu9upg7+LYvRbAQ22mSnp9Uq6Ot9
pUS7xkrf/CF/N+tHXU9eYq+5kzobniXP0lhe7JYuTOPNk8QV9q4bo+ZNxn1Y8FlBlTxUTfuQ51je
O3YiPNViRM48x8b3Qf6k2dnO0jaNj1R1Ug5aoN9MQ72H1naI7pIWhmFePKH2lRZwK0iZGos7v85Q
Q7yU+rUp7qxQP2aBhkogoUEUUZXbYfNgULh2UkJjqCsXHixJqPchUs30SY8zd/4XJgADL4l3FGiO
qbY3XhOt558wegithEmBgt5Veb5DaL23w4mGR+KOVonCgPsSedtkZBspztbAGF4VJutg+q6aVJ1B
EL7ZXbPvq1eGhRuSQb+/5Ycw3VlhddZN79hlzYNERJJhzzacHhPG2gvUrzieD4YX0HxNyKLjI0Lj
uMc675Y2HZQo2FT6rPKJProcORJxpgj3XGh367Hn90JZ7Tm5C9D51FK0gHlCG8oJwfNQjOXZ5uZJ
/D/fnP9uVczxIH/tyH6Zg80dipf3vP5pFMZP/NmjEPYXHRwGxjXy/mhTzImdf/Yo+CvQzwYbHktm
2oEJ5L97FNoXTRNz50K2dYMtMz/1zx4Fmdb8mRRQfo5hAgGU/4seBb/1U0Fqq2Qpq0TcmEwdmP1+
2pMbklEEk4yurcttJ/FfOhiXrWZs2ko7yCxayVzYYz5APoaps0TWmwIMlUGBRa+5onTLIVXessKE
fWeqG5YeZ8CojzbQRcCHriS33II3yzDsOzwJC3Qc50J89VPjA70GObdEwGBoWQRN8BEL+dEYUIgH
ji+ZuN9a+UWP/atVEq0Fn9pDTzol0mr042VY0wwstaPkk1cxzYwHZLVDt25rfDkM8UcUw7bfwNKU
tykv4Fg82A05LlLqlpim5bQiEoUtT4Dr5Ts9aauglZLs4WbCaqqL3O3BaaWGupJRSE1IiaWWbPtS
XoApchXSv6rBxCeEXleR7zrUDf3CWIxEZY2AtaAVrcKWf6fGT1K97yNpL/L0ZOqN0yBfEwUfFh+m
rphuodvooW2npNbArudInUfsdbzueGdiu7jw5wXJm24TGSusRnkYHMkHwR2CNK/q1ortvUIB4HLI
5xqkT7XBjnMuNOVjtNpHPZVvkeMuMmhEfRDflt1zDnk9gcNn2tE5jOOVwV+DgogWZVqzIqJ+1gc0
3jFpHEOia8QrKwsU2qi7oU2Z37BBbw2kdlpkHfJCuatzf4fgq+3SZQ0gx8rlG/S5rlrpOzAPS7y2
zBTyy/xNLf2N2f8mxexE/svCk4KVQimra95OmTzAwemJ7abjNQBrbaz7CxGb61lYAnL0KYJuiQz6
On/nNjMeQGSBjk23ILPvCBtdWdXWMFpsBIPb5qYroy7HhnhAyutACQCV3i6tZtiXHiMdJYt2WabB
M4n3ZTedaytdJ2P0NW9HejUWm3NvU5vp3SRhPeTeYZt2Hqfwq9RDiJfdVB6XuAIBnw3uUKVrQ/4q
ypuS6QCSzctU1jvkLCthXAQ3WiGddO9a+whQAoR3bXrSG7FmCgN7JT8mk/dcDkyvrDu9tbaMQJhA
gKlS+82Q9rwJEyo422kVSm8LE6cHB47bcz6GLiPXS2yKxGaV1zwUucLuGfMYMRzEps3HVoPXAjtz
JaN05nYvVUBJUOPaBtYEsfFIVqoWJGcWI3kZ6MXdFwQoRHxpD6wbXfYzQaBLvE/7gPDpID9q8900
WKtQ6Rw9SqGAA8DwPRonXKep3lGEHKFR7E0LKmTYIMtSE6gXofecYc4bJ3s9Nt/kJL/ktnzwmX8W
MCRoJeyqoHAb8UT0qdMi+YfOhJALR46ULXm2pIBKjzaFMZ6hB12Uiaan9IiB6sg2xaHNV2FVMYNb
PRuYX3Qbm7OmmMNe07x9jPEsRc4S2wYYrASvQ7eZEmtjQInpZEiS/rvQo9vQTDb4EFZFPP4Xe+eR
JDeyZdGt9AZQBrhDTkPryIwUzOQEllTQWjmwm15Lb6wPgv+bsVjdVdbzHpRZkUwREQDcn79377nH
ukVr6Am2aA2v/YTRIz2OCAp/dhH/f7s02UH+9+1y36QfzX8sP6Lsv/4z/3XPnL/tX3um4/1B44GA
YwOyIUlSDnvWv/ZM10AJQkCdLqH5o638VT/Cd1kW0hE2UhQm5tx6+fee6f2B0kM3XX6sNBgMOP+X
PVM4v/dG5v61TbSnIdCksLH/dn4nqCWedOVKTK9xtxzBtVMfY7XvGEn6NlPw6Zs0CSqpmGdimygX
rGI69pRii7acw2P20enjkbApn/B0VOBBOx6nQn+lZbD1PP8JKMxHWrU+7UKd0Wq0yLyEnl9Cj05a
OMShMzx2Ro0HRe1GnHmpHHB+1Ac9di5VX8I0emoTQHj8tRibA+LbioIX5LJ2NfXcOEqrOqcpJ2hs
aJKTLy+hq5nyAWhflOP0WrX2BTLsMYnUbQIZTMJPA6lhYCuqGRIDA/OQd42vZVKPK2icN0HCgFOQ
nVvGkOBJordYInoCrKr0Bs0cnXuJmy5T/cljHDq0Hu0cyc+dWoCwbXcUsn+N7PAjieyLnmhXz3kK
JPmoTY3yvtXzzUA5jlxx7abq1s18jHycjj4y6VClHxLKIeevZoMn7zL/9ibtVhlfMFj1afSRp31u
WrUJ8+kYwE7vnO4mJBkCxivjxE/EML8Idhe7ml517x1a1bG31asGMVw00YeGLbw3+lvB52JN+qtB
DNnd4wA0dVP16ogp+COruo2byp1tlkwdwuhjXsKQL2KYHo7taO46MmriYriRTkJnw7oEcrgVAh6U
k4tX1MKvA7JvlX/M3Nv7rVQxVC346W5OpIsgZYuyq3IhFKujDaAuUPYlTFqcRNalaviATTQTCCO+
ReF0sWX0wfhjF/AO52+YuC1U/9Hk3mXWoE4defBadwv17lbn2Uc+DTe7Ib4E3UQz2A6YWLpAAMop
0D4nUfpxD77JUv2zoMvYNQBt6oYggq5AVufFP8ZS3WQwmxXCddIQbsu9XY/Npuumo5m4Fy1GIZJP
7y7+UpSHJ2rk91CPF8SifIyBenX44OfLOJr5xXZ/WHaK+8pif4bt/TyGNwgkP9+GNh4d46zb6jxf
nNEwL3GIZmCYDiMUzPnXAX+5WB1OPyyEC3909gpkq197bHYlTawgW2pu/EFLCQhBeRzM6EczRB8p
71HPSM9phq2S7cZSMX/ub45mXxKtf01BIQ39sPDUdJ4v7nyRtBFF0hxuWsgvkwY5n9+cxw+djRdm
tI/AEyFFhPmFwMBN5830KHm5P4chmtWFSYqaUfO2tPRDlTydesTWq8Xxq9Hv4zr+AZTtFpBpH7j6
o3K5qZrKvPyy7v4Pg6P7ZOhXmRUjTlItLSGI+wSM8vtYJxxSq0jJStjMryYpko+g6V5CcIlzQp+X
6K9oAV+R7L1WWrHvvWKWXxC0lP7wsdzZdfKhDfalTNwvQUo0SO7wWSU/Mo9AsKbhgcTSTJ3Hreml
45sFSQ1lxhyD4F11WIh6Sl5Z74c/5l8+2da+9mqYp+kP2rqvJf+5GStIP9woC3/glEHMm+2LebGc
1wjCqX3qocwg9o5McIRixaqZgJu1OItRLgFnxeN2X3SseemCWvmEi2MJ/+s2LwPz4lWn2ve6x/NU
j/aKmQefxUeetCxTUfRjfm4Ha7pWnMV7/m5eoFqtW9kdz6zBuaYJGMwmwy2L5E4bePItc/cP12fe
RX6/PgyooZ3rYlbN/9YVhyceUNhVKBjYHmhlZuhI+psPotu1670b8gEOLFSFcdBS76Vw5R4U1HKA
NgN4gMecDWXQxi8pILJ4XvytiHTiqeCKqBqDsf+Rmuta1J8GU90sh/bsMOOylEJbzc3AlCewtef5
+tu9g9TZ8PBZEQXADu+BK5n4OU7BPuXwP22SkVxYb9KaJ2s0vs/XiIPGK4zFDzHEm0lPPpFqSe1v
vc7rZTklH7YXflQej3kIJCvWsenNz7wZWPt06s9a+zJ1/dP9C3wLPc8w0cRrfPqEDgS9iLhLAPSE
w95/ymJqobiFs1wIHFkMtpHuYBn9cFMIqPx3v66FLrZBXizAZKyqqr/dL9f/13MW1c//Xs8tf1MB
z1/97zLO/INqy5UWs/5fKjjzD2S8TKtRYADCFbMf4l/KDCH/EFhEUEsIBzW64/7S9UBSLGwifNBP
zk2R/2MF9/sUjt8gBQplh1kcbRZ3/vdfBk61GogTkw6OGAeOr4YnfJP6+E4oeBZxC0wY0/+41epZ
R9cRsDnmwga3HXQnjzP6JRxK9arCij4mzrevSsBlywsAlhAsLFjD1dEz7+egcVj88uH+D4v2fVH+
dVHQ0bNItC7SZCwHfOq3Vx5GedzIwQu2GTubZ2fGFqhIj02mpKNsuauxifotbah+m+CtBNEGMdaM
LzWJQMvB8elhjsVeeeWwdDPnPfGuMiyJN+vSr2Wp8y9JkOMHqx50D9yemUEWsJO3QqQ4UKFB0tPl
3wXJC+vRHZ4s5gDLYWiaf3iXf/Ei8C55c7bN6IzmGBX2n69PhTuIqVcG3nR+UdUoyhMtjY65bx0D
6yJBtIPnSq68w+k7qDdA14hpgNbEiAeenUE8a91Wxd6R5c2JoFNPuZeth/nF65WCnKQ1N8BIbHCP
QR1gjKEzVHIn/P3F+ovwl7eBEF4SRcMoUccA9Oe3ochXy6ZRcze9I6w1Ey5vg3SkZOAEqCdwew14
RAohEvDyUhf9eJ66h4JZEyJBzbjGbQ5Gu0nKdV+YpA8F8kVkMHYLYAhK+eNz7DIitDBR0bvpKVtc
H4EBjrDT6IFgaUX/qaxo98Ya1LwiJ1GzGrVLTNAWsGCwdgFkxWVTF29jK9oLvf4x4S/dcDx4s2gl
ctFgWmm2gc5EHy+eDZZD23zWBgCCLg6qs5tPLxI9LlHt5TsBsCOTr1irp32dAQCBbECC70y/6CKs
PfYhnSOTW6aVpyh8D8sufC7QCVh0/E5gPYRZzF637x1TBaM1YF4WaAJcxjb4fWp5ybT4yXSbdp+n
olyZiAtsiFJkWSGY/vvL9pcYaw6eLrIw/FP0WOm//vaMRTkW0CEB+stjYjG2YEzR+u7GG30wf2HF
ucsbnTOzwjZ6bjFAH/mESRHFaY80iV5YoXb3W81CphtJvyeCkguVx+saNOo/PCoIZH4vE2YhPqdh
W6eEo5z7rUwwnCLIOi3Lfq5lE6sDXbAShloZr8U9aLKsKm2Xk0K2ldXwpYM79zAW0S7R811iWXDc
4wFW8zBaZ/iGr6NBwUDoxazPMHB2al2zy7XPI+qPJfY6bRNy4jvdH8zRFswwew35pxLrwveX0pSE
DPWMRmOnsXd1KhkN+fG0zTUgtWJUr0ky8UQPJHg2DBr1SOkkygGch5o6rJMa+DKzax8PA3RK3CEV
U2oBa1kHBelM3aGTyIcrJAk8DkdCirynWeTFZIZJB00tq5iqdQYhfNHYxjvzrX6rQ+hZWmPYnYpA
e5V4uFdDabWnBoegzbhsWThhsxJ+Uz0UjOD4IFwyPuDZ4V7JyIsbXmIrggXF42fT1bRjKDw5Y55j
o+xZkYDLuU+BAky1H25IH4iWCYF9a6eL3kazT/b3HcPuynVe1gmHkPAVgHOxz2pLkK9IzHU5pwoR
pegdGiZ0q59PmmDqA57KIWCjwvZrhZp5yKz65sIQOVsqnJaxFwbLzotZ1/NYrmPfHME1EyNpl8CZ
LT3PAV4DNrDzyDpVPWo/3sEYSvVQerioS/cRpU++bbPxm86hz6oc5xFW2ldH1hxP3fA6RHzyRlqO
h7pL35hSCqc2LlnXwgzvU4GpF0pqJV2TnF2aj0UIVNoczff57OIgDqYSzKFSkfSFn6/JV5qrNbv7
LtOR/2NNrXjRrLfB7VeOZ8YnJEtbHkf/6NrjxU1MAC142mGt8FHHVdoACkMy0+vpy33hKsy+YS7r
X0Vmdks9LKM3e/KIdChJxq0ZibZxbG/uttfUjGnVoODmvfQnuzVo/RZF/VCb6RevLlCtRxOpC5WG
gw12T5qTHNHlTgVlHk+0rjCJCHiOWAkvcoQzIlu4wfe1IZPpHA4DN7skwHHlVy2MKqfFev33S5Kc
pzC/bvskqVOlmLNsUkfqN7e9fi1YxtBNEGf1aBcI1GXYGJrwU3xJP3N8dkZ/fPSw7o9esceVzN2O
l9rqoPgSfmfRmCAt9L5x5+kEtV9xDHAMm6cw7A9B5BCBheJxnXqw6GNkE1Y4W1WszjlExmivObd1
FAZxd83hgpyNJH+io7GqO7/Zmiyfu8kZn319xpLzZQJ7+t+/d/G7JIf3jl7XhpohTCFZlv/83m0z
dvJg8slb0PKTKMJ8M7HDb2JC2tknDq0c4gOHo0QyMsoc39j2pMS6TtI+3KegFbarx0hC1CAUj1Oo
C7ChooN1aIhRXHTwTxfKr8r3yRGfaqVnp2y0rH84y92naH+6fgYqZbQ+eKdwv7rmb9dPZiahxRk4
yhSbPbtaF67FuIO/QZI2QoI0qx4yAVkQzAcjts5T1yK5FFV7LcYwu6UCxkNPvkRXm4TLhgwd/LB7
SYzAWEhjZAw1LyGytI2dVP0+MYFlhLG+oyH6VhuEyYOA/GEUFuqDrnur40w/ekOMbl43FlNDz9AZ
rHmrdc+TOKq6lUeP8//GmXO9tVj/HHRqFdUC+lVOFK9mujhhO5Xsa70CvA2RAcAlpgorQIdTAwhu
xnDTaawA+lieY7fzb2b/GoJK+vs7w5rV9X/+VLHZS9OUxlzI3zu+f3oqqCHI/1DAEKj2VsAgMKia
Cgou9eM27sZ1m/nDQ6MZ40NnaFuabxAZNRj+hVbdiFkIMlTUBuQjI9W7jSBW5myOcbWbOi05enTE
4NQ0IIMXVDa3DvGSkuBCrLK70lFdkQMzbMGhf+39nJNqmgUrPfePrREZW6tQBmkcFJ0MINt9iF2C
zYplfgqfpJcAHxBWuAyd1jkbU75qCFWQss+3GsGbyz4Nbu2AtwX4U4wXxhHrXuo//v7D+4sIzTIs
igmHczsNIGl4vwmH7UGVnQqE3LgU48dcqc9aIsJF3GBiigwqs5b0q3ulk4inSjIBbqJiD4LRUyRu
DoWUezOu13pRqX/QG99Fdn++rqxyni50x7aQZOq/lTR08Xtn6lm0B82N1qqwTmnInKft5Xct606Z
MwDyk06158SjOI6QrMadiuSleKjw85iFcy6xooRsmNi2ppeCXeqgvOc2ENWj4QefQ6HnmEKiizYN
1tqC/bPpFIKyQjeXnq7DqRBdv64H6FiVqV9UiHs5qyEJ+MQfrHpCsIRPRf/3V8T+yyJv8M6gnJme
zfzC+/1UanSybJ08NzZ9VT6VbdpuJ6dGTSskx85umxdqJJ6yWGVddyxkbh5SXxLNEyABRGIXd5uy
9T38mJWz0dISPUpi4Barsq9VVJ58R34YUTw86CUxPJKUDRSm7XWwl5OkbdSb4CVUW+wCoo2gfkT9
0Q1s+q6UMvfVxfOyYp9mct/TTHnGLb5pSMHWYb3tQBOhIUzdRyC6h7whJojQ8gIyo+PvTYSq8A6L
dVeSaxeRR0cnz6IR01K2NSX8kFgbqsdgJGcVNKKpayFNanr6PahtBkHO1orbD3q8+RH3+gJuiNra
VrtziMRYNgTA/oM4c3YZ/3lNofXAM+FZOq0I03aQcvy6piSg8+TAkXGjt1DH6RRcYzApuS+xuw9Q
WstAzLNz1H10ZS1iL470lDYD4xMn9PpTvgHFvLZSW66mTHO3A/Z/0iqLa550z0AvjTVhNRynSsoO
+OAanMkEzKvRmM9ehQCwDJ3gDEiBgsVCLz4yg56nnxzZqrhbCXOwmfSqp7DX/KMDGyeoqCALs7yk
vk34W2W/GXwdZsvm2hVwjOD5nkXHzD/IxwqkUQPqbWb/kBYfHZVICRyy5P4fbuS/HEn4DPEI2/BW
MeFYxnyj/9JeMWjPG8oSzJRJ+9lOJAGvZJfscUo9gRS2SDqaGQC1/erHzHecAkbV6IfmvuiZ/mtE
CUf+KoH0shVVBVhfQMcdXcWJr0qhKujNU+JE0z7rYnBWSUl4SOZUm6YH81M2HQCICNnGmMOYdfwk
Rtxn4ZIsu3LhRRrEycAXqCxwLU8Rw2sdCgEWAP9Wdv5OC8ZHgny0BWg5uFkiWbsuYOS8+zogY7RT
bzhPAdsgokhzxXZn7k1IB4XDoUPz8hfOjFzfoXvvEO9Scv37pd1rRUAgBcIS4ogzYGx2wvf41fT+
9x+95Fb9yw1MlUw/35Qz2NCbVUW/fviDmNqxpTjbWKhUyFspzUU0+sk2NCZ7BfAy4liQrMwOyKIb
sm2qgPfiyb5Ywu32Tp5s82U/OPqeGA/1QJyNdSiF8C/1HCo/gZvbE/eOsGHODFMOHMPUyvR95WNy
NMGg+3Z4aUxkoQNTt6itHwMcwECBFeR8vyaMStmgmDvIY7Ay6QSM3iqZwyFElHCBRp3tT2H7nu5J
3uBSGPy3FXVNkH+ZGT6nAtuTlWlHkzReQsiyCIH0DLYvTOd0f00MXZNlnSto8D0ZZEA0zhwa2lvT
2Oc4NvxNKiHS6yiWYHDU8GMI7lgy3au3tRRfyXx3Hn6+N1rka7Ynd61wx6AHB6eZ5z54PFhmJ6dw
l3Do8wef+jGb5jTFpokYr+qc9OtJHRumSLv7J1o35K4GQ3KKyljD/wrdPKC1EnL+y7Vil1fjgN4S
WwiPZV5N5fv9/woHQfb9rM7IdnX/eAcUlLvEMYOzHkZzXhqNoD7sMRJP4HPn9+jEZPsoFM/DMPk7
ASOT0wngH2J8ECXrPjqN+Tr1Y/EM/re59HM4ru53K46m47qek+bYgZJT0CO/oORmaE2TaOOW6uSP
fr9jxG4cRag+66WlbdUEn2feFc10mo51EjxoY1vtNAToa3Ka0pnU5/28KAG214MDCXPTtJbxXLZl
dnBaHSp7w2SbYr05BvAWtTgCIR+TC1qGZUz2tU5GWBjQhZ1fduHb10H0XxKOtgMgtFtLlOlYGfm6
50leWObFLKfqh0dmgCUuohlcwDBzYlzYH71MQjaF2LjWOapRSphsPWpOMbPFtS0w2mp6/eiQs7Hi
CHWaeoXuKNDjvWblYpO7WGgTazr8fPWRcQjMqT5pOZ2x+2PSIrKDekJB6HvehzQjuFhE75HKFkHM
4crknNEa+pUHp8IjQ1FOhlgFRtIC8bW8NzQmvV1y3uwXnkc2IIFZ7r6UrXVsc6IcPYLTvPITl/HC
G08go2Ifih31kAsaNSJS5HSHLC3dfEEbfCPY67KcRR/vuo5YaaX52VPX+vaaPU8RnVfka1ni5De7
IT5qXR4fdafL1kYERxdGpPMjzTWoasl0NjWucGNNME5LzO+E8b1ycbX9yNtaeibhUW6vW7hy7acK
qMDJZsO7Xy43qRt6Fs67SmJxKxUiPSagK711jYsO21CX0TGqRv+JPL50vu/vd2PHOWMzKeJL7Wpm
ejXIeDNdscuNYhcDODu3nrm+PyelnvorI24MgmfbnQxFc+XGvRgd7S6jghtW1b7FDjG+6aT3He9P
taGX7ZluDEv8vLzJaeRGH8z6JJNmO6amAdHG7YFyJb0NnpMvyXvn2na28Zg0X0z93IelfAIiDrlh
NHmmu+R7BZ58YoL1ZKSORtAgzgh7GnchIKxn1CqHbOAADonUXDdmwsGv7b4FFlHQsjLVQ9tpYpHm
/ifLD2dVIIUVSoJym4XkhIM8zLeZRVOhUkVEkNSotnhH0J0kCdyvLnzqpPbeGu7UL7Q8K3ae7yQ7
y+2BcBdkeSPuPNotHZbSbbJtZ9NxVggEW6JTK1CUZUrBDxJI33i5k3N6QcVJ/Q+JsbFfK4+mWlhB
KAgIbkIT9xIMQ3F0Jua6mZuaD/X0LXVRNEb6UB68ikFl7kSfU72fzlZZQW4ifNr1x88DBvqVJKel
7Pt+R1SPvei0qlq1sh3hBIOiLTrB/WtS0fW9Sd6pLN+MTg8fe9nbqOBheLPNphdaMt97iTSTNEm1
oi2BRd1yH52OFnAKDeiYRZZ7smp7BTpbP5EWf72XrjpiCGzs7gupLtRQoxavCk2vFp5sxKMxFuNS
8mgHvRcSaxmO/WOgrFthP/hejDtXQGGfpiFD+2LrydENy6dUaMazU8PUD81IPt7bB3iJiK+xtRvY
zXSjmGusTT/F3hProFMhMAAv72daMNGS8KDIALh/WxenBsQOkpdUCAYAwyA9UG9LqvBnVWsfP1+U
bgbeOs5DcZH+dBCBDSOd6F1I/c4WAIazG0mSAb6MGRAuc878nQUgzAaGqslAVnn/rLtRvrPh5HJS
pgCxwmsSedoeZky8cgKRH3QGCPdvgyGZEgkCkS0KdkI/u1oLvbeICeQi/vul85JPRqDvuLAUSFK7
RvT+dkpL9NWg41VoBKmwqRasbQDkFxOj77oTg9xICndeoWPsROUYyzLOhnVTKnlOYZTdP/n7ImhJ
9SN2cV4QEardclKaCJh4KWPZHKcKj2tAa8cx6nbrFJzzZ6Px/h5N2RdYT+55V9TOwZnZ146IEnUB
viYWJj2p+49CYvRFDY0G0pT+btVCmOkGbRMJQJY/L6LReCu77nYOca27KA/QT6lFVE/0DqfyW5PR
zlY4KdHhN7xuETorm0P+Utd7Cx4Ckk0oWYS9oapkQL0Npp7ypBgH/UgNQYAr2YuVzartkf2s2r6C
1I3/yk2pKorB7HeKxtZ6qshBiEsAznEmwaTq8oW6tL2Qv/bZ1v1DJOm1VGVtcupoSOVUEGKmuAuP
6H/9va8DV0CKRIqp9TrG2dP9jZVG/9aFunqoHQIToKFTpybNS6dBobvLp2wGG9Bf6xKui0yX90+2
RAw7SyCJqGz8YFsI3qmRdJ8iOEDrqsKiK+RrZmbvei6j1f1b0kI0SwTE9X7oYVF0sRbcSJRp26cM
Nt7zgDJ24aR5somJvV6aOsFJjdp2srJWyGn3sT1pe6Pwce3OayPO5/EC6BFT7ARTfazoAY7qB1Fl
4ZZFr0YBroUPVNHOQ0PtRtqa2hbOMMdbswjQ9gTTnnpvJt2cEYvSAc2ptiFohc0o7L80ef61SJyF
MnvtNe43TLiwNc+xp54LXxB5VAuE1/ROKiJjAoAe2luj+ETDY60y9caq2H0KhkYscKQN1xptKs95
Z2+hPrq7LIj3qemMZ8/66CoHH27Vd7dIS5bCKct1K0IW5QAT0+gW5oEQ2XbbW2jbh343Ok3/bJpF
u62T5q0wLZa/MWlPaU2qSBqx/IrKNdgHpn5p1yltasFKhKOGDC3CwjeaxaFHIaA/xxmatah5w2of
nFzlbIqCI4uNrBxzD607sD7ZRwGyBOezybAomU5gYzlgtleCcezPArRMQibKQrRkChf+a4GNiNOm
H22qgocK4x33hqfyPZ0Td1M01EWh9w2n4XiMQoaairbnDvrhJooxLSMQi246scmLtDqIfEurrXgw
BrVlnh2fy7CLlxQ6bEaDvOEKy5+oSqmrQ3H2iiS/tbV17bWuPjWl/v5zqY/GbpdAoMXlz4iQgKhF
QTwrRWL0vTYRQgPaEztY7KQEaUa4lYroWR3LeDfZ2VcZpevOjsgQJmMwY8Kwh3ubLYMwdE7BYB6C
JOv2hRnY2/ufgoBY67lRDPImMOIKudTGGp2raWfmPtfjdcKTffCViNdkNxMkESGh98pJ7AptsBgj
IMYsIjIx/UnA0SaKhJhrGgTwnDGFLbW+GD/lfjst8sB5D6rMOw2W9c2Vn/0mLc56yiEIty/KpyLG
xebgQiwqnlnlWcUeviRzR86pyySJyz3UegzDvTmsw0qjZCO8d5XHdXQYky6nQZCuw3S6DjxLxzLG
BFFkAsV0d6WVZ+2KgXZaldYBqh4rx3M/uDvgZV/uq+QYJ1f+HVsnPrMxcd4G1q1zxTkbXFWFvIjA
ZlwkDgAYZgOk9MgDUptmX6VswTIDvZqRybAiYFTAvw7DE1rxzTT3gu5f0dMi2N9Tfl09Mvf0Bsv3
lAPqstOK8jgZiLnrDHOnpJCJdSaxTth2W0tExtpBaraLMzwHWjiiX8R98GLZeOv1uP7BfJ++Kpgr
AyuEZW41ogorWcD6nlsj93vJcecMQYu4dVVU5JeRmUlRz2Jnt8e08iAfcQf7tuthGWumVTxN66DM
40+TW30KFHlArPga2zh/srg26AObs6+Z01rxOxali/jcY35VGnr9hDgYeVSojqpNX9OWlgUHF3Pr
2uF6lFicPS1+bdwGpUUckew9lv6W+Qvrj9U729KvJWOxkKg2Q+bpPiljHXmiG54ybXilmbot89Df
4+y9Dp4fPWlAlxB8vGeVCp90lQ7L1C4ZGpphsEViyPDWRMQRfruXSnAmdVMhPvb8TVcOr3WsIDhh
sjOrIt4kBZmhgbS93VSQpSg6dvNJXunLBcp03hRJbghXbii8Xgkm54JHE0QGX14orj8zvWYiQfFz
X9rNYcJbYNlyxzN08hhn4H8jJ7YyjrWqrSeEybt7PdJGKAB01/sejWB9yvk+8oecjGqUO5Sy9tnK
G/E8Zq7xHCQRC0DnZldJW6kH1fDgA47/WbzFJo4h086HK7La71ObITm0BUQnfExDAAp3riUon6tj
oNnQQXXvWKdjsKjxh8zlFAikUzDWagPbmqMjrl99rwPvnPxTMard1FS0Q+blwQWzOtmcY1tOoYfe
LD+pci72kT3tyXjaph7V/f0ceW+kl6U9iycID7VJs10H/kD5OXc17kq8uz5p0B3K9Am0vRn0X6yy
2FsQGTTlBPuQsI7jz3NTVab7Mam+SaeQtB35QFXSdIeY9JWOac2W9Apzmbl8wO40HTTCE88tuOVM
b4yVbLJhxWmAtNko2dxPbxre9W0zDvbJGiK1SaeKKMrKc9baBN1i6uKNiHGUJCkYJ9JAPpEBwF3v
p+KZpDJ5TT3jhRgyZC30lGz9YXRDeSi0Hi8tEhaWl/TqO87Wqb9OhIx/Iplhl400WU3qmMQknQFO
M1Sq3trWgnTSVvCSK5F9JKRjFKgB3sml/BKszT4eH0x/AFchnHGhJ5PxLFrtx0io8VJH5IF9A7qx
YU/mBVHVQ4RfZduUxD5lGuh1e/DKZitMelx+hI169KfbvYpk6rwdabGOHXuiqOCh90PTbotJN3ns
2x+DEQ27jqRO0o1BxhuF1FeZgkmfdB4HaNSuEWXcAzyMxX2EEtWmux37dF/4OSGhKBtLiPN7t8Vp
7PYWq0vSEjML7tVT9BS0fJ9pjf2s5g/VdZPPBmk3V/rJe4wuwc4jgXhTdQDqAsJulyotijMcrTcY
CnJ7Xz75vRTnzc2RVwsFLUcdmgOTGlF2ZNYKW0H4kLg+2AgDw9qYkBjXfGv0ynlK57xpto+Dsobk
yjyBajZzRuzbkvgF8iyWdYxMU3dLb1uWcx/cK/NnTdlkAwZLSwTNoRqfZcqgoaYG2WREjtWbIKGh
rrI033b9KFnrlcQWbJCY0tkzUk6sSjELiqzwm2SMey09VvR/nX0ENL0Y98JWDFqw6Vl7S2Yo5P+N
6CcKtnxsfunVaEg5LznONhX+cYhn37SgbU66jih1GGhJujrjwNAuNmMxvXVDMxI1HgRgSiyevNJE
AKazuN3rgYIHdl1gppp1tPgFU0+jO9TCKeygdmyxHlg3VSs0sNPaArTgZkJdXI6q/VAS2INnPK/M
eJPriBDsTuyHliOanJWGdj7XpZOm4BjSYIoJrTzc5+ZtXwQPblVcbLEJay+/5gKfl1aHil2L0GLm
yoS8CkKL03H6GIhkDJz+0WlEvU1qtjbf73UUf+SW2L77IRV1c8QC+Fh11MxRWX5tA8Ir2N/bF9Xj
cAbYvFLxc05I0jn3+o8Cr7rbieAUZ7jwmAs+3I9jQh8GiL3We57h3sp0eYnt7jVE0ANbXuZw+Nmf
LHbYxX33kLNAJHXLx8GS7l45NQNnTT7kQWtuRQNl0wVt6fU+PGjjECZDvRva994YqBZC+QSC5Xs+
4dbuiqreTMNATk9FE6sxNJ08IFUTqXe6f4wpxoe5oWqW9IDvSqRcjMltqIn7tGHceRgF7woszU7r
ZWmD2SwmgSw4JVoG3QnXANzRo2UAlWxB0XJj+81LaQoKObtrf2pO7r8x8TCj3q8QNU2wizvMcPWm
kr2FE3ymTlQPuVmqOVt546eS4xcjhdTJ9mWVH0SSNwfctS814e6XIvB2+eQ5K0WajytFuZZdIfDh
R+Xjz3nrp8AW5bZs+orcWY5HWE3o5FbBzYWac+sgSkub55U701tNifoM9vvqJAm+UI04Wgpe2ind
PNFpi8dCbAxmMHgoq8coQ2bQY0zJ5XCUhqqWoJeNbduo50APc3iQxsr0SSRBXRr+1BI4HkRBm8iw
RVhq0AMssS/0LFypXDw28BgIASYb+qdUqeI0tdFkEXOqZ0lvWpAVMdB/s+CMw5yCRLRYgUSMx1fJ
MvaKMuoTnC5rYfP7jQB/QTE8sjY81uOIdie2sOfe9V5pa505cMSrTpCD4Ij2cQjEavDNEKv9wKLC
EaSugniNDsRaYmpdFt78GGSZojluxafIjB5py3drU3fkysq+k7+kXS2OnouU/M+dI7LiomkBpV4N
avQeKu3x8rEZ0XKLddc5WdTHajK8DZnnzmKkrFwXc1zFJOyr7ZPimmQuJbsD5ST0xhs/2jiawyyL
mG+pen78YEa6j41uBSuv5EkJyKKeysy61Jm/9jJjeOB5/aAFiwSlLuloAfFE70P2mS7+m70z2XEc
2bbsrzzUnBfsm8GbSKJ6yXuP8JgQGe7hxr4zkkby02paP1aLjFvAwwNqUPMa3EBk3vRGktHs2Dl7
r11tue5NOzUzOEEf8Ni1nTgbQrtUtKyPZm0zqmkbl+rMjTd6F6RHu6PMcUy7CbvASvd2SWLAoKls
3yb+k7+09f1F1eEoKO7rxWL9w6sHKFWFg9u4NDee9FFrefMCDRXX3o/syx89qYNTrC2c9tGILrk3
QCcdjBrpjcPfUBbRxWbnlT+hzvcnOl/Bfiy/7KUpa/RvjlEX96IpjnmyF0m9S40qfp5Esl17ZIW9
G5aX6HrEA5ExmZ5VZT/DSioIlcsweDrkC022mT0MRf9Vd+DcaQjnD3EWZFt/DQ/Nk2IPWS7fjoh6
N0ljOBfHrt+YndQHq+A6Zglu9z47y45zkTljhjnO4425TdE47qTSC9JNc0lOKSI+d+I2HCN2E8fR
VXtURfp+Ys5Fz7zSTmSCE0BpGFVYaM5Sr+aIO6gOjGjIQgck2XO7Q5X2GxTrfFyYWq5RBQ89mOnt
0u47Rb5a7AnxKbOmvfJg6hKka968CGwdhZGzQwMAaItxcFgGL7weEVaOJ19J4c4x0MX0xLhTvTpm
ZJ+7Uv9Dw2GvuUPys82HaRtHNfhZmEoM2k1nw8GfHtuAcjApOieEf0PeHJcalML8PrMy34wahC3D
90+jGfQTQXLD1o8ca58TQhdqmYL06sfOrfhKaA1uRjfnEVCuot7piRhOreYQwQreaEhaaE9oBuuH
8rUZ0uSwngpSwv/yA/8r7obXsfY1+AFdT+qKF4WMf2C6YPWJmFIc1jMHOGp3EnAr9rZ6jT03u5Do
koSzS1be0lB1UxJqbcdfqMF8yoWTXWANeoRs2F9VpiJAscu2J6t7UnvJg5ZwsfIMLv6LDkwYntiZ
omL2HWtUmlGNEVvOSdiWvroVONVshKpZSEOYOYAVEjOpzr1ePo01xRd3BDimUr+5KSEbBgmL67NN
Q3/YNSRd7Z2uJAWsDJAIeO6b3ehnTeTqvO4zelU9ZOQ4nsvR7m7roSZtrw3Ntnp2K0aeTSEsBHjc
TPnLWSb+iQuvfBJS2zVj0J+DKk4QVYzN0R3K73YwIfJayQODhY8a6/VJ9BojckP4nEaety+TVoa1
iy+mywLKUKto+E+i5uAQLaqNcFcqfXIurTbc22qILiL1vhR6D3xzqP5A/0AXc0k3Y2KCrKpO5ONc
VGJfIzhn2bhA80Y+O6DjaITd2N+PkkhWG/aeXkX9VqiUfMIp+64bPz7EKdYvi0TjPYiz27o05mQ+
+iSBXTC1M1Plan5vG6IPotk4r/eowaV/ohpvJ4LeuKjE+zJM3PelQ8Db2l1NZ6ffowv69JraucS2
8Ugzfr5SFxMfx0QHA0q47sKNQwmZdzI/GPZIguPys3oi1a6ly4A0TgxxcxQ7sxfVI2ea/ynrIDpT
L2gDm/wyZWmc6FWbTXWmoUUCiwQA43C7ottU11x5dXIiYhch9dgdgAH+Qqsw7tmmvAskyg3ddlo1
XXUqmW3tzIQIHHNygErlXfMQAR1OHSacgxGAyZFWsQXawIbQNYz15oaCgsWvPGSBuWg+e+FmRz6b
eNs3+rtu84wZVvduRDzCtnU1EM1fRI221zcFbUMUDnsaXkTBJ6A8FtPLaZUQuq1NYqDdH2NbNpfW
bh4aIpSvRPxUznbJG7Vn92V0WuNFYzVvJ0O+yNqaXhqX1ZSMoceeEgxD/8N14y+YizPRZkvomqMd
25Fdic35IoXzvhZh65I1CULMFJfr2iW0uqwuQ5yWYesj0nQ509aNQvh9sS/N5KKM6mcpeGfKOtuJ
LM9COljyFMzea40mPcSb8qOh9Lw7CFqAxkXfoHZKCBLCCMda/FCmu5WYOBFakXsogwAAkDzqlbtk
Hc0Qp3soW7armfuZjRy9VFiaZGu1dlydaVKxvy7KPbMvXgRwF0KWy+m5RiO4HZogWM4VdIFaorZr
qJsWp//EBUk9tO1LBEqxeQiIJdqhqfwMIBs8DCBNZIEZddU+G7OJ8tZDXl6k6ryuRXbO4VzMzWZV
K5Oyei1q9tck8P8kIKp2bYXCEWlVWgXAHB1xnSEssxR/VrOn351f7YT1lZC3LT4DLqTWwv8hoPu4
yk6UkEu6eUIA7+yAlCWi557YWgUN3T8NuZGf1mekSpKTR/jUzqAvtFs/N1Lz0HaU9YWJLBG3RX3E
m+78ZjgzqWZH9Lr5CxMiWE2LhosdAOCcEbhGaCp42BLwE3hD70IwOHDS1ziyrFu6/CEJwqxVDqE2
1sW99S7I2n4KRpjPyUBk5JD35A/NW5m9tIn5siogch8stoXyTcCz6HqdDqdLzl6PfHavT91t1ThE
0DNvrfNjvQ8o/zWPi8VWwg1hvTPQJFjEUsWr5stwbMDjtdfYddJLpPg7QLswXS0uPU3+e6WrV7MZ
7LdWNG9czZvQ70R87McFU4mZZyO0sTr5UcYdgOPf5azkGLTHghB2ob9RjDTHyBbRtVu0000x/WjT
CYMxzZokyKxzP3W/gjoxXjPsWXMsM3De/bDPHcu+UvpCHwxG50EzOE0y133MIru9+32XoG3M9zkX
gLs0vg1PlrfGxNbaubW29wMaDo1pXGWqhXGX1c8kx/YXwxVPcWddTfbTt6Emt8xAzHBrE/KbYbEd
50i0l6Ro35pUydPMcGNaphzEyO1y6rKx+B5RND2uB53j0nsCTvNsJuIpA2l7M0f1jmOvJuN97q7+
55Sa3pNP5qIj99GorLC3liDv+aXUQb0IE166tWi6mty+xrOCB5C6x4CcnW4YkLWIwbnWDJK1iaiW
0on8Y0qvTUXz5zqKp3HDakv6S2cFKFX1MkyoM7/s9rMlgRwZWf3eAvSZnGFxC6Txjmxn+5yxr2y6
eQ5oC/CbNqifihl++4yOhMjuRp1Ka5E2qcA+AUkih6+Mf9pSM/stcBVrZ+Y9KajLqKoei/asmdPN
yJOXepWkzDLZkRy6YQCYbZtZrx5tjdxmfbkXJ7289bH/T+bHLePb6sNx9JkIzzw6uoZ/K/pZ7kn4
YzhuU3gEw8QVm+i3u8csjqA31qkUxnJ8W3+i0usOjrRj8ERwVng+Ii+yP+n4GNkLlwmi1gePDrec
hkcrF/Lk9hWmGzXQjOL6fyPE85RqDk2qrPC2hmZ5NyKWaAxTRlBYcIY3Wk2wbYPow1lqdjKi53Ci
Nt5lAoqip/v0gHyWe58kMCQ3qSvLR/RBRXl0Wqu5lr7j/OiTsd44A3i+XEdOq7lG9sMmURVcbdp9
TYMbP9NdyhkD7eioR7eATW83lQ4AxI5kYDB9bohjcaE1pROAoKy6m84cg9LjApvWXGlLCBmyYQd1
ouEZvK3a2ao3PkzCGZtAsc0jfzEcDf2Y7AH9MALZR5Uvv7DvjLt4iqs7sKmw7PL+Sigho0p++iYK
KoSXpmue1q9vJwYZcZkGD2N/S8SAdkPPP3sdEUdN4OaH08h6I/MXMoyDa97rF4wEwX7up/4kxvg5
b7j6CLVq7EzUluQUWION+2DphArSJR4DhlrDO1IT90kPYBz1E3j69ZeLDfWhXBCE6zqIMy7tZePn
pzoA3AiDvjlOVnzTdWneOrs3HiSm5yq+RPrYvyiSOU+LVlr0hL8Jp5m3fcZoSk1WmKjyhaw3NDe6
/odXoh1qDQtJZ8dIFoLyNMTddHWTsg/NCvkAtrEtJvf4uPZzZ8kFMLA+TUUKH4dx89H06nvg3vVo
pdTPMnfMJSMaaWbio7TsDfdoIhDe2mUKM6ypaDyhMbxFkDTQ1P0utKoFVzKJazlrtHeyhqg2ejTb
kYbFy5zTSsk0S4RlDINwMDLiHRabkO68KQso4mCHEzk6Dy5dw4mJ/POQWU9mWrPysBycE+wixyou
XHxkU7DJNVtjyzIerLx0H4xlE0xEfuS8sk6CgVrZP3r5tQfmdWvbQZIhmMotSwFs1NyKU5CgSalb
fyfiutu36jWiAXnvBuDe5cAABSzgyTZm9eQlDC4nxrLFqK4gjYEbWCJ7aIxp5xIZe83oGf3V4jU0
VE4G/bE6RyG1a9N42rpLIyK1ovzOoGoyi8e1LxNMjH7/DgNmRj1ha+nZFZjUoqBTXCW2+uLzG5AW
/F3ksT8yG6sbe0vgzacxe4Qm15b+jpcYwkEc2FvCq9/Wn9W2BH84kcj2+jhyS+yLar5SEVHcrsq4
pHS1vbeU5zwHJPFO1hwW0C+P+ZA/TOT1QrngMrZRM+vX5sRvNIQwCUl9D9qX42t0GFv3meHpP7WA
2ulEkAOY9jOHHbzsBRzUwcj7U0J+5VVTy7TDcVsDcQEdUCdJ7npU9I9WFLD3s5VbyDZftcI4Eg1J
a7z1rzQnkOEvs1vl92ypAsAacFHt3WsZxHkTWzdBMOkQweW0bRNf2XiE39YfW81984zsr7wA74Z1
WitPV4uOk5l6N6fhKlgQsxGhmor2wunkXdSsSGmxJwuAFdt8UTyWRRn8wE9XqOI1cIlU8SD9CKqC
kIAxMBQLJGWKDRPgCfLLtT4xONiBbyO5bvrOR9m9JIcuf9AO/mrGaAbHZrzo5CLuNchraJI8Zq2O
dbOIILUQpZ90OqpbRrjBg+dHPKbLOiBw+DnOwnh0ik+jS9/qfkJzF3UnGXdEqLYWT3IU/Ans3nqJ
KgXOuIlei2DpgLKBw2bYKFNMjymWGVQGvX0faRwkdHPqtObdbS/N4nWdR1ceff8jLeWnn43Ztau7
X8XiZ0Se0EHHGBtex1zIc7zcyVNEYTYaXQBxpHJMA6OC4aPGVRvGltmdXGcmvLfJ43M5pAQcMbMZ
jGq8W30kKA+s8igrYGiV9aRV9pOmAiS/COc25SIb7/36S2N7uLoxYwkIPb9mpzaeDGF9wkWdEz3+
HcTynC7VUtdxCZqDsf7onPkwL5dCESWkzkZpzoBFbAtF52lKg1NZqS8G09NJJRBBlKNr57yP0k1t
0DPJBrY1u6UztjYo6iJ3r65yv1Frsb0yKUbwk8yLCSlhxqNVocKxdm2XqSECqDKsyoitIT6OGWth
VSGu0s3eBj6PfhIPpWjY8tCJRbVTPa0azsUfUHXNNuOhv1ZK7gffMG6xK+STieGrSgRCJR+h0DDh
pc36uD7QoE13alFcjC46HpH1EuYRxxgf0VOeHior40IK1+1pVudikRG3MUXX0PQ/2UJNjKgO48lV
RolJNwPDiIi8N7vhggy3o0JbJLOirSCkID2+0KmoEGVBEF4XYrJ0S0Eq8HN8iMk6oCeANlA6EtMt
n4S4gf2BcTrEBhUFY4sl29NbtL+Tlh37iEAphE7+Xx05ob1HL/jDfsjluGppSi3Tx75G8YPwSp6E
mdxacxz2KA/tX5bNpSWfjqQSRMfSj79QEeNQHyz/cRrsZpN1KZlFuZbc7LotNzls5hevsf+ITv9t
+356N0lrfWOg/jvQp/Tuiw/T77ynqTf6cO78h9JGmWt2Snvx4s/18bPv7YCzN3fN37rXVndL1xne
LbUHrig9jMvxrXOy8khT0drkZpM+1l7zYjag3lGFfzvjmOHMkC9KcylD4me9XOhDi6Bepnj1kXFZ
96G8rk+miQhymQX7Z9/IL+vmo7ES3a60702SFn+/zlvSRGfPJy9ZjE/rlDynFMdW4WEjQ0e8GRiG
7gavR1+x/qKz+8AIArG89tEaMjkWiB32qWG250DvaQxqPRr2ZYdBsD9co2VkmUruOCnZwlGs/Sqz
8T0K5Wiq51ZL5vsqBF+rDju3HHQa7JJRn1Bh65vMtI/90FnnMiKAumqxYNs0q8/NmKL0Xl73pIDr
QILo9xhL4KFhgCzHfhcsU/1+Mj+0NNprVX8yK6++Ni4o5taPaBtM2kfp9MWmcgUPAJ2kG1chwkft
dAjtjEiuSvkL0IhyomXotcUBxmZK4/lhHtOflS/yO+NDY5Ppw3g1cW1XcKHWY3UMtN/6OLWHsYzH
W29PqDyWg0qOVIxJTpuza6R9KZ3hOaPQva8vw1DEZBlc5dBbMwkXgDOfm8EHdomOPizdjSrKfp/F
nnVVs55zMHhxmPqDt4/S2N6JUrqPA9rJpRwoZqJ99VntpM8AVxXqUplmjk3Zk8dM6+3HCrNKMmlf
iQQsrqJdMsHMTOyufkmaINnNo0YAm2WinrAC7Z6lUEPRJZyGzvBQmBhvZjZVDwlXVt2bxEO1fAzu
b5+h02NmK4YhLboMNb8gnEL1quOaJHzzZgD8Wv6nbA9FbOc4zxzc7VOgIFrYykl5AgiKLeauAZ9C
E6Qp4tvovghppo8Ehw+B21zZyUAy+QT/9rNPrqvKziXTWU2Lrbd2OKVlOR0alb+hpmZm52OaiNLI
uMmqkJuxbh2MJHN0EjRa3Ni+oYvv9pXDZbDOVHnKATTnaUfQzt+uBzag+adHhhUqmqc58rXXooE2
X1gz/WEAKb7+7ZhWfypMBHmLNlOgvivRkMI1GG48HjXdisnYlUFOhYo0fCutvnj19eaqajStLuLH
U1En+r1NqnfZRxiojew1CKb0luUp2a0ZdxmmCfXdBrqmLMw/AZO4A1oUUuSY/O09N33KcCm81vEb
1XJ0kamd/NupEQT79WaAcE/u0OImr2ATSPJY16IByXrrpCIOB75iiyqKHnlbeds0y+6y0InaZQP4
Wxz22Ar2msTHXhocTALywKmFSr3OJjR3nA76UFA8qal9KkGn/P0JCuH/oUqRUOiBBnLbQE+zbpce
0N2/W49qh3Iv2LK2DGjEIUiB1yJNCLNc/UpbVT8bBUQQMCnXtTTyI9+/5abKT1GNnjFRmLiUnjq3
UkIjSIJCHZIBdwu3nTcTQuSeqwlxcXHhH8CoBc5WuouLJkusx6yfXIiDwrkFo0v2etEfKXC73ZA3
P6bc168BQ661AFs3MusjxjS1CYopOXstlc1ygXclrcwSpQ+yH/1eLkJ0ACfaTkfccdWjj9QtfLBW
KK51GY/79RKHs0TfuHQ8nhK/+umgNnNd2V2a+OrPGmKXNMyl654cPboahdO9UD/caKoAxsMIoms0
XhIEaAz5Ap0BXV0dRHuzxhHyn+vkKIhpJ4uRfCjN0EJaKRkUlnNXGP+spWrRVedUI82uNIMg7PV7
OtA0sjo92k2GWS1jwp9F7mFhieVAJFrMg1hO1qNTvZccx7BlY+YeTvlqj16Hzrf2TmZhEbDW0/6B
QPdlRHb/u5YAY31MU4bjP6NQonnp1WKLM+GPrYr8UTFdShrAsq0lD27t5tFG4gxLtBFZvZLl3kHB
cYA0eIutYL4PZtPvYhyzCsOaIOml37USn8MoXrPOzJ5c7cxg7d4lWfGpISgh7m2OL103cekpqEVL
phXkzoiHsdHkhoC970nV7lXvIrUZx+rDHuMwaWgN6IigPPDv5zbtQMLVwYciWw6fKCT3KGv+ogn+
P/PLxXH9f2d+Pf+p/9f//J0nn//8x64q0Hh8/rOkVv1Z04FPX//5P5Yv/zcEzPX/Relomw6xzIH7
X1GunvkvCK6YqVyIVqSt+P8loi0ghw3GKpJwDI5gE/h+/wfl6v3LQY6FP5cvInzL+X/Cnxskd/03
u6S7kBl0MGXY4LFfB//NLqlZ0kmGBjeCZ/TNSS+z9yCJzrHdDVe+G7kVJiT9oCBqSbq2fQDDUZAh
pWfnzKkYJ2RjCC8DPWYm7WeiR9rKfCRvgu2ylVvkZO7e1AmupOfxhJYFk2pCPVawd9V1tHN62AOT
zL4dfNGH1pjJZI/6+tph53Kdgc2rs7RDBbz62OfOUz8yRdNAEJ4Hg97EnNqbutC7g2DGeIP7g8S7
q8NoGHQCwwXjhIAJlJrcaVNMtEciGFAbLOIaxy7fOxmIGxXG3NJ8gxuN0KE9GiL+rQfRsKmygNeg
6/y8SIu29egf56ak+W0OoGb7ujx3OgOLvvU/vFqjhAj8Hy7xbkx1rSB0qykIawf7SVLZzISRw6UT
NgIEs2q3fldynjA7LkBOl8mnHit3304K6XlRv0nD/h0vfTKQtkDbKWXE8OBItMOx9B6LINZOmQ69
KHvTPCF/iQniV2P8EnmF4Smp53D5EGcD2kJmRA8iwDGTgwws1chm0dKvyT08F/X8YUythsccqeiC
d/Gkxthe6TcQ9UjbdfOHmtHVB4m5paML+93lVpyRJrwtmeJu8qxHvaCJlKQoYKfNrCi5ZooAGksB
VdXGX6YplbHYYWztKt1ZHKIqPZU2rtwYP/928jjl+/7ZafoWJYE4B7X3CPWx2HLz97YeIaoi+KHc
DL4l1fd6jzXLPj1GRn1eBa96WFTNa01TIWQAtXzg/WXmaDuWPbxHGgDwTvMG9XQ2BCHmG0C+Szti
Lv3fFpKDm9SSa2XR/IR/O56N0bxmABwtN1Ubs3Ss0+oUpxans5eDBlZLa0NGEiQDA6G/dJCs5rVP
70W81BSp+RI56B2kO6FFqG9el1aXdUgm8cvubFvhaYANro/iysEPb2+gqinaAeCAih5KUWQbJ+DC
7KsJS3wXhPNML3OSuAF7bq779U6dkf624Rn6mGYTXEPptltXY6Wub9Bo4FELKFrGxq55i3nhvpl9
mxnNH5fo0SCwypvK68e+QbiLt+JaopPZOHymTAT5r7HHJDHKiEl36E33TDd4x6RZX/rAiR7Wd7JP
EBCVSInQVQfFIfYWsihMka22nyVuxEzXSK8z0eYYlFVIxkPV0K0LRNUe4x78DCl+ya435iAEaPk8
mg1ozzL5zvrcPo2u94AZ8o8G9Y76uq0ucVLT9gKHpaPj/ftQCvaqLSX3J0kyLKShBRXCupMi+kSZ
2dEvPhVyjneVniLB45ZzHeY0tCTptQ5Cm10yqiAUZIl5ydgclv/P0G2CkWMPaVDPFWmV+0aBl5DZ
iqzDmoH1j4LbfBr1T7BXp9COyX4oSluefABVO2jp8hjF7gb7GwE7WqBvfFGp6/uqYDbIhtVF5YXr
uznWxmJgS4cdrpoUBZP3kuSsj5bbZhFLYLL4mkIsH1thEjM7Zi0eEoDOnX/ulpXs+jWbh549a0LB
aGcJdR7P9l8DtY4Gci00SwJ/vXEKV6faiPJri8hrNy04a2uAzrvuB2XMYN1dxrXr4+FO8tRN/pcW
iGYnZ/lL8bqQftfyEU45wdSa15xncu/aEntzVo4k1fjTY65nD3QfSuYcSBLMPP1YlwPdhufOFGRp
DiWTBmzp1NkizND0rr8rWdLf89z+WX/dOTPeuspoSX8KYFw7izHJ9AweTT4d1yVQCMQH5w1l+xLA
NwonXBf8NCzPdp4+grdPzvayTbLtx6EmiX937SLgXvWtDdiU4sBNsEg+BMVwp+EfhGVZS77riN9v
eVuNDnGr7U7PgUaXYP3cmsTnuk+30kQimEwgMYMYimvlPvdzEp+IT7zpy8+3qviaOB0AtxJY2Wqg
RrNDD8Z7X9+JkhE7MG6qfdybFoKy3ezOy9RhUWgAOhNDm+0yVKFhhw5uY9jmTBM0WSIa+v26d2iK
VAg8Mqe0CATAsPooc40AxyqlCa1qa+/F+aUqFt/LaI548SqqUcWgthinsxjNGfOs3u5qq4LrEgx7
VgVSvLkkWtXV/kl7eqzr2tIINDQq2oadNJC9aMLA14gmnU58y46OcgMVvdAYEqwvzC8Q+LkV+wHN
33k3+XSU0zwHFKSjKCeXAi6wtmkMcr5yaldurtMB/3OMP35qMZEI51AUNgpHrratTTakw2UKjULD
VE1sY/xtW5Ho6JF8ft2a1BKMZSZqKq787JQUDWwTOz1O/YOltGbX2+bD1CC77gDTh1XMuDVvmP/Q
28G8MkjCTrzgV54PZRhA/NlZrX3pasYbgS67PWa3W2n51qnzHQPYBikQUdGsGLTN+hR1NoNGcEtl
oBF70WDDl7NhHwU9QDMjfSyQaOhTGEjlchxAZ/4VlfkPc8Yq2s7xt4qk2iDkObJAmN4vw6lRnup0
0PedjsSeLajcGSXVh8NGKGA17GxyNnomWUCarJMXia+5aWhy4srcmYZjbYypjw6t2ldEU4is6YGR
jThOc7skoyUPa5UxHXCiT7Tn9XamG7FfmpiVBlu+n3vaY117dAPrcXbonVaNwNWnmJosnjecOozm
nKS+pKbYW8Fi+1K0sCu/fPdpHyZGFuyEQ2Ug6kUR4GAGzOKbsiGFxyI91gxIDvXyEbjl1YIToDz/
mka09z2nPQDMkhtzOeKG5RzIpnNNWCddgxiLJi5lMG57C3LGto3s6KVQJGjmGCpddpBnl5030sqn
gjnd0TVN71T413Ks7LfUJBwvbrJPiXOaemJ+hxFmPpVu8FIiBMuymLLAMQmZsnKirXA89TMmV9uP
0836j5YUR0L/Tv1YNJf13wTLCk8Ta5f3VXEi6SzY6hpkOQ7gd3waLpIBdlRwDexrSIBo+3JB69Jn
bPMAZ+P93I4jzDnSCJhIb6wOQnOCoataKhQbx1/rDX/EVPM+1Jzho+D5ER36TrI+d+ZoPYySfSNt
EdLQXwrYp9EB+pAAD0FLEoK0XARqfKHf8UE0S+Wmx3+0gRR77vruBnqDT9NZlweV5r9FRRvZqad4
69fVeXGE+7PNT0iepSlxWNcNMT/aiJyOTj7ViLZNJmNCszp8rv+q0vbBbKOzqbuUVHVE1b6dXEkX
JFgsng5ty1cYy8MoyEWQy3YxBCm2rfFXjDn/ogLFKNL+xUUWTY2GVcDLn4KIt2+tiVF2BDVqGT0m
05X0g03TA+Iva+xh6yeRafm4N83sp7uUJH6J9ku3H4Xjxdc5ksdaaMV27j03DDLSStKmLPYTMa22
xdiYjmNDfaPsi0YgBOhfZ+vQ1t4Njk/kw/JyUZ7xmg24NTE1TdFAy5wL+jYnY1h+mtB+ukU9IM96
HDn5NxYdDFQmjrutOG0Qf2bRuxeM43PaGe9+IAi9Vi7ec4PfWSCF2aigB/fpZ8j8Mg2ePnZqB577
ccJPvfXMaRuJmOD7zpSoW70C5sywR/mgk24Y4Msg+4e72FK2NO7Qb3IURjsmR/Z2mjBUOOMzFkqR
pLgK1zHFOrPlUUwulJuqpUOfgql01KvyA3dbN5RVOUZaoXcfWdf+dKmEL3Pnvqz9ckPA4u+5Dum2
akhCILoi8f3mqNcqjGjFb4Oc3yNCgqKPwAE8XyVhHlNSetb4rFmcwL6YEqKDCrp/aqnnW6U2Ubdc
ugRNkzpfSnQqGtjHu3XR+Cl2+5nhIo7dgkEHO3KhyNiI4vboLZcpoZmPosNnlmr1FZXvBLijfhlK
xw0tw8GUU7M99eUEF4WpjF7Xu8HoyHAULOtYbhtMiKcMs/nGcjJrG3i6Ir9BHouAB29yVRu2agy5
PlQXt4pxnj9animJHhm/8PhQ2JpetzE69sjRyeozqNFfrEbacEhLz1adduHqoexnS3JvyQC31Uh1
io7xPuJMG3k4II6YS929mJq7ZYr2uE5v6UO1TxkasnksnK3h5t3NVbOECBRt0bD6164Zf5ZV/+jQ
wQ0txMO7CKQJacI8ciw576rn/T8VAuO9X+JstD3vpcOVhRZIKqqSghntyIPnVyTpjgmRe5wV+EF4
0aNxZiKgbaVHpvR6NlvOpO21uhEb8Mzbkq7WrlXyVeCkPCnZ/Fp4rwcgj/2mDkhB8Tq49Q53Kp1b
9yafinY/GHFyMOvxNPcR/9UyXh5wLUw59BjBtCu0J/F73WqQUtxyv+vOq5K1w4zGW+Bom7ZCBj8D
4YSe8E9j2GBtXU8dc2EfvGKIwyKeH9fdcrJAzKxu6HJwT37B52jSWB0o3jkShisqFPITEAkwgpy5
npiDs2vpLJKXhBQ8N4Z+3+qUsLr6mNKu3XNlI+8aQMGpTatq58MH3XgDfd8CSNSFOwBu/ZnRlUjm
c6Zpu3JO+mNlJRg2BnJAEs94J1I12ejpzEA6MB6HCaFg4vNd85qyBam4j0GGC483siX13wNTBGqM
xt4H6Ohb1um6WBk7+zgEFs3GIMiZtvztetFcn60+X7wWDBS3Drs/tFtax8t6dwrRPfsnPeUxM5cq
dtK1W6V56EdI1Y6TpVAMnLOT49JLjdGHIlDu0SW3m/XsGDR+QYQaPJaCAeP0Z0bnuUvNDrh2mt+6
zk/Rr7vNpq1TCtbJ2HMIYEV28u+y5142z3YBI4mY8Ch+suY8uFp+lezM4VQaBFW1Br+Q66OVXn7X
OJv3NGwIvmo5kVOrD4nF0Q9p8wJb8BtDb4uHY/7ZzTVZlqSyRE4bIm16TlNzBM4irEPRUunlSKWi
BcQY0E6o/JaZjU6bfNnJ28HPtllvf9e5uqeNQ0wEY4/DXKP/CyjPM+Z9gEC74VDjPkyWi2vq+pvF
73RcyuWwESxBqvoh9ip6Lu0uaonBW8b0xdAThJuhkE2bmfPWa58IxOBzKu1XadNESR26ZbJ1WP2a
1LaR/4CAXoYEsRcV9ftyGq+7W29NZFamHnwyrh+IGPBmcQY4APUgA3Mi4hB3/nElOhvVwWRad8mE
GZP5v9k7k+TIkTRLX6Wl9wgBoFAMi96YwUYaaTTO9A2ETjoxzzPuVKfoi/WnFlndnpFVHVL7EslF
TuFOmgGq//C991xG9YUmvxY6mqLg64Fs2Btsn/3rixVgyi/JpFiPlNN8XujBWf5hE9SW2UGhNkXg
X09UeNnzwC+w/rPKcRJYrjbwew+ny+t/5bR3Gsajq4WqdJviuXSVAQPR0nJWFQ0CcxE/xSYI51lj
TSbGAQUCNWb1E4SUB77l8Es7W670puwodcaP60dStkz50vnRCHjTw9KzfOtPZwvikw0bh7bKegx1
1/LV48C0/HPkSOIf7/fJzEnsZdFOuLSE15MCN48Pc0bSaEz31zkL1wBnGxNFlx3wOhqK17ECrHGQ
EPYcTkw82PJNbVLutahc19L+wCuPddLYYRHViZ/Xd42WzPJ5/3mtMNPSgoPOLM2oxKfn1d/L3D7z
kELQhExKJv0Tp+RwA63IdE8Bw2bOKrwZPiyznFeZXuEvl75PjANibicwo29sSIDu83QztdrKyQkP
IJUaW4x4gyZ86wAi+Rrmfz7uBKzL69pV6YWkKRfNIQ7Gt3QblwFSMzcr/CYonqNxr4RsnVe8TAsm
O05XfZt2swtJvWcPvCqt8ahNxmXKB2UOwmwkZ9pZoF3A7iTbGyU5Pl7WVXeR1j7TUt2yqtAIGDfG
td5JzP3UGDNrCYPjxwu2SGoyprgBCYiphc1Ag9YhNxY20DUbqoz3aMnixueoee/6PObVTbjwScIy
DM0nZ4C5FvMgrLAPekxGEbrh+M6tms2Y4xYnZ4HzTPdlGoQfLtNTGxFNExneAxM/xr3Js7NoL5VI
90hZtpad3QaBxwmNBN0d+49mzh9JQ9gn8d4a+OUFivm1SGlzmEzkmBmuZxn7Hjnea5iEcYOM8BFF
kbWuYrtllNOtO4tIKTNzVQMTb7XxqYMcZk+mf44ZTh9ognhgycHAfZzEcmeFp+K2T58xqKkFnumi
uUjdiqCpwa5inL5091eSR6gBK/fdquNvJ2veArM3fbTP+1IyRxwlybTdJSmq+zHWIQCX13RYqLg1
DK26kIkBZV5TA+PPxifGxKdGs+ZNrCc/3DbGuHqo78oG7+tIxvvQyI4i0u6KkN/LIrayCBPeMPto
RoCqUjk9ICf5iXHRJvI4+yXW2aO9D9ziIZwzdDt6x3J8ubMoHhAQ2VQtyAQwjAwSkunH+Ng7w3sY
4cpa2xfezhejrp7rSB/JxBpf7uhYNnbU/cor7ZJHbrkZ6oLIc6e8rW2Zr/KWTf/wPBUUak7P/1JP
/bEzvP0Qjb8Iu2CM19RMN+JovQSvTa0PPtV1Qm41zDl5Ot9MyLDeE29G7LIjB3Kcah7KHmtRzy3N
ladXF8rMSxiPxHk7nxUOt7TpR/rdW4PPbKz2eAvVMnkQNY7QeKX4tsYMYsy6u85rmV1FJYZOpsPQ
lKIbJblvWta9yUY8aduvPjR3cZk9VWSLNfp4DkppUAfxNBQQTCIHkZ+z5Abv7PtYnbcMyMicm7v1
GPAoDnDjBcUhe1tr8fGJcHwh2oSxg3XGzdU5DAn845B0a6y+/SWsvQMWljwPcNlNPgLwRflLYNQ/
xdgm2w6GDmKawoXmoh3CNSuq8bT2uB/OJvDAoeiWT+63YVsF1ZPU0UEld/hCB7vAdJJdmouOzwIK
HJefViST30XhcsiGZjmNcbRN2l5StqbuShIJrlFykWFpYbEbzEqK+AYjj7re7dgBdzQDFvT42uIy
WI/gwSuvtreh7X7AiyFDnOoL5ghnmn3JSSIoEd3qhOAU0xX077sRh+f1NHiF34P6u0gSmR+vKjv8
oU+GPDWC/MkMHk6ZSG+KOzPr8Q60+PsmK6UGqwbolRaXAXfyc1usbJWgGRTylaHjllMTR/oewxDT
hXEWA8FbJMLkwYwx22O2ZAytogqNNTnbL0bu3uDT/Vg1VriphgSWHXG6X1fRh6sv6WkJtR17gUvI
t/UMjazde648FBNWw5GbRzfsxX/ESUi7mnnFTTfxBbUaDpyu9kYaQXqU7ciwJUbTwbPbu83D9T8Y
kzNtEAaMQK/9o5GaLCg0foAIvua1GXDN0EOsIDoXwY0RYBPhah/EvHVkXvV7sTjMB2uqdGJD7ssh
8fN8tnat11HWEb9zTtr4HfeLZ8dRNFzgvWIwR22D+27QNhgm/UpJOeAODFr+mOgcTTnGpMR5cUiT
Sq85E7cPoYi9+Izof3kA8D0/tbX7FggX44A2uwGNJBkiUA6MJrsAqqXSI6W1c6kuhfSNqbrXchJw
R9MTuxEkYb0Y3QcAGi47AyF1VKGkW+DFkmeYLrAVgC6iZ7DdpUU9zVII7BYoRcmcmxA+DpT8SsJp
ioc3YyYemY6EfZYv6PcZrV2nj6THtRHRutm8SyKcb69bm+sGixfE21jT8lClBTuTPgXCZTE20513
MWZI1wLcSKjRQtfetFrr7UO1QyJXABBXrAdYEZTD2JQa6u8ec9oxcRiNHtHGDBLHM+o2khtrJpTi
T89GhumGz5Ro3ZvMRia8RrZVpB8CRiNX95PAyHmwSSpGyONk89NilB+LTR8xyCXBmQBH9DpIt7n7
A8PrkdJ3UOIcynUg7tQv7OgTA8zgb4y4xb/uhEkJ1dlXM1Vkd33N//zNv9iri3oMYzrI65g+Vzd2
UGi/lom8ZAEYnTfOU+Gl9p8DCZSSHHVjNTLZ4pG8Fo9NyKrsOhyc2ZJWrbVxUKzbiFiRhuCX1ZEY
hxrqYBq2elpxJMXbmPlLRqfp/SjrmW5B17gc+/AZib72N3kSKsL8n1yubUOa2J9Z0jEkMb3yLxE3
7ezadPyi3lw737rpD50NldcYgo3E+KtX+xRLYwwxtkgJ0WFSaajJLp6uNUvbZEwf8kE+tia5uRaj
fI3YwN+Qgvs/3d7/R9Hn92VcdO3/+p/yr7EPSGB0j7muZxi2iRn6X8KT8oEd1Gyb+DGptSOumyaE
7b2+9DreYZiRqJs4pC9fB8TSbQfboQtt2MokvfBerr1AyeHBXD48hmGMx0PWcZUZOZ9srH+X7K/u
3CedqdQ+cSskVl+06nwDWv3D1u2jnO0DNQ9LErMOlVdew7AHLb2rjFTGLE/Xjpw/LGyPbvIxiHwD
SufGwcApkvKAFqc8L/HndYs2e7xjbu26PuoI3b+RI0e8RQwLZAGGZzjmMVmhZ+VjXlvAYn+a6f83
o6JIjf+cUdn1H18fhHj++p1LUf/Iv3MpBvSJ7tqeI0mTs6WNh/k/MoZt4w9Xd3j9HRMNDlgyT+Y/
EuoM+w8KddP1pGdL6djK2fzfwRT5hwuz4njC4v8hAYf/KxnDlsJOfo9A8PArIgXAsSRMCvGcEDC/
u3inaONsRGSt35BbMHT1bVAxPi/i+W5CtYatDZBljn+wpvsybX5qPdg+lr9qlCrOJhbmewl3sAom
gpssNS4BJjGibNM1ebUWs6T8LcW1x0ya/OCFUKkUPF5H+47lK2dyyBudeu5GQ8Z5rOqXaHGrlTDl
eaiYBcq8vZ3ykjY/hlOuszNa9xvbcb5Y+1dIUCNUzC2LnEoe+kj+TXIpkSn/+ukg3fXIPFe5ap6j
DOh/O6AXgaUx+FDnaz2XjlZy5U/BEVchglcH5Jw9o9Ypsi7CMH6mrdhkgma8VIlkhalTo1Xxa9oy
ViZM6QFmb5VP8lI2EDaxyVL7A18wAfgjz1HUjNCY+W623GmXj/EWLwJeWrd6dQu6E4S+59LID9hp
vJmBfcixJaXk33XkeKyz8a3IcFCRJmIAsM+1cJa1iO1HYxCXqOIbiQV7wY4zS/QuwWza28T+LBrM
C4M77DkAv3MbXXIylydcYbZ5/hmO8y0Sh/MQnaVK2koaBEN6jK5PZ0DH1nPlBTDnGkAikzAJ56jB
xZv8yFrpe14EL0GVslQIoxhtE72GQZaIvyfLukuFvJC0iazSei8XUl6rtEJhVOJ32OwYB50iz7nv
Gu9JI3ov8sZ3pytPadS+eW3NIg4muHWti5zkTvQ1hWf0EC0FIl/g6rh+bIfx0ssWDiHAgmTi+0Hx
MeN+473GHj9sG1Ja1FEF+0KbsMyj5yNlpDFX1pGvuV7zeeAKtY4cYhcELFPDiLZS/74ddkZoYX3T
liadgPYjjrp9Ngcu4rHwG0OnL2wT+pKga9KMKPptYayoTZ9zAqJWi5E/qwdFC4pTZ1iwXNiIzJi5
lDp6amM0uabhjDAEzBYKejc0+RMsHQurWmwMJ3opW4wDepvApb64S2aVCYF/J1IVSqbYiD+vf2ef
BV9lFZySbMYgZLS+AbWBxnHcl+w3A8D2FTTJI3LLn0GERZFrJ6cptXBkxjqbAVS0lWb11tt1ji4p
RmsnL924HSZH3zsFT8mEgmTlokDclovxYuMtXuT9cJiJwVlpC0AFamUyJ8ohZsk9DXubsr9yfhhY
hO1lwawTNy/t4DQ8UAOj+bzTjRtdNve4P0Ok1ZUO/MTJMuUaTuTu3jRL8F63MPxGUBabM14dYE0r
ctyWvTOg9oiydD0JXHXRLacIjFnNQJEUtcI5i2prm8SP2AywsbHRffj1u9ZO423XLXvNS86DkgUI
27zRG9QXrKFWWT6cIbUvpY0Fkea+44e0SWv4myj6ttP6QWtS1nnaW8SOdVU45rPDR9RipeBSwkRx
yuhPyjX2KIxtCH0K7B4Pi4IhHr+EtWqc+UaGqnqHmC0wgL4FV79IeVflTAvxICX3Nztn2Aod9UK/
hSp5jcuGS3yYOCixJzT6BtbC0ygyovA7CMUH3u5nG5mHnw0OZgpM4DHiXPfWZ0aQL2PRNMXuI/qF
+eCLSL4FMbdbe7BJFjfcG0NnLpaE35o7MnaVoEKFNZ0tF1lxk+G1Q2WXbjyWsa03bMYovZNFd4PS
gDgESSHdMeZAXblu8nhfNSg5huEBC6+90MfQR+Xb7/g81tmw3JDH+Dwb0Xc2K+8v3hccFlcoItlm
WkSsO6ZGzMMs2ZHkHzji8kflDkWwY67DZ5dy/0YGxsWeG2aLOa1rxd6AYL1wFTUAdgtrVrwqbzA4
ZlROpDIvgDps2mNlx7Wf9PmhbluuNPwXfNGy/ZfTsL6LaqVexwKNcBgE8Zn8qofO2/YhwzW3QYno
8sQYToJjWBf4QVXjU2OEu9TibHcX+ytYYlxBl3HLkgkAqw1o25gK2vMX9frBI/N0wnRtFWnxz4gf
ZmXvZT/rjNI5jomYWrEe4GlVy/m54KRixIITMMKalXQ45RgtTTxBsItZw9FtxI+LCH410ro0DSPG
qX6LvJNOKNo6msmHRqtIBe9etMyYWFf1nE8GgwCewClDWKphUJfydG4o9ykvM8yB6XhYAtmxcsZT
BkVD99Ta+B/XucmpyGAx7sIzAhsklXr0N7FL1l+jb6g5VDlkSkFrQNXxl9iWrpqGUuK+46fll2nj
BTmgj/CyrVnN5zkXT4bo93gvU1I7eySCZwLNdouebDWOLS6duh72XVBgTf1c1bHfBtEGv1CSHPkk
knENjobU068n+11rrEMMaY/YcRVJ6wBepRfGUxmIcyt/6UlxG1v6U8jFJHU8zbHOPOe6/mUF2h0p
eZ+/1YX/QaPxL73Q9de2hec5hks39NdGw5j6Gh8Hfm1qmVWCWhnjxRQ4bdSDtcMK18GlKUnarcke
oiZd0KH3VToQ1+P1cIkvgZlMm2YjiuJvAs6udcxfqkDs5ywCcHVyVuxrLOBvdY6NkXaYdcgpq4lJ
GvoHtx+3cnzr6/u0+XKRYHQEK3YyYAYgNikK+JGlnifiLTEA+HH9rNPpLHLzLhc9b1r2TgMNdUQg
eDLd8C8TSHMgJyAgLK5mAtbtQSU2luDNi/TzRJXY1OXRxMhwtsY1flY7Eb64ZgstMJ8SPbtvSLON
EnEcGBgEgHhUR1sjKo5hUu0ZW9T6vGYsuKWd9K0Ki+lRf6gNUi/cu5QrRpu23U3Lu+H08w4Dh8C+
NHHObjF7iBx3x2x15yKXGangCncifwKfOgRPPavN//8z8C+Rr9dnwLNgwD3LJvlJTQR++6ATq2OB
a4QUlDhQtOATaSoOU7PsmM2tUHCt8Bpg4XdXYGKKj3IU5btOWj7OhvtsagjFREea23sRUD4zxWqN
7m8SBJ2/ziQ8ngEbQ2ioI3p2TJb++SfMhsBrw7xsibmzEY4FJBzjzoqgGd6WGTEexaiUcxt2G03p
O3ZzCPEnBSGkFA1G9NYhN/WT/IelgybUXHXFp1P1nR/kS7kx6mVrhS1rfOuVkWTHd6j0wBKD8YKi
YUF9Dj52EXaYQ1sQwiRFci7b9LYOKHCLgcOX9dLP0jAxsIrrVcUEdz159qFNgye9ZjRSgnXh3lKu
egE3yxT/Q7QvVm6g7NOHdSxBS6EAxuDNKatfo47xQSjmN4ylAak7CphA3mLjSQiBjbYzakpyHKr+
RKzBOssCxLPgXVmO1s0yMYHs8VcuRowDCx7sTWpUf3NS/kvGEl+GadmW7Zi0gCZ9zT9/GWY2D4bM
jdZHxnDJcy6FShTfKSN3i3vENFmQTlnwWuvTakmDFR/pczS77APBo1fpMn1lxGHM2CYip+eqME/4
yn1cH+n/7vsNnW7vP2/89x9x97//7feu//oP/KPtd4w/OEyRzktLeJZkzPd/237H+sNyLIvwZ9pu
g3Lq/7X9pv6H7iI4cVE4XoUsv7X97h9kk3Jr8ocCChJ2/19p+693ze8HvvQIncb8wTIwJxYc/P/8
YBGJMweaHjkYhPIaGbMZnmVpbjot9WNTl/sr86nP4dZZQFLZ5AFAB+BP93lqv5RQiY4thh2SGx66
MVqgYvA3HjEbq5KY3NSsP8OAEwk7DGcXBwL0v2SnsKMSvkuW4HXcmcSjOPz2DfxHV6yjvqN/mmdI
ygkdFYjh8bsJcU2j/O2AbVLqNi1fJIu84bYA1sptgocm8OdVHVLnDuLB0MEjlrzbTsns3Xf84MbA
4m4s7DezpGPFnziD5SLpSfcAWKF4lZ42W/Y1NBb1pLEzEQyuKhYcm4momBjvzFNjScYW6jyJWdOf
QosmvZIml2npILrsvnLCe0jyyS8Y7IRywRCigsPSmrZaFVg5j3KoUP1h+Gil4TPj8m3Qa+wbXYs+
4Edn2+eorHQWXOKMs2G5KtyDyNqPmE47mwzu3fJXjIUX1NXOJPzPwSLMzX4EJIIkkXOgVbkr8VbD
pm0I2weJlDGek59GqZ3ZqD7IyaMV7u/IHru4RsFQvAbFce6STDtjJcwAwXYOrZ2/YMT54OEZCau3
dTXWvWVpHsbpMandp8rmfyvGR496ODeik3WSVrxnkH4Tt/UDx9O3pV+ClMFFbnSftVORHYGNmFXJ
S5YTA9q3X+SvwKF673pXvTR8dwbuswwPyp+suBNQTtwFscnx3ZFuSy2zQqOKV+YSkJSONaTSkoR8
/OalDLpTaQe3VE3fbdUh4MgeMpmehoRA+P6YoQLNyamnZ8eLzDgFhoPBovMaulAhDOqPRqod6QZa
H06fnUXENsweO2N7rll0hxqDnY46Jx3SSxONyo8j+CD878brZrnKyH5x7InEKXczN6LZ4LaPH/o0
3TmQSmscRejxQ/rC2AjepPszlbhCEESGp8fRdr/NBB8iaNHPgBg5CMhbdp9PVmi9BoH+2M0ZMnTz
1E4axjaky3VxY+9mMrrwNVi2FMdboCtHd7ZNTIwIAaXThtZyX4dyXkN+p44jjqx8iTkTjBV0cDFr
0b/wZfpM6h7UI5w3mB8QsxsZh4naajvbkKxlqernwH4rs5r8amrWdZ06F7Q0KhysZ0pviiPqlhkv
2IFFlejuC0cvfUxpjNUQ5HeeFuJWUCY5MDVhZVbA0krW3aHW1WI/qXYQSw57eFIhwgo9dqYRcRTC
TjeN7f1p+4Aggo6YCJNRbyWmfhBJg5h/QUKmq95AqRvkqQdUK0DnZvX/oJJdoTed9pHe3TgYiuy9
1n4kUNEh5CWtbi2LLyPGCYIYpb2ZLnu+Srkn7m3DsK3fV0n54QblsBujXmVONNqGHNOHoevI6cmm
HxO74F2vsoctCB8+xurkpDmWPgKBibfYmxigzb/+gi7mvOsaECDIGQ65skdnFTHdb53kGAfz0zAW
x5bURDbQxss4V74Ya4WFwzEhpt+lWbjvDaKYi15/XywkLcmMK4sZuMm66NMZhQyeMJROni/H+s7D
vAX/a+cHqyGCzj17p9eaOGrurxQ1+00F2HU9a0SjjPatx8lNWYSaBJMzgKFwNp8AZKtz4jC6K8HG
JUv0DayExibZdXeVHbC+x7qUwQnpSwkxdNgo4B28JHgoKlhiLasQxpOZObD+QMNNXmaNN4DgVimt
tyQgcNhsFmOtZ7/mnrtm8PjL67pIDrqNA0Hbh+3WVmt/0nCTDZvyaEvSNs66uofbpQKLXJOA1DE3
t6xLP7uu0A7lEN1VMsOksW3vroJrgz8gT2acWPMIaRbrcN0zbxo6s5s+rEjBHm77kW8ht6i4w6oJ
MbaLceq3pLHHrpVLbqd3tbiz5uiV+Co4cK14KToLfwh6scSwMdFwe6RM3U1ezckedymSgOEs09Dn
PuUJJDXRjpix0KuIbZI3FkU/czJLrVOni2Qwu2eajatoiY0NBAj4Yn9q08pcY0FIfh6W8g2GwKtq
bO5nnJUKfr5tuDhMqcJq3dtMOzpjIw0mvjVLYk1ti3VLHSrhyVN7ZLivQXzaLJcDtWWuTSBHrHf2
ZGRyIuXJOe4ZIWZqO93/0tSuulFba8n6OmKN7ap9dspiO2XBXXWY37v51KxwybJIk0l9U3Pvc0LR
eEs1DkEAqX4K+xcdVfcogldeQAaglpZsBl2Fkiyz9joQirypajtbB2oRrzbyptrNEwGZPqZqX98O
h+t/sFnk12qj77Hal2rHD0W1K9XWP1H7fxIvf8SKCCgVGxAACdSKFkDZ3j0jF7jogASeIgoa0AI7
QpCOa2SKNo4fwANAMAERpCISYmaU+RVSwI1BIQsG8IKmKIZa8QxY3O5KRTgo7xwN5MFR7APDJJYP
0BABWEQJHpGlWuC3ipgwC8jq5B5jzG5TxdV+qO2FAYQmYYyTH2lksnvHNhwMY1RXGKM9dKGK0cAk
C/JzxjqoCdDZKZKD3NxzpNgOwUxYk+6HC/RhpTPxUYxW1kIRIVKxIbqiRETTKcnwuzBMhiRXkkSm
y8qTNXBJCdyjeJMJ8GRKjOUk63I56FHF78CNH6VI69ygI+kkTndWWGCqc4YDbzdG2j71EZA8OUNY
sw0zoSBWed7GLHZPaR6x1iesRILJ9AqXUdyMBkDjAdKIkV2qB7XfK8ZGV7QN2ww/VfzNCIjjKCIn
AM2xFKMDGuVgNw+3UyqCZwTlmRTTU0ngZJgcGFZ4nwLwZ+FNsxQJlComCKtUX1PHxSD6s5GFH3Gc
PA1gRCk4kQAryqV5P/czbr3tcjAVedSAIEUS+f8ElGRnOMdXNRuwAi/B2ckemLZOuJ4DM0mgpmks
j/jVIkn2Psd6fm6Bn1wgKFfRUEFRn7EcB9UcXECpdDyYg2Q4590koFSFYqoqSXrFQKSOX7RvRcEn
ZsvmMCsSqwfJmmJtP8fj0VWsVlcxp9ec5x7taxwgmeiW+nZUfFdPHiD4cvQgQb86TF5+mOb8Mlfu
eJBz8+yBic21fSGMgjDj+X0M06NdVMAwCF8mBJ42ENvCXHMEPCuT4YD1F4eXVj24oGn2/BQrUk0D
WQs172fmkfOYY0SL6599RKXG3BPOzck01MHhWdOzYwgIVygizqraOzfPwdfS/EetqDmSj059aX1i
zJFv4sJfrBT6dYrHFcPgvRGZr5jsrUXW3FfxcJlB8yoQPfxU9lhhmkxlOtRR2bdmBe9DmCMD6rRf
A5gfxsgrW3F/MQBgAwho4Is2PbP83koLlB0rHJBawEFbbCfFETYAhZzP4iacnmJAQ6GIQyqAFuPz
Dn9OaMRUcYkNgGKuSMVAMYsL8GKhKMaILltRjZbiG6UiHdN47wA+tgCQetB8BAgH8sThxASRdEEl
a5BJ1nwvOgilBkoZg1R2iq20gSyjAKGigi4VfTmBYXrgmNjmxXeGIjRJJDsgrdnUbogMrXbIdDW/
7IqdSAQVuukM+V40BU8qeg1LdO6OpA5Sp2QMTq8I0UaxooGiRqXiR3HqhiQtrIGlP7MAokTGde5Z
EKegp2honwPFooIGYSBIAVQqThW6Ga1UNRzgEadds4hLBdRakz6pGFcB7OoCvRqyIaAEDLYHhyWd
pgWOxTuy8BPFy2bbBHgWc7kDpyZjb8XVuoqwDTNYW7x4FqqUZduXRNPhZDpMAxNwAN0YUHdQxG6g
1d814vqM2jEb8vdqqilAW4IOvOkjV9RvpPjflFnZcCWCQYOlYoRLYGEdaHgS3bcJRJy6CeNDtJ3d
TIuUkDmL5dC6G4nvsTWqdpH1rA2b/KnFTRAWkj4YhfDG1fvtQsuU6OEbosfnXHfnVUgKBsXQoRv3
GMT5JmBQ0qCh1VNcZfQ0AyJti0c3H7G7b+cteXV3OlPOlceNwGQmI1Q2nNlKtOU+iLvXcHi3pbv4
RRnGqzpp8X/jXuhdbGak1WQqp5imZDk3ncdbRMhDa7Q/k3rElMabyAeVlM8iuzBbf3GWW9Np3vlD
Hss8e5k4HTCYgf4hhJNlKQI6QQnh1E+9gQygLvWv3hsIByYVr4hJyjQaFH9hiwmbEoOUzALYwLVj
Tth7zNjXG0+zI78xpK3pDFy/awqXinr4GIkJBS+3iOjRPJK/d1G3Kk/cxclK+Vx32H23BNnVi/fY
CKzip6pmf+9GK3uozc1kYT1eGq99jhN3z++xYkmKV2GtBAAdmyW2lp9hkhd4ZZXLNpbNLyOYslvC
mP4McLMiwVKdN6+fWVAG8XATGsmH1pF9N9GbJ6Vubsgn0Qko0HeRRmwcZq7zjod/2beN9yTcut1m
GFOweF5I+/Le54bFE+gNb2IVPhWlm6JjIZfQTbWHBYtszAYoOxZy/0gIAagh7a+Ak2CksLiYow05
JoEZm+QkXNCTGfrKLGtgdKXBnAP9tq6m6qB37bqvNOlPhoOGEsu+PofRqrM3PNLxf1I/ojLIHqMI
qaO3vM6h+9Mm3YH+Nnlsw7ra6ROiRRwUVvMQOndCvTpt0wbbxJ0PEZskFl42LYFVo7L3SJTOOhcF
WYVBZKl92xkxrGVO2HKxTHjsGZAbfKTWSj4Ipxe7tmX35+ABAXjWHQusLTGRQP/pOZNfP88Tl10d
PopQoIpleXsXsZqNtDHbmcjP8Exjm8Te/ViYi3bQ7PeAJewpMuuHISTzJWz4R2tbrcmmW4FIKdbM
6JYOgNdiHVIicISGDEMSi3wxMq7wui7qdQ2bsZNF9lAoF8iIjjXPehcTJY4FxtfdoWi3nmd9cUKl
p34bRMwHgBv9MJYfurt82KhkgjjPb4TNoqcbbzOLBa0lA6LQ2zsHXe8GAyNqfbfYjYJMvJpkXoBM
tpHaaFf+FU5rFmeflsQb59g6+DkJTjcMVkbTSm/13EMDYLtvpqfZR/Tpho9TKE6rGiaPeEnU66kI
yp2h36JIIoE4mNwnorgfh5G3KQUV2VWzW23jgPWrJ4Zjj151A07M8NkamtM4do80mdllTvVVFzSH
yLFeYYbqrfoS7AbyIS+mnWzoOsmYjtcTFyYJwVSXC+9SRM/G8lJNvnMTxJN83XUh7OCY1NVZhlpB
zBOuGGbG68TZ+eFlE8+zsAu8rQEKE6Ng8O9YW5WBd/07JEIXv8GpJfNc98B0Hv6lC4jztJ6CqmA1
qtegaYSsRWROHGKHI0zAGIhtn5bRmZ7DBnbIoEiYnS1znt4ufXqHljrwzZl0jJYh+Lks8Ed1Awcb
eOHdwORfDbT7EaeCPNHYoRapvmvt/rPhjvUnPVj2WIuam7gSt2Whd9uwN767DBcZVyQLEICd+Mkz
phJP1iDihxGpWUXAFKE/108GwwSxGvQAl5UQOXgdYaGs4udBFcLNqBGnmZALdMlEb+HOeD+oFrCr
4vqQBi5Po9Ho+yVNzXWVditOjGkP7jkhyK780l68i6O5ex2L6Xs0WqwnZlTKE77qcR/Pb4Oh722b
JKpkREiuGvbnJCo3DEkeijzQngsbzVOczRfTat2nxIn2w6hv6Wjjk9UQYD0FAZkky30wVw+glsg3
U56qKOIt1yPrxP6pZhPO6JZatzi5WD3GHrhuM/PvWKzvpdtOPtTjXR70BCcZ5HVqrdj1zFdXhMD5
gSjjTZhVwdHlPghZsrU5UZepk3s7cO6fPcTbKQ4Mv0ot4fcMZHD8aM6L8PB7b6Br63gwT1K0vuWk
2sq0kt5v6G+dqOaHG/JTCErNoUzzkYzzU0mx4Gea+cL1Pa5at643PRLOTWK07xrW29tRG2+T0mg3
ZBeQjzcHkAqOSypAS/UCoEI5l6cPcxw/DUnyUdUI4oi2eDUK7kGzAspxWk5nOrmnMWAY1f2ZZ559
9wJz3xD9O2u76mh13Y+W5PH7iJASXqytmAYLnTAMgUk2QGsiZCJxkzARkxZfW1QayjCZO3IF23XL
+muLk8J7iZB8WeLimXXRbdzb4430TpLVO9DNfFcMHey/xlIrHiu56nQRrjWGVcy07TNBw+8S5Tw5
mPn3aFQBCTRD41tYnyNcxtpIdt2v0eyfXUTrK60h8ACTl/31aV5CZ901Yj8K57aV2KR3JQ/05GB1
KCEWihlt1qLpl4IAnYPgTKa4o0CK87cwwoknm4oXMTTyiGDwFiOH8FRxY5DRlTB3vHE5wxhgMBkn
Jv7RMLvuobQhh9IFx6LJDI+6Vp+Bl7FUm5YfUnPSu7TNfdS7fDDDFGxry44eYzwtDAK8agsz2cGy
3K22SA643jlqNQ5O0iKxRa/9tHYAMgICyhKR57tlHrgOQmskWIVv0XC14zQw1/TQi2LiYrKbnmvc
R0YOurrrm3XjTVxIc/PdQZQxDO0pPRmDnqpqCI79u9Wl6RHGEteMlKzGNjs5YyCOJBuII2Gga9mn
9mNx4xIdiH4GB96UIzgy0viSANURuhYc67yG+C+T/8PemWzHjWTZ9l9qjlgwGNpBTdwBeM++EydY
FCWi73t8/dtgZrynYMYLrZrXJDMiJNIBuMGae8/Zp98tGszyipLNbkht60Yphp+zaB5JcanPmKRg
0KlQ5ez3oFf1zdI37YV24ouSNTULPhn1CcbxrTqnFHiSEiCVc1zgmG4q2Fs+eVndntf4RjRJRVuY
pJrUDI/R2B3jmWPnp6VWZDYvPIqsLLGvOnaSV+y4tGM5mCA3ndghHrc5i4XNxQKRxOOhie3A6SBA
p3FSQaamw6DvsnZ1KgyJCg4gv2IdrU+w/qK7nHsaI+jCYzidFJPNICTrAFni4qBroRgS2eDLK/uE
T5f53XRRTmOXIcXsCMJi85nNOgPEr9kt3CL6u14QtSdOzk8X0tojsPv2mbmkmmnoTyqxsabVOwzi
4EmhlulaSV/jkMdATEEGPZtTqr1b2hgvrc66yGzAP2c21X4el/oU5N3LHDXMnl1+NKkLKOFytPPw
hk66dLuZVAoolldx9JDaU3NSj0ty7msqHuEcBZvcmRXI1qNXNUN07MzmWGaKcf/JJWniePEXzPfZ
WITnsjcjShREsTaiAhMeBRPWQvwRQ6i8BpFBEdT4wQiYvKw7J+3SEMlaQk9Uyn1RQqB2InohHQJO
oOVo1QgG3axmfcHKEZNTuM+z7hqKo3Eu7elULNEISkQH8+5Mzu5fHzs2Bf5KZBu1vlpP5uhdj037
XjtItqNnKq7z2c5StDSjDmJf6U/dSFKqVdyyDzTPBj5zfzRLyu/jQxtnjVcmUXFQFc3Z8ezgGSwc
gSfsMVcmyRmxHlnXokfzYXTkwXUoBK/sQv9Af1v7oGMbl61kt69WQimCfwJ0ml3P6cuQREBizwpM
NxacDp1sF5v0dTjgoDKkk0PDIXBVR1obLZSWB4Hn3V5kgrMjRyfz6SsWETQ0I4mOg4MWOZ1OcGVx
7zXDR6SROGNOiI2TuH5TNJ3yklP6JH6T7x2n9qYDNLpfWNCcdRs0UbfdIzx4lJm57OMUNHfCQEbe
+kTbtaKgLh/oNCDGoVbgTQrVhEUbTN9JaOXl1BSEk5L4ZinVt8AQjT93z2UFyqRV4wtKwsPIKfVo
4UTftPD+ONK9phUEbbUrlVNVDBjsWxD59mj52BLWurRlbUEl9IdJEfcGsSW7sopjLGZh7BVzOuwn
Xoe5psoHGN/JAhRP1Bl6KIHDFBKLadhrx6GgKmB86KTyHCeF5JBkBgwMRGY7EIe2tZuQYxFAmB1T
XuSzMyMLlEoI5w7sJdn3uS/Cg6JW1Kexi8RBIV/YsWS3wgkX4i2dY2iT+IgzOTsHhXOcsNEg7+Rw
V5r4/OPc+WaUVevVXeep9WyfVU77uWB97BUL0xm0VZB2lIFQ0OnU7TCya+ps7zpHPClORyU/+lCr
4V3TEMNxap73uUa+qhUGTKaFrV0K7u+f+8Tyqy2FLrGD4N3gMCtMFTX5X9vfGhjnWlam7gVz7ZCn
d7H1GfmKCfh6ymdkKkgM07hn9QSXvB170mOHpjvaicIddBaqPOxHCbZ3R8lmICrTLW+KE7TLvjKJ
HtXV/nWkA+cjtzomtnovJdadxAYVmtnTcx8EAH3GnTFT+7V4TU8OYyELqV9kpLoXtlLcB/l+muvg
5ETi+M83b34VtZtAMDX6HIYEdGQYGvqDXzVIrU0Z32IEQIsLOBPM1g5T0aYEk58hKNlHHHEEykZM
kTrXEn30wRXBZwMBpAdEL5lvm8o+i2rrTFxCt4my4TucYXNXq/Kto8l35ZS8EIXNT6FXAfCIQQlg
r4/ZzLXDTt4En0xcEModnW0t+FmUcXSs7NA8VvkPIjDr9ySLbrRrLPDyqksBR4ahgyoMTKJriIQi
SCCXkzWzgxqB9Xlmjsw5acriEgK6GPjXqzjvv1lsJ107Vb/3Tdpd6txQdrOWL0j+QCb0S3IThKp+
ZXYfzJ7sSvQUdlCRLJMv4qA8S8TQZjorZwN2mrHc/PN3gFHji07BVHn1pIWxXtf+RoAROYsDfpgn
rNb699YpH1ECsdeW7HLDqGe/la2EnPJgkitc1cG1FiCOS6Lwu76qQhs7/xjkQJzTTDeR3T10DDtz
DbtMQTEfiUahzIGFCXtxMu1gnoMeSc1bkF3xgzNB/nbINHWrCi9TKCzsVWOCEsTufPRc7NfUaiJI
ZHSzymSUjAakuzJ9F2GtI2zo3mjq3PetGiHcHI8KCDk3HO3Rxf31rtAn9xQhZl+y/1WnOuALyZQj
vk+vH3kjIvi+GEgGOnyFfReGxms+a+N2yJFig/SINkawJLtMat9yqD+7xqRtVhkCnhzs4J5myn1A
T532toSROWAmJTfTVfQHNgRHdjdeETikZHWI1ej3hFtHpSraLXgf9VIRJ/Im3wVxBsRN6eRtR/X3
MDH1g5yX15bxe1KMjhMThNaDBr0Cae5CHDQcVJCknDwSV6ACeAzBVkqi2ohfwFhp9lLi9mBwFyWg
eyVJAetDtz52yXBMCdj8FuuHSPAq22nFDUFz7mItOilacdVEJJgOwvSnnpxo2lW2V+fT6BHFh5m+
NcrD54jtSbye+u65m9Kbz2OMHYk3cAiZ9zkq/1fKJdY57v8v5Tq+5W+whf+i5Vp/4k8tl/kHgl08
ghJxFtsQXuV/O7gsoMNgNR3DNE2UWY6Ku+pPB5f9BzPruszwgq/vOr/vTweX9QcSDBWFkmo4Kpht
+T+Rcn0qmv4q5VJVQzqmZqjYyyzri8XSaogGa1rabumQc/Q2AA1c6Un5rcbbtfnUBhzmorsjkuEu
0FFLmCrguDrX76xkvNIGCJVzxcbmlwf4N0qs/5jfuDMUpA4rDa4y1dC/yEgVQIPmZBMKMU4Dc+s+
QWKUIynKLPU0V9OdJLLH7JOPxIwvTnY7taS2YXQEl/S0Zr0F6L45FZPoZYQfWpi+6QHHIUpp3Xai
1mLCNNqQ7oM25zf6V0JzvszM65XrBgK7VRunmV+lcenMjZWFTHzMycSx2PUrIYCHKWurfW6jAOvL
8Uip5j1VUUc0OS7VzKiuEhwQzXAFFeEsnekScWxOK3orrTxpVnWd9s7LKOQNQostCW1U4qzzHKcn
a5S+FinPVLLOfQW6hshNYJSFxJkRz17OcVzXg6coJSBtLMm3zWHitUv4sFg04avR78YQvQliQm+U
/Z1TIqnFIWUkPChVAEnPEEtTrLjNgmPQZxcFPhVgdVz31TGqonutf1M5fMwxpEDTBGCJA4U8UoCJ
YaFuJvU7VWZXJaVzE9rhiwoYk0pAD10LDzL9U1ooT2mnH0RHjZDtL2ErhGxqurUp+NxV+CTrYatw
OqSNTZ5LZFOyX6MSG72d3XCZH42sIjouC4T/+Tf0Kfuo66e5xH+Cz7/HPd5eCrt4CNou84jjIe1I
oXe3jm30YK+cUA+QBsD5qskVYphrwh5PehW/GOr4qaepWvWptOivOURwDmi7QrW/g7CS0hLbq2b1
kBCNHpk/KqJfNazjfW9gYTFvOuzgG3VhS6rXhJ/0C6qAGdtOboU/Wq1463UOPcm1aMx9S3JNzG0A
5SYSBGAUiRSAeT7zr+dp5kiZoO3Lm+Uxyqm3JCMraILe2CRedxs7z2KJzrTCX6PUNvaO3LLPgZwb
cwNFGB+CUrxWY/E2Sp3MZTmuAkESJBSg+k3ClZGKiIAgn06UBh+LiWBrSjt7sbKCDOvdcqjVfv4u
HjZ5o7GBkh83TGiNlT+q8zekqhAfBYuk6hj7rst/OuF4rZnOjUX3pGID7mGrHi6W8yQzyJQpXCBK
h1hpwvgn/+BQPP4JeISmZMN3Mmpr8G0K19ROc256JW8HYjqr0I4aE920sBkHdsl22I6zj0bHuBOF
dzlBXMgyOPkO653S40rZonuxSd7SgpDDidjvofPHlnj4TCcBZMcwjbBnDzjj/CaYHgBT0kQNql2d
8cv6QNJqG+nTrdwpqImlO2XhXQR0EAAKFiM2nRs9YxTaC0YeCgfbgcgwry8g+QEcnRT9SW+6p0pQ
3Mk4fgL1BLzdIMEyam1bVgzFatYzN5r4w7C8qSA77abQqkEWUqQdOpztsuj8oUTfMpHBsU1KakrV
dTe0+3JenigrdAD8inCDsYlG51gmjR90OSWspL2G9Y6mqumDTVZzhNMpenzCtolcunUKC1toEeCT
SrZLwpYFohg5SqZzNapABJ2CHzPH+WmU6TNd+Kuh4pgd24yo+ru1QGwdCGimC5q+pcv8lA84jmYd
kVZa0P6aMu0msuNLZyToHYEfWzMNbcyjcNwvjUrqOdBIvlp5abK2Ry9ZvK22LyeM3vjrk8eLc2pE
uW0KJfdsRTwtI+1SaD943qanJL0OkQu5lNS7bS7NS1ILapAajE0OvivhJXM2Tar7gUGsjGJcN0X+
FkbOjxB35ZwTKV/HPVRDmOobBgiMtSRdbfsrLQCQX4xQE+spLqHc4O+mhs3RwIHUwgVlSEo3qZMB
SlixA22UfiyQgCPgcWRxSLifTvAU6zhuqJdsh5IFp7ESKhgOdquZUjNLkVUvT0VK6p6xzrZiOTFn
8P2h3DFjusixGJ+iYi9bvtoUtB7wJswD+IE36eS8lLXGqhBy47XRPgyLuFFCK/eS0fgpmuotg4hA
s7oJOMyoFxSCN5XOtyn49SsiCNodX+AUt6sGrly/ztwLxMkoG2SVRAzXCLrpbDGilal6p34CLuCD
4llHhDO3O6n6fhj4hE88Y5PED2k2o4WUPUqu7pqCubkNh9HDjtZtC6r3G1gfOCeprH8+9irILhyp
I/wS453Ihzs5zqfIpAKcD8eSJk7LO62nJY11DYOskXeXJatvlrm7W9f5cmrvNFYmTQm8cAq/gw15
sjMTz6L6hI/ovYj1bTlynQm4Dx8hjtMqujcEuBqq7nkJOzi9acHRYnn6lFHq5Il21Lf6hCHbkR+0
iUz8gjRwWanGYVf2w1X5M6ycy+TwRKnWFsekPakpXbwpXx5ho9Biy+V5DPRdAOoLswcvUsWLWWT1
uwEZhQDaNzHRiTD6/I29XrctyaISdfimq5qfSPPQ5DD6Ir7BhnJe1mLGWFTQx9r8oEpuYYqBrKRN
CM26tTdJymOpQpJ7IXJtNDZZnLARFA+EOQZUekbLukHrHOAatdFHIXVN0PhyKOLrn3uEXCH1xc/h
scihBEJT7MIVfPmZIU33tSBAjITFULalW6J0KNriuJhj5RZWSVxOBFnXAniXhewrQrR0GfnynFHw
XxJo69pZ/IF0miYUSPh1toxpsWx6fmFXMQg/B4QsWUcrpTt3SeOpgNk2ID86JjVsyxrvdFBxwFMG
xLjqRKJSohs2gM4etyyfW2bx20Cfig/bKzVfSabyknyiYBJj0DaLqtx9frBaM2QT7U2UZf45hq0s
w8Qjr/I4eB07Motr0rYzktQp0cy7gBDVQQuB7ZTQYNilgNbFkVrrnH4J+rvuWoHW2vkIkCv/6zuY
kvoxm+cD1KSU0Ns82BbZz7aqYkzHPy3+PvJnxrLlBOexU3efMMHazm8wI+xMsFRxxCBf/6FckCiX
qB/pusozsZB8GR2NIOiQfc8WbhAUrZOqf8phy28+pdSJUrl1K3/kFqmAbVKRQzutDnwFqH4Ly1qv
6N3pSJH0ZLaO8xReTVPS7geBWVQ23wLbxHvdUCnOi7FEed8angypH2lkwiosQCKG8pGQu4qxEY3b
KAgyzEgEXOB4Y4QX0KqhO2v9lSL00iXMTEEMl34kbG6yyiKSPZv5ZrP7cAHk/Xl/s7PcRk4dcR4d
EfDgaR2GKtjoZZhusPLfqYPxASn3tVC6bt8MC/OLfgckUiOhWznPCbZ5Td45SUHTobPocqH1Y+eC
3lZNLdoIuzhDd/055q1xEP6YhgQz8C2GtIjWtUdrQFrSYKRv2zaVj5EAmlHbrrIhtLFvdMbA9CJt
g0Q07ohVnenSM4Jk9oy0c61rqcg2eogy+apeJ9vyh068ffuTSYP5eWKV0FaeJ8cJvi0g8aXLZrZM
bXCWEwDLxqbpxgEkCHkrP1/Gcc7fxrk+pUX3IXtBP0oLDqXeMD1i6O805+Bk44e00TKs5wWS+N4s
HcO+ktoPlBa2djry0jGo9Y5FS5XWe1eOZLjwXRQqgvKu8/MpK71aNsyjk/1cRgHtsxLMqnk3rdNs
bPEnOpPvNq0xogzZqWipao0Ds7ZhS0K0lxde3ZtoXDVsa/4XgAgQAYxU0XElTKvbmhRkQkm4fRKU
ntm5Pk5Vi/J1YQbFGIm0MzxJMh6dxb6dDCQZkpc/ptaDtATGKvKZio5i/doUCYY0XuWgAbagmvk2
j7lrWrKDa8Giy+Yi81X8LlNc3RO4SAaHHQKgUtKLIUtcOQZPJmZqn8ki95xwADQyPmvrCpr1okIX
+DRN9Uw0xE0bO0iOmsklGONfaKglDDg/oZ3WsmKGX0EvICkY2HZJYqVp99tqyQovoOxNE9MdOSJt
qppbxu9K5UtbPBMQRtBFz5+gKVUZsYhaKY4n1kAnoTprqykRLMazHWjbVKd1nfTrpbaY8Z1keLWg
Rm2aikkbjzva/ox2rBHbp75EzoN+6RmR9edG2E7sYGsP7yPd2k0+cliQBlNvR2wVEtHYCT/oF1Bz
dqobJ0U3NELMcIkce4hC5YHu8nkqWIxNXedtchituoLyZKQHhszEheRxCfPkJexU4TuZcmeGhZuq
8Vs4cKKReukbPXXrmX8xmSnY1cz3A74NI+Ng1o7xm84CFxjdkbWQxkXF7G+niPN1Nd2FkMcUZXVF
qJDcR7RVAdHhaFTZ3LQZjVdtm+nziSfHRqB9QT+pjOswWv9nQRqCgvRBr1lGPv/L0AvhK6a1uNb0
gvSPZYzkoe1E5kKOYjyg/6/3JSdDSeaQNicR+DMVQhUosEb7OWBc3tTSWT3s/JdJko2YQ7jN2A+r
1Bo3piMmD/FcvC+tlAYSsX97KoWbHFvXdQcYAake8QM6G0Zspx0tZzfD4uPStPHTDJmI6BGmabTB
tu20lvBII4GrVhydrCE/IPXJmSTr0syE33RkVRumfY4yCpR9ejONKFMtfH1ok5aH0An9NrbqnaGz
Job58GDEI2Mmo2gtWoi1tHotxqTAx0R73sZMEg8I/slC4+hUTS+OgDhFwHzmJdosOfKzrrTF8ADU
/kRaA3HjmMv+uWYjvtak18oHpCLsgI6uGgKy0F8aAxmY+MrR0sTP6duponqeg9FtKHUenYSxQ7j2
c4sGwYvCbvLnhtSBJX0j6J20RA26brg4gDIZEJ+X9b9VSWGov3xB7lv39u9os6u3/Od//9flrUFm
8LUuuf7Mv+uSpvqHtVLLbFUXjrPmwvzfwiRoKQ0Mt3Rsi8xty7D4oz8Lk/oftk3F0EEfrCEZkYyC
PwuT+h+SGCparcAJDBJD/meFSa7sL1ZMQhNX8BX1P0eTfOAX87JjdJlCZadwNYSmr6AcAlJmslVv
/FrOEROKynCZf1N4XC//Pz6VsqNFfqskYUJfgVe/GEDTKsmFotgFffLnfn60tDvByVZPSYJOXyO2
2b0vQkhIxWPFhGY221L5cUlylJUEF9VewBKiRYD49Z9t/kh+qBPfO1CGAzADm9raz+1Db1sghB5r
sEKE6tjRN1PEv3kVVw/wf96FEIKSMoVnVaw211/uopHqzGRLTElBJFVRvcwOtBKbuVM9pzNXKVS/
b8MbG3hWNdqesTyhAkFky5TBcYjeTk3SBqmEFpYOk8xeBY/ggOlQ0/H25McoLXy0vrX5XUveCEL3
ZDodagt3v8S0X4GnB/OF+31jZG9zNGD+u0u/w2uHrf5M7LKr57on+9H7ZXxznpnDsvgVxfe1MbkO
GMc2rbUkLg0q7n+96bjNjDCvER/2HL1jJDilAwkUT2JufYxsPPPA2iqh4f/zp2pfC758LE9YtVff
tUo9/8uIQagRB3EvC9RBeN6oMhgUvpy9HpQHZ6L5CAlJ6Y95bu1x8PhFHR6cWsArW9XYCov0Suj4
MfYPRR/v9bOFQCGHmWpeaRZQ1fbNgH3lUCv956v+u3HOVfN2gyykw2B8Kfs34zAv3FcBxNoP2xCD
QOkG2WEibWIyP1pWla51Byu6bSfa/USHBjp+x2dZvtAJ2zTq21AEiL3v4+Em1vdNP3PifuzIRZce
IqcVILotVyeUwtHAzN22ebDkQ8wUr1TNSTbBb0b836AOuFoNUOTKoqMr/2XxGbpomizUxmCUNMC2
SCvqDqC07o7k7hWlsXEibQfPCPWGeYDVdQaF0So/puJZcIjuOLkaCDGraVtO4/6fn7X4m5nsL9f2
ZWCOpTn2arswMLWHJSJ8Bjfowl4L+S4QavYIzaVLbVcF+/SbT/5PGsdfnoq1Xtkv80DLZUX0qQvc
lrkrkC81RNp3yMw4e3NCaXg2Mh8pI8ptYJnubz59HUO/tpY+34z/9518skJ++XRC3Zqsa/n0tIo9
p3VoG91oxb3aSBrIbyjGNiQIAy0OPIqjHsql31yAtr56/3EBUgBLWJkHtvNlGqRUHeVqxYNHub0Z
MYmjmASxy06vxo3jeHqZuylMLGDXbhXkrlQ0N6BQ2FmvpAURXgAj/lrwdqzFWyvuXBm/sI/GZ4Mt
CuQbZjMNie1vHtvfLEFiTRy16QtayFa+fGlDTyqdQsAWChH6IYnj1wBtLgqSxgK6XgJ9LM/RZlso
XWzMJu0rMYwb9lpHhfnkN9eyPqGvT1BKSzMQjhJ39ZXv2A8Olde5K9wYghXAW7cfH0GkWI26oc2w
nXBBJC9KAflnzV+4Dqbody/2302vIDB0YSNlgTL05WlIB8VqOMMsIirCDVJzN5SjGwfNVTREh2o5
g06+oQZx7xjlpQjysxIdl0ZBaUmEZxDtBHknlR29/+a5/N3Qpi2mscDawjQ+p6NfhnatFCkuVWRJ
udF6XTQemi46aBUSHMu4mE3tV6I8aRhyAH2Bhqhv9cT8Hd3l717uX65B+/JkqLa2DRg7NkhIZys9
2mg8FVInn9uw2A9zfw0HB59uferTBxSlv5vV/sUX/jI42CGRmMs6otlsBv86uwS1NYfOwGGxmhwY
NugqyPvJ6bEhzVaAXJqRQPeUb0u9Q93MDh/GT7yEpEbLcz13O3BsF8fKvsWj8IPmPp70A7p0lw/b
ajgIy1vqjG4fEunD5sl0fkLQ9Uz4F6BufQlUYf0jI2l2cMjQZRJXsYhzkQwEReauPeuuw7QvYAfa
y92Ea8BIw0MlAE3W+b6HEIR+mkQicEOqhVJ8SPfCzvaDFW+K0WCHZh+KXmwbWx71JbqBoX0oLZ0u
kOavn7Uqqhv0a3VIfEwZnKc+3yMM3qdS9WltulIPvEYLPJVeVtmq/iyozKj5vs3xMNn3eOm9eSTx
IhDkGtBw42CXZ2DHhE4eQbcbWuzH7Ll0TuROfRebnBIHxess7YQOm9pEihD05wCEgJ84CpHvE479
ujgIO4QMiY/MkO76rKLoLLpnNf1B+PU+H5NbbEhbnV+vLOYhpNOkUpVIsSBpxHIFI3tD7XXqJMaO
eCMWvhftVagNkCbSbwgNDzdiTLYaD59oI4/207YNn+fp0kSva40wT5Fozvne0h77sNmCtHWD5LUW
ZL/o+LBUxUOVSr3dQSMntmNHpOKsbVtJAGzEsp0i1p9I61PzU7jAl4xGsO3DwTQScsR0dwW5znP+
LRgvBHUoVe5Og0Wh5XkeD6iLrtJSd7ux2DrM0QFVK7OqKRpqPiwmT6MDMwb5tlmvhbm9Jyp9faqU
z7f4Rzc51ZoJAA2n7HjItwOpnjUfV+Q/UhhhgD6eViJEpJUXqpY029oHoVkcXNEboye9VKVxDlQa
vaIl+2TZTirxU+xEloxj+syzM18miK79YuIrbrby3bjrM8uLohfRx9z0XYBsU6egEMiaMh5Ke43N
JOIrQ4QE6Q7HvBcYU2Jk0tRf0Zba9pVoCrS/DG9xsgZrXyYUnwiYzHu3EgxsqGV1STnoxjQfbK32
wgq2CmkJ8Cahl7CZIwA3BRM6uAijcW+cML+4FJIpT38uhha67HK+KcAAjlXLg3uoCYCdGCoNe+y1
XiWs/EBO+x5DRIVvSOkX3P3AJc27Znwx4C/Wzgp4dzYGTbG04cxA/jquYqK+SOhyqEFqo9cVlSfZ
JXZR4hlAUjrgWwk2wBoEzSCXjVW81DOpYwAU+k00k9/XOtvG0DwleqO2QvEHOQRkAst+bG0CM9Gi
Z1gFlpKk1eGtkRmNymlDx1Xz9MbedvR8G2xqBf7GJqOySvc7HrelxTYchl863xiZt36TIYMlyI4V
b+EabCux9dZ8P1pb0C0caVAV8BtLT0XZqzrnvJp48pbr9LqXRtIPxtAXi+TApKMACDe1AmPsR0Oz
YeEHMo3cP/tHRe1SLj/YLs881cAG9i9fGQ/kXj12OD8poKOmJ5ZMCzcSu+iEdr+PCMIOr9WOAhfP
Oth1Q+ppCYl3HXuBqnT74B2kg5uxv4yE3BlsFxyc8QMXhtbtmNMTAoxIMbjcTUjSjLb0a1K2nCHx
EpsEo8FyY5PnNx1HdBjByK1iFTN64ao4i+X8oab4wYGaBBqidWY0pVv5TeneIDJAbY8Ec+7CRfPY
2nk2FXNwSwwwFUdY70bMHy0mxo6eeUbwOJ44Cs70NmimR9Vwskmzodi6NWCxNO3gpQQt0wWiEH6J
SjBEjkpRF5RBfDX0K17zoQ3BTTZ3sf5kBPeW1hBrWOJJwDJgAyWYAMIGcifI+87gkJLA8rhg3x/l
d8dww8bxgazQCrbOZUIala808c20KP7KBiY+fUvjee0Dbsao3PW8NXZTXmJr9Ipp5HdVhwp5UYhW
eRY0SDTAdMVBpyIHx6S2URK2pDPwQE28eDqh2+PcnzRd3RtgUvQlJncwJ8aDyarOdh3G7SRT9xlO
30ollAmMlMqdRBCZAsZID5d1egyDZzSl+7Hi7r0armeLtddcHucQJoDMcRdT40eg0ye0P2HJ1NoD
bZQhXvMVyRDVU6+IK68lz6l2AkQzhl+2KPh7deukt7IKWZAw5oU7sCVuoYjnvK0x4/c7ktX3EB32
Wpm5sD13cWiTvqYdtSDYI8JfW8bJoPmVdq6Ziqi8o3nsNmOi3ldkd7QMYvzr9wqhy9pyUw2mK7MA
1yRrdCZOkRocYnkyGot4GjT36aqiDDCqyWPT6BfUxpsUh+g6cy21dWhn1V+XYYpPx2yQ+Cuf24zI
PRa0dVWm6XsSBcmoPHTit08Q0o9FKU4DZZYiMNweomcj0j14i+NoNTtFcFE5tR1VHvOl2cm42wEF
JHOI1UbjwtlZCHYE638LYTuvK4bKla9zZGlLl4gxUmIJS8KMzfmh5Wz5+eN9SBiVPLd8VKIJf12I
CowyZq/6xB+hSKUzbkGWZJbIMnULt4nTN8SndbfEJqqvG1dGLp7Sun7OoXSM6ypVLfeDrex1g+VJ
U/br7mYcQr9Wzp0tL0UmzvVrV4GDyAUGeWZ42eymrvG6msBKCUGjU30bF001aq45sATaimc7Fwo0
/gpARx/gJ4ZznXXOdT9Y132noE+i3R6/qnjM1o1WiPh+dCPVPGiaOOfQ3soeZEHFQ9fT2znhdD2S
R5BGt+YoT+u/x0LSN8HsqjsPdP8xEB6MOtsns3GMwEn0mnoKI4WNo7xYDStzUx3RgCS94hlzQEjB
9JqSyyYU/SoPowM2y+tp+hFW+m1dWB4hsHbLOInkSSZwuIZu91n24ZrWTZKw8eXSuQiy+Rmt+EGb
FN7Ke4W+zcLGIy2fdIrvpmKQoJDfCocsYYNgX9HubNHtTMZttGgn3M9eORpXAxbK0i4fQiM7zx3q
lcB+wPm/Z1fpa7V+XIcEQDliSRvPmoP9RIZIwus660h6DAshON+Io55xTd2HjXimiBFtBB3KDVgG
toUEOlGdqNmfqkHwUJcp/tX6jooFJOVeXhh4Mfne2zJAgcQCbFLhCkEUdS3PvH7WEuYCjKY4qH+S
iuaIpIe8sOzIDYsOEvst6jQEC1iddtTPLt2YKEAkRqwIBtGp4UtgAkSgxnWygeiYg7gUIR/u60t5
jNXgQ1bsQRX1mdPgIabrjBIcW3hwTe7gT87fp95U3wmJOmvh5CeUEdNmumrj6VWY7V2bTvcZOzMC
UEp6OvqLUqaIFq+TRfXiWX0vlOV1jJo7HbA83F+Sl9E8rpWyfDyX1XzfFVgiJPtylow1nnL1TOJN
aWf9TCXwXQbF4Jqm/dQRlspqd64suVW16XXmw3EnDq+1Ku4DniWwPXfuP+DA3KDou9LhetnLq5ao
z5kwr4a4ulPr+jHMePEqiWtKO1rJ9wTZHJa3e6lydrG0I8duMvHosrTAf3Q6ojJPb6OgeFIxuTRW
/yKb5d5sUBCNRfptVr/pFakpzDct4bNMUJl+KQ2OG7yf0UiW2nDf8RryXGEdMA81nD4a1TeN9HZJ
Ga5CYXHnJMWA6jSMhbl1VEPh1038mrHhch4Svh3kx2ejjA8Vw9QJZrKoGhb/cHlGtHOabWq+QMoD
KU+5ol7smHaQClFAGXfYydnLd5v15koU9LkRXDsDRq7BPAy8sf269xOpr1MCMRgsIJJAM6hgqhFn
Rt5If3vKJzpaJL69avWxhXNqiYFAr2cIr5z3fFG/6tNEmyx0I9mcgiTb7fssv8Vb921qVDgyO0yu
e4GmsAjYmc1bXencNvoeh5Gndx8ozbbjRJ5xEwNLwuCw5RGx1NAAjdCdGvHtWKX7dQoJ5jjbtEXL
ks3rTw8Qfhq2WorBPNr8dZlM+AmqD8R+t36SSZy7xtlwnaSi5b3sOz9F9CRUd6xCv3vpLRY7KY/o
ozyJr3OduvN8AOzvZhFW1tygo8cZITEOQ0pdjWPFeoJaF6G1koRkmmMehzT+X2NmSSs2eBCmc0f4
6zraKNplyftdD0Z8XQ4TwsPLvt3RLXOdutlpi35JRfDQKWwKx8AbBB6rtNkZkJC0ofKopPqG4sUS
+oTqXE+lc7DY47cKpyyWZ0feStW6KjXjSgKVMf8Pe+fVHLfR7vmv4tp7uJDD1tmt2smZHHIkjXiD
0lAicgYa4dPvr8f2ORLlV953r8+VLSZggO5+0j+QtLpmvKnaZp3YOSyKdmU1nFdltnEddZU7ygYh
pZPR6IsdAhu7vmNyPpEaW/DF6fm7BvNIbkWrko0ynfriTRauMoIGLTVy1q6LXDsIaiq35kVby97h
n/xyTXVqcurJEn8qqDop8zCvQsFMXZWlctGj+qkecOcs8H72L94EuXBkqlNk7UZxn+zK2k0YUWL1
sc4RQZrhFr3VHQS/PZ+JfFBGLDL/YOcbl9FzWH6Qt2SxoJyawEwEMbXkM6oBaJ3R9SXbGnRtPhn8
lzK+KznxnRaOL6+6wGMoJABRJU8OT8lcBVW0qqAf8xoQUwKXxauVDQmVzV862DjXVJDpHxWmxWqS
JX0B9TSWZ13tbwCI338mwADQQyhQd+t1rztb2zGOCnR2tffmuVkvZe4RtDSq6RDI4UxAIAGDw7y0
QT8ZFUskqEfgL2zU9ZiBTmbIPeo7RH8eUIY5lDqhG0pVx4i1zT/QX9nigbmvK+TtfLIcyzhWFr1M
h63r6bgO2tv+xgojRVoGOtZCtnHMSlIZpMERaVsYurF3EuRBUbxKZU+HP2QDFCQcdriXst2dWHkc
k/QcW+OLXEWayHh51hau2ELekQNGDyGZNfL5OmqU7VsppQZh3PbmFrWPRdhEspr0J2PhYYqVJA9t
Oc3kI4wo7+RuQgR2jrU7hToAGoiHIY0jRcITM5oHNH1kOIHaOpc7MLPYDZW6klmrw9hcbmy5wTVU
8mufphA7LwiN3dhmdID0+9+4Z7L0PRCXnKf+qZyygxmqCDzRsynCda5jRCms7aiNL/JrbI+lAu3R
QRjOcB5j9O2b0KKKs5Zehgd8zZ1xJXmH8jk0aA6oPuRp2XGhhTT53rLl05h2+TG3WFuyJacsKhLB
dgzW987kf4+7dZUe7L8m4Tx23+q2+O0pei2+J+Lcf+uvgbfFVFtjMmjrBnNrzWJc8JeXkvO7Z5rw
X2h1w6256y3/NfCGiQPZ0eQctCGi2HJM3hAOwv/1PzSHWTiCjmgG48NkG3BB/vd/vA7/M/hW/Dmu
bN79+/vxpaa9n9rC2QUvb5MlQpZj9P5OVTmPRCDSuAH2XDmgkVC6ZSYzFsoud+1VXVVbjX0JWRap
Q1SEauQRw/GBj4nwmrlsmgDX+wpZ33IDrnLb4Jg8C8z4m935h6p7ysZxr/tsQvYFxddML5ut7zor
IbrdWNgLTR2WNDVosIp5YHYLXEPXZq0u0n7VNeUhVKH3B/Q7nSXYk0cTGjHw+XXR06JAtG1Cii+1
cnRPwfVU9Y6DfBO4zSpI050OJ9Cxi0dbTw52T6TWhr2P4fZk5bMe4b2x7bC2dE9OByclLyC5eI9m
7z8mUf/QTke7dWV39dCH8UUJ0kfh2ts8YVeCIyL9XWk9cvAWNXeM8WSKk8+0p5Wy7rph7Z3tzjrh
zrzX45XaYjcNEyXJH2sUtxIFlG/6Bq9j04viGUsj6N/Oyhg7EK/pAQUheIaIxHnWAZcaImC/8pT+
wXzqw+HUISuT98YmDwSKIsjuROUf+/iH1fH9ajBk9/775jrTH1e/T7SBWmiMg35srvelCZFUi7Ll
GG2R0Kbbk84miz5ahzydgY1BGSwstZ01/IiHQlYI+6cpn3S1mQvuPTWSlaoB7efHUb3coP9H4/ur
7p59WLfD2Myjml/AqBwXLlC5ziKvRkQum3+YIMnb/PFjYDdmMiJnhIQW/Z1+9t2gZOrh20BICpYC
Jj5JmbUQfspsO38ZAvvQM/Kc8NP8hxHa+7mfC0rx+4vKmdJ3F+28YUJUOw0glZdPnXkdGKVXskJy
M+/y3Snz5y7+/j39NNyV1+JizHXkWYAw+4/XalE0yMM2Cijwkd0Febrw+y0wqEUHVqWysKpJlRhJ
uqutK7dfX1t/P53j2jAKJROQ40fidH68th2WajEhH4kqurIjiIWpukuQxlORW5BzljTdTyUQj4Ai
OKKpRR5r4XgA5PVD3WjLzosfaqDPhVJdMv1WVN0hjM6RUh8yd3j89b3+hA673yusOPAZGr7P6rtp
lV0IzUPdHdmbBKE32nOwH9e4xZ8ny72EA4D5tH7mUIrp3e2dxrtqo/tatfsWuTX8pf7h0f397bhE
Ac8GroROwo+PLkJCnYk8TPpKIfCbTjMrKrx2EIgrxvpK17dDKmTlp86DHwDzSzOUwMmgguxgQUcg
033+h+cDu5FLvtsqHtpbrkYAgPz43jrDyCENTaaPdGfLu6s+llZ1SjOKWCDan1pd6tK+MQK5FBYY
RNSIJkQH54lt4WNlNIB6QeaiJnItjJhM69NUHos4+WhK36YoJU0kbQ0yaE/QhC/SAo3RONmOmFsN
3iG9mX7rkU+XKWOrpbcwti5a4JxduPFuad0KY6nF2aGKrLOneSsvuLmKfarBbQv0KhtKh7yct2I6
4/AruMW7Nxn8aAvxJoCWR53OvhXmp862D7WT3nIlfMvicutp1ee0DEdMyGD7lzUYeANlIO2rJaOD
rqDi29RXayoOo2+cJyPB3GgCUsVnxWwa0y77/lnupngF0PSuN8+mE3zobGyO0kMQAypuRn/Rdc2+
zq1TCGcErvcs6dJTZyZv8tZ73ICo0HHi0oL9AKrW4/hnJGV3lIyZ/rXB5K0ctLP02tRy4lzI6ymq
2zSgLl84J6ex1tiy3EQBsN+qQO5bqf+5n/QjxA28lBqUpULfoj9rnt0qWVeaDZdxpAMgXGfr1tUn
1x3mo9ohs5bm8ymxLnbsndswvClje/VDZ1ryJGZxDALLlFJtUcOqQDPwMELeMQz0Sho21IjaGGB0
86glwddCI2JqyVtUpcySnLVZ0UlFNO7ST84W07Zzl1l7vawekhFYtELATFq61Pq0aUX7gnUyI8rg
gEv9XIVq4HZow9GggJOPIfRyVHB+LilZIzTPlgXIsV5gCkWJAPu+RLDpC16H+hKQ4KkyyBAmy/6s
+pTCTqJuuwE1lfu9uvqwFAhlty2437FlrqOq6iFzPgemhU9aGDMIEAZkCPLxqq8eoJeaYfBBh6ox
y6vsZqfOaRDuqRizA6qRD036lpUso1EHJQ3yEXhzcVaccItKx0MW8x1YuEDD6nZOG2DrsIJ1tkZi
0NllhI3APYyeWVB5Ug89njNsQprV1kFL27RhIKVGtJrIH08askN4OgwHz+mRXnGwT3FQO02y+67o
+9ehrr/yF/E3YL84zbX0gnFWGlhk9h3ZyfhEE403WCB1MqBhgEoKsgFM8rgj30FWtMXJyzGlsSHG
5miaRm+d5y/TmLITByCpUTMgMo2C2vCEbMhVlKbyh4672Uz8SbkQVQaapWLjumdyproOqAnD29ki
+dIa1ecCY2IEjaVZ8HOgaMnSaTgC5Vk7ksn1AbIuZvCWeRY9Wrd70hzlUe6xKk/f3AirOPwpkOe9
9eCT+VzhnD4Fi8D5iuQ9o7vRRrdYpKjCMFXBslDe492nzBDWPNDyFxNQf62N36zYOBMuLiL0To3L
yNkll4MFgaoF/TKeRBVreN36eD6hTx0/emF7Je9jJafoC3nD5wKztcX9p0EtfkBajPI55rY44sL0
TYcgqDjuk5XjrjG2dvjHrdV+ejOE8QBIbe9Di8JYA4ULt3MOU9pd5ZniZ3x1rKAgtGA4m/Q0mca5
qtI3XMAPMufVkXi9k+NFin66UvdbJyuw3XO2CnPvHK0KEOvnYpi+GBnO4GAkUOanjlYuVmetheVs
Vds5odRyUzy6RQjFqhOLVqbUfmkjC8U7MzLnEcHuxM92SdDTHOCoV+PkzbOHY1fbyswQWovreAGQ
NH6CCkiBztNw47HaOGxyrXpEJPQV72AYea2hs22RMOpJpctgEvOR4l++mMJwDkN8SmSkKXWPHYuH
ledE57Kod8OUkQfXK0Dn7BEWsGpFdMk0gknBKHak4VdovLDOrq5RwR8IGdvCYUDmt3n26vZI63we
qtBViaoG0SZO8xMyz2c58hpcm8gjPZFQBMSG3kPtJvY2LlJnjYfxXOpp5yrCoi3WHoRvniLBU1Bi
Js9VmR3yNrtFpg+VPcAM2r0gqpY78V7tqqv025vJxxWr6dLQIASBIBiFgeSsXs27+kK/9ULv5ZrG
fOgA8g9nLLiVLHmzBPsgnfjTtX2CAHVUv8j/q1TvUnbitcyPsXbyUOknGedsEmH2WlWnrjXP8tkN
HLDyk7pCuWSddZYvOvJ1FkPXorK3d8Nr2Q371lL3WgzXXsinKo8N1z4ZOsLVPhvbSALQl7l30kbj
fL9D3Q5uXsAjGh1+QY2ym4+TJ92Zq6UXB1Mpr4qCkqwu2E36wYXvI2IDBn9fITvVGl+rbNz5NoN1
JycKjB4235n1LJruI34HLWUfAXBEqrqzvYfaq/aplkrrQahixGPYelc1CG+5oZ2DbGIor9nAANxL
HVXS+RTN5Uy5dPjaQ9iYyW8YQfGGN+aL+iEukbV3tWfHdC5ZX1yn7oszRHsZumW6FfSQE2nizdrU
3cpAH2e4r9DFlj9ftdYJL4JziUh73pdPg63tqcwAJdjPhHQ4r7RN0UTvc/OcnKs6IULy61XBPVcW
CzT1hscqhvfnYEzAQi3hHM6n5iRrVYzFsbkyA055SQUvKg0xmWCW2QoHeyUFZUkEJ27EYHDWrBAm
xDTeRPMcF1DgN700PW2DtQMoZCmQyVAAKZX6C+ZkoDBMe2H2yvNd7FQEsMqCaNeY4c1SoLv3hA5m
oUvIsNceOaeZKNObzM7jWPmWTM5eR22y46fvRz/2vGOG2+Vkf9ZywrtM6zPBgrJUDY+QMIHhwmBX
6Q+phRllNoVbpFrPQ2ievZIw6TrSbncuGwK1E96E0V2LXjnHwTnFipMnQBbi2DyBu2GtG3JzRmae
JthXOSq79CE0ss57PFJKzmnFvQyRd4lU9c1z+3WKLugYEW0qwEnKoJ/9clUwTiJNjWfSai2XUTcs
eS0Kb8TPaD7GwUu1Vhp88tgkUHfeAJqc2gDFhhoabl8zVLAEaz0Z5cesk9cpd7418IzwiCDPLWhW
zjCS2DhhCptbk4K1NTptKoAOX3Kuars9C71+U3sfZIRJn740t0A15lU3wuDBVULafKae/22A0Jj3
7seA5AwsxtpN47eyJhkwcs6k0WNs6qDRarGOGsQ1fVU/pwkZQq3a6VKna1ExQqkNqGJdcEv76Jam
5npAXo8998X3SMlUna3sW9jpNuV5CgASMMxKSUM8ppf+aIEV0gF5WQ9apD1GDoGtDJBX8tHmuS9Z
rZWGcTTejRRtCDvM0KqPz2gEZmMMVb7sG9hbcK6EiW1zxc+aofUUuO6xrxEjQGntq1OjpOZIwXoL
cifzUdQ9SqDd9djX5AfBOq2VL1njs8ajg5lQURhuBlQtt6462gWBQwab+uCVcb6zvHBTZ/U1jOJb
q36wm/qkDwYNHZU2a0rbGqUkUH4F8/dMQeLDh7tk+NbZAga8tJDymkUVyK8CNl9oygTHq7FNZrl7
Y+FQpbY8Wi9AtEnb2Y3nruzA3+uDbsziCB17hR0bafiv2Ap9+2Iy11OpMkKlPdJyqt3d/TBFekzi
eoeIZEn3mCUHmAuJdfjTFYxoAzD9AlG3eh630gPCOBcj6vaVDIdIxsCTtkm5Br+YKxaQeBGzVpjE
LDS9udsBGHTDsStIMxVnzfxJgZS8Y+Y/AVKxn63a+gLfBoajljULzU9xkWC60IjSQ7YQ228b6VVX
FQ12o2i7N0MFUb3CIEpvzWReVyFgVTRc18gCBniLzmO4MdDZrM/qoI1b8Pq4dqFvcqCxdUx77zY2
HuY4vf/Fa4h2iNMzMmiyR4GkCK4qJx3z1ft3JlIGTdJti8Rcpg0f9f5l+qHhXEddnHF4XrUPMVMD
FiZ7LhLpBzLNS2JrZwOEyyzNrWjOoR/JYY0wz7bv0cHvOLtQ49ghlFYvOqdrQCiaXwZ042aBTSeP
fjvWZij/BTLGCv885jZ+7RQMOhT8BQr1vYsYMY7ktvvNKhj0ZWGHfaON33mc3mT5VpE8zuySiFxN
iQpWj6zQoKBtGb3ojv9Qivp6r95oB51ZyCe+sLjTbv3B/0yBcmxUDidsmd96C/EQjrK7RQtqOkmS
H+QlMpeZaRvf5CAvqclE2uBgTu21Ie8Xwt35WnNtLG5DRgO5Yioj+tRiaG3FN5naKrq+TtNi58pC
s+kfZHEh2xVjFmzqntN8Ym1O8hjo8vBtaJI3ofApZATsMTvHmgTFkz7wkWgET63k8c0Zko+GyThq
ACoTbspzVoSLpqq+2qG7NsJzVGSvkaJggQKqNC7Rby/XLR1ageuBy1w+HNEFETqTIP9Vbd0L6DFG
qHidepM5a2jC5SpHYv/SlfqjZofLGBKQ48eboq02agQCrDa2OSxW1Otozk0EnWZAA5i1hYsu2uaN
8OaxUDlopekwE5nA88iu4VXPuogyhznhuVUc4jkITAVEZtV/AnXGPFRFyr1DhlRNP9AT5nAcJcd6
UUkbr3GQQxbetJ89Z6ijdrn40mn2xtJW+Il+IrBusYN6BhALn7m6DKG/M1Bf4PidZwm+7AOyAajj
fg0FHbe6suZ6T6JqjsRnRMu7snzNS5a+k5BkJcrFFYQSnWbpzGdrMn58rP3wlgr2QBLA1a+dXYC3
jdZTfnUEPDSuGEkTJ5M6kqJTKAP7w8apuueyUzf3Naj6XCvX6iv27TfEpYHV4cWQNuQYeumfEWrb
1t63aAw+/kPn6P3YgB4gJD3DsFWIlyYYzx9bWUbGZCIf4JGUyPCpnYqUnqNcZAOgCsXWb1sScnMd
FHMnqjd9BPd7ikBTxAM1jgK7/de381PD11Z1TdehD0LE+VlPrECgz24iV1kgjqUsRYq0KhOZrRN+
Dqz4U1wSFeUu+PVFGci8b55xWWg/DpfWeArGu36eDgELzaUU5pQ80Qt/NGYMUqKTHpII3/t76Uh4
tTrUg1A1GLmFdqgpCN4ickg4eVvZChoryRMjigtU0BBE2Iy+xKKzha2+vcr6p4vFp4q/osnm270i
7KnbZHkoLcE0+zYayS0BCSAbSvXgXTKnvorc3Y6RWCRhc5VWrIkUZ86cDNiot61KKiMP85UQX/ve
qK7I9J5lYTy48tSg7g+kIa2shg2ZPMqUv5NnSOGLq6DwsGsKcmgIyeQ9yA4CyO6TTKjlZ1QYekzk
MLIv1iFEY+ZfG5oRlLTs1AwkWSPENScfcvyBcwyY5lBdR4B2TmGt88C/FHlxpdt5nagW8cM7Z+kS
G+qbHlXXFh1wwd9kGrsGHn/pmYWY087Wy2tDqw1mDLaQFGby15uJWMzEHK0UUmVHzi0GVBVBHb7d
KxwOPVTGEbFOZBi667pjIwf9ZVnHpO6BTxqiqhrIlTYA/Wuex4CDRFEBSDgMPFLvwdP0bF0a6jZQ
iZRKS8bgYdUxjxICCuYEMTw0hNLs9iC84Ozn+EW3vMIorj+Cdd8nAvc3+ou3msHJKIiUgfJNFqAY
nF5lpygoyitsi1mFl2Vf0MLKUyDAZgQ8yOKDeq5AJOAWe82nkPP/HzYVlKWf1zezQdVSVReCrfa+
OTyMedPRnySXc8RDXGgLsCZtuIsEpO/QWm7iQH1AS/7Bc6sdiPVdAQy8o5uXEcc0mndIWNu3OgJe
BRRHB/eduyQNhUZ4rZYKnQ6T+jk2w7XVqE99o6zvbyxrnE/ITTzJ9a13wcFF1KnNkOYGID1Wh7yr
VpDJbITMbHRu4LBNDfjRNIba6IKInECZE8NeXPYlCZ9GmiFLzT4GqwGx12/VVyUaT9VYP6tevO3w
+WjjZI64yZbA0Xvge2tSBn9eF+q+G4NFZ7E/qwHwoEIfkMl+rndzAtsq1lOynoIOi31QE3+l62Le
JR1C+z26x9wPwAojjW5dUJGrgMbtEYO1Kb6tELlTZR82lCiyHVe4dFpBPu/j7JpI2Q3yU7LIAoDY
0OycwX2UOyHRrC3qrFsjp6HKgE5LcBeI6D8bkb8saUdasYmpG/2rMLoJzXqu0hGTjhzRsbjjuPD7
ldQWatrkoSbu4QKCPYcJ/r5FrJuAOu0Cw3oOLGgzGN9aJsEKnzJ2mfnNU0vUaUAf1+NRKLMgrk7G
kM41/AVoDEEzTkmZBvOA5eEhiRVIUMaxU/Q/VID/G2ZA+/a70PMTq/75S5S3v+2jtm1+G387SeOw
H+EG/PZfcAP9d3Q1Td11NHbsd7Kftv47TDpmTrp0cofXRiz7C2zg/G5qKB3KkS/mTobFjOi/wAaY
vjNl/IuU7/47YAOIvj8dKDYIAxIHxodUTe8PlFEElT7ADWUeqz8GOsjvHlx/9sJAo1ToynTUKRDT
8XCZ29UH4Fp1/MHhH575hNIcSkGAMUkmVbTEVW/lWD3pNWpP7cJ1PsuUdAyQjSnxvXMPpa/MA0Xq
D6+FaXMYQ4vX+TXg7ThILNtIAD29mP0JdOdCjS5BpuEo8VZ88Zt07pYhvWyIP4m1LJ3PmnrrE2WO
nDF82WwZ+ICWVWsxgvHSO3CilQbj4JN16vXnpLRpGtPYdUFKBGj6MZAF6aXRV/skwJrVT2p2q1FB
Fg0ijoAziek0Pi/MvhZBGNA7qLa4m67Bgix1dFLAj1CJwpgGmjhWwcJObJDc9IoasEADGAd2ml6B
/+OxZZ250x0+vUY96zbbmDwXCf5ZAUIoQp3rVlsv/pgRfg41Vw+OGn0mXSzb8toB7UR6pmtfRPjQ
2tVTMgVrM8CiCuZV3gW4qaKAlCYHJBTXOj4kmvUl7E8NWPLWbOdU0Zu0seeZCwqOBB25nHWP5klo
oKkn6gdNnSgXkHfrUXBpekw56m3UgNMS9OVzb6IKNoInf2joBqDrV5AZW2geNPsK8UFsn56mtn6I
pThpHuY4tgZPAqK/fAaF6LaVnh5q3z86GU31+qFBZT4Aci4xmQ61id5Zc0c0MDm8Z/lIR0LX6Bzi
0jw8yZudsnY+Dh36/P2KGLkJbO+pcZIXeRulmNby0eehvh77z3Fvru1QWbfGyMSdJ+LxxirvUBrp
popf8r5+6CZjpyksLmMeqyBB+dRjjH+hgQorcC6ItofEi3aAbQ+o9yLAj+4QkMHJeHDA/Ztd/BJb
3XJowKghd2P6hFuv3Sd0O0J6EYM7rp3Qp5rtVjUUE5rqhJR0ESG50GLTAe517VRM4aYBD90Y6QEw
KznQOOUtEgOmT/raid0Ff2LjgkiMaccce9jEfUshVH+NWjFX8Z7t/QUvZVvgEJBP6iabsktSIYaL
oqNL0Bvjz0qy70lDdPelraxVloZLY/iAxM1CaV+KlMKrill4gXmMCUKdsJ5tXWwtAY3O37qNt28n
70nxKe9VCkh9Y0/NlgT7OEQOi8i3Z4x1r10zHDK8e+LC4K49bgedCPaTTyGKUYnUolQBTheW/cUy
PxmDhhEP8lJFsLdzeBH5xH1piyZBkAh4cnjt1G9aW9D8x3PWwnKmFeuBcG123yY92VaWTnoRIqzW
zR1rRCQeydcAb0eX3JFJY218wul0NmIsM6jhPA6ROXS/xf25jaFwvIkJPDJ99OjVgk0yoJeISGyM
101AhI4oQJhb++qnvDxi7Hd00dzsjEsRHqdwkY1SRLNYZ66OgcQHo38K9QcQHmvP/FblS4+Uw4iT
Y1uHC5yd1z0pYFNo85j3INYqmOgkTbYCgTWhVOQ3+c6SDBEOqqpGG2pC2yE9g6zGxu6lCzmWdCxT
x5va1LNGjqDUmw0zXY+TbVx3M0/AJqI6F/V0DQY064eRwxJ7h85dh+O61MalPgzLHj/cUrQrit2l
GnYbCv5lzYE9kBLg5cj4cpppabZ2FLEpBFcps6MwjA1dCaaZ3qqRo3torLXJnMdNNugoLTPRLrEg
gCF1VbuenirHXd2s5K8hVXYI1GkvoghpqxsS1ovvIurfQWpMWaz9gISQYBYTpCnBzgZdp/P97/A7
egAQwogG9lOcbaze2jCI+GBmNMiy/DGiHar04XLQIdLwcnMByRA5VTeHQFYESxe8bWQypBrbbVtb
G5uvY8a1QCnqoJv5zEc7zsH7ZbDNY6R2yFO9lDqCtO7TGAYfsWhZRMG0TgXBbLJRp6KuRsTL7ghe
Wgj3joSTpp2ipLNBi4Gd2jD3rPmkchcxpxMnSG8Gax1qYwjCs5q6B6xCkZYMnqhZsHTgLlz7GE/d
SihwmEMszbDFKILnROv2Mm6UvQJgD+U3AFr3G5TzagdujrZ2OehGXIlVgRAAZ2HHdK3l4Cv0mB8N
1qC8diK7VnZwdGn+Z5hxte6Ti73MkCoHNVXOqHhRfqLR5B2Jwwd52PoAQRqhoRSaYtfWgSTkwGo4
tB0OuybCjy9m3jOu26LDjyP5qKOup0Ozc+ydrSpn9LCeYrU/aZPzIUqGddMDi+iYrIbZRnTJmah6
kOJ3YuA8H1ZFC3GyTDeqzvlAqwqRg10AlakBh6yJ4hF7ZmRiwrVEb/cCiUfu1ZzmFUEUW5tdZmwM
xV+PhsncguYVpnFOWjy2ZfHYcPJpUIwhnpwCzvP7qvy3Mt5j9FoXTfHW/of8tVfYJzU8hPYO8vyv
fy2e/8/lt7ei/u34vLq8/8kffhF46J/Xl4nmD/9AFjlqxzOo1vHpW9Olf1wEZKn8yf/Xb/4pCEV3
CkGo16LLW/nXgqjIf0hadbLMf42s3Tbpl+a3S1cnMuWdI3Vf/Jjzyl//M+d1tN9VFxQr8l9SMYLc
8j8hto7+u+nqwJsM10bPCZGw/8x6de13zwaIJbNkG+kLKUbzZ9bLtzRcbAyEz8CNIRP/DlD7S4Dt
+x4RGlIoyVuWg3EJ9/D+WBnUOk5FM7L9LR0x6w4F1JTBiW5Uz51NAjlayQuB46NtDluUapog2BsW
JCtdh3YG/Cgpne13T/Jvjrr3Sbi8IxyyTFM3dQOhpncgT9Qu8HBxIPF5DADtFmsOVxEfnZE4BXDm
jxX8LyGlpjw2vz9W/7ia5TouQhqMUOXdfHesVp4i6rbX+Py03SHZ0f4KArxec28dNxhQSHBMO2Cf
GqKYYKICFQbmORImjrL98NHscWluLfMDk4rLqHhkjf5iqk0IwQo4ngbzjWHM3qaGOF+Nq2qkr8rZ
qRifGgvqia0w8QGfMEe1Ge86H0htXr8qHfwey+AkHxl9pFa800X/aomFMUQPQUivMjaKf4Ai/v1D
p4lCl5DC5z1iUxepiETFIBWBIjGLA/QosU97q9sHv2jnv37B7yPZ/ZGjBIAyFOBQGqPvHnnot5UY
WHJ+DnMKdmcyGgpC9gEhF8sQhBpff33Bv3FOQLIdNKpB3oRe4PslVScgfi2VK6pRefQaZRPG+WMj
RgxRG/9CRkmLI1jQh4Uch+62aU7jPgrThzIzI6AH4hjqzTFTwY5YEcoh/VNVH8OgWA3BsHHTZbMh
/uIhwN749Y3/hH7nUf1w45wP36/OvvFGkcj5NgiZU+j2HzMl+kqYZDTnYxbMeQlYR98WwK7jCnxU
KEoZ4uQAnrRX64vZ/88NyUPJxckBmax3m9OvskKlhR+sRFBcOCjg7uO3WCk7GIlf8WbfpA6N4Xoc
sJwYED0cDxDy1mmlPNWdcvn1zdh/c3bZBvJmGHVwZFjvxRUx/kRQuYPyZVflB0dXaPaFBy/XjmOV
qkvHFJ+Qi6Y3RqMUEE7kEfhXSeJ1wDfaKwJUx87xn/z2gKBIC70Yyf/0pqrmtaW7qktRVx8qU5v2
/dbwsucCufwFdBcaWnNpCBFX40dQHajuMw9jksU2njD7Yzz/dWjsEyXPjWneRVXaK4Z/2AJmyYtr
pMugc0+dk7wBVQHaj9h3p78ouf0Rt1tGD6cUY8Q5hFbeuUdtMWLRE1BRGXEvQWT5p9JWHTpceEg5
4qNdW+s2tK5uJ8ETnNuMWP9JMer98EKuQcgfALoR5DbAJ/64Biu/iyY1ZaQdjdlLB+eHfuT0UdcZ
KQid5SZxFa2qjP9wSmjvwf7364JGM1XNUdEUesf8cLoOWWNOBoZxKHbXHzo5XEXWj+6zs+k9eyek
e0OGry5P5tcry/ib49DhHCTTtxyMadV31xbRVFa5GYWM4Kx03yTtoouhpEr0m1VP1QwJgKOVdulW
s7qN01wcBAEP/vBl7DyMTCHYQWhEVHiKi0PZMPHCaHmcGWZ5ymIdX1ado/whHRbDNDHej4khWEzS
lmiyCilj9SGKkHpFralddtM+DppkObZ1sfDE+NHSqEJIav7pI8P54T3+GAklZN4h6fBsm3cuv/9d
JAybutfH3ApWMC/SGSy/i2oeO1OY5MUoIhuw9Nr66mjEQkNC0jvVvwllXbnECn2ytia9EsUGjhvV
9bNG/mA4t9JHUaIbSuBASfZYmxaWZunLfS5KF3w18S/MGOJF7tQbwwhuVeKcsr4dtobrAIHFVzD0
4rUuterQi9iEtJy9NoFuV+iopSo7xVQ/YhOP5BHsW6c7qpPeQGNNziiD7ao++lo7HuWnj6JwixCG
g5bMq4dM2TJpG9ydFTCZjNIXmhd9tkL6QZDXccZ23nC09md9wtjUA27LfCDclz0vVMR08AYVgvqQ
Gk9MrE5pQPM+Aok3S0vz0kzj0jetYUvaRomdFwmAvmkXq8oXY4jtJbxB4Y24TDjAncORX810Y6Mr
k7vKu3CnatS8uNW4mXh0mvSly3yozf6j3pOVJBZoOX2HXadfFiuDrmIrvGmeP4WNtIPEcH01DASF
0MPIIEcsZGC/1LZzqUuxSEdjAA9BgFPgxsSCkFbRdLMUc+MAoJiZDKExYACwxhnexVGysKNwbdj2
K5au+9ECodDg+5bYPsJ1GJoGavaUtcmNcwO2v7lPMvp0AlXx2DbOv96MMsa9W5cMMJmami7jXFLi
H9elqWJjmmqUkLkdM/THqHVmV2E5N4rkxhFxTf03P8ZoTuYr/+6VOXYM6bikkaxo7w2XXM/hpY20
uqwG8F+dn42uO9QV66BxkH8xwW075lrriRS/vrD+89kHFJuzFiaLZdENlynUd3uRr9Lx0hsPENsd
8o9ejOj8N4ZYJ6cuzJWlhTQrU3IOtTuaVnXuMFroMqmjFQ5ibk7obyjNB70wl2U7AbOuHhGB/6rr
08df3+nPL4cbtWXxgMETQrdyRPfdjZYQqwtPTLg2DfqNnbWXM9I0yp9rJVnKmaRNVBxQhf/1ZX8+
q3687LuzSkWCXNTx6C1Dz1fAE4x0ucP08f+ydybJcWPZmt5KWo3qDZCG7qIZ1ITeO+kkxUYR5AQm
hST0fY891SpqY/Udxst6opNFWs6fWcqkUFIOOHDvuaf5G89ohs+uJLOOs/XHtai2EI6Vt3F+/oHr
nVrEA3ACx3Z2bLonTd2pGROjYt4C+DnEDLZ7MW2PFoNIkDz5SCKpcdoyFEs3kcGeC+oQpVtmZpPG
eDUsjKc4y5GBK//AV/wCN9X7JRMfiYGhqa44DpyGhgGiGgMeo8xo23hnhcbXsEdODCb506K1AxhJ
RCVC3y3xq8G3xG+WG7OOMd12mTk7EBCGxrivfW8ihQGyPoX2PoWb2EH7MqNfYWXDkelPS+ht3R4p
+ajMDn1X3IZYQjtz/cXMeg+yACpVfuzu3P5X6pjqEnoQrpz2LlFtz6nsP+m1r6PMapgotSNYJzlM
inl6atNcBP/ouwRpBTi8jBgmDHb+A1xR3ITOihpvxNyF8aIyVrDjcVdHZsbfAmgCfVZYIAl6chk1
Fje4teLXE2EGoquGOceC4WuBW3ymj0ylUKNP+1l/gYHG9kXUDg9TASqlaYrn3Cbxmi2kz8Lijyyd
vxYTb6EOqwRRHzoNNrzRAMCLPybfhyj9YTsbrXNggY0Ckztltl/tImYeq8XuVyAYgqNP+VUmcLKZ
XlarPKw5Khsbeqo/3mFXfDsHxPChAt+2KKmkWkAJ8CkvmxLQzFjcOiM2VV6ebNFZqBZkIHIVfm9D
BPRTO0FBTLsc5owH08e/Um+jx9mfGJ0jK1wkiHbhY9352lEtnFvBaJ+ijq/WCDK5neZ9kOGUMnn6
0W+tWxm0etV4QuPkOfd7XCba+xqfZ6hC5k1VbfyS/vbXuFV4/qjglskBCh/+A3ZaDIAdUDB1q6co
Q2hI3g1b7G70CxdkMpJM9W3hgx618+/tWM64oEDntrxnUzPyi3jiRbRmhf5tTv0O27SbcMZUDJ5K
7S6sKuSV9ZQpdv+9x4zKTdMdtuY4A0UoYKGcNmftIz/wnE8lBvd42uBRkna+c40sMBDhSYnjfZ9f
uH691zTmZJhB9hdoG968+Iv4o3td066X861L8KdgTGNexIV+09JWRNUKc3KMeys2BYZF/aMD4rZv
OP7iDiWmKCJ6eHU+XORVeqjS6CQMJ6SUAH4b+XOi2V8z5R8DwHsXgt8QQDaJ2glJSzJ/7Tho4HoN
0GWh4hieCgs14yL9ETrxrxcnqwrEeTiCy/IAIkcG2lIdKEA7IZdyhp+FMf1FX03MxlEIAqo5Kari
Jup+1tBs3BYUr9tyANq1Opgzc6EhcrZe5aFQ5engDJgE5KAXm0Wjlg6hj2Zj/c3BDWGs/0wkn+wX
EjVMBZh7zNqd2S3MumweRBTQS1X9kwIsPg4mfk4Ls845CU5BMp4CLfnRWg+tgffGHCbfS8y1hmhu
t/2Ir0me6Qgj1AgQeeskVD+6FnFsoTi9UECmjMTvxaRg7AGcBOMPLFjJNSqd3tK8c1zsUK3ha2UD
jgldmudoVCLssWZfXGAejyWD7mz1WrTtKNjMpTv1/q1jLfd5P+oXhrp1nSFcOZinr+ybpKD+tZXO
2MPCuWsxMTaJ3PA2mkXYBJpTA09D/WlkvBs3wuc9KA740NxrrftAr/Vr55YnywR6rLsnqHVIurQb
zRGYZo3gggagNUFBpCiXeJcu6lKj9b4qa3tF/TKsyJ1PoCYxDIvGTTYwPMiScV31xW2u1TMay4uF
RBiIJe+mS8ZfpN8tIF3za2cG34TcZGXidPWNEp6bBs6zoWV4a2Xzkee4r1PvqTQwD9eNR1B2/nYM
O6C/XXyv6hKcNVtHLcm1W1k8sdqvj73QihFYXeuV/7XKw9PgAjfsspXTsSc81OQucrRHSTUJ5gRZ
DHCzDS3pEB1g6OytqQBhD5sBEsG8GIBGnAyKuCuaYM2NghLgNhCtC7VmZOBdmBh6bJ05vp/8YO8g
rQzaNLueS25hzi6n0sWUcuF1xdGlp+EH05XZlzba0XxHtQh+3Z4SX61y5WxnK+POtPxbC7XJcJOV
g1EN+mRsS9tgF2qKlje5d2OF9sXUr/X03s2idOvbf8FRWEC/g2YDzL4DzsV8a9mXZXkPG3htK0nb
Y2pUNvtzNLnbys+PWNlc69WkXSgwpyHGbthl1n9ORnHfhswy9ax/Mmf/HpjYL7/SfsYIjzuYV3NY
tTszLY+9MpD7nuLvRTN+D4Eat0u/H6blh5/FPyzAgBeOMilNtOaAXBvfrM8QNXKoAYMHeJ9wkH1C
j+OP+6R7rIeSdUmj1U+SO3S5v2FPpV94XfZdVQO4Pb1IyfrAvBQebbkZFnvACOvjrMqx3kl1TJrR
KDcoh4pf/v/fsrkCE2ilGQ3Gl+EEws7bToV+l6XYPaZUBUv2rUP58K/MRE4kjtydY3xL52A65K77
Bz3Q3IQI5/KQaabFFwv8LsPBPSfxeJtZ5H2jOfc1qiN0TWVbvUCSx8FbpenAf7UgTXP07nQUzcAT
DWxMxqqlRtKqGkaj7Z9L7fzMDDDxfg3HCEo1TVrCXF4NCIHxV8rigWXWcmUXw1McAc91ZbkbSXFf
+A6fjPnHAFYs7q6nuVl57vQMB24zC5pXxBHKsbyPPIEjBXfuXD1//GzfYEsUfhKWL962eLdSZJ+l
9HZpQQApSn+TzyR4Le5tJPWFxQJBXG6tQ9xDzoDql9xhNUFQDcLm1k1soPMJwQ5/qLWtu38mYKBW
ujV+nYqEZjNszNGwr5sFgyJkggIv+mLGQJqHHoKPNuubj7/EGwEG+RJcBhQOZHVpE7xeIOhKe92Q
R/6m1p1DNJRXTU5Qy8GxDEhOt7Ci4IrcZp07Y1ffXprNrRk6aGSQAzsFqViSJvupGL8FMF8x9spu
pU+AC/nBjMKddLVd8KqrHqS0qZf3qqzv4Qgd47xeD5Z2zCvS3o+/0Yso9evqEhV0ywCP5NBLdM67
THWEU15Af3GzzD5KyoV+X1vtdakgDaaU7fveQJw2+nPxEC5YJnMja3uNgvzXWUEkawwCS5qX1qoJ
H5IkNXaYmMEtRyPk4/u036kIBfoEMAkjXZrCZ4VWAHxgoD0BRaakASR6AS32gTAQ2GFUfNB10GAF
9bzBCzyMOJLckBwh6LXrTKkHuuKQEj1GKIEOFQIps6wt7qWX6RrEID2nu8QLukB37ac51l86K4DO
OZ10v7wfyuFEzxcPjz4UvmUJJmjltWmA/BDZGoWKO7P9xtw/agkQXvE59PPsk/3zThUGmhtBGeZC
Lq1B8/XKa6m0az1Q7kaRs6Ppikw+/ThTxFjBRWZXHz/ud8paC1FWkzkUEjfYwby+mjvyTv2SVRGH
1W29EFgWOnpOBPcY60xVuxie+sBLCE3//oXZYJbOkIL88Vy9wu7MJo79xaVmA4zsFynS33nyFU/B
oz15j2GB5GcOJhIgcf5Jw/W9J6yYNHrAqpgsngeoRSUaygCduxkmkLzCFG0g+y89PccJjUVwbp9E
E0O6qOd7T7QdTOjMTDlfuiC/HTdllNQQm1t3k9Ucj4XPn4Yh3McZbhr2GD0tNlhOUSx8ifZ95qMB
kN++PPD/HmH/Dxbvb2tPRuT/Ofr+2wvp7xH21//zv5vwZ/Gz/cf/vPsZF+U/Hov4R/kfr0bh8jn/
wm/a/2RDEPzpxVmEIothwb/koux/4vUiI2nXUtbfSlL/QnB6/4S3Znm6Qa9IIJy08P5zlm1g9647
MCPos4FqYc7wb02zz1cUgiqO9/JBxArAMmdR0naGDpWFJFij9/rcZuVP+PeH1MH3E329eDL+skrz
NBXFXhsqit/67rcnePv30v1d+OZ8C71c3mMLcaYQq/yzIOUHytf8nshop+GjEDtb9CkLz98EjQdA
Prj5+HLee1+Xma1vejxVzzy3NIo68lF3dPy1wiCyNY59kq3cxj8WbYPoERWvXfys0b2kibjHw+lK
pCBdZDO9RZ2WwbrUDRN9HP+6MoOH2OvuRD0YnepLHx280TFOWRkduj/m1Dl4EI+b5qptbBTioSXU
9trNEOpg/ALpY4/c8sUAYic0wEF5+wzE94gcb492Xhwf/fQGtaG/YKJceNphUOGX9ope83E0k32C
aID8uJmiJYfsYoVuoo/kPjg+cGLHdkAP1AwPSdbtyODukFAcu/AAXeVLB7JfsFB1FSDD3GyC4W9d
QhNNwNq1j2n0JzKrG1/TL+VDW2wCkJK51mfv14xg+Mev4r03D66ZcZXnKMknXh8Yhqf6tohsf20W
15U9ISWOYl97FdC1cBrj34zUssyw/3BccnUfW5+zVa4NBVbeg/LXIo3o+80O9ihYycs4BV+Xfzb/
M99dZWh6QLhnjeE89vq7uUmsVD8a/jrR3d2C9wDffzU65WMVHDXLH9EICLaDuVnCUxY4e9z9Lrs4
22vB8kfY4dlbOwZKv/Nf42KdZhuhZt//xfDok80gY4DfD5OXh8LUiqwUxylmWK/vMgqiUhX+7CMO
5wGs7CDxug+Fiq7Vkj99/LJNdT4TfbkY4zIyBE4uwBmvL2ZbnQ0fmYtlTn7rTOAOW2w9R/wq6KoI
iLd2hm3oo4uexCJUcd3rOyttbyw25TyPuwRVfr1b1gbSbpbAFjEAcMbk2LZXNYMpZat9OmDEO4Bw
5tego+pd/kzx+JgQ8RSVa8cAXDxNKwbFK3qPDAr5MeCcAjwuvPjoYSrvWs6KCTWoHjx5cjB6BjK0
wMi8ftwiP3ZRjsNGBcNFEcYbA8VyfNc3Nc0HrVErLwE6bdYXeort6Uwb1jpa87Rt6vjYAGHRp2+1
/RSAcK4cRWd02lV8WFrMOwvSnTnPu8JQeOwCxi1og0GBzoAnOhXYagVyzsz3DU8oc4ctW3WPTQa6
q90hheIe6cChwxAqONjU+A9f+zJVzwpBu6R7pjtBAk7SCqMmuHYqkHCAGlUN5g08eG/iwo56ewp/
L4k32rKsPeDvZdxc9FZwZxbRLsCVhDnhITHVXqDj8nXCJt4gx4bGrbMqgEED9d6OuPrkyx4DiB4v
h7YL/wxn/87hU6NE28KXBZce8ZVR+u/5JJ5VMmkbAxlB0CKbBRnl2EWSZvxm9gZKBajjXht2X+9j
xEeuW2e8CsxkV4ZdvarH8hIhBfeAU9ftMkPRmcYaBvesQ7JXOAznGrPHEnr2hNTuTkM2FO3Yh4w5
QlVTYeWUg6jiZ9hgVDwPDaa8PVFkwTRecm2bx2olbyDh76EsX1C9wM/qD3GRoOfQX9J1oKVdXBna
CDdnuhZYZJaUK99rsYqhSQWJJkQuvrnpsoCmmH0MaxZNNe8a30ZKsWNmgGp6yQJ04iNTme+i+un0
IKelD8vjTtW06YOtIMHLwXusuu5QYaU96MiAhxZdBZ6f98sPsz00/01U0aAaYb/b4aavMH0Oh63T
T9d1iFpbf6mVYMVt2kB+sm95d2gX3i/FiJ5Fces1N6YB97xy70cgoDMvocVBZo47TGuAwPLNPMh8
rTatwzpARhYjoH41R/O1Cxo/0qO9Ed+WxUKjTsFTyMADoZjMv8LI7thg6IbENYYGOBBgP/5xQAFZ
cB69XrB3rusygDcNAfW96rygCJjgmpT7dLuGS2EF1MuIDU1yLOBtgRzrYvs0L/5VMS477u0KyDic
quho5rDUKQwsCK1J/qWtuhsfUPnkYUnLeUiz/BI3dxzo1UohBiGUDGSV16Xr3pvAQge2thfOO/m7
CYOFsN7CBl4JYwFA7y5LnVXfomZvxkfQJUcmMuumhw6gvmc2HKy6vjEVpgNVt+9oQgfFhJixdpWb
2Dww2Z8bCB+o+i7mfkY4rkmrw0bLh0tZLipYBW16mrplF9lo41PD5mlzyMxx1/TZXt6Yn9n7Sgyo
K7glYHKFq6B83oE3bByERlAV3/UloSpCPxf57QgTAinK4NcLtyC1OYOacROI7Cw62bpqsfLLrlzm
GaGFr8Gw8UdnD5H76JohEvigHSKbeMV/I2ksobpAQipx7dXiLzs7oEMBjWEU6gMfXcyw6ASXgNb9
UsAvQS5yMRMkDk/KTb7EPAcvpXeRRnd+OdFaHPmitAvVXrli4YxfL3r2CVB4+VRjVifmGTs7SrYU
gRclYvEABhA4T77Ylv9HGTbfIjRGgX+stIM19NjbPJUFviVyC/l0nSArlZfaVdIM12HmfJJxvHia
vTpdSadpX7m0LWUifl6XDvbsLEZIo6qqyyt3QSIbQl9qJsdJWA60asc83niwFdqKXxMI8tWQuDsJ
M7bfAScdtnRaTpUKtoB6rlM/fQYLLc6OG9AG22W4rnPUx7rxOsZo3GW9jX62L+F6KGxuhszamNWh
BNXuhBwfybxrDQYI+Grp4YTh/HKd4i1l6gSQkbiiA6XGt+rjTfpil/jmGUA2pT73gBI6Z00Bsxv1
sSgqH5sn9DWsF8i777GZknELe/fFGKMOBHROeEvZbH60k10kGuoRuYHE38FVOLrPkDv+lF2e6pi9
hOo0zQqJbc4eJMP6OIGtykcMfPTM7widdsC456zfuMXPGA23IB22L7Qhj8LcIhJMI0iBbD0O2ray
iVohLhM8eonF8EzW3aMJYFXjlEbHkO4VBAG73wCOp8m9oPYIeafJgfhcjtEaXZBVEffbEKB+2o40
WHi5zbQzo+5gh90hnwZE1z7rb71xDAUAbRMrAODS3TEwUHsdADPUFvTaLf21BjSz6mCnxuNWscs7
A8O4Ye1j6+fqC0Lw+R4R+S/uvOySKb9CVIdYY54y734MQojgMKX7KgQu88JJ2HktR1OoVmJ26hTP
srPle3+8NCQ6n68MC3iAgUGF6RjnurTVUkax8hKyfzRP83rcmB7grs6/+/gykte/vYxLhU2OSzp+
lvc3aLLgoJH5a2Mi6GZqH/jJJ222F+3Z82vYwqcGT2mIF/Lr96AhtJ9OReqv8wYKA8sQqcNdjRVJ
FpCTpvGxREdCHFMa9qZed4eywDFFyB9wFGzbPuGs8snTfVNbsTR+vyU5O39rExWI+as+4Jb6oD80
utqPYXm7IJppLhml7PBJKfdSNb95BJZp2IA+qOacs8esnDqEhR3667GM7uxh3KZhuhogPPZpuJkM
fIaq4tbiIBLGSdE7JP4Yo8/2JzH3/3MfPpAn7MPR1DqLN5R+qMgjurD2ycuFFzO10Yt/XlyjsrUQ
FLL9ZJO+W9k61Tgvx+qi0w4fr7k3UCTZmPRcbTRqTB2oz9nTL7VmiMIB6nrXdochR9Y+mK5LKgbf
HxEsk/RSFgm/w0e0sbjVk/4gu7KoOQWQlCzaZwQVYKXaewneNgyej29RQsOb9/XbHVqv10fTVpVn
xNxhALLNTm+g8e5KxBWr6qLsxUKwIK/5dJXI9z6/KnUYIYtuF02xs4AVYffiOuRMuNO1qyKvLqQA
slGxl9zTTa/kjQRE/aCDkFeT0KtPqAvvBR2wvvR9dIeemvXmxUx2nS9EA+wIZ3vYwg6QQuuTU0/Y
1W++J/hfrgAnWDBQr5+u4ffJqDkxQccYNhrJ0KjsvTC00NHckArfqTw+dlxX5eOFEG6RTF65cJsW
rbidp3ErqbTPbKHi0Bh7eyW8Jy/EPAkOmxY6j2FUrKr5lwsAMYEe1VXRsQJ7aBvaFoEUO/na28HX
OYYlRaSxp/RK3IYmxM6jcd6Fo33kuIfZDwGXm+nBIbbxANQT91qSjbwnQsVwtHQkQ/jZzCWajcta
6iKpaJAFvTWaaKOBn8CX+ZOV+V7kchDDJ6+nM0ED9PWzM5F9cVuNZ6dj5NYwEH1JrFO1skzOfYqo
jzeC+6YHwl5lpqzbzEcgVpx3oRaPcThpvcdX1/9KWhOsa/MNoIYog2xjIC4uhZk4cC56fRNRYjmT
f+WiBdQCs55SfME0SmD72nfqb6U03gv2d0SJLVFPuf1Ggwk4YLQReemTTT+jgtbtUWcH+q+4odwW
CEn82JXLSTPsfaO3B83jQcP8HVN4gKwMq83xbrT3UrAProUmx6XUWQO1nkSISSvg0+nQ/547lcJi
nS7hBkfITHNyXxEnqXLDXQsnJePNphXa792tp9uQmdGqjNQ+Sht8KkgJFM6dw3fARcfAM/6SdHAi
BZDzXxaoASv644dvvhcQmGagXgDHC6PiszAUtXOUZTEPXx50hbClNi07YPxl0D36LuU4Vi1mRQqm
ydjTfbC87EQch1VdZy/9nHUDEiiGRI5fKug1+4Q/9m6CeP7xjb63oQG0SsRAHegNv6pMwxBhf8Ll
WAc/xBtQ+PJe6Ozl9VSI42a09BI7W398WfMFPXAeMcVKgr44w2P7HNQ6KnOwFwCJ65cmDSxy4Y62
enKUDTgDsIuS8E7SDQp/WtbDhQOgpQwxfbE2fYRRT7RueN+bpTRvZUH7ef5UcvY5PScLwkGNzwEl
9FELLVxxwemiu5c6yyMrHi+7MNwVXvZk4IasDerkzQd71g8Z6ZrXSbLYI0uNrCbNM1lMmkibp90h
5PBNWaHaPHAXzipFPwqVOkrCCwvP8tz9m+cqZ3NC32zM2SEs5mnY+yYi1DavVoocynrpn9k0RjsS
ennlTMgPUkJZHJpAhQ5zc2VR2gYUpU03bbuKmolkOOi0xwkWXp2r40v/0AzupACUuKtRLNki80C4
o+wdwUYng0S8ELyT+0A1CY5g2F03kb3KsWsc4+ugf5a8pUzWWmysZ2Q4Ta6f+AwzE+yTjOMQt4fQ
mdY1RYX0yTQ+EITYGCEOhlTBYiBRQG9FeKo6JppY0UmEYIi/0zFzKvqrGRMNgx4gmpEVTkeECech
wl3OwZXKGb0rIeyaDn19zdrPA60ArNwqc94NLHsPizoEebzuoSK/7EHc9hWNtgZCMKIFkaKVUaMT
4A4bqWBEqcCkcemkP7JJQ9wQqPay7Frc+0SloMtZDHT2OI0QHmNcbP3SHW39om9A2riUzSG3byQs
9PgZWYW9lygVJuNmgIqHT8g+aLRtU8TIS7B3Z42x0ogIJcxbuPjdsKEIXlvevJaTqaCXCSVkq+nu
g9doX3TP2+P8W+Jm00CTGirgt1iSNu54IY2NgMGGvKaQQFV3wFJQYmRt9Iv/0PfVU9jcD05/aca0
ClrCYmmdkm7cBgulm/FU56x6wHJsFJRrp3U0z+v4FlXUl/imSFmjgcDM3WX6yS3wT1sq+Eft9pMt
/V4K4pIAMTGGg4Vyy+vzzQis0MrxJ4eJkO8Lz94PMQwwVBHDCR1aZEEipE0SKmDdwpEvPNY4Ezoj
Y6R2OlriAxi1PymWg2+xMfwUtnjEWeLD2ZZEUVpxkkN8fM9vOvcckVgtcK942hjI8r6+5RY1QKyW
ueXYfMb/jGzmoZ5ZWfQfpTPYQWX/+ILWe1WbB7LE8cQpBx7D2RWNEsvfkLDXAOMGmLya0AjhrHi2
6am3VLoZTpWyynvdPuoeHSnyeunFolT01aLbndLyx7oEwj8KJoGHjTiNEzokqHrvRSRe79aY7F06
6bix9JquyJfMvRNfZ9RP110QbSftZ9j89+BcyOWHH/+LwTlH+2fc798G55vNPx4f/+P1yJxP+K+R
OSUkmJ1/zcxZH/8amSuY4coGamE5NNZeur7/NTKHZgXcx7ZJJWiMsLX+NTJ3/4lKkVDTOEMhj4Pi
+zcI4G9WJ7PEF14Da9Pibs5Wp+YhyhAWJoIq0lOK593sBZ8U1G+y4LNLyJb8rX6HNkCFO3IJmIIn
r4zQsF3HnK5DCXMqGj/hzL7Z4C9XYwCo82h8lA9fX63ThhR4rB6g5ss8p7gpbZpEJcOYiF4pbklU
pL+9/du/E5jfh/7Ge1cE12DY8PTBOZxHQR87xFpfMNTwGNWpi1LPLmVIleKbWAfzri6QrLCGSzkJ
7CgFzTZfdzONZqYf8rDnAWNysj5dc+4/vrN3bwysGPglWESwdl8/CiOxjaxcpmBdRtqdaABFI0pJ
KGqE8q4b4ETZdP3xJV/I26+SPB4/al3/75qy3n572bYZos6GzDTPmxNWUW5gKE61V8zrioBedfFq
omFQ0CCQjpGiAPn4Dt5b0L/fgJxZv91A54Fcamq+dIXEXaJHx8hO9x9f4m1nhi/5wn6m/oaUdr7G
EncewAF2vPGATpSORhRnn8a10uQakubBye2THN8S3f2uvA0xvHOLT6q99+x6HFcHaePpJjPv860L
m7JHtLAJ1gjndNS06TSvF+Z+c5vt0wLVpzrCeQHUPgmt8lkAqB/OX+vce4za7pPpu/UeSAARd6Av
tEB15livHzsWq15oDXmwtsZLrAZF/GvvY1mfMkSUTkGDzXvlhhfUI4+ozq4l90FFhzTRPvrgErt6
Wi8hA0gONhnoSEYmBUnIuDhhz5JbXvUVaaco/g/L1mbAQPajGMkO/bz+5AW/t4jYyh4waJRkjXPX
ubqpCseOymDd2cxpGKOLOhiA9Y2NtiIKCbsqKtfIJaNa2G+AapxQlt7P/lPUqk/SB0mhzvcTwCkg
Bqa0Ac+HDnkAJjwYi2CNUa8+IZhI08PnMK/KYWNRuFlmvI0+Wd9vRDFecEy6J3IgtvAQzw4FK/QM
SCHAqFL9IXHwiKQsWUbmf4UDCnbc5ou1AV5jMGXTE3VMBvtYh6grpNqVRDQZaPkzmj6zf9VT38Z9
uJXNLxWwdBAmN/wi2Urg35QLhknxaracewvQgD5PO0EeoCK+96v6RqbGzsJsnmUtMnKDn63VQuKv
P8wq+mRDWd6bfJZ9Dfhd9yhOQWCe7+sl8rxU61x/7QTp3rBR4PCPS8awy3o2p+Eyyykwl1sHjQ+A
LuteyRyHvhLd8GLut/HUHwDLbmdUhrv0W49BsJ8nx8RCm6mMnyaYNxlTqgpm8Djd1CxszK1ofQ1b
O6CuoiMho0lINxu3IZ2mnsgai5jt7Be8TGayQAF3iAWyy3AjqxB97Wsp/fYTKnmTtaxl2lTktNZ4
X/LAdeSeW3r4c6deplWjBq3cxbyFottlMDLVTKOYkdvlFo3PfURH14q0a+rJAfuHG3warnVE/p2n
8KGJqsvZ1LZEpIOOfLKPvbBUntOMf5pP8EnMk2P1aMZSC4Y5LkBUsuyGMuZrWPMO4d6N3JozoTw9
ivwe+3kOVz1OOCYeJ120ImZ3TvZUz92ljHYTsz2MlralWNiJWtQcJUcQ2EfRPw8QPRvnW/A5zGH7
bQd9TjoB0hWQOfUEMyyDEi5jx7qzj1BpD+J/isIiyKwTrnwnmXoPDlgY6OwdyXnZZiiXhQ9zU37j
AEPhDiaQ5mJzzyTWxKEotb2vuRHfMR+/AX9yF6B+az/UVbvNHRfcTwTyYNguSfSlKbLbMBXOFtxJ
mmwi0NeH3Y0H+E0gJM6Ep7l76xVwtMoFGEi8gSjFmrb2geavffORpvOeeuKr6D4pxX3DdIV5Pc0g
K5KN2uFfm+LvMBAjJV6Wzq+ICYwcQvLG6+yGVHJtFbSjn2cVPGRRs0ftCyIcoA+WSMRcWuigFhQ8
rUHIkCEgecI+QUEPfTHQeIn+oMPek0CMT29OLkM7axwv6W9RD2tXcrkS7cFwaW98Pk00/7ABWsus
l0lcipFN7sIl5WJo1e2WjJmh02HDzCAj5ElxGIitAiMuWJ7FAbctATU4qsM5aoFYcDKa/iC1mFbC
dErAtvjTrjD9q6Rw9iJwNrg00ojJWqxj4acum3EliCdMYTao1u9DvGjsnvYPA8ymyPfSVVpGte5/
5S29JQ178gQT8Q7fTRIxcDICyEoHbJXu5W8U7ZWUVzK1PdIfwdZjygsx+FHUtKYO1bpBcy/zMdt6
kNSkOZnktNFc5rTcUiUzBxcDTto7LUpoOqehjGjwX1zBd9qaw7Jv05WDm0KdH42QQQ7/ysIHSDBY
MpBdeImitRZT1rsVAoy0PdVoXCiL74/YGeScgJZLBRpDnqjHGiuZ+lp4Noc1qIWRXAssjZdxXFoL
4kKL9PW2tgMqCxJGmiJeRxN4RFraMPttqY/Mhrk5fvUgfGTNio9IDKYi4ejOFCKTNIFGe9yI2bUe
wjcABjUxZ7FRLxsiuDgtimtAhXaRvkMf4diEv0AQH1NgDgKYGKcIL5fwAj3/oyIYjTlqEDp20yFk
ZEy8Ik5ZMBjSKbNxsdKRuXTMB8/oV6WRHAX9FfJ2JYeQWZzRxE8tOYPNxCGGAmQHl8jhXMhwSsQi
u3TewVXgO6lVo54+Tg3eOyLodeBEqr8HhIDc4GReZ/r0fZobGkuwuaddr8xPjuA3TJu/EYbMwxm5
OB4ysa/zqSSws6r2fH8tbb8clVjEoVFzoGGEspvENpG30we1QpVlLzAesf4pg3QtGJ0SxVlSz4Dt
t9BD9ifM0sFb6Sr4wxrS59B46GBjB1Vzgw2z43V/SHM9oBOVkEJ+/LzeEGz+/iIO7RaPLgjY2Ndf
pLOSqKBr4a/DOEFe80bQei0EQ5jfD+QRJ7A0axkpJUClJ37XwNOExZPh9N8Xy0TcgI2f2HsPXzLq
t0+yK+O9RI92j/mSRIPPO0tbTZWNmZWBoJ5HooXWHWS0YBfLdwEmSf9w8fsNKFAmWkz5YNQKPEUg
iwIN+vhJvbuyfruVswc1DTAfW5rna2VN124d4j9UVt+S1n34+DrvOaTS+gI1BILYYIWdZXdDVsea
2Vn+ehmzpwqRF6wRNmVDT9LAkg2xS9l3xRBsXDCMAroSUGtqDpeI19q+tpVjww+aFye7xvevwvKm
rEEfMZBB//OTcv69KodcDFiFC2mOP5w9Fiecm8xFfgGQIVuaJnzEoKnVOGAeeXMXsx1dlAo9d5Y/
xgprl2GAt6RfJCjm5BsfPzt5NGfZOPQHYB6cujpshbNHpyWuFUGFBx1hPEvHH9tMzNXGjejbZsVn
nYV36ndX9yyUqIGU8Ifzq1U2ELGsBlaSHPLe2jgiHgQeQJrl0lpHy/bjrwfR570vSFghCwbkpc59
MzKnmfIOR6J1ZZORcCj2bFUPddAYO0Qf5bnMPo1YHwl4SX5EmhqiT9ab+VVYqWMA/EqWTJtmq/wI
V/04WyPDHZbHYu7VnJHXZFejH60TrI8sMEWCGZbp7MKEtyr1nUxwa0bpY42whbWa+OcCOSLl2uHL
e/Kc/Gpw/N3yPcSbucq1+4mefVK3N8acYB7qX8WpdfIidewavEOBcopcZ5uTrTbJlxzVX3dQ8AV0
7OhT/L+AFfaMvxgVEX/0rL5qslWJXkIKBYHl1U3k80iYdhUdbM5GD7id5fUbGRRI/0IOdNkTkoH3
MuJsGcwQ4aqMUqEITxqMXfyTjL67EfHOgRpgZiQpgtMelZzsPByHOfmbG01ANAw0HT/FAsveS87L
udeWK8mZkTy5Cm1tLQhY1J+OYYRrDnvVoo1jY3mpfReQbk2aBGbkBTQn0wYZucg8R2b3kj8b9YhM
+LYDj1EM2T4giY907U4UvRWq3NKj14CLdq55tM3u0gn2qkou5bgRLCdAg7gO7kT+FT3SVLtsfUy1
dR536V+1HUfI4F1ZSXjIptPUAiRehq0Mu4weuDbJRUZLqKIjprfUhO3D7CZ72mmwcl+qk50MNySH
joZvWnrvZMA0qVFqyiUXCdu2869mF5mlJjqO+JfImxi6+kbPwzt/nlZhtq0qqgU+IEZHtsgvpc9k
+feqp0UwWaexfbYUMAUKzxwUgJ9TSqTw0Hkd0fA9Gatt7j2AzaM1oQAtUlXoWGGQ9wieP3PbY+78
BYKM/yUkWkoA5wWAG9S9mm7e9Vm2NiB4Q11tyakYkBkQ/2PiFQCfvwQy7yCFLiMGP3QfA6rjwKeQ
KOZruU0ZV9spSVDCMuL9hT5IfUZUE+MC5UzXKr9pnQerL8F3UuK1zwL/r8f8VvqoogxrAi/FJeQ4
5sNBcMHWjFQvvYsILawFq4uwpC1Dy6VU6ZeCNox0e1V3pLA8iVawoKoE9R/yUX0N1T5GqObCntMn
8n572rYaoEKahbJuhe4QEoOHcdjKnpMEJPfb/8vemSy3rXVZ+lUycg4H+mZQFVEA2Isi1TcTBCVL
6Pseb1SDeop8sfyg+zuvJTmtdNao/qiZ77VkkiBwzj57r/WtzSx6Gak2VBFPjt7TFmk2OjsIE4hF
Y6q2zJkuRA0QIVSckbp6Sn8W7IMI18XIucwCXxcjMI3j0TwRHvrrMTifxOaLCdDn7p2OARv7GhBD
S7Y4sL6vSECORi3Xh5OWL1zNp5YUw86slJ4F8/OtNtcbYexfGQbvWEVrioyyUr5S830Wa4iz91Gn
6Y5RDY3C+7eRi6VYicpgueTOLGrOOp6vkotHHyn9irip/EJeSf2lI99l7KgTQ/ThM0NTFrJM8E1Q
CNFWmCz44SDlSG4MLtPRTmiVt3J5mjtqtQo9TcMIwiYTKON5IHzvOXi2WnMoy+ByzEn66Fi5FHkr
WtcDEPsu6JfzPFsY+icdBuFotZtATyv44/1umEqGy+TqtDdKHj2OXUcQjY5OGSlhz6RYA0CTj2/6
cTbz+QugcTBrPFpGiTOueh7PmqjCex1eCd1i2DcA2UAvzwrQvlc90g/jtecByOfAkRvKPo9pSdCK
qI3wkjPKZc3jmVY9qha08xmd9rxnZNr0tlyLj1bMCDu+Qra+zhMUOrN4o06NyWkD/y4yyQDQ9ek8
k0YisVmgQ+TrhY78KD4XNXj9KBCHjLV9Ss/USt/DebiutSX0ogsBtXZTpRl5cEylG+lZVzDLRDwv
Qrys0+0sp5Mz2hqM8wew3fMJDqeLyAg/65EeDLBochLsfXfubiScTEPJvGq6/FFOA1bsYKtH01pn
QZ/lzqraPAlV8DIOOmldJm2j8aoRLAJu6EmxgAi06GpfuNSa+kQoEzQ7rCudd5XrVOJK2aKQQ7cf
+3cNsvjQopGALj2oA3sWiXio51idtv1tPysz0Cd7ZnZsNC+1NXb4uZ0Aou/Y0/tSeB9z4w4W6mXZ
kEPB/8IRkzeMLWXrKuZt0LO+mK0U845WipwRq3I5juTm0S1KSAOdn8JZjzTP4wfEBtzU25Gm1zww
NkPZHfyHVmNjKdCJobyOUX3NO4hRGDdSjzeoQd2TZGeBNThNLDlqQd7L/FJYRvyUXIcMFRgtR0Lt
ePfJet5LLJwD+FRcz/RtvQbhj+kBojz+OuFi7oHohnU766CTmI9fYyHov4uBuImjMLJne4UwXaa9
+STw8M4WmNYXbm2rBNrXq/p1LiRngADRvb16PeYsq19ZKJ3qgntrzk8wwOCMiKYU3/ESuFDoCeYj
cqVdJ6Z6FYlnoF+I0GvPlSTBJ0HvCHZJUL9Fbsxij/nAp1XVoRCbJ5XGRdC3N6oOMSEL7/WQuieo
QTRY6SmMRVuXi1UxYp5sjNtSiR1hCNe1bF5CSHmAebUIe+9hxObIZTSudTM9qth7Mr1fEik+95fm
3kDPTezV5vcBgOBb+4jtXB58BIEx2zuiMhIKZl9G26OswT+DLWGRgYmudWOVS8rWah/RE76pM8b8
UAnNU1hEF+RsbpUUWhOl9PxTTAy386mevid6ARmuoV7t/ee5TAnL6gTq7QBS9tZUB0oXaRukR8WM
aAuQ1Uj8oDBilJj7436WnWABLaNU0WxRo3oFKPHm65j6Lw5wnw4HLOXoMZnncjBA4DS38n+ePNHA
TsdaNNzZj0eIpjOXR3NPtFazs7md9PtiXZrX7HeHkVntx6iLdY3QGiyh719PDGH9KWQiu13E8yvH
AHv8/azqExHXzEXp/NzqOd4b+atj8+e9S2UegSAUgTRjko/UjHHOKNDV3nALVEfTWJLISwuRpvnc
xQFcs5pdRKEUPyriKdCiM06VZyHizllgNXeKfNpWb1fj//v4/xXS+083xicfv9NWp+mUv5MfzL/x
Q35gftPfrAkqTmHoLT/R53Xrm6RLTC+Z/xt0I35ID+Rv1EYiUx8RF/tfw68f0gOg9NgPZlWCzHhM
pLXwB9ID2fo43AK5QkVCqYCwHK7Mm+PmpycmGzjZ6J4hu3OGfRJ3TqBPl2zFZPONi7CBEhihdfP7
xPYzBJOqRqO9XMXQ3aIHYwxXVQEWrIfWPA7+ElgO+/2MAALx1041wlWFnXqYKqePCzcw/VPRehXd
DlqG5J+Rq8pCNc0MtjEeLbC9PdQUInNdn1Yy5GW4QKPeO7GpHwcSvMWICEF9/pkh/i7X/aNpuDXD
jVYk9+COPtXtAIPHHsRoWUnw/wwlLhbNXVcTHS6oyxCK4zokAieyrCU1wU1SwS3GZzSgSyPnhECT
Hf0w+hqkDoZDVbjRTIFrp/hxCvIrHEGWw2y9sEOJA2VZeikDp21L8lnUdpjFikAmCh0eGql4xHti
TwhrzJ6hlRcrTd9mYVIsRHKt3HAxFvWDT27yKo3L+6IUUhtBWWh3iVkuPQ1DVWsRMKUqjEA4nZPi
vcu1oVvJYktOnTUxA+xJTA6ZLg9NzQRXiFw2u3JRG8VjIURXPil8dmPAbR5wiOxyX77W5FMl7YHw
dhus7d2yznN3JOXQrkA0ulHXI2GXnKQiIlvKvOdpmrjOY+XWET2/SQD3GgfirU4CJJUcKMKhMhkQ
FbaKrpAQ4fNajqal0ntgT5nGpnUAc1kHjdpPtzVogWWj8aUPyaod/EOh55vWi77PbTzTLK6Kztum
+OZtc4Q0Vsx3nWxutYT2cZGBYIu0R9owZ0qNYpUNP1S05d4pyGB0fWtIiZwcONkGO4ZFDCHkC4HV
PumYbtSaRJObwjgs6/sOItMijLLSLmjgYsC2GvnaogCxAdqomIXgh/la7oQGiYJh9orBnd0ZihvQ
viYXrpm6n3udQjpN460zK3sUoUpI1qnni7f7mXepqe1+pJELquU5lfxd0VX3QBzDdZUxagxUGmWN
wY3WkFEihu1TBPp+iPnn5QBzGHf6bV7lx5KiPgra+4LzZpTNjHlZO58xZJOKOrnkHIyUcdhKebpm
9VhKoXgrl91+rA30+bqdN82FUkMeUmKyMUGtRx3Zlh0SxqqPvxsCJ6lA5ukyDZjpdcZtNOqbWdAf
QXrLpn0TMt/XGKCG+XRhzSNT5AvXVjNVGI3Dx9CTqdII1LR8c1MJUkFlXZqrtClF8B7CKQ8VbHjg
uiXARXFV104T+buoTh/ntEayUq7GkNlmFqIsxueGfLUrIZEZL4KeP5aSPjpDIT/nAShTedqFvXoW
xN1Fx0RngvBKUtVyjI17AjXWJif6vCCFq4DGM8PrwpK7OS+nVRWUsL7NHhOMfh8J5ZXSc/saYXkV
NqmCMnxR0WB2+rsxiaUv+pOfaoJ5RVWlWbKgsQHjPHhfEyidSiRFk8luUyqOKPnbaTTJtYz8l2EM
bNLUITnGZ2TQYcCVhr96tX+0B69e8pkvU3/MeHmXDfP/XBrMvD3+54rAq1P2L4u2bk5lG37YiPm9
Hxux/A0hCChnciikv0g3/6EDVL5BXrfon2Is1VXEgn9vxsY3TcbegwJExHlqmvzVj82YXES+YrKk
iEtBXwhe6Q82488sGe4XS6SsQymmoUf8cOfQIShSecRcKkZE5xIFCmruImgzMtpgHI8Ltb2UhYIp
W3vXeinn0vZqUpNFMuXripxpApA4ds1ycAL8LjrZghrphDpcSb/cyNVIB5Xxq6e+jfI5mlwXcnuJ
Kt5hLk8PcXKGdjgjS/aRdOolPpZrVjDYAA6bKF3SzkH28ELreBHyZyvpLqfUWFqI/K2RjiYRtIOV
Lgd2x3wiv7dPkIm3rirUDHWFq8yjd2qGdFdrKMXAQgnRrZR81Sr+ThGK+6mBcKaDBG2pmQmDEH0Q
vdF0k02kPOT1NutxKenqeTe1YNGnw8zPVEKX4JytoNcr1QgXmdz/paj6o4fpLozD4uV7ePqnepqA
jH31NNmnCgxonv7b//65rn37xb8fJwaKdO8kpm9IV2ff2g9ZLVmiyPJo7yFDRJE5O3V+1LbG/BAa
nFzwds6qKu7yvx8n2mKc5M3Z04e64o+epk9HM4xAKpkyxDuhjX+TjP5U2LZTYyRToMquuErPvU22
zs9iN/jCAAib7VcvM/PaeP45j+kfxOx6lildw+zMZeMqAhIvQY3YoYUdET2PG3iHltA9CY+BTeYA
DXn2ZV1adfRQAJfS373oHlp836GtuaBEnjTJHh5ochFdj7zA27elQ6yZ+UqWPMQ7dm3qBPKLm+/m
UbgJrxtqH9JmDkbKQ20TnATZOrui9OsOQNnFwq7PppOfLpVXvDmeKy+Kh+IOuX8c0RxB7zT/ITiV
F+IRjC5/9puF8eg1W594vqvwokS6COM1X/qqi3zCgrYNg5B+Wr1uXllcktvkUSNVVKI55kKzifFk
iG4CE56++91Pd+B/SeM7O7uQhaHD4+sEQvh+XxVAJcZTNXHllu1KOFcX8VaKgOS445KGyoqM8CWz
uS3VlH+nFF/t6p+m1B9enV3l585CkvdT33OUcjWb70J3ShQoTu0S8mkntuQQY7SnfP2//Mgfbi4N
Kx6uhIasktbOvoOjQW3RPUFShjesHnNumosptdOzcTPsAxCq6r7Mt79/DzpP6ocWB48w489ZBSFx
6Pwg5h7levDUmpxS71Ed7Zkd/YoDNbvSV8O1cN4++jvxQl+lF9Wmfmm+x6voNgECvdG2tLzE76Ww
nESnGXmnUIPlZbWyHqQ9VPNlto8W0sJYeA/Zk3pULoSVsVVu4B8vraP23XxUjumVddA2YM2GA01F
H7aGW+bu7z/eZ7E0es6fP9788X9aJsBIhfkwf7zwlnMGD468SO7qe7SPLzQIn6YvQ14Invviis5L
yk8vafqiYFXEGrvZs3pKz7Xr7nsnczpg4kXAjyuaTlW5BhEvLA97/0reswJY/nFMNn53WRzHfXzS
HiB8epfBWUmWZsLQcAm8WlKcMn1tvG1Cz594uNgJSruKdwjxM9UVaAFbSyuHLLGuVMY9Tstc9aJ5
RtAimnZp2imP0HUZLRkqZbEb3RT8exNI+OVwnT4Z9wyKCVfGoaaauygA4saE1elUV1c3SmyTeWop
AJ5RFbrVM6pCy/wuNdeWcgafrtsYAjAnZEyXaiqtGuOmW9LCF7Kl1q1TdZ3TKi2Wcwtcmd+LeZmL
dswoWXGMQ2Os1WjjiQ7FCwMxJxGRcpEEdjZWq+kqP6VP9D0xCwKjJnjeONavPcLEi/EJzVd4IPui
hLBkp4ObnY1P45bag1TTwLO9GIci8k2nqtfypfcImIvkV4ifBJc3sC/t7NBYGx0jHBIvZhH9xmxd
qV4drJrm8GaQLxtvw3IPjPTJ8l1zYoJnN3fF0aP7qBNktR+Vi8aEhLJPYiYb1rkVninyd6PPqNKW
gkykrnmVK1sZ6jRgcGA9um635XM1HUfdTe7VzoU1z3Har4m2diSf8xuRK/KOgCvjtWYfuYPkZpza
J4WrVq6ko3SfPzEAYA8xgz1uKkFddOlSQqUVL5pqOyBQV8OrNoGevhpkJ/E4FjtjukLX5U9UifC3
HLleSgZ5NoS47xX/PFaWQX1VlevMP2IHbXuX87lFc1leRdL3MkYIsQBHy4OjVasIpfBDLtttYLco
Xr1Vcio9vJcLpa6wGz5b4iqzM2k1JmDHAPo7DLUS4jRekgsNXSUBuprbh27DOBdwOIpAFpFhm41n
rXmGwoOl39K+e6uuurbqPYbCKDkU+b3SnRuS0z6EF0zrGdbGZ6rPzXZU4i0bnNAvCmVpRssxXRIp
YEirCTQ9KTkkcCMgR91lhIcqOsTDtVVs1dZF+hkyUt7XCc+IPT5aT9bcVuGxge7vTA9S4w7cqHcc
rGGP65qrR6tKAtdNMjP5L452M+vTGZ55WwaK0gpir5459EmEwMGqXeOBqTDyrzAjNAbGWpwgS5HC
vWKsPr8jQXTYbY3M1dE1Ek8m71rNrQru75VYkHuxSS3H1JeKvxq7G96RIjgFRIDRiSes+TYwKqA1
8BDYtc1gAyVJ9J1CssXX8ZxgLJX9O+F3FtaLKGPodiUuEZDvxu2RleJejOplgUQ4cpVylVt2QAZI
iFxxAednkO3qexE7CUd6sm8YkccrPv/UbMZyaearRjvgsBQJB04gP7aAzk7UJfhFcV7rZK1gu3xb
e3ayt5qM+1JbkPhXAEXuUIRUz5PpJMm2bbdR+yxLx6y8rRWHadE0rQMGmK/+mXdFe6ODyZssqmrH
XErLF6NkN6PTKnayayOXLpvZ7TequeCu708xHyZZyiPpL7aVY3jnDmfi9FRFG8u68phmihsiJbnQ
t1DQe+WW0ebSG5cq6ApjY0DZqtdJvrDMhZGfIPjFh2Jbn8XHlNxoGeUL2sxd1Z4i7mt6YCRIb5KN
vPXXte/IvaNKdnQiP7uaNkLmFt6uzi514yzpX0Rh7Q8O0900e2r6Y0aKfXMvVtwHC1NEde9GxtZP
N7qC5ueoy+dVthu2hbQnRT6oHauEfX8ekRUa1HeZcB3le0l29Hqp5HZ+G9+R/yE/JpjIU4eMnD53
4mFdiFgXNuwWw10fLcxhJUf8vSt1Ln1RwbzKTG4tu/McUb3T2BAOuEBVLNYiKd87WXPl5BgJq1DB
ODYz8t0ZJgWYjtJUAqiEsX5NGHEEF7G98c6iw1Bf8j1pCT76Y7JOj9MrJUA3bVRCMHrlORZRxZ5b
wYHIk/CRcaXqKOx3d+iSjXxDXpnY7VUOgFdMrRHlhuIyu8ke8wf/1O2J+CVYeqLYgj4d3PHlUYpF
bjen+KL/EAhyB0GE9n6ZgDLF1YtMwiTXwBZBGxuOoa4Ck7U9Okhn+lY5hHfTFc3tRHFZfbVn/7yf
7HGvEwJ2aXhux1bykhR28owxOlXnlzILEAJ2uY/Xvs6W5+h0xtlKjtnJojTfWE8xhoDM0WiXSm6T
LrgLKnrI4Vyo8z/bygXHplRkF3HAPeMeKi4BP/GRxGO1UJfIa0TyNw9zHCcrEBT2C+SOxUvxEklL
70I27DB2OC6Y0AihPvJBk0VazKUEQFCcu0xcTUTQ4V5t78XpPKzcXj+zLPwK+9ikMeZUj1zUIl0Y
Irpvx4Nz6DlsSQNgbXTJJo3nZXpn3mWvHauCrXL7clzAQLTr76oldWiEFr53eJbnG4FyjbQjZJlE
JRV266EswVzhkrvAKBdtVhWj6nc8tkvjfE5/m3NADiH1IZFU0jJ7liI64Y4sY+/Y5BasULfamvcE
kRNjPaFJIULIWJidS7Z99zIPcEXXuJW48WUma6tC3lGfMQF7Nq756eBlOuYPhs50AFwiRDinOu+v
yzviJXoFfZpdhqixFtFjgDX/RUBJz0zDdnfjNiA1iti/yU7uFSoY0Ulv+2gjnxf3ubRVZBZYdzLO
+Gz4x5cK15act2JJsHtsLhMfeROss6Xgr6f80pQILWd7dKQFF9kUHLa/aXQ0wZEPkcRCY/F936fa
JlfskqUbXZnRbVBUD0xunZA4DpROJzTY3XF4jhiqM6/G5GSWF9OKjE+TbvBVeSlrpc3TnlDinUb/
VRKPmWQbKfAXcH373N9KlWNwswtn9bDTp+Wo4wS5Eik3i40UHftiS85cMW4JuiPPJ8zBFdA9XSCZ
j1jq53gPtPTsGcpzfaFvm4cqAni1rfIl7rKyxCvhTOJavM8PwkV+nbP4gDA7cPuFZ9a2u9GuU8kZ
N5R8d83KvM9isnEW/qHiUcXHUK0IFfSnMwuIg4IxcVsI6yncFfvxLieAMXS8Z8YRxllwYW3n6fEh
uS8bOz6JO1Z/69rbjTvzXN02wPps6dbamE50iVb9hoNfca6cyl2TOvKeTZ4PF8VHsT2fSA1Ud4Wx
1KhySgxrdnqAFhTtWSGNh/wkn/v3Ge+6IKHnGsbCuC4Em1SYm45gkgcKv129k5RF17jKlZ7aGPl/
fwh5i2x9P0Z+fwj5cLSVImmy4oxDCBPck7cngesq3ulH6S5bFod0ry1YOLgPyk229Y+56y102Kvm
0jvPXrRjvw6ffv9+PrWwmRzDnQZio5jMLEHBvT+hkNXrZbVKvdUtu01357+om2GB4jB28i+0xW+I
pE8fXZ4d2Nic6cl+UEWZIea2JuGIa92V8TPyOMm68MFJaGSFzVuSzMObuQr5bjftgz8nQtjKZNcs
l7JN8o1ULLX2IBAOShiMsKsuzHqh3DJrtLrrnIbLV5i5X7C45kvz9/v9cBzuGiUXan7CnbOHKCwM
V72RAhuxoCwvrdouTsOl9phdmnfSQiocTizVxSjs1PSLe+azbP7tO/r7jXz4jnJhJO9v4DvijQTX
ZKZMa3IyVvEFEffrhGzspR8t6y++Lumz6uD9x/9wdk3ickj7jrMrzS1ORWGw925jeZkS3oEy66g+
CTyjoy3FC+WUPoxfXf4vb5cPT8oY+pNXyrRh0hOxfdS7+qk4Kk/dtbqAapIvYZoGT9qeI0T3GsuU
hnZzMtc4b1ha0id1p4GFgcN6z07xRGV9J21+/+i8cQY/3c+aBRWchBmFnsn7R8cU20JLGDW42bG/
rA4me/hTdDVdZ2fafXkeLClAxUWzVK7lRbryVvXev1EP1YJJ4kFaVGu0Vptk1S2kC//YUxK96jR5
qHi3aJ3XJNLcCZtEheXFfizuyi++Xetzk4tvdzYmGDRNTWgi79+8ahBLrg0yVxeSJ5oqf0EqIIlm
aN1b7IZufiuIt/G4yEucgofmun3lgTX3TFD9fBGeZHpR+nzULrXriIwha8WvK0CFwoVCya8vCtOO
rKXKOsoiyymIs621GipbW5T75JlWXlMseLRVdSFzQmYbqm3OIANdSGs+RnrXGCc5X84FzJojUbzP
7+lUDjcTs3sTobDdHtHLec9ii9jRIY6KYFnvmiVB7LaS6Y7GYRYxnRe74DKmWTHYvgCC2Q7KZXs3
gjyzB4mOxEUbLH9/V8yZDJ+baKQ60bdEuwE78v2FTaYykOL5sWm3NUnD331ui4wG8ZKaA4si2YrB
NbaxoUDZ78jUIQq7zBrSjRivFIHR9FxjZk/Ef+mcifbpDSWoZqCtXw3Rxqw28FpEzzbENcfnVnCL
m9+//88OonmxoWGPEAa2GXbk9++/K0O5tTweO3Ovb/t98JCGTn+uXo8H7yCeybvwEK2rRbOFgXNF
Y+OLV//lbfn3q78F8/zUMCPnpmcGzDM1PDMwbY4dvSqa4fQLXucprmxn+YJySiQS6+ntpf9oArQP
n6u8zl+b306Azk8dMYAff2R+oee8GCtMgE39P9/+2n/JZwXRu//ALwD55KJ9qcbLl7pNmh9jxPkn
/6t/+Y9skeuxePkf//pMklUz/2t+mGc/T3BmThAjl9+MUsOs+Zf9ifHPy69+8cfwh4GpxDx0TqkG
H/L35Ef5xuAbnooxw4jIKuBR+DH5Mb/NwB/EJZ+BKvwVGAWLgQ2Od0VUjT8Z/fArn543jSBc/KAi
OSCQSz90673AC011JEpDMZ5CumQVXNqBjt+9Zt6YVWjL0oMYYBc3x0Vd6bZK6sWIdsBCs9LqlA0s
MkV3lL0rksLQKL2Q5mhPZk9Bsks1jYPEaw4mPshuJlYkMfWwdNOZ6FV0BQgrcJ3DTAA2NKyk9AaD
ix1RU5cMgCRNc5OcSk4ERM+/fqqMadmJaIY3FvBF+o80Ny5i/0CjLcNNnmBNHeOYE+dN1HEmbTLO
lsRkEp4agvEwigFkEkF7GMibvLLHcg7PtIUOyVSgu/zDYchPN67IadwARFEZEo+Oh53orhfvkuBF
JmXPIm7TxGhBEuJi6qyd5fk33XhZe5cm4dZjKHKQavVDNWhPYSfd1olGQ8zycvtZmupujd6kW0Uq
sa8SaIDOA2U86xqsGVjYy9kcJ/AginSkcCtzWuMg7fnyhaUaO5U1qyheyvRGb48ay3fsg+Zm4mRV
nhOW9O90WigIcRXpFiPNRN0blW6uPzUjE2QNURnPPvJeK+LID7FwzJAO3dX6ZS+rzvw/DfFFN7hk
/OiU9lD6+aAohLIJDGMgELCJ/D56KboEG/DKErx1JU241V9wbLtWM0J3IN00WEcKtMuBAJYt1iwI
ddwcCbrb/qmirznS0iBZ3en0uyy5K5jL4X5vBAEoKRHlArbq9CXTiCjT6A1a8XZsXmoGdDW5LvJk
2W0nQaquHCymdZ8u5I4/Il4R+rlJXTFRG8iDwI6VXBBw4orY/kNpX5NjAKvLUdOEjv7NOD2FXImy
cJPq2EI6DQciLfjWGLmoSb+u6jsx3Kr0qAKBfTyrwXe3qPEgTebwsFDOQAFbNl61lftp1w4vk5US
ZqI6ixnbb+t4jcvU8ZXLLL+LypewVM/MiJNpX9+F2Uvjv/z5ovvPOXafRcls/b9Ze5Gx7Fl5/+3/
vF96//q9H0svMhYkLIrBOksQG4iqd6sv/t4ZvaR8lLGY3zi3sHUTkKMSpW6xJv6Yu7P6QuWmZAWQ
qjDK/qPB+7y2vq+ACaBSJXK68UxbGH3e1wqSqA3k0RqK25B3n2i47rPWVtqvaDdzyfHpZZAXyDOw
fC6t3r9MWDBU6JnXu1KD5CVjNDldAI1eSuSyi3SDCj1ZznirJs9WJgP5OfEiTtd0q0umLaoirKqM
INH2KhhwEGSQ7Z+n6EwngjRuepzSFBW5Y0AI0AELFGnuEMgddK1dT+rCl6q1DBfDGAynpxiXS3Ft
dgSHQwn46es//vV5fiZb/eJimpIqYnbH7UouxYfjhFAZIIVGWXFNLFq9skf7bnvDy+9f5Nf7pYSE
aebbyLIx7+c/jyR9yQNaG2pcTBlYTDfzSCYRxE4ldmumJVFYkHHNsh+w/pfsAyX7ActA5gA0Y3O9
bMdLk13DpCxjixr0lzZ/jcybXvPpFOMINgcnYMapKnelz1fBuCgISfPTwKvoQLMVtJzerm2epvK6
Y0f12DJD9WnqLxpdXbaWshm4uj2900ZW7bQiihzHhc/uoFE9i4CDaza3MBawLKXb2pPPRbF/o72m
xXPHGDFTJ0cH5G8Ve3k+GXikB7LFkoIsMnXBB29janU0LDBNQMvZ0l2vktDmbsgZZl90dLIFRNkn
t+U1DtlK5/qdrA4lbbFuaCRqXIBMwUVZON2MTBFwUbKpZASgYie1dfEFN52TMe/xlWQ7R+3oSDJN
deGNo5MVaFTSi55+fk3rffbBQAOtjcGOCXLNAmaj7c1UN7BQslVtvdRQaCoajImsLCOQP2Wn0eTf
J8Gcby+wg+/V6UUfBDek0EgixKBwYzQ60dJFGdAdgQVhdd6m581m8NEgQsGOlMn/JnY6kjnpJU5f
crWNdDFExkWh0sPThSW0mCUCtV0uv8zRCGYjEX/7NHXmrqMHbKg1wYGTTQElKLRl2FnzNFvo4635
lE8dwN8Fu+1aiUKWAwyGpgj3k7yGodwH4f00t7qrR4MvWJoIlq8VyKCrukKpWgvbkgdcttB+TqQQ
Mh02/d0UEtg8XirzeY1+ezR1G1XoL71g3MFGRo4MTlXBx9vPB8HnkBslr1u+h8c0YE+VuLvMu7i9
0KTB0Xh55q09H3HKGKKr1RKxE+p1WAhMjyfxBjckyCX5XKmy+yxXz6JcX9YlMudJOijIgQcFRfEI
2DibFhbkloaBbs9wIkrrTeih3FhxOTaDQlfe2ne1ZGdzIWT64AyS8LGbSyRzLpYsqqZ2Lp9+/3S/
CU4/rJScOXGvs/7PZssPLavIJ5OHJE2FXAl/IYdXYo0VB24KQwSqthptxRDdh35rU8i5DU20MKAC
tmwVGXK/CPThizXtFyv3u/fzoXPFYTIc5IyVOx73Q8/cLX9NLbq2gS2k1qqwUEu1X6xwv1xG6WXO
AH1RVz8aPae0KgqpHxXXEhJiLV4LNoicucrblf6j0+I/pfh2jg39z4uW/zXHVzZhdvr5mDn/yj/q
FU35pqMbhJvKBqNhaeGv/qETNJRvpLex6cBXA3WAju4/TouCLH0zLFhgWJxU0tjluWnyj4JF0MB2
QkbgdyGamGxbf1SxzN2Xvx8QqiEFnBSlClpeEwfLR9AL5Hw1IxBp2ii4yamyQwG2iGgXwuVPl+UX
m/n7Psbn1/lQsrRR2bVpZkLarnA4QACLCvZBAeHcf+N1OEjNR2CO4W+n45/6Je3YNVVhYiBuolZ+
IuDOOgAZZ8L3+5d5f8h++zi8gAhXn6YQ6k++u5+LBi0yJd/Q6MuJjXIrx2bGPF+ucCsElQMdxNgI
2ONWv3/ND/33f7wolE8T+5OC4e7Di+JChEul5TFxlPrgmYtJmELO1QPBqDjsfdF/KBoFZlgZFAwN
07QIghWdzrp7aOJOT0TGwJrJXl3moMNXfjNXKHwpEQ3jLrIQNxVVmYD2aMBWZSOuj9xoTXdqO135
Qln3vif4+ZPMl/enbykg8jqcZL6ltlQWRUlLNQqTlez3CEOF4DvsgWHB13b3+wv4QfD218tCVyPs
bH6wPsFcmsIwIwMe1aZhBx914ThpFolyrS36/duuf5eHxl6jyDCrYTmqyp7g0PyLO/T9evz5TXz4
7LUQC70xwJ5XonooH6DzRtS3kpIawX3YxKL01Sb4i0ccfA3MGJFmlcYnf3+xY2ksxSEDaYBLmlZh
k+YeWOzaKrF6m0GIqFxIPesPPyUYQ6JBWNZ0CI5Mtz58SkuI03FIWmMhpyK6vk5j3m76xibKAA7+
/mv9cEFZujgQck6AhIpfEKHs+8+nw3nselOaNvGQP/tmUG47OfbXcaJat79/JfXDdBCPwvvX+vgI
krwgTVM6FpsoSrT0qAV1jO7H8/S8NDdaU+gZQbhpiVpJjoRCLe3J9+DTeI3SUJvpOcDOk1LlHllc
asHGsR7DzLJgCJUCRQlmhyE1JdLR5U6fyN6cYmPAKi62zBj8UW6Gh0HqfABqYzppyGyCWMPyTEsL
nzyqigZB56II/UqnG1eHAY7YshCStxgzOTZit2d90s+6qBbq76bvE+RKO673C9HOInEI6VdlRZZ/
73Nr1C3GFPjVjGMa+YlAR00lRgVSo9/6xFq2DBuKGEC+IAHdkIRIFxeFMGT9oTRSo1TsLA1071mR
aqM/QF5saOvL/VimsYuRr0QxXqZ1nBfuBN1O2ueFjiQGer6lrNmurNh04ooguH0Ziw+JNBaMPVo0
sLR1EsOJ4l6pzrSaNPIuLW9yb/QQfBeXKZYueWfmRoJRTm/ynngJj/8k3c+TpckcCd4ws/mUgNUv
TtZ4+bowvzEbFeL7VV9VuoWKZda1Y3TDkU9qs+KFdS2sco8NzMNLPqgeAvcyFUuyUkXOVgoWfLOs
nvo4k0dlkdepj3yzl5sJPGJtdEwPSDglnl5dSXmVVfQLxziXENNwl1KjB/zL8lny78yd15LcSJZt
vwjXoMXLfQitMlLLFxizSEJrB+DuX39XZHffJpM1pPXMy1iZhVFlIQLhcHHO3msbeRijoRE9GYhQ
FqLwtoycrMlvA4ctcwWXotXofKpM6qh+Cey0cgfA+06OZcX3OvshEHgI0+08WJ79Huk0s4dlgHC/
/R44JKu7xF/CXWahcMhbRQwnOzPplrPwY8vekEnmGN/iMcjxsBDIIMD+5U6BYX092ARECEndN57j
oluKaCZa76yhtIKp6EOjJjYUwX5oTvhR2k5E5chmVkwSqUkTVl6gEU01dR7uXD4Crki7JrgwWWhu
t073OGGHoNtrbEG9t5NdbIwhursgYRy6jQLExtJqRihu0tqrs3lVOZErp8XgFL7csouq4YEFQYpp
9LHwy/wSp5D4+eidGk2sp0t+Ix/gLbNlWuGJH70wb49lkc3d1Ww2QfdXkdrKTylVorxP7hMlzfTW
zequlZvc6M3gPp0C4g+TIHELBEqN04T2IhCRF8OOaVQ4g2HuTSA3ec7iCqrFG6us2YWBR9DI0eQf
Ip4ixGiq9wNI4rzeJGKYXEZmH6lm2CV2lMwF+uLSMK8SbgAitQE3NRLVvDbnNjyWvpO0MeLoCk/7
zm0qB1Ggheed8A8ZCRqX1OlJtI5QK06CGj/14lLO7wn0U21tBxr3M/EUnjfjkOp8V3Dgqmt7pGre
D5OhNFJmz1UPVtzi1F41SWcllD6rbNY50MzGMO+btOE5QJHg2dK8TV3T7DlhE8xV81VUNlLy8i6b
PMjTi6rNgxidiNN3ea9OTWI4ikFF5Mbgr6zMaQQzQc0yn79mdmHG5ZZzr2M/pp6vSdlrs2kKRsxU
hqpvo7JvyQ3NRzo9PTkp8TCOp8SqyRdKMq+nSWgkghWsKDWxnQsRlsY0bJKmkQgcg3qICvwlrUMa
0CZKYkO1K9ftm85FXT5rMaKbKkh0rh/NIS5jHIt+g67bIB6SvVxVkPrWLJ0+rfVDp3NLfG3bSFGM
aGRV9l+irLJQeta6hFmFbU1G6J/6OalseCl5UGMyUTjPsMZWE4VJ6jRJaCDZg8/ayYdcMlbzC17C
bKi+4NEOq4Ujeo2cU1ZWMRgrt0tjEGRYyjyYIJybE/eLw23rOu4xE7VcdhiW0U43Fnnc9QK6llt8
VW3ZNV/6vjINeBtseQAZFlPHhOPWc0MBR6KACaiTT+nYvAlL1XazCvKAbC0UhGxNnr2CPXq+0QVk
zseG9RQbrm2EAyyyxudfoKkWWY+aoJ8boahNhKM3PGpndhA/911vZnsOtBW5x8LvKve2VJ1qxIY9
plehHi76icfCgpwZLEk20/NF62b1tcvncP32WTm1Fz02divR1bvtxBlhI/ymzJ0VKeC1/w3kFtPL
Is5Hs3ylO9Vitm900RNz0k+zT7tL8fxzXwbLjfz7HuiM89SZlTe/g1isuvcaujqNZhVWVYq+MS9V
sSH9Vot6bYaNJCyM5SjPkXJAFcc+MNuJRlCVhK3NlwRYv6DPGxRZ1XxVFsvEq9/04fAcpzCn+k0j
Oqa5ReFntXdd1VVuPDujz8FkEZk6pkTIFNKmr6O2p/kZg8vEfFmX/YD+fwo75vNgGHzv1jMTk053
1sezfAVTngWPRjS2EhkBA9PYzRCVNORVOQI4WWSx10Xu2g3ZwMQwcKtCvmGx9a0vhhH34xNs6R71
4gA1I8VP4g4Fqh0xV+lwdAfDst60nBPXXHkqM3BImDEHw+eBVRYI3RD5RpiB/S4vPatOzcZiMND1
zX7lEOUcUdbZhjTS/GmbjX7vNks3Zrl/4HQm0B97c5+EN5GYYgSacUs7+61msrbQhlq5nRSros7n
elf10QzAzqmEeTdCykQVatmsy/by0nwnyEdS83w1DCG/VaQcdW9xw+pyrMgrujR1AjJKv8XVaPa3
Mret2loaKX8/LEan9y2YnuzU5oeqqfxbX5h6EY95PD21qvUdYOCtxWruD4n7dSRAB01gH5sdTTm3
M6z0XIEsEwIMtsVWBSfp5F7A14kEE9c0VOooXPqeUV/FFaw2JpzI6cL7cKwtIvH6KRHz3plzFLNJ
2WuQMxkZQkmzcIbMUVf5HLX5u7Qy0bFwmXPvn6nj5EO2gMZdsj9wmhkzSqjabkQDzX8Gi+0kDYqB
RZNJL0ZqnMqu+yJnFRXIQuJwtFa/3/d+OkGw68Xvf9lfW1QdqJNfduA/HNe0OQ/+lJp6P3UviXu8
ZDAh4R0gM//+Op+KBL9c5/I+frhO7LuW4Zda702UMCIkytOVUJ5+f5FPZ08fpi3NGSoutAIgW34m
wlYz2dCaBWzfGppvuLAOruPe2L46N5mxjwt5tHvrD+WCSwXoxzLLx0U/OChYPC81l09nMBPdQ117
Nmp4n2x30aDhVMlrF3kbSE6oXNv6TmEyqvOYZvuQkQLV/affIR/7x3dg/3xvG82Z3xz5Dj0r3xXS
2bVhwypwicTMKSP//h7/8kV+XIwKFWdttJSfT38qD7J6ily9b7DiBLF4bppg/z+7xOVr/mGslKrU
hRo8vYdzfmpKAbex+MOn+GXY8ylc9Ix0l+nl8bX9fImszlwWdw6WMwraMV4w6SHpvnVa7w9W2r+7
XS5OPJtaIef0z6NjVqxLqpZ6n6cmjZV8n7NN/v3t+nXU2xfnv0v8FEZ+mpM/f5Y2LWWZwrWnznct
LXrj023X3pY+mWfqNOnhD6Ptbwb85XoudU8GPGWHT/fOSJ2qVman96x8mzlAcYyaT5mASNRRFcOy
bYqFsA/a+JojePj9Z/2lIBD8dO3PirNBG3kOk0PvYSbI8i0361U5/2H4/To2fr7Gp/pGBRNEoP3h
GgBR1de4fJXdqQpef/9J/nSVT4M8HvI8QvfBQzs18Ew3FXaZkvLs2FR/+MJ+HYI/f55P42O2SieR
cDX3bmZjb/jLnf6zkh8z4OUClBspopDv/NmTPsWoMkxNoTnCQpv4B+2cYBaFCfES9ktLC/O/c+f+
fblPn8f2osS1Ymw3FQvvNJ5VwoLp0i/97zxXvoU8kNUxIkXr5+fKBgzBHlFcxrn9ZA8hUZZNsjKI
ClBnNpubpvzTWvK3T/IPV/w0kYuim1KdMiaIx75w79ki7qPmi8IHancHS/+pfHgZyT90CC5fHB+M
DQBxLKBAPpe8wPg3gVXhAa1mrKM0C2l961oPC+g9b85MWfn339znpzewKM96rLlg7innfY5izwzO
LJ5q5r2eG/OgRRg8zzIhOaTN5fr3l7oMgh8/2selYDVwMjMReZqfvjxaHvMsmpxLNQ959B5wElO6
A/L3qokhGb8LmFu/v+In6Tonq8un++GSn7ZSRXipFY5yhv2sFae6ORcG9BBPPuc0tu+h1I56l1vN
0gItsipt/BzWHOxs6Qz3fm0O13ESw5KyvP5P7YW/ve+EvbE+sEH5BfetOBE4NbqQtc9h71SnLl3o
mlpJLRJELL+/DX+41i8BR2nbt+VYXzbG/Zqj/lJMCW615g/f7y+r0OVuR6yqdNgAylGO/vnpbAep
y9RN532M9E6NwaLVAToKhRkz2JI7AtoZ5bnCvEzEKoeiPyxEnyfVf1w+ogsFJwSp6Kfx1ZWVnU+m
a+6FCYSyrUW4jkqOFb+/mX87pi5P6L8u82lMpYRTybg1sFKZ7WFiA1sat6IjpcQEDYbik+3wIQSE
PQYz0/uw9P1tR2aF17/8/o18Xq0+Pi5DB5Wtz43/vI1pw6BJrSbhIglsuWDS0zZqFZbwEv97Fc3x
5vfX+9vbC0WP94/W9ZddZs4YdWPbm/alY/01ThNQ1wtp/fcX+Tz98aHYLjkeswRqWiBFPw8hycGN
E68x7t0a4b5OlsJp4dDvpotFwf5T28T5myeDyYgMsyi6HE4+pyO4SRf4Qw6ZuEvV1N+Q4hTmBJn6
ijQUmbaRx9YpyFBMUZCd0ZHqpC8c/B0gaqBgjAxDvJSzTtF50dyyrHyTy3AmNiVPJur9x5Eafe6j
mKEIwSE2TvA3pqqu9KmKp8HcunUtrwevoUCDhlaDzV+OnDNbax+nmhIBiba2X3xvdJbMLw5UL3qF
8WT1iO+pOcpMInFqLRnHSIfqylkOkWm25qkPaIdmTF3NcFP7pIPEf3gIPsxSP8/lKMQIir8E0mFB
+Xzj7DAcyqh3k31VuMNC5ChxDGtGV5wNPSimEpMynlxVze+ycO6SzCZVOFwOXXaaOuRDTCELYcob
qxBPFaVH1Dfp2cnalSMQjqjxrU9zCv7NtZNOLhvZ5GvR229JSvU3uRQA4no11uX0hwnkEyz8slww
axCmbvP+Hdf5+PsfTjngrtvJj3vK5JTkFnryLsWbbuslGDZEIE9DWTVrB94ehgpYEiQgpzQmZI63
I4iHP7ybXx8F3owDrxOpAMndnx+FqrRgQJtDui8KgoUm5R8N00sQdg9nJ2pWXqK3v3/2/v7jAwwH
QM9B/Zcn3J087Wc5H79t8SZ22XBueg6TfQU+wbAWkY9FHuA1Nb/rGc41ZeCrunG2pZf/YRb4mzmW
x5IUGSg8dFFBmf88Dah4cnOvN9M9Z9vHtqtx3GVfx8I+liYFm/nGcUcYRNfJtQuqxWrtbhGUwa4r
/S9/uCUX1ePP4/zyRgK48XQnoZZ+mo8c2jytnDxuSU4VP0h2RpduMgqCnXZuxNgi6CQbwK2+68i4
/7j2f6Tx+Xuvx49Wj//7X8mA/hcaQmyWsP9a3LNoWIwzvqCLxOef4bz8wL+kPQDw0Oqx7BKOyLMZ
MJX/CwEW/R+EVhx/qZuhVmZa+re0h78KaCJfomSQRAOa5O/+Je2xUTcTLsUDhrDnAlb2/xMryCUS
9OfBwsHbIiaGv+Btkir9Yb79YfrgPaTSHEOTMBE0dqWdXMfK05s4UCG9RgkPlqCa9BpVmjrZI+a6
yz/5ePn4849flVF3M9dVd/j4XfD//0UkG5pK1pz943/88QNstdpzVIVgUoqjcLLucaSldJeV83IG
l/n48QJZQ5gtpAyzuSki/aUve3WTy7y8C6Lutg8vFU2j2/dYbMACec0q7ft3JwEcQz7MnVchefXq
gsWuNAagnfYifTHqjFAMIwy+uQ5dlTrCJT061pqQgQwAxnwa88LcYl9d5Y56Q6PqLW0iFvYDrPT9
mMNnbxPzOqtDcWqgZ09kvcHzybuNoeu9iO2R+6a4PN6IuT7OkT2sDbCmN2ViUpqNnDuWpr0qXGud
R12zNcJ6AGCDdZv+5bYIWUKmpM03teyLe23KYRVKBbXPsOtNP/sdxvAzOXbGVWLY8VXT1NZVEB/I
XgILEipvNTXC3bXyPssMDc8ogkYBYLYhgj7xNKEKaSTY+xURiCrzyqazQ78xM9+YmmYAAKIjsc1O
c3zULHmk6jn9pTGEopdT7YaD7Y0xteBMWDEDZC+6cBofVoFQ18K2IVx4yZavgz0QhvnJCdZKabkc
y+AcNXN5rAL1zNnX23uA99f5UBJE00gaEtA6+jCrlqntPpoTjv2x5s0V81uhsnapiOAAV5queiMg
xg1uT1v3j+zXk0Wez+ky0eapdsFhCO+vdgx3U8ymvRLkyAv1PFfWrZGaw+KibRahc/RtoDE6bK+k
hQBV6WiNPD5YYJldGGMBLWZmGMDPgNSS0qxGC7Go+6RfkIJJb2tphIVe1oV9crSv0bs2FBXFMq3S
Z1Eam4z4w3iavvUCr0o5J1fRmB6TWv9ldYO7oPPw3bFwZqcpEJLozVMxsBu1CQ19NiyxzjIksvlL
5YCp8FKfo3Px0tlX4C6/FYSP0UTzTqLH0ZkNDmJmPg+9bX84U5A5ZFNl0r/GJ5qhbo4DN6ap+cLw
K9HRZtnCosy6yt2CPy30xkjpNY5CQZvRLdmfYLH8nu96zL0vtrLLk+oi87YT3TdDx+ZBFO+hHMKN
jx4F0J5HRdjCNlz64X4GHRy1RrYnuCfYBYnlrrqqe1LjGB6Kckg2YTtucXZXgzVv4wrHd8FYF7bz
WmuB8zV5QIYk+SKhkvQJIYYGjYmPl5Ru97bOmuewcz2WSP+sRuQSTeGSL1XkRMm3XxQ9nkNExsI0
zD1K6OpM4hC5lWYfPAWZ/Vqxmfxm7M0qYpoBuZU5FXSpOPQWNYK9tYy5qlNVh0mAc3ad8cAGfzuE
uCbZcGOFK7EeS8ay7XydeVQY6daycY1pN+fFiTbwl8SpjvE83M8jHWKQjV97H49F0A6ACYOORq5q
1rFnHSPalgsHYuhCTP1xrNJH4jCvcKBhfApBM7ep3PlZfKpyn4k2qAq+4xoM73zmkHSOHTpsbvaX
dtIvTN9kmjWawAKeyw4gDFsavYprgrz7Ut9irL41ISXVnXJR7mNsQ5wY0pWF15HV5VMQ0+w9EirC
NA4qL4j9GD5x+JKbUX+SsPjn0m8Qog9408uwPohxEWTFuKrsmA7Z6NergRUL7AhI7zgctqZt8p2A
dqq0Pqe+Ox7KupsOH7+KwRYpU1brapjuU2QnK23B8O7n+N5Mn0NLmevS1XfpAOjRyvFYXX4yidV0
iCNeCuWfWDztVaH5zaBJy2RYVw7kxeLy0qpir0tnBrhDOatdoekAhD3O5jb3JTybkuBdXCuTQ/JW
EF11wrnTZbD2KvrtfdTlq1nrpTciokDK/mK0UX1hvD4moXXoHCgkZZw1q76wjoWok72M5LD0muyd
QtqwsV1OAkX/LOGNbxwdJxs/CDeVI+mGh3zNgIyd5fRqukS6FMHFV2ltXHrRqx7oY11HL70pi6Xj
3JFRNwCAwb1Y6urRKozrkeT5Y5FHCxHlAFIStBeTmu7KtsLOCEeS9cFakx/2rWeBfaivAG/HOzRe
2VbK+C3gjM9I7FdyLi43a7BWjIQz+/Cbvs3FkuZvtImb7iYoyWBsWxFsS+7muin719CcxartynOk
1c7r3a9RLN5HM9vGWeccO4tT7exPnC165DwemOjYv7YVgWtu1LJpyG6c2STXZKyhw8QcNWUAY9fR
AQA5CyGSfmY7inbUhGs0mIRmly9U695iBd2MfuYN8gFQ6fjsLCM6JqxPqKZe7MSK1pJE5wgVyeTa
Z87d2wn5lNUC49MB8+nlfxS5+QrdSL4zZpt28YXrHjYQ1IexxSvqvkwNlIw+FI9kS71V9jodKng5
SXKt67u+S7yViliRcwPG1AyPITpII9Vr9DaIJXr8TLEpr4KieDJ6baJcEDtVWmdadTurFLc+KcHW
CAOgmApUT2vVVNYK3P6tGuu3yZW4PXLWGDsLqLfU3WPc6k1tb8oL3W6MIgXaJ97OJaE8ci1skmmp
UMHpsxX+juTBmuG7WyMfn0QXqPNle/ZNvK/TfUauST0Pj4Udfq+8t7I4zYpdfVQOW2Q9tP8BXIwV
Z87WrApAw/LcUS+9ZW7/qsku8wv6A3bVfxvBDfQ80Ws54f4R9vgQ9qQjG6aDoypKgMJB/unl2xRW
j23vPwci2DhBt4RNfx3baj+2FF3JYZALux00x85yjQ2oWM4S/pIQ5XeFF2VCYTfnDiBQ6xKTQPD9
gpXk3FvR2bNWCWoEeEfhd1Pn74VAdjPp5uSk+Ys7Sb1sSi/bFp4mhsB7LILyaNVvbumTf+OllDwt
qucDYpeWHWpPrBebmokad5y/TohFcvi2IAuxGAU1zXBNlFlaAtb0BAaWukOIZ55wToW8cYZaZG1y
lwWfOWTlFiz6MyBGV3Tt0rDZEbRmvLOy9OQYrGVOttFUQMMJjJFlYDzNqLZk3NrRh/8qYiIJc8N+
kyg0C2mc02BujzHWnXRCsnV0x/iLwP6yGQfNsG6K6waGjhxJKnYhBtlsw9whRfOC7w3EW7TM4TXl
D7bdgK+NYMgng1r7rtrZFVjqiVrsJm/jh1m571bYvarBAY893EeeeeWX8rbOWuRycX6YK5KKJ8kC
Ou7iMn3sL26uyOJPUlLqHIMZnLVDDB5o7Ni+ksigVpe3X8luQgY4vgtZb2szvxKRA90/O3FCwRbU
elskSkuph29ByL6wUK/waZeTBBUBfQrZ0KKPsmfUEmCcSmBpc3urbdUf8p4SxWay5LlP2KmR3Y69
eUJJaZRHJ7ROTjkeJ9/4MhQAO2/QEG+V3Tx5Q8xQd8o1opW7wPA9kH2uv+o9rIg5q3j5PDETeml3
bByTqOGpXOX4uGaUczrJd44GtWTn3yU9xc6xtgnw4qWyVLPsnXjPerwls3xfTv3BhRbchreugsFl
RVZA7B6bZANKQWVvRw3drbXFoZnye/TZGzsbQbAeM7OTu8AtUGVM/makC7dAwplfbF1qbRdaASQF
KyfBis7BGO1Rzj+2I+0tfgYauXodBVYoLxi3I3XnNgtv2aQdR2rsDlvLsJitjVOTeT9GGPkmUoSc
+xim+7L1ODNVyG5Ufz96kEFKM19PfpPvGlf8NfnWiZxOgrfcKd50+DLpaBNjYINBtp1bs57aVVw+
I78BTabyB2aRu1oS8zcqzVbAoJhROU6zQ7qzytg1oEYjNaJkY78qa/SgBCyvnUCRcuY2N02aJ6vB
n8+ZSU4Bbuvuocx0tunbujoTf+YcXX5yzboAb10F5ZNrlsCJu3afufJJKdyDtECKBYVMBFFIJFf+
lP1lzB3hztXJkbW117JvUZL6zaEM/FuiNUhN54BjcKA6+I+uWXAipF7PU563gMbG777CRhJYZsku
YI5wNxkWwOawhPgn4yf4HeFaxM6d78wEOlfVnbRCjjSOcSL38qJiBiMnB9EcpstLkRFzKel8LOR0
MfCXsb8C/Jewp+g7gqwfkdi3BxnF625qJCjr/GFuikYvByBnbGzWZVk9ldpQkDHlLlNAb+IAm2Mp
+hrQaQAS86J403Fz+Hgx6/pStFdfHI2MUOlXx+dWewkpKlk+HqrLSzdW26Kl4Ixy6ZueUPQZvYSx
hzzRsKetHMvxNuMORwIxf1w9cKaC+pc94itaVi1AQ69EfNoNcqFd5p+sS+ADQNGvWoBxszviwjff
ApaR01BZp7mgYT6k3VceUbiMEWQxUT0qt1tnntpEhXHPCIKq16bOGdkTGhoqwousDL5JghohHOhg
ieh/Xk5D85TIuSSOKyGEOwMfaObszsx4BuEWqPMUZNtgxvLPtubGMJP8CkTG/WjW1VoIbIOZ9JdW
WsG4nQT3zMsCNh7wIof2xhuZGBH1dUtsh+XNWzU3HsuBOFEey2Fwgz8doZ2ua9Fsiq6fT26M67mZ
yKJkeC9ZTpAjlAaxXVVX3xgJGF+VGPmOWEi2LcOVy4l1X8TDWmWlsezsjpjwMZ+X0rTlVldvCLnR
mxZRtIuyoL9FDTshYh/2cSJMLKCQBwqkl+D/Mpe6gb9MClFcxeZ1znlx5bbvU9ptx0o3yzLpnBup
tH2DEH4E/kMcuqqjGwPKQGdD0B0JPnGYlVbVxINVDKJfdQnYRJmHX5qBbPUksm6j3IQr4YQTRk4+
I/rqVZfB4SgyU2xqFL8clbx9Ry47O321MUqPAm5LUmwRqB1J3AQgDF5Bwy+bbvkYNBi1Dva1j6ay
8sW0a4eH2O3T4+TJL15lXovYv2f5drd+O7+UhgHT2soe53Kebx3OrMrUCXUgLQ92AK+XCXFZ+Y2x
Ff43hI5XNmLdLd2MF7uz2h29evwo7MMWaGzbXWG3lNJ5H1nbj7du/9W0Yrm3DEGdOyEFLgPO6st+
GRvEoDSKMCbrPHu1JLkorxc6Du/sUVq3c8ckYIVDtmKTCbak65IVYqG8r/YZXVVDjZyf6ITM6Vxx
w7G9zgOrsU7PXZKR7Ue42WFGEnGIqc1IwLMiLqPLtrFYVhy+YDwziQ7tvmqeLRKU2GZafwU9MYVY
FNSBICeqVK0c4ZJML+kIWjYCajyWqbUKg+SlawuxSYL8aVbGQ+REw2Z2VbIDf7Frkig6fLyQS9Qf
rPKtbAv57k+mRVHf2JZu4x3sPujO3ghud+oy9VwENYs+dEGO1i9JMKwrswoRjFOIiWv0FmXhGvej
Zk0Uj8gi6/fGNAjAaXVzW7Q+j6uXMhLxoFBBUtdBBAF2KnCYZXddcuvbY3gXpPOT55Mq17AUxnXe
wBQMxxsleV6wS9tPY4Zbqpe7ymyArLqlt6uEfq8v/0+Bu4LkrKijRIAKyIQKrYPmJAkzh9jUWu8U
h+rCSP4qyR9dFfYcLIcBDZ72IQt7o5Y7o0nfx6iwUCoFLsfMwd54XgN/V8ttyYJ/VwgZbIOU9NRU
TBGBxnm8NQs2Xd25NI1Vl0/+DWmZwY3off+mMOpdma3n3nGu6s5L7ipUTGdV1xtRUSlcsrC4G8Vz
QtGXchE5vXehKZK73u/HxdQlV40M2u04heND0bNLq4zwZraqazzXmK4t+zW1iQ4SZB4aM7jZtnmn
11+uhKYhlkwjpZGwvPTNMsjfBBgHnPZze61FF6N4rsgXQ/I9XbUxVu5KzQQ9iTpfCytuljYR0leG
RucMvThF19TCyR4desp5Fw8b3RN8GCe5RfCWNa9GZpNl75bWOo7BtSosZld4FPJVYnc50lRn1Yqw
PotI3zV8Jbu4N4arWlj/fBkLf9pbQ3gq3fLdmSd3G3WtuPp4SZky2ek0D7Xd3U4TwblpG4mr/PKS
+r6NYaSpx6tqCu+vUIzo3XD5rVPL8Ypndbz6+O3HS5WUN5CTTv2UYuivg3/+g3/8iq51Fc6QaZF0
b4ghBAcbN8gXi+rUYCG8LjpXX2eyojDWJeO6nIW+hkzgEUgGBjM3r52wxIR1Cfb9+K2KhXldXX7I
mZxDgY5l69rhTVpIuDgln/8c+Dvhk0i7cBubmSYBluZM4XRo5vgO04iRr2Uh7Y1VEOJpNB6o4Cpx
ENAX9nU9jtY15ZFVZgc+Gj57PIbYWY51jcqyqJNq5c3FeKTnBzD245eDJcZjphroSrSdlt0QiGPW
Gui+08Lpjtb+40+M0omXRnYRVuetOEaEoh0/fvXvF5hU48oYvAD/pEHkm2Kky5psCFe1R7PGLbDo
IjwFqi0mAjncosWZ5o8cFNntOG4H5xegjuY4mbF/kk5zLKexOQqdQD24/PbjpUgFykErkrsOMhP0
68Ik9b7fz4NpX4f5bS6lusNOtrAc2AFYGTpkNZyu/XOcN9kNWKPoYewg8fr6sQn6/MGpv5RLlCDl
o0sW9aaVSHzavGP1L5O7ia3eY+qn925TX+Q4afk4V7xxj5P6wRKw8DuVHUIF/BR6N+1xT3ubKMbO
Wumovwo8Ya+RzLvYxaigoA9/tc32anCvhUudjNJXupJ9Ckk/BVFQOpeUn9FVR91xs1pYHZedXE9a
T3zrBRZM+i4lXD4jE9Tw9ZshXPPOJT3hLhXXnnNjJ+P2Iho/0+ROn8bKvMrSzDldQttLNURPJJro
VPbPXZTAtI5AZRURELsxzM+GejEYjfvI6Hne/XATTXV5T9qPc28m9Xpg1X62DIUMvQHP7R8IMEON
n07RSZjFnWjJg/cAO4pUB5w/QAP6A2D5PtmPqZFzdiiizWD7B9UUMCU8BakX3aU7DOu8J+Q+rNod
Hi48Fg4P25wE6yYRwOR7yBbUXemfszUSdaWWFSWv1eU59Cr227Olj0bAEIrMGJavL03i2R660PiC
3eQKiQIb+oIUmLQfydGN4VeQqNKpgAlJewqwRQrKfXzKPeTPstacXnv/e5e6j+MI78RQTJKkTg0U
g6h2UxRKrHy6Cvm1F+W39UxdoR6+8/hbGzL36lWEGHgxRXS09GTV+yzJvsxevyuCQAFMsaCfNJvA
4+QWePW0dGerWJn+yk71Vxt31cJ06h0MMHvH83FbeDaSAXIECCxscFAblPHKaFi7MaznScb3us9c
5tX+2YnlueBQnIK8CMZ83OphuqFDjNhIGW9FlLPBSkZ74ZFt29bRxsfQtI8z2PlN2ywHnU9L0ZbF
OnJiZ9Ekk70t2xL07NRhvCvsEXQ1xPCxfMoQKSxAuzHPi2Fbq3QVDa2/wqRdn5JOP9u9d+xDW923
s7EqTPyQcRewdAmAI3SWeCQac9XHRvjk0gJq3X6ZtKVxM1biYfYUp3IHhDN2SJOyMVECHfHC5qD7
V8W/7vvRWfYiUKwD7nxk77/wa4BkQE6K65FtHEef+DCVdfOmhyPxfoqu5F+2A5ZZGTDQPVOSP+uA
nDPsTQhCBzhMcZ4GjqdjmJXXQxdfBeHE3qMeOvrpQ/qkAHItUhmzRkYO4V2XTmI4h8xuXewf2jBu
jv+PqfPabVzJ1vATEWAOt6KyZMs53RQc2iSLqVjMfPr55DMHmItttNuNbm2FqrX+SHf8ta3XcOI8
KeQBOYB6Tpqc1zSS486rlHp29JBth9KmKJMBtx7D+nkaGd/7yqXTxx3qZxu2/mAnjHN/P3Xt9EE1
Trqr0EqvisaunqN61Dcwpb9/3zlu5V7EEtyWikjQKsrmvSUC4NAkNXbplG7pWZyfVarTx4qr9++7
SlAhgcnM4SghLNerp2dRFskzA9rfN72g9SzkiN8o718yibNiToi72iLDWrpvqUccuv+hc50em7re
p1Ss33rrshFUnlcWWLaVvaQgE+tytij6095z3U0l2fUk3jeUGVTXgwaWgjju2S73bdU8+ET2rQeG
yVinFCkI+1gt1iH3/Wg9QVHCfDHHLJCNqwRN5IpK0NXkZzdRwL1VR0TvVfe8TdJTISYq1K/eTDrW
s3sv7CWB7I1Y/30Lw6q2XQPg5Ld5vusLBX12/XN/P5087AEyY13/+5aUAjbsIbrthLmcWzFS2DvW
SbxQlXonmjt2+nw7CT9ZW/QOb5rEaddtpoa7rhjfByvTx5GQozstov7OJoKX2lnWwG5ssSnx+xbG
PlLoI4dKchDn1n4comWb4l/nTs3UxqFq0VIEO3WF3lbDtHdTaLteFgBVoqJmIL+mE5LC3qf6jX6t
necRmz9MHXeylc7nSHzYpdoq116OfcTRaSpizweaDrJ6WDf5rXGNDwqKo9EF5+wag9jalbHKnUdZ
wiGbKYFDaiHMwbCf+oLeAmwCJ+NTif5h4sPahuQt5k7SrAHlWSKbPmcnBnvVUW2dWf/jaFFMzR9A
EtHl74umAjRUibUdGbziMKqGQzcDh8JPy0ttUU/Hhi0ULrc6i8qLLpr7WbpgRyFYxtCZN8JR3Y54
yWrbLH4AvhLj3aJ1p4VhEGOIt4PsfTPrpsdkzPRzl1+s1r4npnFvzOCRjNAMuzp/8Uxt829U51A0
7QqP1LG0cZr3HO6x548Ny95yNluSBTEYBzcWB8CqgJJry9E/tbM8F1Y4bbuJhMJK4tpL5LEJN8gW
5Dpz3YsSoeK5S3/DKX9ieOlt0qM6Bhpa35fkLrXHm8XZQ2JvQ0u88KH/THJ+Y+xgPnVYAvHaOjaA
IGvpkDc5HYALn5EklLEvxToo8h+rZygzHkfZPxC6eRsKm/ctRVy8sViXQEdGtet0v2MWlH5LS4xR
bgZdhvHgRMlO1mc90hboyfaJ9fqWNtYNguoXf+wyfI3Ti2/Nn60lvR1/ab4q25Eik6j60gbaMjGq
ix3MNKq24T2X5MgcRnFIkkDuT3w8uwKqG7M1/5nGYVDOxjXCW0BmykRE832t7n6TtRPSU2pk+17a
adz3UKMj7aNZ6z6E9vAeGTB/GMpAsPDwM82+OWjf4mCg7abLS1554FN1Fc8KI8PXz7Ee5UTl9z1B
j8NifpdL+61Lr930ZgdQLqkroq5wk5uyiTEsrAcvJ0rJTs7EenyZpUtWp7/MiFBcUo7HYuvqKx3j
PITl8mb0Uq4XSTuF2W8RQrwXNeFkjU99omX5F5cuWiyPxc9swzWNEQ9gwkzSafstKgi9GkZ65bLs
SmpG9jfDdb5Kyk+rouShGuVlyFxY5gArOdKSdHbjIGzfQ82ZJd59RRnELP39mM45aZwc1WO7QhHK
MNh6gLE2s29bCuBsEC3tHVLhbpWjeH4GTsLeX3EZkwM63QERNVTmiPs59TrqbVEYLBcPMwBN6cu1
QeJnsfgwUvHK1eXmK8ZGuty64BUkap+nh0GD66HdnW5k6W6cPL8QK/ZU1e12WtLoUOTpr0rcbSXl
N1XZx0yU3crgji3o701HUpNTjhIqsJyV9bp0lsPB1X13SXmfieaxcjx/tXTZIb+Cv6rME6qEQouP
N7XXlO1S++OG99FMaHsmWdYd+oLXrR0RL2E4bznxByttfptgvGt0UY96hh9KIZqQNitdvtZl84qn
+63jLSX4y2qyVfOWJAA/nN6t/FreAQg2DG7ITYV6qH5NB+MeX8Govx2XcptouIarFUtymnATW9o4
2xQJBjWBNqLWb0Jyw8NGmTP6mesDWFT4wgZa+jmXlYoGxsyWYLv61kGqMIG7Qk6xToMA+1UXd172
0DNFA7d5uzQqH6KagiKgoTuvXFn7oDO2UwNPG+bP/oAHPENkgSz+VzvdbZMW93wMycHQjKY5tTPM
lKSOTnBCeXZIlHErASCO0bDrnODev+ZsNUW3Ezmu54Gxo3DKm4C9u8quEqf0PWrzdB022aWaunwj
kuhz6h5JREvXaZSGa4fLemgrjQeaaXSA/kqrYhNa0BBO+9yUnOpFQqpLElBHl13bm3rvx+zHuxHI
D32D/RKib2ODrPazS66FUAXv7dZm80l4mpMbgp/8Vdt6tA4ztC2B3pdp8gmPb8eZhfSDkXSU/64a
mh7qaqsrQ65MIPRIFFtVBRvlsNk2b1kp9n4bvtf6JYU430TELqAZHmvGWBJ/S9JNwmmksszqniUY
RTee5oJWpkpEFcoQ+19BLRRwGxsumSKdMTdxkyzbxOwtCM/YnavHUtKGQtQJm1ydr33D/XaTDlPs
YHGM3aM+MGLMjNnJT7NTB/e/mjvfoIDE5PMIGmoVFFG5k07W/eBsgoY4EKR7sYEAgHiLsIbFoMgx
NPUmcBpvRdiI3IzMh6sMpB63uTjVBaEUBc5lzwMBQr/lKzRa8KmfpsfR5PfTk5236y4c5bhy9eis
K39o1jjFmdevSHjpnUbMeZvJ4NIoQjs/pZwJu6m2vJ3Q8kayL3EahJw4OZpOx6KVzmuso0EPzZIa
4QGyZyA1cv7sTG9gPtoz9ROnSLdU16TYSq1En92Ofz0C6gPfmYKjnv2AFhHQa9OCjyt+hZH353pc
qetC74vqZDaROFb9TDWYTHdFTfqhLGjA9Oheczyw/zp6sDCtHz281hjXWaCIm6LyoerlpRoL45hz
C1BQy6/+vrRzKI69nREgFloTSS8pnZ9EGhpHdf3CWGkcRw/knAiMZuPVip7w6w9MUF1SKWliSo2z
dDiZiuHKA9pw61FJhUT4D3dSezIwMW4WgfF48e+rIsK8anrUbfd0yZmGIY8CZZbTiCOiq/9+CReo
JR1xBE1BD2nPsbSpdFfsszBbILAsp8WF2LfHMNR637oRfU8oZNzrF2D5//7KwOx8iEgtjAhJLcum
WStNCxppEDWXKV/+fiW9vD4Kt5y5Cu0vifr3CN/hQWblX7Zp7olsJfaf7Ms+s9NTe/3y96uxXcq9
gC6aUiM92eR2nEhsM3aGmg/CaJNj4t4teqTqaILoGZS9BSN+S8ckJH85WfhajamxbZr8dbDp/ukK
0Eb59+NxCO2T5xTOaXHDam/3/lniIv+fL7W/GKfMPdEGma0WDqVtpLrp9H9fLOP/f3X9vUyffV6k
I3swqNrfnyDFZjqpyaZ9ow4f/34rr73wmA6nvx+hgfnfv+Hv98wGtDPqOsqeM6Rlwl+mS6+ZgAZD
iiOHtdqgp+9Y9jp4r0j3d3Wpm7VXdEg1GkKVpNk6X0678Jzl+X0P9Quyxq1uOPQBtTRYFqnxNo0e
iqCl9R9wOiMLU/58M16zvpSWpLNM1WE0EwvJ5ehtuDCMh4FhOlaVUbxD+by4i8+DtJV77uEQDfXm
Tw5RmSpA7XWlTP++/DGoUPLpEdI/D5n7B626fSnya3opNBIqhGVasUJ0N6ERtTe9nne93XbHv59K
jTHHL/zDPLXkr/79CVHkJt0MbQq7NdqHMGw+DL+XxIWyH6XVzRBg0QrbjooiRUVEv5jH0NZvoY1s
IIhK5BJw6DcpRgvM3YIx3w/RJCBK73P1hamLhk2OyKsPiW6nSt5h1aiJk/W2betMWze0nsn0QruH
AsLIzWKfE9JEoDDDipFBU9jkox6SUb00zWm85h0hn8lS/yRdqoV8ugBW0NoGrN2a3JddQeTwUhMs
7nExBFnrbawW87Ed3IEHOYwOiaidNZoNVgGV3Aor2yvf+U16PBZZT6GZbJLPEHjUE8a9I/MkLmYm
PPijQ15ENzaLqWzktCvnalkv3vRmU53mVaE4gSLuetBItNnJPky7eETbwvWlR4LU6SZE3UIVaEHw
HDiwoJIxiqgBLmhJMu3lu/M78ldae0A+2pETxMvpJoDsOqVzlpwadzsoTubSboGV1cdkOddCQbiC
yf1dxHBAZPMse4Lvu4j6PW6vhy5fLmZpnfxho8lAW9UO+fKNiM7cMQ+G4KMlnkFsvnJkkaqrPqqa
IJg6dSgjterrSW3/urVFUv9EHRddiroilrlo71PsVl2jG+4gNM16upQWOVLSGGletGMMYKOVpDGs
xk9V0rR41VQTzqHiaTIvYUC2UkXviDMwuBO10m3MUv64qaarUTfDY9A8Cbu8TLNzxEw7rmtSXdlu
sHxwHYJdvl//B3gEHjV1PFd5Yl9Kyft4nPdkV0SQcf2RfAvqA3IqUJwLbw/+z938qYzMS2uOD7ri
9h2CAi7Kod0FGdtK281rPZF7c50aCyvP4smjEeQa0crkqjQSTlLOwM06JnNo+lM6uRvqri9zmb2j
WnOC5Ez61Qw6s/yrm55qPtJ6VlhrmNprYl+WoNtnYGeN7TnHmjPPbK1lFUnqUobwzoXS40zuIbWb
i6vqW78NSChJ59ipoIzrNrzhwe3s0b+d+ltXW8FeJfaXEeon7rQbBM1RBd9U9QdG72rjmPZN2pCz
3y/PmhllnanxVhLG45sL3QV0bTFBHxpL3xcZCF+RNrekpxFQX4ZEt8FOEsM7eM3B9Y1hSyzTU+J+
t4si/inQSN3EP6XNr9rqplXkzg/AmRWxNgwtRU0eArGNbNcFK0bfX1yrubRVdy6IdWZdCG90zUo3
0ggQ0KTph8yykE4BITwle2xf3jop8g/Gz4blx09mBDtpGtuD9Yy57KDqsIsDC3EooJzboSctGxSX
hCO1I6n+5igfQBTvWOvWwp3H1ThpL6an1GP6I+nubumtTRrRnohjgMXS3xgqo+C+INCpAXoAlmJ7
Ho9Jkhk/6fKdW+V7AVCLoInSssX5CaEVpwyZymjXB2xqcSJ5pZPc11v1mufednCRZ/bUkxOlQeat
eYOVA7pjofEC3SiVbn6O8t9e3uYUA9VcPOdWenFy9NCOhZDeVvkTer1iY8xusM8AwfokeVJed1VX
VsRHJXxEiMzbhlUQofwibnC2rEvWynrtDCQQKrt46nuIWGZwqJf6M6tbd5Pt3SlL1nmfPHXVBAjU
UkKI5kWuWgENiOfqUxExPjr1E5OoXs9z+9V59rvlZZe6ueEIK/bOyHKVSKKnh4tLml8+WeCVkC4F
yXYrEtM+spIO5W54IUmMqg9g8aED7qUEVnKdIzEH82nHh1HJS5eoceX9cOC0Wy2ByTFevOoWmaw0
Tjw7NunaiHmqqFp3jYR5cvmk9PVLynKyur6GDQfUkmXuATLuQ88ko8GVH3ULLfE62oB7pU+nM7Px
zyz8GGdMvfO96palnpDsq0KlBEGbp0dAm3Vv4pBI1ReicsLMXf/Vt8IzSUSHKaxYqEOu7tI9tXZ/
n0x0uXZCnJclfxfWv7xyUkifOeBsjnZZ6zBEXLVq1xhWXJFpRdxgoENmTcj/BhC6N/alOx1DlbIM
S4/0l4EEVyu5CShav8Ib1QozyAMZbr/YKaibHKeJer5M3eIrgN6aWvQr/QNC1H/tZFvbvqB30p8f
huuLmg7j59B6VPZMlLSz0DJWdZyekgvYAsIFFXdvVPUYiSlZed6b6fTmvi2C+8Bo75qayP2mZNCu
bT/O3frDMEkITysJuOCUHqqg7FmD23EnE9J/i/jj7NWyXduKo5jK3QXZpZy8y0ChhgWjOgsb0Xtk
nbwsXZCs4mAVvUupYKH8TeEHgnRCUXP9hYiqVW+uuGGrTTKk+8YXqHMo0C6G13ouID6n5nUOGMAt
hjO2zspkfK9rlwA8VkPlOFgoQYzYmtW4Ldr5kFRAEsIL3jhy+DMinsLsOxUOqhNYk2asnnreCQSS
dwzM8y86NiZ64vWYYAfJ45zQXEcWSvokTD+jlIHbqKgrBj20Q/GYi47BV2Z3yE4CmrJsY+1X3Dpm
O93ktJyS47qhg641u19Tdq9EL+3nmuT6QjFCWlHL2Hqep35PQonNJF+9SvgGu5IfjY/Qw1AvuO+I
pUJxVNTDq19WzzDysO3AHYzSqEz8I4luCJDZd03Qk1EqWkmDaedATey6YevWZ2X067AaJ8rZNGH7
wry1h3AnwyB9UtXKScwGJ0F+m5R3wuZWKFJV37j2m9/M6XEql0tgDj+eE8IntRDHdjBy5aGCN3Rw
mIhai31n7kjoZQPPLPBqo30YIeb2jEsTnzan2xm3jqBDU4bJuPbzr6gFs2GVy2DDd6QDXo9n82Jm
fEgT36Bu3Bq2pldc8Gns0J8ZtL30hEGj5fb7RG8JxdzmBeeH4bGh5kMdHkDvYZSXAbmz+qjC8mAG
bhZHiZcfBKPqqkYWynuud2jzLneJqc3z2PC4NKDNfA2R6yQQlOFvupma4D7/1/t+f1Ju+rwos9v3
RmGitDN+/eAyzw1SlUXjHbu2GyPcQwPIkDg6KTs82YjrlvDM3Hst0Y03KSl4hVR0/pAcmCgwj46Y
R2ugRXEeuV46czhlUeDEhqe+DBiRjR6QmZrIMYXPlp9ORBsiMHfjcvL1blYfkIAnr4AlNehFdSSa
/7lgnMJVb6CVhNUTynwwfHNrJflFEnlE5qZziUhbXieDt7Iq+b1cnwvbM9x4Tod99No2gvS/vosN
IMFqgXK0x1fbt6AG7P7cRhQdEUeKZNfQd3Pdb9KE51166sdhNY2Bjx+81D62EUTpDHOzwlSSbzMo
pqFNXzkmjZsmDR8HEg9yr/itRGDH3dEwIo9O7fydLes1p58irMMvFOUXUrnhYf3Jg2MvyTx0f2e1
SILjsYTb9L2bZXvW2VyyQDcKtXdAZUE6IjZKLoNHuyoy4gOXK33ckQpuin4CpY7ikT4J8PsI63LW
/tgaAHvsBgL8xuVRY+3ylzxkk2Ocz5InZH3USS7Due9vOqdDLC2J3tO2e16aRhGDGuAeXBhVrmBU
uPAOKDuaWftfSo14p6YcCwHZmoNlDmt7qi91Fdjrzue9gcBiFSBi7IJrTZTbWEw2y5YnDSvknD5y
cePkTrHo1E9DMiO2DarbxAke+wrsravUpwrVA/QK0nM13oM7I+uPvDeP4th8UQXsf4LHHBMzqJ9Y
TiM4Z1YIKsZ1yB7QCaLP0c/DKkZok7W/J+MzYR3iFVHjCG7ZKaDFktxrUhVRl5UrKGdM5ak94+bF
/oCwfy0Jj3yx6vFTarJIg1maKCsKwUpnPVoMahhqPmax1Cu7AwlivO9woYGMzfjW6AOFuPtghGEp
sLkB6hzRel+qs4qCc5Q0t3ogAMUQxUelkFu2k3UmtWuxk63pjllsVlNEwHn4PAjfPBHQemcVtF4H
dLReYVJ8Pdkmz5zgIHBx+dwmRtOPgFdedoareE1HJkbtN/ZBef02NccT6t7iFv1hnM3DFQ4k7C6K
pgW/3UKBdB8GO5s1EIDtpzaylSQaZT94KJD7Bhkk9sQ4yyGlhhr5Tdm3dFAYZnr0KRUj7BrszvKe
KwwjaiSyJvnXhX0TM1BglKdaY2oi+trre7KU6g3O0ydTZzREYZejRJ7tl5AUO27NdmeTZ7Gx++7g
mnJcB3N2GVLv5CRztR17c1diGrip+KzhQ+KfFNLcthZ7yeItxyxxkq8AfqCPpib2avLaQ3+MW9e5
C7spR2cyfC01IEgRgEzXBu3vCGHaGG0baDoKIw8Dv7S5ByMyjGO1mF+wvM22yGCWZnNE1G/uctLS
JUcodtbl0Y6yiJX7qo9G8sr1OdsY4aKCf3wdWXWGBKG8G6bIPpL+MK3nlD7qYJI73no3ojJ+u9Zf
dleFkTGhcumSnmIf2NLM4n0ix+ZMPOtXMy18FJdm4jIziKI04D0I+8LuaK2nwIBubHlrOX6Tw65m
9MBxaXde+uRNijxb5zr9UK8+qvaLRa/c+nWas3yA4SFJW6FYxYxJ1u2mEcm+y/2PDgbrnKYodpn8
kdQFmAUXt6QYpXB/K9O9C/TypVzinhH5Z/GCLs4FkYqThGpYsieesAXKTdIU/eOcjS9D0GSxwzXJ
SVFQZA2OCfwEU0qmdx0TJNyOqF08elZBLUEf5uhUjfwv+rn9NKGIXNXCzhAadT9khyYEZPCYIqt/
wFWAPzpIXkj3qVbF5L4XhJPEvhfSZUc/thYTx818Nfhp890fdbGVS3dPWebemMBTjHzY+DOgfWrZ
H46fv4eAYugFrsHh34VBVhrL+W727Ap99yqlL2dLTulnbpKYCefh4ltC6kTJnsD98o+f+1s3Yt8w
88De5R2VKzh6ML0IQGSV6H2GZwajlEkdrIxOPQHD22h2bp2pe85TkXyjBzoMc/MbuBazwwxO2vjw
fklOGyrqOVxh7ZcqiD5rxogFAkvMKQyJoxKV6rddZDD+IHrCAZdZnDDwaI5PzbEr5/TChIgRVpqr
fHrSgXROhaK3aPCKfdgLvfN7cbXFcKHjL3dPovOfshFBFgl5902asMouNQi8UeFm3vB4D3g29L0M
03gZR4rWJcL93CUwO6sCuJqUrWpQGhVVV+ebCd89eAr9sTZi/M6I6p3XfNkA7jlp0khbKfYtiTfN
reDka6Pe6hopJbE9v43ntzsy396X4J0VDudxgnYzz/sjydac8Q2hywUmjnXlogLB4PAGGIuHMIL2
Z9Ta9qAkm9BnBB0phNqEgWvEUcFjpfaoQIJ4k5Vuti51u3eEde+gJqOjZejp4vrKSDuhlwaM0YFQ
6wp7ZTa8uR08RagE5oxMo+ZYEAGwgv2MZZS2R8SZ1C35/I0j4iJyWDNMQKx+Na6rteACWvNeWS1m
1rIn06XXVRTS8FZ5yXIms5lsL6SpEE+JXexBm/YT2XCYUQmch+7b+wlqSs9lf+qKAumsk257cFXE
Id9F0HXrLJnmVbqgIyltXErOAOoutV3tbIkHcwHm7sflze68B9ssYOGq4laQaSKB6uJiSOQaQ2p7
SCN58iIO/qbGKef0k1r5nrl3DZfB04cpT31jOhKVc8Ljn57DhFrAPrT3okq9Nc8qqKuho/Xo2gjA
onqG5yi+Zi/NTy5aZxSLTARhctMm2A/CYaq3gKzhUavdbPVn6cJbJnmDZckANRSef3DnRq9M7WGq
UpyORL490cdc0FrICp0H9Vs54tpvZXWpUahrPMR7N6RNrc+DO/bmKh6Hp1B7wb1HuaPhQdeTlbMp
puqtMwDLx5yNGt6xQJSuzI2kw0rK1t+Zk3Fc6AXbEg8Qm52N8cbPztVfW2cPx2lmztZderZT3gZx
sGBomWn7jHmRvxs5v/gDec19wmtI5YDvXtt2k/m+MIkAz9XQb3xDpAe/oOw9FONmCUJjVeTDO774
bWkdHMsbd83woAs14BCAZBTMeExgWQV5W3r4ip0vHuK70zDxuPiQzOEeZcNHOCTvlbeY69Lfs+U6
BkgtadW/ombx4/hDaJS5Q+znmyIx/Eeh8+7J9BiPIr/2d+QNn8JK3WS1TeCQNj/0IsCQqyGNR0IT
dpMn3rUyeT2s5MO65k1MHkkDRORboEJckX2AirWSDMWhOJBOjjZiePGnnmEuROxHRIzltYzWbYhH
YHABYdOSUhBAbvZglvEGL6LinTgMV5GdlocSydpKZ/UWYTvwWgOWWiXXCOMI8QLF7WVITTG50jFx
/oSdO6OzdUrxmnLb81IY9cZvugergXMor55ypPjcUE9RhCQTX9O0AYEutpm3dUFsQfOCl8nR+2bK
Z96WlbkxBm/P6DnFpgsa0ZGP0CToihZsK7HqvNfeqfB45wF1c5Xck+LbIe8iRpZOAab2xHkxykme
h3UUCWsfCbM6T1WDnrp4G91FndugRRlMlbV0ObVNl3ZzN3obfFrfVI6ldjRlzkzXLTFqNJRwTXlo
i3rXm1N9M6njrJiQh9ZJyIgm6WtsasqSudyBjAmCKLIvRHw5fhWCfcfGf/L08BqWxZsuW4MbA/SR
6HR3HWCmt4oy5hOrjvIK8BFz5a0xo/Rxr8bqJqj604R+ex9C2p6sOvxIRpfVGwJ643IwV/XaEFZA
pAmyVZB6JiCFBtIU7Yvsw0MV7Xmr6FtQbjI+2n1d2mSg8XYokUX4DCx7+BYNIlrbJ2geJLASMzcd
F0AbZZce5lB+toJBFYsiqlqPaTYCriB8vE/m/ViNb0lp/5Y1BQRFIaxN64UNQVHgIZ0ZUL4amfnB
7WlmhUN/7Ql83w8KgDjNzXM0qF2R+tVmyAOPJAmGxlKaZEXU0YCVbpaPkzHflVqcZwwVT8Fof5qp
zVznoj307MjbBQPOtatvB3c8sV2/TpuARWCYA/lR95Yd0rgay4WokQCndBp9GyliC9vi2PWq+S6a
GXF7T39I5PxndDHuEFym0fRPGd2vBBESxwHAVeZPSHfyBzh5c2cH6V2eZsRKlAJpizkXiJc5oRkG
bq7BYBvWe7FVjOjCtPl0SQQ5uI5Eb9crb+rlTUogu+8Q3BH0tXkYTA/hGArj1GbgcusGp73lu+vZ
eMiZk8DKeVdNLmUj1Hj+EHrxoyNkp39x5KT9h0eHujnCYc5RG7q7pTGI028Fs6qrbqYyt1ZDpiWC
Arlmi2VsGqZzeFdOS3luDBamchzMXRB6n1lTMBnZAt1H420xBi0gvklPnDiRYRylIjjMnd8SnQAW
MnV+j2pf7NgtqcO4mgx0AWtBcoHW9otfgFAJCNZV1/SfiYmLIlPeNu2+kgYP+pS2B9/VT0ZFWpud
Zp9JZRyCfhAgGtnTMtlPpfvP9P2jO0zfRe8kW8VAxYwKoK4N9Cd5lGHtiXURovWJ+opLQpzKxT/S
DoI9uP6SInim0Pmg7fmJhpr7afgl9UGDZyAgLeuLYAvGtHBr9RanuieK9cxqz1uuxt4XxW6NcWcq
prde1rddgXTAJCJ2LZVNv4zUwab02/sOq+LYgrYjGv4AKPauzL80sgHDe7TJWSX2qmfsHqL5NFnu
I9Fr6J/74JSOIt2aAm/DWLq8FO/m5Bb7foGmjUg5AESDVdDGBls3E7gC+yGvfiNanlP6EaDiQ+s3
6SigxlxPAbzdP5TiwSq5mhBKt0i6W8aUqIUhvBZkLvkBZQuc2Qw4VCYyv3UnIE0Q4c6lI9nGX7nq
XQ7milCVlfMlWqROWQ52JrL8K3Uo0KsLDiZe2maq7kVDZ2VgesaKo4zC43EYIbK681JrZM0pVfV8
Br4Xy3iicKU6Xh90nsl7MRsjklVSWVTA0uZlBN+b1MoHzoKywrsYrsXxkXbncRie+WPDykrOjdup
LU98vaFEZvHCrbUE9BhW3nfhF+twkQuXGGl+V4N30aly7XjRuK2XYlq1GYxQGya3aH9/W52cGTfZ
W8rlJ2e+XckEG1IkHSDtrnmQPLitMdnHPB+50zoQSs9swcVyQomKggHZiV7KIjSPZqI+rlpMXkF6
wSkITcz5060LRBYVCfiFIL++8oJ3J1IYFMPxnmrVLMarm24LLfOdJKdFM1UiMBqLAzhGEucG+wMy
SjSDOvmpJwJBJ71IcLqHCOVDT+A3XoW+pEbDG+LeRDNtFQmfFCjc+1YGrzkr4cooaZeE1UXDs68b
i2S0Mg6JMw5a+zSF9dds93o1KZePJk9TSTEmjqF/NhI+tEV6YxRsyyGbE0/KI6wQoQhaxbiTPEh/
SuToFXlJ0+AfBV67iWd2lNPMPDz9yzrEgxa7n8cAu51HH6VP5wPDVPAjCeVMlbs1bLbfUJTzLluS
MK5bHm8tlzs0WUfLm4iejTBSKBsWOUvREjuo2H3wjzzOO583jGvD+KXANaQgLLTqhF75Weo37ZUf
05De1w4oOFU17TqiUaAviAoMJyiVWeRqNxpJi5+CimCneBOJhvIn3XzXFY/54KLoJiNrX1nRnqiI
FSEOQUxeS4Xg1nkPVYgwg/s/ccJ/uaAzJPODT+mRdRVVojwNYrnVIeEueZPtW+W8Fam40UXL57wi
yqYA6HNsquRM72Vor3nPhPoHVYjJSCPij9C4Rs9ysqj+wVWx8/P+Zmn6nzbJP+gVInwltaAozQ8f
VpNQK0pJDc4S5nmXAm+LbJbslfgHOAQYGFHmdDP9h7Iz241cubbtrxh+5wEZwRY4PsDNPlOpVN/V
CyGpJPZkkMH+6+9g2YD33vbdvuelAJVUlUomGbFirTnHxGO9Vc4VYvUWyY/5WvWvzojbBYLRVVNb
9VpH+3KwrFOGwzZipUA8WzJqtIJgFVXee1eJh3oe32NRnNOGx9GBNOjKPtoVQ2af0uwFGA34/vpV
LfGFbY+K0B5QI8X3KVCgomVw6nnZbaUAhsK9uc30INEqhvaqLxKO+ERJiDob0eurrc1uiAwDiuLc
UWEG5XdYh9Vxrr1nTYnG2rWfZOydPNq5aZJ9tv0yRqCi25pe8daPJg7fs1BxdjMrfWGy/zar9jKW
MtwQKL+bF/GWF8sWxzzu69pF0UnnEpuXvbMmeyUzaiup3socYiSMxWvTp21Ba/kFnfYDv9bR181t
wrwq7wmRz9A3w/7Rm75yr3mSPkz4FChcPQoXzpJ2a53yeH4Le55K6aY2nIK4wWOg8B/2CR6U8Us3
rzNzq4hPYyX9JN5pNb06bv64aHVnAr9GX09rN8k/Bnw3pLw/KqQPlkxDgnMLNhnpn10WZe278aH0
Uky86M0Yln27gpUtLxl9LnyPLirvhhlZA/Sq6uiOO+Hn/RWpNKBKOo5VdGyRX9jPOgb1oM3gOemM
8CYfn5RXcC9zlhJFtgz+jHaj/b1tc8uy5u867K10tvTFN0L+q6bcxXVnrG3qiU1fy+cuJCjAaSWF
S42ab5yTMw8hF5mgnAHNYhR1I5JJ2htOfE1kaH3J4GggDfXWsYVDtrKJeEIp468U8r11btfhvifK
4sElGwwhxfwwx+E7HpVs1wT5NVHgD66RU0aa7QlzV0Wjbvw2LcWcGlzYNovlMRmKXdAOnOxVSJ5T
RRkwmtg9bBfZDvCyQKSkcIWECkdAkeP4pbegrkxY8JZ1QbOzjqg+8lfEBR7d6Zp6OFYsXT59drfW
9jpYqA4FHebV5IGCaYV3zngwNwXdTDdAmSHdrS6dfuOng8X6jZSVw9FyzWi+Bi8BeV3rKbQ523UV
M/l4rVJbnGotHrj7nkTebZgsKBpkjXnF0wD/yHu32y4iSqkrtvqm7RoK5oiQJEe+TXDL1sI/Vlkw
3Ls6uJSGTHiwfUzPbfItivnbBWt7qho28FCIgyP6h4p1K0zGRSBKcTL1rrvLvaWz4KHVc3xYOn2F
3NfK1stbHU3IseOUfvRGZ+/GYNoYhgtpVkx6G1Xz7UwPZjME+4jKD9oMJ5muyk/+0CRbuDi+AZBF
hZfBR1Rd0beO0IjRI/WD9SiNJ7vy0Ju5iumq2LiAKFYqRC3N3ch2YolL6aCWyXxFyrNwj2TO7SO0
YhK3wNb2bEYgU33jWMYPb2J8NdecRvHjmWsLGCUfGeKptMbBjcZHXsXmgnkL2KpR6q56GrKrmmMo
BBr7OKIh0P5UojCLC45UMaI0MeKRnWpOgS5vUIoe8XFXgv4ScbSVJYSlChXtzkA5a5XUDX2q5g34
3fgmAUDkw1YyFtokbBDI5hG68gY8wkXowEdPDLSXVQXJcdf6G7V0YxtETJUtPicFjK/wz86EXqsO
KXR+VS75jdVxPOrgQ0EsQZzkMAHVXTuTbTYg70SkiWPBYJ6Y6Yuo48dOxcaR8CRIbT2jlhxborVD
DBEfx1QBXpEwVeSIorJRr2wLrNvkiJvpJbMkYwHCJFXVPQdd32wq+EIYuM95BaspTJOnURGfjWj+
YFVbu9Y3SQUWI0bWHivxbPv+mf5FwRJ0XRKUhgXcPHQxsyajy7ibA3K5B4xnDIR2oje22SJcTgyH
pVabu1GgH3A5ihShfLXJhduoUt6PqQMaR4izobq3zuk/wwiFHayScxbGT1WeOcA6hucqpaWSOTyZ
KB3e47S7mzXibbtbwtpxOXTEMWYGs1Fu1eeKQmWLIePZiLNzhMdzneXVa7oYKy1xYq26EwYTqUlY
19rV5c4tigfw1BvcCmlf7Ium3BtwE1fR2J99Jtm0QeLP0phurHDShxnrTN979xUH163V+lelW9xk
1fChsaF3LSmWSnjbINPuOlG0f7lBYIi77dmfWTmQA98Y7zA8eGQkIh/Ttq6z4n2x+mVDf2cp84Fg
OdpHUjG8TOe927rJgS7CJXbMeFN1m5JIq43rFtdiHI6M8fmZxBnPgcgunW5OUhxsp/oewG7TrWLX
8l1xlyNRWY4qFhgYwJTZ1O99unKrZm4vYdnAA0pebLM+pkN7McG/1cZX5Y0AVuzZ56M8DGC8BApH
qr6K87M1PrmTcS0bjJlQdKTiHaFmiZnThZru3EQQbuJHX/i37B2Y57vKELfLQMstqMdzdMlUdDBp
BlQNM6yTbWGYV2UPO9MmzmVOq3mlrDsVuO3KwcjcNcFjwAEGhKL7OAFhR6cEuROR3Z1VtW9TYTAQ
VXRQ+ilM3gqUw2sTACaKa1c8q9qgmByIopkDBvBzN22jstziPrtNdIYXTFb6h85KZhfxuHAP59PU
+5eAhiwaiorZcpYyZrX8Dz/x62M3WcFdb2psYiJ7000b0ozP0CMvP+rU5sYSuIEK0UVnk94K8Xw0
EJS2oHAarn6wm/HSdzRzEPYdekBpVyam/IcgiU7lONmvZF49maPzMInkHkw4oYok1K3zMVIQI+Qh
7h3/sUYGdU6KoEM00Z4GpTo0VlCTJiMrL1brmvdemjzwk8Ob18FsC1sl1oV2GszIqnzzrY8UR+SL
wHN6cnGqbwZrKcFKDuOJ1bRXKKX2RK2697Q4b7tBlm9qMtBcgS/ZM9ir3jikbFw71Jc6SF7rWMR3
KK4Regfek6B7xY4iKJQ8KOUDkyCgLcVbMolg2XfUlVcF2YtJi2NaXtXqEvsgKo7/ca3OsnGCe1IQ
wJkLPMPWRHNSwhmiDUlsJYg63QnKAYe9qvDnp3j0gjWpU8fGQxOGAzN+YvdJDuZUqs3fv5xb5+Sb
SKh+fZk3VXCdyeCtZbhxGr2sWKdeY93OtnfKM7/BcGpM95K1wfYrrCkAPPdgO9qNqV+SVMLAinHq
BDxGKsq8pwA894NKmEk0dXk9JfO3nupNb2DoNxbddEaTbbCo9yUUeR8cJFMA5nsSpgRnx2axBaQb
QHWjp+WextSbs2/rstwYEdKMimoCbJy1Mo34ZBvdBDFyqXwJ6CkoJACgrHXflPeldRBx499EzRsG
SbKdFJVVNl1HeZyDzUMhPtBArMwOeZr3WdsVzhwXJ2Q9bRE1o3Ao0P8OgfU5IrQWAS20YDrRQ3oS
LfrYzs2/XGv8YYzZJYx7us0oPcE8cFKweqbgw66FdrqqRRxs0Da8m/WEas+TVAvyThTuS1xX/T7D
mwRJCtuSFy3vw/xo3fnsp8Zt1BufhjEmu1LQZpHdixnP35VnPw8ZeiCrr19Cs/rOEnXoJvPJmrJ+
nbnyleRUzD6IPFvDtpmkjQDSkIEHHU0d1TfhCjjIUYngZ2fU0xoj30BU5sIDqFeNnb0bFj1CKuM4
cY2VHLN6K+r6iGDtVXfjZxmEOwppokm0u/J9t9laiJXpAOh1Tv70ppTWqXNsRq29Dxonha2BDLkj
bTAxME+2xp5EpZ8g2GFt2uEuDND+V0gwBL9vKPxz0yafipmbYTScq3FMRVV5pCsIv81k9i7du5yh
7DqbUUfLMaFnDjAnoWWBPtUCMVXY8w5I9h3pAeN6Dj/nwOV4gRsmj+96StlsbkgWHgaIvXCqohrS
/w/Lp7Nt+gyDRgrslTe4h4rChnDCiJjQ4ocdkYPHHKSEZt1vvAI/aSXBDHZ05pFBG0fbhs9qXKul
Jb6oLCyoPIP21rgfDoQhSTIBa5OzQORjwcflasNRbsd3JlrdtreCk3EQqJXhf9HarMoNF55rOw3H
QjdEtAik5VYKfqO71eQMSQqgLrxlMHIf0K8dlNyYTci8oCLb1Evju5m009VsfJm6Z+/IN7pbArNd
sHqI+dvsKKaWcmyRi08uTaTmbgioKLFy3RApjxMOOmggjB94mQ8j6N6BVsqA6ibweQ+WNHeBju6q
KX2sC31j08OAMPSYxNZ1gsd6FVoGAceF/bh8srZEgyud/JF4FNx8JbgqEyF7irYBNvhaO6x0NIge
Rl+QWFa+9IF7cQIfYUv5liOEWheJeZ/E9dEtRmz0wcV2SvA76aMNaVjU3kOhoxtfu++I0x9C707V
7EY0c80dyKgZJaV+8/3pAqYK06ghNnPHlgrJmL3QuoK8uGZNWKf+XG5BKs0rUjW2oIBeoAX4pFUn
4oIRFoWtmBXcMMG7i9C6WK5Jvjm2b6meOwx/tjEUa3MGicYnSFxjGiEqst4JmKSR6jpH4adbjjvb
ATfhKgsfTf2QZ9VXQUYaGiPJoCa/MWPJcyem6yAnQNIJnmRKLGqvcRxS1/iUa2vfcYOdP3UKxCP3
c6fvqPW/Cy0AtlnztNYGM3rhpBc9ZFfc/cBLzS+nj5fZxXhMvJvOwz8Q0SQwsNfHxUQ+b46/VKRr
z0PWP4v4EmmxtQVEJARO6xEgI7aUSsjbGAYMh/vklDopgyv4PDoqkbTIYxH3kp2z2lui/cwgBKGs
ogeV8vDVJY3QbjxUceDdF37y2oxs7S6P0ApY1cSBSDFdQHSQGuW+rdyDNwXY/qryB/46zUy8Ow8S
Eq3bMwJTQt9R/BI2+yQkQrnWm/djxmc2zFeOhfGXRYGxXghjN0wZHs3hiGusLhFNh4jTfI4sgMWx
MmPFI088M648L4LVYAZg13zaMHFgQa45Qgang2lNyc6RzDQozXDAZt2TylV5SIGYmHl5b80WhKxy
iLaJmT9jjr8iZdT/EGBRhywuNpHHEzYb5VfUNP3Od9CgR5rJnUwuOCHri+e1yX3v+Te66m+ICcC0
nlqfnKrLU48IexsAOuAwAOgSp89txPB/TNy9CrGQKHLJM/RbPaSGjRcYV4gzIVn5yXkhkJxUkYvT
NHmvZsKY0ahorZkmw+Iuj4obHecncxjzdUmMdRk42b3MojMWGsbeDjMqHFn72E7OTlBnGyNzQjCK
dn1ISs7gMBTUnYfyIXELkMAlwrOC3hsdHpSTlpdRfiQz+g0/Cqljnb0pjTXKwAWiInfYeb1rkuJ5
9qhuqh7/FLyZaxhZp3E0iosp6a3PLpY7a/wyQ1Iyh8HeQs/Az2gjimUq3dozolh/fPecnsNJ5PUM
SJB112oGIQJ8gyMN7Ks4d27B+e1oEH+MctL7DO3ndWch+cjAe0MtZC4CTWuFh4mBpJx93kZY743w
UpsOuoppM1f4KT32goFSeRva8CU5p8JjGloK6l4w67AenEYF+yr3bsgF3hO2A0a5GljmI1YO2j5r
TyBI84ogWpW1V13qPv/JBDDZQa4+GipNr4u8fCkkG18b4dnhJLR2MdNuwrYgn8y41z0rdFFvBJcb
v7a6bWGrr000EhuRYlPIHYq7cESqNLlMuP0p/6qTAIPOCEENt921x/N91erPwsJobSUBS2zIsRrY
79r9sBFOIJDT30aNJ6bz86dUZN19mqtzVcT5rVc0wIWDRO3rEs2fNMybsTHMM86shiaNfyeaobsb
DSRgk6irwzjtTR0N6xbqU1Don8YAOzrymm+/18Vt640fQFSTW6P+0Tfw7g2m+Iv4BqZityYFN9/Y
9hIcgMdqO/NXg5bfSW5S2tZejSqSxTdnLIsG45k1rNqhrfkecw7rrvkxwuxY9GIsV+x3pbdK+xlv
Zxx/RV1g0Jhtbsa0eShnzzt15QKyCqrbuWLFJ4AWZKeBQk9G9P0Ha+vAG1obRg9Ygtl0jw1U1grK
/xzeo8nfjvPIExE2L7H6KSyGwY1Q94EH4afGh4mv4n7OIFOUhI1teCIeC6YnpC2l24ZeoZngBBdM
O3X7gqwJbVyMKiJoQnfZTp/qdH4F64z4y+qWQnPxOTmUeRnZadIR61xFT7J3ojutN+jWsOvQxyLv
yIVmyqC1FQGi2dASHMWEPFTTUGFwQ9Tgj0NzLNtieEUKu1XBkDyxxeeXqXWeoVptPA2tteyjc9FU
2X3t+eo2RAGmHFfRsmV+6MVmdi8clR/7duKmgJJ3/+tnI5zFDAs44bX55ddfm8v3iLC/TwnZPv/6
h42rBhBs0wY3/sSG6Xg7o9FAOCZp3aqC4tCjq2BQhFqtSV1i57cdOvorDo0XMCNvfRrDJIoHe1X6
/mfoGhrYCeoP4J5yHdam2gHnfffyghX0kpilSxvdgi0m9PgyD0zeGsyHFs3TLBDRvhoNa505Wb5z
6IN0rjiZboWYrI/2FovJqTF6TggQx6Yc7nbZM+wJA/MHwDqgTH37PFS5CRsvHXdj5d2U+f2A39sz
gkuWuNuqMgMWyGhjK/OjGD9FdVt3ndpUXhRwFqlvfL9zNyxRMJSNbaRbVBTpMm+aaKJ7yCNB9Qaf
hX+HsmSbp372mmiwBwMT6hGLKnEG+aFk/wrb+BSpynrnn5vg5ejCBLK7ykxXILgqjVMENc6Xw0ZD
B6IpaVDB0HAuwSh1Q22i3++8U28zlGsJqt4nHiixuXXvQcuXt92Yms+y+lmjF9qTcI/Xvepe+jhT
hE21B3TLqE6UubEbQlPqqA62qiL1S9CKYI5BR73IXvsi1VdtYU13UnqKT5jlXqGz9S1qpWCqYZMI
Jgiup0D7V+vZhMPBJvExRQP7uv9TBJSmQYZXv2qsdzdPGZGxU2bhSxuXGTC/JnqypP8pSv2iYORv
G+1xPYt3mWFkkHLBIRWb0NEckcseA2o6vLoTc/hAiRVgKTBds7zWZnHXBA95nxVHW2CXzJ2ieZLK
pvfPv11H4WmIsfzUgqBUnFYOjIu5WNmjpKxInacBeQ2kLuieoD13XcSK5suqO/fJq58434aYJUY+
1FBM27cwRc4kVVtwDHsMlcke2QePg06du3ngyiyjPqMyRjB6ihg/iae6Km/7MonZorxHFUzeV2Et
Jo4ivy1QllGFGLeC52yHkeVVVvFjT4WGenJghWKUtm3lktjlWic0XFeJ5X6M6M1WZMJwXunTR1gk
r6liSJLhW18xPYq2uclmZSl9NZQYUwxB75qMl5gHAR/DT9ExpeFGooPzjjxtvFi9+Z6gAzkTKnrd
upTqM2guFk2gPc6M+9kbIjqvySupHTUhOQhiEoa5wRwvJDCm+TaopnVTMEFr5htFebYxZs/YytTf
gWjgugIeJRqeTErZJbu6rwdqEyvE3RI0G45ePdWwd7IydD6lVf8w9fSNDxAheVzsMs1pvQP/UIsr
k6SWs4VnjJ7Ct01rE+ML41K/se8zIEMcVciVj+gKr5zA++g/Z6T9R7uXgP16tW0J6cG0F6l9iPJ1
Ffv6XtVav3gQYsbBfQxn/eDWfYCDx9xXsOA3s00Ibd8fG6eMb10TgXaEJxE8fRXsnEbcIJKqKCv5
/MFHMLOD81HiOnY5xC7Q2c5zHS6lLKkHHkLGUjgl25+G7Ya70nBxooKexTh35eVU2GaT/UBd1OyF
ys/gEyllbc0KZLnYQoOfdhvgdc7r7kBzPN9ORNGvK/ruO1u2Drc50J8Eqf1OOQWxLAHT+bTx7+y0
abaubhE2clumPmEHXoMxoesLFxRTDkUa7a2vzYPwiKrHrF2RjYJu7GHQhr2dzewCevC5SGj+Mo/3
r9xxSPbRED9n2C1peAmOmCmOmnxUwIQKHKmYZRD9sZin1gcQT+JclHL3CcJdhpRYqTNOCsy5vkRY
O5ACXOYcFeI4FEkQAW35XmCsGl26Qa00H8Ex3OvYfoywWKKf8Q+58l6cbESKnNM1HkegjA14NH4Y
QVDo6mvzxzOe23wnwmRHBsOVReviIGwbtwqojDpun8K4PM5Nsavd/j3owEUSKQF2vItuoyg7xz7L
MjWE5c/3Q5/uC/pwdSQOde1eNVZzjbkOZjGWu5RjUqM5YhavvrVBpUuKoqNPLWSadZo037GJirNf
zh5RfOcE+abXIwTCEpmFWwM3gY14tEN5M8VMFodm4yxOap3GOSoDPW77BskIM3Kw0dvYQj9deyVp
HeGj5+hPx7LqzWSWr3au6/dqCo+zbxIJVgOtBe/YatR0ZTo8utAGtFryMm6bonAQy0TnRhE8LLGh
BThJQn1F0/7V980LQ8hjaBHZ0AXOm9VTYDZOf0Xi2b0fevcdaOnG4s4JzOZH08WPnpu9h3awYy/e
Dt3wXqSpPFPj3UPJ3obvMnCeo2mxhwzjG6AkEC1T9Cl1tdS9D2EFQG2UELEg4gWdeipU+RUaLS4X
fLiS2yEdEZdaEEYCzC2cbeU7GkOaYEQnKtMxoBFz51VIEto4ODbKtrd08TkR13rn+9zbqnfkEhEB
Ra/Tp8xNbwGX18y+wmeMqMmZ8ex2oCl2ZU6Of/CyFm8NWUEhk9q1GSVHkn3u5GJn19xEm9oxbgqa
YmUwflp6hA73YmoH0Xtd023InS3QXpuP/yLRHa8bBfuyJEv9MI/9uyDzb6GngUGvvupmfqopKdOo
urZQ5K4iwBYar++ohmtrAk8eHz3OMWyOmC7a4oECLjmMVY6riANtasbBtmRcvWaQOzzZeYzolDVH
4SKKmo6aEBN+5hbZWkgfiXOBKrhrkA9bCB+oEiLJYBChQbNq0PAlM02QTo2HPIdy+KtBNqEVZG1n
fq2JpizC6LZr0pmh6ohijWgmr2OuFzAoZJTI9hdJlOgoC8VxJmFhG/ts1nRRvm13PhV+U//Ml0go
Jld14egXIknLY9ZrXF49A++mQKcccTKwnei9CJz2zQljZugiMB4RQVAbx0rtE7Sbq34xF1DmhJvG
7s/hIiagOiLuh1uHQpLmYpjFIAg8vDp1qx4cfO/bCaXoDcyH2193jmKnhe/xHVTjc06yKKY7HBI4
bVe9yQAcPWN6a1KkXKIe1Q3MTUu4dyQF0P8ylHeWooK6CfU5CbPHzIn1Lq8LxpIUOnSmWto2E9P6
0EuAzfkchNKZx7Zpo4vKA9BOlj4MlSLbTq5zHpQ1o91oQ8sbeq92LrEwrZOZ3NOx6eA4ldUdEEGx
n4wuAVJTgVJG7b1xvbY8BjNt2doz3yZIu1+mD4S8rS0ya8BmMjOU+zSy9zbO9CUsje5nm9/rvL+L
7Ger9KyXYXrhyb7qnR4qZGNYhyFyvsvUB5wxb7RdonPzfFat8CfacqCJwQ4Bz8YMbuqgvxdpaW+E
6AsCcx6iii5uOKO2LWBh9pMEr2OMzymDZIZE+FZKMEJOSjFprX1QUFWNUzdeeJJtUttLBsdF64kw
Ip2hg7TIx2lGYzXYu0ThZdDCxgIYsJYplM80LBjVR7SizBq4hCHHaEe24Ds8l7Wu/Ke4xdrfTZxr
LIytbVbi3iGbldlEc1e7dJ0Yij7YXfJamaRAcfp1Dl0/X+EzR04XzndDVj8DpruffJTQ6XhNXifp
sgPU/iApJwhkwIukDF6LndPBdGin9L2pEHUZ+onRMjPwBLE6d9mhRFkxx6+TVefXSHFxRQjgBob3
3KrbuavlySkm1jqQmx2m0Z2X4lrG/ZzrqD0FZWqesp4nJ2xaHFyEie5SRqxQnayjzlpuqgill5fO
/iEKxghpEhdT9gnDvxjkSMYe0TnwNryScJzQ+CGK2t1QfIi142HhZyGfIrwZXnTPuXw4Va66xeTZ
F0VHFzrGVjSZjwXS8CRkNcBvfqlU/+mM7lOHUm7lVW2xnjNiBRmmjgFmm978nLAGmpX1XDafIHqe
c1XT9ZD2VrnhezSNBOQlvGLXNTcNqqUxz17ifD9wXJVRcRV5KJtIkkPasojsUueCRgoPvd09Z0z5
Eexg8ZY0zBmKNkcNXrKupbs2dXENkvhH4VRXUVch+plbIvkSB4vrgNPGQqbVxO0lHntmwPVZhc59
TRKhbZpo/3UCNy9iUAqNENYtyjOmE7TE2i6+9WexjxtiQ+Ikwgh2xnRy6lMfzLaIh2PQzNYp5RFD
HN5EJ1mX1dZnknTOtc0hVI31gwUDDu1tRsiDE+y9KMTiL5G74O/FxoFSIyzSDR5mTHijyeG1uIqb
6ZS0hG8w87H2Yph4GT4PKw2uEyulYso455QzpkG/MGkTN8OGuQOpOIpJVsx5OKnAiubNtKmMRzmM
cPOqfOXOVKoSFCv57MZ28qppA821xmxUrIsICHSYpjltMqQVwqPG6GauR8wFbv3bsM3OuEDdS99Y
B3bAeN/p5GVA0jSO6iqZG2y0DLDcpn+rYuQOvfQZ0Qe8naK5rXs2y2H2z8gBeFizmbTRIX+YfaKR
4v7tF6MdafCwTng3yP/OlJw4bvtg1Y3Eb/pzdXCL/APHagO3MWLl8Qj7w0ZzHdDm9uuuIQ0ntHY6
iYy1FNg62jjirUJZ4hk3jmGom7XXdJ9+lKIRNANEdIzHaeSG7XaUChgJnUXyKOuTw7PyoCsIcDSZ
0mufq4K4E1EPl1h51TeCXnptVviSuPnLWGBnQzmIT3jm5DBbmGQb1pxohp7Rl8gyooiTJQlMAxd6
MzQZbIsOyILnPvVJ1xxwymbHBn7uzo465yVQPeKKzPyYvKXh54fjTe376pxpSXtFzOaH+eLGRKhq
OTibFiXjsUpiuO3B+GypMxKU8QUiGCSsNm55hvgSKxN5oI6d7X596Yw0GwB1F2cRuvZxgFXPnYnK
q2/e3XYwrv/5R2y6//iSeTTrg3TH/T//7p8/544F2lyTtpwDB3Be/foOdinjWrd85O309utvHHIS
jmSLE7nHuN7NkI655Jifjbz2EQSUy00Fml8QUPibP1ICB3/z5fLdXz8XZWLhsQCWQysBt1uAZq3l
fu7bheNoI++FZrOum2x6tEdOBMDzB6T0FkpXPdKHtUvvinU6PFoZNvnMRrYzLrz04bUhA2lBVcuV
K5LHJsrvZ6xFYHAsev7DciJQ0auWXcsQRH7PswLglNbTaZ5x0SGQmk5TsQQBesOidfOLa1tnuDAG
2o6KaRCtG1AqGAOo8WKOSoXCddTEsAeIOfDkBUnpl3Lizxz6Hqfjcms0xn5ahHZTiVbD9wf4KbSZ
12HfzddxnGy7ahE7Jw9sGt5OkMfQVkCwO6IyTN1dj5WiJ7rymqeElOlNbkRMx+rgPVSHhr4647lE
kDbQfpnJ+MDT8hAX6nGorYdiCB7MGTKRwqUVDskrjhM0HgTJxYLyWYK+SKaPQtGac9RXUQHkVVC1
VHWXuJwyJ/6LsPMYx4YXM6NAKCDAaEAHDepYamr/2FrWSBkBraw1Xlx7vIZZzDFgGN/b1NoZqXxO
/eAMCVsfOt95tGS3suIET5tDEh38560bk82aIw6xXUQYAwoYyRSoVe5XnwGhJwIBxeIuNJPgavlN
CJX/oEOJKqHj9NmkUbvFY45SppmACsf5vRkv/iCrPhTUVwD9Ttgf2Bn6HzLm/phSAa5BuXAkMEcp
xoLWrQWhR9K17cPwXSeYxXNiDLZAWKAKv/b5/MCUql4VvgBg4yqugwg2WafeajzXE0Xhpg74n3u5
ZOHE2DuMxrkxjfEOE4XkzsTwYCSjOv/6g3pX5psydg/SN4pjNbvqXC9/+CDqTv/7dPD/V/T37/LB
Nw//5/Ev31Xzl+uH3eN//y4V/H9+/6X++9fRV7V5b99/9wXBTVj878hjm+6/iGRs/+e/eZF//OT/
7zf/Eez9OKmvv/31s+rKdvnfItR5v838tv80JJwNPP/644//IyLcdf/LtpgNOw5y+CAQFmHt/4gI
t8yA+HDbCxxferYppP3PiHCLZPHAJ63b9z2yf2yHsHlN/yX+218Nx/0vRwhGjEJaNt+x5P8mItz7
619+GyZvWhzGTX43H7audKX8Q6p9DeeAho5Sx2FgyE1cArutOKThNjKKzW+i02//nlD/F/S2t6C8
W/23v1p/CK7/l9fiDavfZJHzXES+A133hOXcOscd+W8x2fUbN6ZP0FSc3WSATqEL5KffZq9VIDAN
/vnvsLzE33+z48+//dX9l1+BxPbf/gotNCPXBcB/ZBMpPnDTm3RvwZNM/+F1/v1l9Vzwy65HCPwf
LmszWWFZk3VzLNL2bCB36H3nykCsZk96V0bq70/e3+/nf3NpuR//5W25wgsCC5Wc9HwS5X/7tgAO
hkkUIwSBrLqtOfgbDBQyotjG9PnPL+AfP0Rb2K5t+46weHMCyefyzn/zIZZY2D1kU9lRR0hIan1A
6cgRcnjTZrkDiEY7s2esRG9TuK9//trLh/ObD48se8bGAU+FaQrbdO0/fHhFhYjM1KBwh0kPj1G9
HGzqOnW3tWP32z9/rT9c0eW1AjKOPU/SpbZRBf3+bfqjNcTk1UUnsHWYMPoZ/2aTpHtKWCqWUJv/
4RP843uzhSlty/MpM7m0wmed+O1lJYuvDTtJNkswhPAHEQh+OXMf0+7zjZv/3VuzxbKuLE+8K9xl
Ifn9SxFVNVGtVP1xtN1tlPm3U0QPXDd004hCvfrzF/vDA8d01hEOj5Rv+yJwGJf8/sVirX0Z42Y6
tb2eNnXnMH8BH3X581f5l6v3awWTHvg4whe5kL9/lXyUto1+Lz1GLrmGzM48fDmAjP/DU/3vX8bj
o/q/nJ3ZbtzGtoafiADnIm97ZkuyJQ+y7BvCdmzO88ynPx8V4Gw1m2hC2cgGgiRwdRWrVq1a6x9M
1TYFkffiIxltESUww/Eagbiyl60QrFyIdR3Fq865PaNZACGwTzH5f0PNYmU5FpXn4gJ0jrW2ewi6
Lqc/WSE0huaWid9p5I0IQJvfb4969bUMZiVTILFVQzHN+QSFS/6X+2pEDonARGo38b6Gk7Yyt+mb
vz3HusHdBfbUNhQuP1mdfS2KlG2NeRgG7pg9w25QPR8Qbp6hk4AWQ/BgD6Cud2XQdkh8DE3ooZWH
vuf29lyvV1hwx8qmLDjr7NPZMTBpofmJrfExJ+OcM7qUUFAOfvQZAMvu9lDzYMKEGUpw1xNRFEXM
9g0SILkh+jZASumvSxXYlP8W8j9le7o9zPXXEwZk4On/ssFlPpsR8ay20dcWyMEaxh7QevIZyfty
JVItjYL4ER1CDpsilNkopoKeeaZUkqOAvP1Jk5RaNWBMRX//98HZFskHrhtNEbp1ediSAtRhZKnd
CfPxDifuyBt+A+JF7C9CPm6fyjhu7lOsKt99yAXjarSK+GwyX+tyXEQ0jDCWbCrn8XDfVP4POYC8
7wL6vP21roMJl5lqGLI8XWVXX4tnjCzbtAPOEuYTjxpaPE+NQDApYLOsLOXruZ2duLdjzePjqFJP
UoK6Ow0gh/BkSfsQ5m9PeTyleKL/I4fqc+snzV5PbNhwRqiFT51GHLUTxIVK6Ci/bk9+aRPZumqS
stDq18VskWMlQE3V66D02eZEwzzKUOjePQRnTSYlkjVrSh1m37EGm6AhW3bm4YN2p5q0fXjwQjtI
jv9hIN0gUxbIEKjzuYS0KEoEHjynxFIA+sNZZMH97SEW9opgN05hioyLc3c5F06A3tBRcR2Z4hoI
yzqf4KRJ0uo7ww5XNuZVtDKZC48PjXilCTFfOOiJvUd5H1GquEWQWDGtLfQ69FoK9HhTGOIrH2pp
PItLB1Vxy6YPMl0XbzLKWvfDASl++VTkBVZRpVbKP6NYQS0sAU79jxeK4vM7l5MZgilRLa44mZOn
XY6IOJ89SbahTzmKPSI1+1CqP7ZNu7IxFJU/5+LYvY7DbaeS/8C9m110osZdUhYw/wpN639oKhdL
1eOsmmUleqd9M551szZg8rRodZpRsi+sBt2DBI3WTSfb/uH2tK8O3fRzpkeeRXNTv0rdSxO3SKl0
BxT7QFoHqdOUa1f71UadDTEL2qHReTW5bOzAQYLFkgh10sIwAdgEYmWbTuf3anHfzGa2bYLMtCm/
GiN2TSWex05VUmjJ/rTdx3TI33snvE7LFkLXZbh+84yl6BOwadBFKbpm9WcPZPWmrgexD40iXomM
yyv4v6GmPfXmNIR55lJBLFXHzvwJFoypcfNoUqy7vRcWh9FNUzd5+FMBmB0BAzYzrRcvOlteRYUN
jwbYi9SZ1Nb0v98eavFDmbJG/vHvc+ByRl6rDV0SNI0TQ4nM6h8JbSrA11oUIChjr3ypxWBiCh42
5LAyOqmXg9EpMcc67HynjO5zBO8SC6w8xH0pWFnAqyR22hICaBYpgka2NS3wm+9kdQ08k8SOeAH4
37GHd5D4etCG9FMi0JxsNEwco0T9LYnAub2cizO0iSYIUak8EGYDA+QzY13QnkB0hw419A/UYSs5
G2iedhKAUGzk8Qu9PejSdrERDbF4FdBmmB8AK6mAaxYIKKE97jS5+UHR851EDfj2MEuLalPSMkHa
c9vNFxWnk6KhGxA5UhRmMnJYPq7M6C+qOz+X9RR+c2dXH8d2knqnOV7nX/S6sqKVTzsFqXlkefsr
pi/w5tO2+FWgMRNUIP6DJ1F9CWFCK+DSQg/ZjRTPrmAlMC+srsY2MgQAMlLdeco5BEqBc0IdOhqt
YopgoO7bDIVeG5+Ilbkp0wGYTU6DrwRuEVIIXKrptL6ZXFhpCg2C3IJAgOBMG/8CBHb0jexJqYcP
vZ7/M3baPfTWj5WWdhMRdiW+XRWQ+KoaL2jeQyaVHOodlz8AoJuL7jkwmaYw9a8i4NG0rXtv4qV6
eQCGKm8+gXwPnrhV869AZJG/43OsJB1LS67qFuUCTrFNmnj5K/ogSrkJSUCBdYK6QcgfGKgfarSl
q9E/3t7Wi4NRA6G3Tryw9dlgKranFrp8odMqCqRFDa4Bir2QNG8PsxBoNW3KoXjMEv7mNSQzqXFM
bJX4jI6ofxTjgJrL1M1uDMRFCz/xnJGAf3vMhWik8dy0GZBn2lXypmuo9oQGFz6SKAccYLclODW7
sejSrYX2pVWcAjuoA4PkbR7aNTy6BqmX4nOdDtgL9bl+agtEZyni+u/Nt2ltMhdlKlFMd/5sj5ag
BYYoZcFgOgAJnFrjKpVVOa4fbi+fsjCpi5FmWwNTVg1MlCqfMAhDVDRwLa35PnYR0ik1KgHDEVtj
3N/iNOjc/RjKNMvjpJVthF0S2MmWpOI84RcCNyStLH6lg9r9KrDHXntCLuwtkkbVgCNMjk5Z9PK8
GKWbubGOv5ZeNr9sONwbCq8K2o2esitiCRmzDrvC24uzkK/qGpU7FY8UGUTMLFShBWfJgCih1GlU
tSV038p+5cJZWn4qk4rJaSEsze+1MugyM6DtfTak4SnD1BljmN7aY24arBRnFi4VmjUax9+QCTnz
t0Bi9zXMj9Q4xYicVuGDVN/VSAorv0NFQox/Lb9buElfq066QofHJuxcfi+Bqoc2lFXttPak4gJy
fucVQMABJYFNLLN2bwH9QVW21B/9WG9WQtHCuhIRKMjazNe4bkgYvKwiOVEdA8n+nTcYMdSvoNt2
tj2uLOzyUFMiJJuQp+fBtSz9JqL7Jhwf3Ia6x099THeqGQLU0t0Bwdzbm3LhO1K91HlD2ZpFQjQ7
sOj9NJGd5JLjm1b2kpVlcJcEbX1H+dzc9bmd/VAruCSITgf/aWRhqdQ06PLMP6maURDztRgHYZyl
H1JrHB+VMVRevNGHdKsYyR9E0CGy9UmQOP9h0iR+Ot0skLzzJ7o6IqCHwZzrmAI1NGSsYbAVONCk
cIruS2BtQBiQvmlaOXlnx44ReT+zl6jUGuQt86Im7WsPxGQVOvgMfOxp9Xt5+Xh7dguxjQNAQZre
FhWcedXbk3SYXbbSnqhDVl9djPe2AgW0Q5LX2gsq1tFPOsDdl9uDLm1bdiXi9ZyP6woYyvhGqAN4
deq+P8N3Rb8R64XYFuXKtlmaHSPwWCC+0SOcRwJVG8dxSOKzH5Qauhq96aPBWev4nfq91yNaqNbS
x6rq1GEluK6NPB2lN6lmH4rQBjCcOLzBvAE2IX7XRXBsOZlZ//v2ci7EO95i/5vl7FjCjY5GrbQC
B0ohGg/mBxKuJxhfzzHQ90RF+hog1+dOrKV2i3OkufWaL9gorc7mmNIlHE14/qaFpHuQB+MH3O+0
s5kW/sGEGLATVERWmmoLSRc16v8fVJsa7W8WVsfqHjScHztu87Nz78FNo9n9KxjKlU7h4h61pyiH
vqF61QTNAnlIcOPNnRa7Sy8ZUNDNnhHzXtknS9MxpyseqAQ511V0kUa90XFDcVDvhlMUAXCZVK9Q
E5Bhkt/eJzpLM3v+iDdjidnSWYNr900bJudCBxPu8sA/GTjWrfQjly4Jev/kxLJMVjx/XWS4FUHB
SmOH7vHGCj5KEgRb7RjI/p1p/TIhz9ye1eIK/m+81zfXmw2ReT7F/BzttMQKt7X+yxyVrVT8HZuV
jGxpQ1C2p21n6JZ9FUs8vzKDRqYO3cDOn4wqFOSRyjQPUSDECHx/e1YLo1nUOYTgUuddMw/9dWym
ntxYFNbrSUoBVe6qObtNc7w9DA/s603xdqB5bgbtVNSVFpunmGz6OW3D/h7qbL4RieZ9K7ASRaA0
UPNjNeH6D7Uq+eoR/mVR3oeFQPFAjgoRPmAD0EH2VZG53epS2ru7IU6kbo+ZSffcS5LuH6SoyO5B
2zRfB5CnwS7zEGxEtTUzrcdJQudzAL+02Lb5iK81ugNTr0YeKP/pEXa93JK7cdREfJcDwEErRDbg
6bZyH6Gl31gg7XPgeJt6jIqPUaUafyRRo55R93A3j3IrV8+I7gm02AMZWTHa41iNI0EJx9YuLXRv
rUTD9aYrC8DFoZtXwwFJ5wYPCeDh/S5SjFRHNahTx1NvhsPnsIUxsWGKBmztGv01m/oTjCxfBraT
5zKKclkum/GxGCrxArEvxINTiQ310WpzuHldF+FgnST2aD5jWVkK/oBa8/bYLtlIs2LqiluyUkFu
atHC5Y9M6EZhkezBWKa8AN+v68scr7YWoCVSB8KccBr46pAHCh72eZZid0Yx+gmBY0pIatKh8GsM
mobGhZbJX0u081rSpazAKrr3Mbdpykz62HS61uwGOy39rRQa0h8XsuQwScXJsP12EDGD/AW9dyic
VpKiRIfdOSJBrioAL/m07WEYKb74XI7YoBtkwvwX8Ifv5cjNvhkjMkM5FpryBvNtUPt26bPDKxnn
8B1tnjR4qt0AHhPEOzjQFEmBlboTtQYvrg6WaS6j6qeVLVR0YNspFst6gFPyaA4K4mdhYua7JEoa
LA0rD1JTPhjVU6Ip6gsap3V3n2lT3VoaQ/iNWjWo5c6qLKkGENmismNGAU93DZ3C+N4I2qo7tjrV
gz2OYn1/LCy/6j/kitoGO6NXu2QvRGuYB2+wW6hZIsP2KzDy5MXo4CxszEyFnFeBHVX2Sox+JJJ7
YR7ucyNQcNfMZKt2RDHg3tJOfGWIRKgH14g1JluKgDWO3uxpAytjs/yZ1bE+HPyBCW+jDnTEk101
A56iclSLY0JwwBxv6ABIWjiBQLdpa7EfEQowVx42C/c99RWdXhVXFTfj9O/fRFrPb/tcC8POca1v
UCfSRGHpw+0wPIvk00pcWghLvNy4ei0ev9Pb8XIswFdhmkY4T5ixaE+oOasYrGr2J29MjBNdcGBe
aGogzEzppRkSPFZyz9hXnu6tXJqLk37zQ2aJHJj1vKTgTfsRa8BjgMLUJgxQ9m+0sd0jNehCl8v0
lTfHwp0GQdOkcabQJqbUfjl7G6FbU8nM2rG6zv2cDynegLWN4KAcSXuFIHh7tRcSA4o907uKTjm1
hlmBo6VDhwCsKhxJ883HrMiHB10f1JXts3Cl8XyYsCCGblhXuEBPTZKBuj42CPLQDB80gxXYdlVS
ihevt4OV4tzSnKZyPXANcDZXNQc/Cy0oZUR54OrfE738pnvuytvpFSB6mVBNQAnNAiUHqMeapzq4
5tbIrA+K00ax9cttgdzsTAM9DahIhZJTU20EEgCWJF7yWIMyrVQRXg91VMt/I0Wq+m1AnCp2SoTP
2GaIqh5PNBPBj0MjVUm8HZUSURNlVMd/anRqUZ3NwG5u27rpP9b0m/wNvPD4H1nX61+NUeiPE6qv
B+WvwQKrKrPGxwpX8XMW5dadlofJFwkBoGLX9RaM+tt76PrrXqzFPA3zQijutS+7J8nFEB25x2ZA
GBjpP9RhMvHn/YMBmZ2Aw1REScouz0fRWVogdfHgYDq2zYzg6E+tkmbl6C9NiZIrtVD6E8ZVt6mP
aB7GsPhOqYEARvjJqCG1+C/vngqdSFVGv4AHPm2Qy6kkGMt5TZCEjtkg4FxKKDkEDoWjtdrNdUgx
OQtQTnSqCSZl5MtxRI4acKClkYP+z2YIAuwz0BNrcK7S9rdndD0StRLw2QRubMmI35cjmX2h9nWg
ilMJqykztHugbi+l1/4UxfjuxbscagoCb24kJSkLNCHU1oFlTRUq/wds55MvrQESrzcCw+iUw4GG
gHyUZ9sNWJmBm3oEwSBAsD5UjgLQdoDMz+2Fuw5ZYNhUYgk5P4n6vDsUlza0O0UfnXgQO1x+HnyM
wm8PsTAT+jAq+HodPPFV62dsQtvKSdgdvEKzqj4Aht2murIykdkopo4ALYdTUXQTfRVr3mB3yz63
UM4Nndw0Nwqd6BIaa4Omze3JzK7m12FUTqZMnwLU8DwfkdCVCyo/0BzcSOU9bS1YUVnZfo0yE4nl
oUTjhkrPyu6eFVv+HVRVAc5Q3+W4znZ35+I+nHWp7GidBekOVq5oXWBjBg44voZlG2L6BdsjEvnh
9nRnD+vXkTlTis1Nw+rOIeAIUXY5QrJoC4wNiTH4kn0Zm/shk/IN9nwYzOaYjzdj0rzvRf/vwFMh
RAX+Pl14l6esHGQ8mmVZOvl4Cm4HM8qfPE0BnTSJ+9YKgkLZWOE8AUGwWNlJs1jy79CCvITGKWSQ
+ZGISgWqXdDGzlBGk6XmURbPZv+ISurK4i5tWYN4DjBqCvfzq7yQC+zxCup1noe1c5l+tMPqKaua
lWGUpQmZPDlIgXjbgw+/XMsukRg8wjcDgUCUAsAcj8coN73HwC7gF8tSYO9qOOgwQX3zO2oF3dPg
om2tG/JmHAo6GYM6PiJm4z4g3Ykwk2iGQjrd3mmzQPS66uSdmkF3SLbMefppFUpa9nKhOEGkfjL9
4L6Urf/wYU1UpAmmVIEpfl2ugxpRJcChDdk3pBsEsiPVZH6J30QhxEpDc3E2FpV7qtuc2zlBpDKQ
dDFqL3JqBG540aEB/07c7OuCCcueIAzTDTs/ITGtgC40jcHR0ZNCteABYj2i9WvtnoWAB5/qtV4P
wOdqGBQ+uUKrxHYCqNB62P4oPfFBqxonL9CLHsVKCr1wJkjC4btQ7LLYB7P6biG8qKca0zsUEtAJ
wpQoK09Gqq0U1uawDFaP9hVdpdeWs8w6Xu6F2lC6giqMdbJRWN/4JmLj5Eof4CkeKgl9SDP90wAu
Qo/nezRgUyIwYbi94a8Xll9gGSwpiEjlKtOr4DgjdAoTLC7Gvzhu/sLeirpEeigr68w9Ga+Md32J
0M8Bl8tIhFR1TpEqRoNKEreI0yPcoEiBslUkvD40D6W61HvGNw/mvwfRsSQkPd+e6/VxMKZUk3zW
ppdNWnO52tmgwDan13LSw/ivT/K8Mf1mbYLXdxWDAD62afdObI5ZxoT2t2wijJScBaW2s63H+p7m
RA/FzsT/08I7u1QR0hxLxKxvT295ZFDPU4pDmJ1tpsKDdJjGqneWfLdwerdqsA1CB1bq62NrqHue
oQ8IE9we9Pqk4PgOAsSUUZA1r3DzyKNIIH56aPNqpeAj2Uv7XPerOy3sc+f2UAufjxWlXUe/F6DY
PP9orAIxMd+zT4EeHJAHwdNOkqSV/blwHvi9dMxMDiXF/Onfv8mrwy7pDLNmj8gGxpm6cF8qDEW2
pV0/Iwq9w615//5ZEWVQW5qIIvb8dWLJOGVXSeueYlj6Ma5XvpauhJnrm5devKaQwE/8PQoRl3NC
oS4fYlqbp7jOjRJPlAQXtT5T7d9oUmd/mnzs/t6e1MqIxrzfUnaNjFd2ch5Fhm9IOPQ69W2/ogLY
QadHRKhTEJa+PejCVmSaFFlAElI3m588DfR4X5dNjL59jHi7BEQIVfK4Wvlgi8PwUgE/RkrKu/Vy
NVGWrXp/kHFIUO8R+Np4VrHF3eN4ezJL+xDA9v+PMh32N/vQJmCj91Bop6AKj1F3nyD2YYSJEzKv
Gujn7dGUpbP1drjZFskHUePjzi4UcSryfRe7dr7VwjZ6iGtUSnY8ZPOfFBsDnArsVvsSFNjX4bhU
YZMb+IOP0gHeQ5jMlANoMIGZnHlY+Ymzuuh0VwpAezacICLsVRdKRlyntbs+coI0RVHJ64vhc280
2g7otnforTJ6GBE5e+hSKkdtIWNGA9QG9bhyJc4ubYAJbUcFhm7YFYvF1ZCaa0vFPyPskPxy8e/+
JDKuLd1UpJW9dhXS2cZg9xVabzxBrvID1FnjNNKs6JxgYvk81KGEzjyOSZaZWcjAIcEomXl09lXE
tG4v99WG0ODakqyzASl6s9su918SppZLJdxzlNr7B8+Yv7W2NrmrIPE6BPXsiXWlXCfCAbbxmEq0
J0MuDqWvoPopBlji3VbTvXBlh1+vpE5+RWNXBUbIg26WdfeJ1uJEo6DhMQoXsXnwmH+tSFH/5pXQ
7lpRGc9jWqgIGgI3dP/D4BYZgQ14dSrpzwY3gDWPOXZg58iNxH0VCMNBoxThKGn0Ru3Rbix0zssQ
sZp935rvrH+RX2JvPhGbp7LhpEhw+SlrUI8pwn24OuMnAQY/8fbI7XbOGKLIFilIhtzeOlfng46+
DLyFSjfEdHbQbDysgxHr47rx9XanyPVp6KxtO3rvfZszDLUpKqFMgKnNpmUXuMVbVW07SWmG3b1P
yGr3ORTWftdn7jBuiz5rnnIcmLJtgjzSyqW6NMvphWAYr8s7n2VranE9VJDvccfeG4nPxgGCO7or
EWBpGJOHFdcZDzlwhJeLGaCbAnop8s5tQnQpoJ19AbJD5zPB1uj2d1s4IvRcZCIruSvsudlQIW4F
puJlOFFY0U6xmmNFD7ORtE0rRacg/hE0/sq5WJocTAo62CYJK393Obk8sysKIKp0kkBGh9g4pQi5
yalze14LcQby7SumVyZaz9MfEJF0Xzl9ju+eR6ncIYiGaOxXuRYrAy1Nh4uZ/4GKJkmdHXPkLaPU
7EfPwbbzPuARt+lE98XSEXK6PaPFgVT0RWzqzEDYZutWpKVZJW7lO3mKSF8ZWB9cm5ofck0r7+Cr
LIQzRlNMYQfSDbjC/1ImQefMxMd2iPAIHkMqFW5h43KgtebWsHHb5R+tdcsWvpc60WMN7oTpUTqL
H+igi6DvDWbXYMoHFPgwGO1X+IK8XoKVHTjnJUzBEWFE4KoTIxX642wpbezyfC9WSkcrMEG9i3sk
dnDmiJ5bF7H0+jhKNro6K7Fj4XJFymKCHoNxBhk8O2mZXPsB15B0Ssz4PkGBlLbnShBeOMy8YVhG
lhBA4fz+pqbkGgo+DeexaVjAXEeqU9e+K5hrfkjRLNr1iIjv9FDIKyu6sDepmtDAJEcjZZmX+RqK
dLLA//gEPm1LyWRnqgOuycGn20dgzrJ8/XAUEqixTwNdIUSRXve6BGwz0lCS2MmjNOzoLaQnXmjV
IcOnK9toRfA7wCnljIxduJH6pt4kvvEXI1R15UAubVlO/lTdpG5EWf4ykDUIMnk6bcBT1YAkxVNA
Kbej+ODm0cpnXdg51A1B43IXqNdiKDzXQp5VUe9EfQOgUvQB4IcGN+L+cHt9F/YPjSzEpuidAXuY
IxwTmkEW+tP2CanOe8QnnuOo8jatrR70wbxPW23fggm+Pea07d80ladPiu7KpM7AV73GdPudLEGC
dBPHr7l7Hsruz5B/1ZU/PhwMEM44eb9/vCkHpbwPuYEC6eVX023yaXuoCscwfyk4OrLkKEsXGyN6
pGCKVYKH2PH7jz6EOkoYGscTHubs6Et92ahoRcJ1GxvpWOTiZ59FayT4hTPI+WNSfEJgJPP44qVZ
YWK4nDsi7Sf94I8QeZ4rw1xpqS1tRjh7QCd4oEz75HL9uHOK1rdiz+Exf/Dx3lRN6eX2J5r+iPmW
oGAB6MYCy3CFfnfNmK05Kp5ToOyGvNoOEgrGXGIjqQcvkFY2/dJok9YQ2uyvbenZBS7ZDVQbv+ic
ok3xUZFOpfw1s1FKze9iZKtuT23pI1E4t4RGlNZJJS9XD36jCRzCQJ3NrPYE4ztFH059+E55kNdD
RT9DkXWaDpB+Z6EpiYwMRo1GUmKNuK9WD21hrmTiS/sAELRqAUkgS5g/MDRwSmJyYXAowXzWFemQ
4dx5e7Fec6fZRuBVIctTd53U4KpMJhmF53FdnQDv4WRAUyyMMfeRkaAu9bLC3gymibvFm7ZCMTYe
vGYy3EYtWTOyj7F1FChgIy+9cgstzBxYMQpObH6bHuHsG6rYVKRtHPKcs3MUy3HlO8d9Ov68PfmF
WGzB5cHjFZIsJafZtoRVrPh2GOUOV+Fdqf/Qit9o17pYwPd7Ze31tnCVWWAXptyEVPmqioY2p0x6
KXtOoib7qPia23eahddeaOxvz2ph/1OUBEtHb8ri2842JpIINPmjLnAEiNAJmOFbwaYiFKD2HyLS
eHu0pTXkqQbl3Zii4rzv0Adq04xmhvsjt6WxK8vSKw9R0CObmLh2TDcx8vWvUeCbX8ayWH3pLEQW
CjkAUMgyJ72QWdi33AriDtyZM1CNAaX2VC8/Y4rpDttSabt9p2fD70QPwnQlyCyO+8qlURAAA9R/
GWQaqUFZjDPr4PJ4FLExbsdAlVHXxouxVdv2Qx8DDl4ZdOFU4PM4EXj+HXTaYm9ql0YVNtSrEsXp
0YH5Jqdpdu9zNayMct08Yz3RRqEnYFAbvGrnNDYkVDsd/HOLGdKGQsQJFat4o3xxUc1GJOUOa/nv
pZvbn6qmVXY+mLi1Zs/CHiaiTnQ39iXNj9nJlOIIlVeIWWdFonFOSBcHBvHvjdhay/wWNjCEZR7m
00OFdHc2VCPaEDWKzDrp9T2T20ShQCb8i4SSOtWPPPp1+7wszYxbHaYbaSYMyflwET0doHiWg1kj
DhBh2uqPRooxxbbR/PH5Pww2YQIQqON8zOtjqJvKo95a1AGs4hFPQDyRmugcxO77ExbCpw4Wk1Ig
IjCzkIMFDqDtOJVOcV+EDxmK8QeUwpTj7dksfakpoQQVyPoRay63f41f1ZBqeFQGCDGn7sfSu0dN
Z5d2H5Etyesft0db+lBsCC4ImkfaFbPfHEorkQpY0WFVHTF1f8hxowyMYOWOn3707P7liqf9NlFL
WcDZ0hmRje/A0ChOriv+NqYLeVLcXGwKTO1RO0Y8fSyVO4yFBawvJRPb27NcuJUuhlcv13T0m0LL
3ADNffubVz8LfACk+j5d07m8XkyEuRBs5UYHJcZRuxwGnwyp9izcXuFfv4gu/dHaxVEO25X9fh0g
DWhPJmgYwiRieLMdIhllHsoVynC5YVk8pPoYdyNkUt67ZrT1gdoAeaOIcoWvtDpL4BGGZEjraxWl
BrxHZMD5RwgmxS7GFHBlvKXFo42JFON0tHgJXy6eVkhSChPOcyz2ve3d2/g5qeLT7UktDWJCCxV0
gGzgnPN9qNeuJlWeOCWVcfZEX0+B8HMZaZ9vj3N9cYKLQNaLZyjf5+pysfyG2ryeyid03KNtG8ry
sAG5gJ1f2AT3OPlBvogyf616cr3PGVaAVJ3qCCrB6nIN8QKFvEz4P6WYEnGHwl+8C0x/W2OleXuC
SwvJtuAvWScrmcdcI5fA7iQ54tVlGn0jKPqHJHK1dpPUUr0CF18ai6RSI1eGU4ju0OWsMMKL3BZS
CzQuUzuqZtucfLCDqFqq5Rrx9Tr6TgATUOk08YF5zAOVovWGMkpWgMCekW/ROQpOMRbLW+gq2n1A
/30/dqaPPP+QrUTipW9HRstLayrQXPUFa0BdnZ73wZmGxB9PYNPr2U2NB7khVV+GCjWJ21/wda9f
xuRJEYOUgI7WVMechRGvMAwcR004vpTCHvOhzNxNQTX4lMCjCfZtGBbHtijMJ0Mbyw/4ObkfB7rX
ykHUSpDs8Ety8xdS1vG3qkbSk4oBpb5JpErU36PMQGY3baCaHBToC6hXNtLwI/P7hm43tYU9xIIA
ha+xK+8qDb+zIW3xyoDrY+HjaPO3SlXjxWcOpo+hnGe36MlRePvjIrnZ4HeWtney3BfpkytRX+7z
WjHOaac31Y9WDzKnrXivOg1e4WIrErV/wPixF0c9EupH+j1avS8TD3MQaGQdZvadqjiohXY/UtNT
yw2mk1oOBiA3vk8CG+UGcj1K+pUAXLJRbNl1eSPquDimyuj/TGNMVdG1b7JPGBavaTIsRJKpd6sj
78uRvsqkJL3BLkNwc2JatguxyZVLEv4YG7v2U85PuL0pFo4amCMqJVN98FouIEJDR+RyhF95r9LE
AbY/OEP9btTPBKJSaU5zR7Ll58loDVPMbwfED/3mW190W49paZ18evdcKOzSs5zQDkT72f7ukzCy
o6jt8QdH+QSPdTW2dzomtLeHWfhALBV4NDQOgKHPU10/zVQeK510qvVIO9ZGZzlqp2LnF6rZCfae
9GWIRnG4PehcAoa6DEvIMwmldS5LnvaXMVHB29Uy0tB25IoD9iDx9i8hQerKuE211AdynGIn0fRQ
P7exUmFxJ3e6kR9cRenqO6r74yPlUtimWm7tUHE6KINkrL6xVH7FLMRQAlbJl3k1X3ea5DTI6yxq
AsfEfw/9ENI8zFTiyXil2RY8qiAFNi4uZ8Ry7THQV0Lqwm7mEQltaoJIAgCd7YAmL2NfRrLxLIJW
PeMmnBmTJWH5R056aw0/txC/EfmboO0KYMirfWCEQ9LQ1UZaMITYmHpgH90eL0Kr+m2CvL79/Rc2
HSVa6kYo0NCcn7dJslbAqJdbz8ksd2vEP/ThS9Z/0NQnzHBWcueFGxHBRFIK2ltT8WG201rFa4Qa
6NbJKMXvIciOeWNjEJfcj0p9CBVuZfhZt2e3tJSkMTKLSZ/gCgTpG4NvJoNpOn5V/HYpdJ51uQ3v
624cn2xjVUpgoRmEFh9S4+xU85VCcnmYMNuzGt8v8OmMbcfGFRLBC8wfrepkhMVeD4ytG1X/FFhs
dWFzL6WRvTWyaOWJtDjpiSFqcbapac3WOa/6LsysfnSkoQTK8skGCRWRxlXums7O0khcVdz6gAav
8STYTiFmoKAEEU2mIxCW5QaPEP1OZD9vf8elXQoVk/PH8ac5OkvpKzWsM1Dw1gkvG3/X6/YPHSe7
U+FNHntGKMG5aNcUkhceRxOvkErypNN2JbFYsiODvkxdp1Wr6iUPXRAI+QBF/j/sUcQpKYpTDKA6
PostBSZdWdJmg4P7051kTPZhGCQbGDBC3Xv/FQNWcALJsktx9pi9Wrh+UC/TS+ski9AH6I+iAbhz
0npiOtI2tbbHT8FcecIsBE+YI1NX24D5dIX+dyG8Yorj0YntqV1vQi1Lvseegn1gnuuBtrKc03LN
bgoQVtOjlvXkXpstZzPQ1IM4NDjIashVsDcGbMt7+YsnrL2LsVFSnOR0jRawcBBAAIFrVllTbvDZ
keMl70dGl7mnqVe6VSw3OtWV/VJ1zUNnGU+3D8PCxqTBgQTdpKRL+jP7iLhvvcr6JI6GCSWmSekQ
k/BmUrXGNl+a1bSMkwAS9K75Q1qJwzQb216cJBtpt+aQu/k2wTey7F9uz2hxoAnARF2cNtT8Me2X
MLn0joZrX44OjZtPodzuQdEiobMmL70UolFC5A6CmjxB/qZQ86YoLANlLOw0hoU5artWwWTYLs5o
NRpY07V3gWQ8drn2OQMwYIjwvuXu8Nx07Xm9cCTYhJM/y0Qku+rT50hHQLIIvbOtSPrdgFb+JqwG
+UNbhyuRc+E4IF3CmpL5W9e95bpoG94ZkYliQFYdFKurvwhM0n8kPBFPTamHH7Ge9jF+k12QCm6M
D9DKgZxMhuYnko1qybyFyWYoyFyuuC/LdYboNXKGUjJo+77JM8wAvTAbNkHvxfcRYtAYF+elHJwt
bE/TQxGGo47SAmJq2LwCwt/aSml/y9o0RcahDPrfZTEV+HI8a+Vt1yhYBLud3ZR7xAlR8rm9O5c+
FoAAwgmkDVrms8snEVbkllkfO4lnPyGO8r0o1WMnKSuZ2OIwNC5ZIxJyeR642q5GM5t338nwsLUZ
pEc/NXeI7a5wsRauUvqjExkLKVCy/9n+l4iJhj0Y5knN7oSHRzYgDtnItk30KfWHw+2lW/z0YOpw
mJpUdef3TZkNDbIdo+y4CFfEON5X9TEOyxe1M3/WtvdCJfXA0+K59vvi9+2hF5eTE24pMMJAOMx2
XceD3FesyHNC78OYpPumoBRTrCFqF0fhuTaVAhGLmOdaNPLkGpdHz2ni4p6+xIOs+/fUnlYaBksf
jfA4gVk5rWRal0coQ0aFogJ66Ra7cZP2cNMxSh53dZwFe2x73X3riTWJ86WPR7cXrDB9WJvX9eWg
tp4OlBsJgLnZxP4WhI8CblGL9Y1mClwMvbTHzM/CBTbMcvy7+jZvvt/+iAtXHc8FdiqUETbs/AZq
a8SW+cSDkw8JusBFW3xsvXhNAHnhYcIoEyCazj5ksNmFOuJbyXuslU5CpH/d1jraofuA4OFJb8N9
oukfeNHub09sad/w2rJp2cGcvgLUVznlV/w2R6dIKE6pOYVkT46ifUkcXQlf15wK4JFTJXzqUk6u
S9N3fnPjhQKJC1z6sPqQgvp33WrSl7AL0W/BFFIYh0grY+WETNNnswoORZe1R+AMPk8yI7M+CSMv
v+WV3j0MfWytrMLS550SUQpENsXfOYXFlKOgqBUatBYkqrHVHBKElcfQ0kJPNHs8wieHjPkmpr41
8E6Kp8elXZ0CXrkfirIVH1o/i/9DzQu1U7bRa7fjqhqVpEGd9brmnqLQ3rJjd5KCBjLOte/fO5Dc
BPOBwnwVVH2qLYMReqPzf5ydR3OdSreGfxFV5DCFndiKzmFCnXNsQ5Nz+vX3QXdisSlR+jy1rRbQ
vXqFN1h29aEpq3s7nP/IovkfluGrAEHi8iOQro6/HZs4YnQoZRfGFHtxJoSb2K18UgfK2vc/EQwW
wL1MARas7esdaremaBS8PS5Bih+uUbJkfHHUdOfq29gL8GWA2KLmhoDhuovT1IqRDuWc+r3RYGFf
AEZqZMyf+gHWzNtPpG5E7L/XWouxxJNU22okBf6c2NZDnDOIw3EampKHcnHxZewM9c/claI/5Eqe
flfCNPxaIuLVezZqECdIk+VjEldh64ZBBzBPieCoe2httKZbZ3oZn5qkCIavKtJZvyHoc4BKoaT6
OTW07DpkidnjFLy4cQ5llz4ORmEmnh4mu+5SWw9K4GQWpINrvWmO2mkx2/JQBr4eBIB742wa7yTZ
eAbN2RQncyzyO1uf/4dkyeE+BHXBsktX7vWOkfpJ0aREshj+MvLFWLnvVa8JPrz9FTegHeCxuXiW
CalF0bAKnThyg18s1M7vMvTGaMaG95ZCytk4oX1nOazdJpWBeSrmtUEwTC7Cw62nt4a0cxi33jJ4
gaUdSCl9M0Odiwghn0Q1LrL+vQ3/DcbrUE9e0x3t+d+3n3nrkHD5LIgrbowbMCVmuZIRJAU3Eypu
TaAwcNEOltjj62+UfIQUpkaLk9ctEKmuHVtYWhKjCxubHjCowusXo2/k3TwtF9ZOhblx08AfkAFD
0Kqikb+KMEaktjJscrrcat0/oo6i/kBdcE8fZOsrvVxnS2ymXl6labUtd0qFA7c/tpWbSh8qkZxk
A/GV4JeGBuz7PxRcKgZ85EW3YJUK7dc6wBobH7uhxSLCnqnopqROUO8TczNe/oflUIrgiJNK3LSp
IloucTIP0TWQnPYS5Kiw6ZZU3mt9re9UDVtb0CHjWgADHL11nA4oxPFCSOOrGmr6QZ8Nwxc9btOJ
MSk7umtbXwxszEJIIwmhafs6jjRGPZplIUcktnl6Ar/1QS3hWytJIfvo9xXndJzznZRkc00qf8xv
gM9znF+vOUYdctnwkv1Em/5L4+5D1PanSDOex9x4rhV9Z+tvUEsYdVN8AZ8i1YTM8nq9KZBIi1oN
zMoAfrkML8Kujq0qDrlUXSFkU4vb3+2wQCf2/XwEhkpMMKj9aLiA2Xm9dFyguQZqObg4HAiZLdOF
4jCEH4v0/R0VVkKmZrmIFqjYKlLPjJ9qjaGQbzTOFyUQD8KyvvOvv719Cm7DFtgBOoiAN5caep2p
FE6h455lY/UpP1jT4Cl6dO4y3R2LaYfydFuUYFpEh48KHQGvGyxaOZVJLodV6kcMjDXJ8vJkcKPs
d16egT65+I97bz/aRmeMFRFxYjmu8RvcDHJGdGMncIySZPf/IS0qf+mKSVZhwnX570yNa5T0rEF9
HhDo/ZVMPaKzhaL8h1hO6ZZD3O/cvrcxG+QaZ5LsfUt7HdZZ0jnGNPuKOXvwGL4narInO7L1PfmQ
uG2Af2e4u5zVv2oj0r+iKlqj9OtYXNNCPUtz3rmNoVxta8/yc2stJE6W4gAi7A0CXlJMiLWpOftj
LKcnuPt/irJSH/u4z9yUc7+TMtxGUdr8/99hROTk5nOqtRY4eeeofpFMPqqup6C2TjBsdrbN1ley
gbiAp6G8vOEAzl3oGE2fOJe5FtOZcWJ2jEvu9bc353J8X3f1lyHeC7yEjwWN+PV3gpc+pE3NTEu3
PgnUG4rxcxclrq38rqVPTvXFnvaU/7fOH9creMaF23tDyEvLdtHbpU8sWZPbzP9k9T/zmLi5neAl
cZEG+d3XOU/IwJd9uDSm1+VWiimlmSOmd8HJ4bcjJb9lkfwMy+S/t1/k1udaWjoLz9CgF7C6fAZU
brJpmGi1h/FhiA20faqPby+xtc+5vskd4dKiTbE6U11koGc9oZHUAKfvIt/ENhgt9UNV7Xm6396k
S2uIQm7pbDDdXT2M0vVdqPUG8ppDLN0lkxmcxj6mPE37xvk2NqH2FBtasZe7GhtHiz62svRRWfXm
FjBSuRoASAe+JlqlfygilC9dWTJy9b4vwW24dUp0dCtc2OWLIbJZOxeWI/4ZEcP5Doph/DdFieRf
M6jb70qsED5j6G2ZW+hV0RyQR7aZPuTGaB8AiiEhCq7V/M0IDfOx0gmyOzPT2usAXsm44ObewLyz
UqS3R3VO80NRWag228rU36OEqp+FxI31zHRAU9D6ZrIfg9UevTLLYxv5My1rjkquDYIHqIwvSljF
1jkYk6w+OVYmfcHQbu6OQ5bFT9lomOKEOkdsnZK50D/aQdQ/KD1G5YiigZfG/NrCM7BA1eBrJscZ
XkxC7Sw3V7vhyZKLNtmp6De2GuBwmhS0Bzk461tfrsNMy1sz9MekwUoWuGzg5rHpRtrOnt44Nn8v
tBbuV5G3wAUsHX2nmc/lbD/jq7DXPtI2ghytf1hjWDxSp6xh4W0i2VGm4QKk5ePwHdVx7T5pJvPz
WIXjNe3RAkeOPjpW1fDNjsU/LYPvozI0/8ZzBLW2Lb9NVX4/ItDlYT8hGKCJzJ1thB/DcvqEmJDh
TogVuJWe/1QS5WdpJ79Nvb8Di37tZHtm+Kw3Px0Z/jvTGuOjUWnNYQ4xKi3qtCB9S6NT2VXGIUM1
50E2JoJH050JvXtskY3YS86IoAIYBhPK/CqC4EqVdFnNzT+LzJua5GBphZe0mKsD8xljDVH7PeXP
rSyZNZlFExkhzq+zcj4uUk5OM/pWFHuzidS7brj9lF6whTjF3XxUtO+RlJ8pHff8E7bCCf0fWpS0
jOSbIYKi18kY9JjiyVJnHoainE+DFWpuZLV77I3NpRYrG0TPFojoKk3G1tBRG42pyFx3D0Gsnauq
PxFddsqqreNC7Kc1TyppESdX17U+SnJtjv2lBs9wDs00vlT1rpz11ulfIEt00MmUb6YD04TbZgqF
HbkL9nwQReElkFDE15ywgHKa7gk7bXTSaVbQHAGctRDm110nFVEPB3Rpcq1neeo9U5jag96Zzl0t
xdMPqQmsuya1G+lohVP8WDmm9HHSW1V3A0XLnlrbHu/xTjBar2Da8O4REeNkWg6oFWAsfKPtHQnU
oGjr4yrMqO0UVwy0B62tjnKmx2jZBy/+DHvIyI2IBTKSW5BNS4NsPdoNhZqN5QBkMZWyxzzsLmo5
4y1mAW2K7+M2v6LY83lA5v/dGQbiq1Ak6M0xdVsPbBYu3wyQDLV0SCIK8u8NattpJqw7eU4n2xUi
avey941cgy4LqQahGRPjNcRjHPEuLkJt8g3rKUG4uZmv2lR4SvNVT3e42Vv5hQY+YJEIQkHvZi5S
62BZrSIy/D7spoDxUzx/60QFfjgp+U+u2SiD+dzYapbcN9IYfsupoNq7UHEq+SCMoTfdruwC5uuT
wIIM1VoFC3uR99FdOIviuXbUqjiOdtfexwr0goMZZI3s2UqRqd/yWRW+YsfTx1K1xh+zxvXiBmqs
fcPQKPga4+GWeRl5WeHZQwJKUCqMTyjdmNVZCkX9jStr7AB1z0UFDHs0nibUJfuHUW+C+Cjp8/jQ
ToP0OETNJChopfl7Iyal9Wpccj+CuMo0XGWpOL1GSFF+lGI7HA9FxqjVY4QT6F/zoih/1aFTpZcU
m2q4P1aUzDy3afTHtzfaxkWEKBTjgheR45v+hVFhOxKKOb3qVjQ+Da3cHTWomjGSyvEXC6MPL0vz
8KgZwx5ae+Nkkddy9y2FFeuvIqiMxHGalOV8oUl6Rm/wLg/jY2iMFzOcDmn0acgNvxr0ndbUxvVA
LOUSAvADFG3NpM9oiU4WlBysneJr3igHlNcO5mRf3n6tG9cDy4ACpQ4mdqzz9q7R9GgqitwvueDj
Q5l3InGFMqXFzvfbWIj7AYfkl9d48xbDboz6NELmSnJyVcYcht45Tp7OsFO8ba9D6xciFSS4dRux
RQkfUz4FtHtVfrGodZD92HlnG58GdVsiD4KaXHjrd9bKc1+0atj4iaF1D8guhZ6Qe+U4CHKwtz/P
1lJIL4FhXXANN6VvYSqNbGctOo2F7ngo7hWXaLRi2iLzno/17VJoHCzyOuQ+qIWuo2rUJ0UxRkHo
y524M535gyLh2NMq/nufiLkilE5gDEgP3FyOLSKuo2ZMwG61wHoQTvK9U2rVi8U47RQKt9fEIiQF
bpt6hIJ0PW+m6ukDzFFlxBrMwBPW2D0W8zR/yXsgbUFod3ckms3O420kr6zKJ0M3i4nYjd9mykg4
E1FXXsxcvzQhNohxnp3Kwfg0LK5DSoZQaWv+08jqIZOrnSLsdvPj8EE6yUMjgHYTNKIoD6CMz4of
FtI1zstjKTfvjksswUaEqrAog62jYduk8HsW2uXSjGl1RrbyZ91Id1pZW98OGSRG+AuA+0ZzFRhP
LkTthNdSjft/o9Cwivs+MILCjaq5f3Dk0hl8pQ6HPavCjdbrMj9lAg7aGGXJ9a5RS7MuRQs3Jx6r
HwwgviSTioVR+0Oyh8MsF18i8/vcZf4k5x8Dwznl2p698daz06Zn0E/DlTC23Ed/NUIVCYaTYxSx
X7QAPKncjehzMsTHfDw61te3T+PWWpx5hQyOEAMq4/VaQlPiKM9lydenZjgF6sg9o0HzKmWndnUV
4++xC8Kd+Hl7oQKuJkNeyOsbLP0M4C/l0BRc4hRJNM9AGcCDT4NCq5Op59KsTE+ns3EsiqH4jaTf
3lW0FemgxhHmsLDjF1i94NJ0RFgVHYK+7XCOhPKp0dNjmOmf3363W4cRzwc6slxDC+7n9buNzQhB
ttw2Lq3AMkutfFPag0ttPgnQE3Lvl2n0qusG1EBHXBVJTgMBC9v8lrTBOYn2eKFbm2S5fZDKpNi6
QUgpY13kXSWn1zQfo4+RQPdc7v/EqiwGNytT6yFCN2lvzL719lCYg3SNeNZtPZN3cUbPbhJ+p+u/
Qgd7+noPDrv19nCbAfu1aEzd1BFplFSUamXi270iA0jqVD+Qtd+9Y/Q7pKXb8njZAgB/l+wV0Pvq
mJWGXoJOGB1/SKXkbHfp/GTRZnxCnDhz3FLS670e9uY9BEgBJQyFIvkGpqDHimz16OJAXKMe7vTH
MlS8KK6eZ6O6mFVwqQzFrSpxkNts54rY2i9cDAz/aOKwL9dPi0+XlIC09vU+PIZddW7sPyjvAAxB
o0IPT28fs42vCCgSVBlGPuSWa+Jhqc+4BfZjcMlz+5JW9ecmKj3JrvcqQU7r67EHowCNeh7sCdXH
+l6Q27JQGl2XLrkanfAOvaRWeXUKcycgbzwNmChajlTVdGzW7ZrSznqDrr11KQuM+QK1/oCKpat0
0s4UZ2NHvlpn+fu/LhnR11WrQkC5RGp1UC1xBqpxmNX2OFp76LWNk7zcoxTqL/zrNXJUao1Q1waV
zF+aMq/t0vzRmcz2/anPIpluLhmDwolehcJEn4txCivnokitc0gQ2/Caen53ZwcpVJPGMBrMwD/X
5xjr9nAwHUn1BTw5lOfPYIAvNrBmNevudWRm3721WY7Auyi2MaxcPdNiHTp1Y4FIcF85D7Jwsv6Q
9ENNV70bdnXut7bEy7ujl0P3at1Si/RMdE1CQzJ0Aq+IirMiIk/HAjTVdgLE1o5g9xGYtMVAan2W
ylGtJK3rs6uwgvEz7tDmZc6HPRzC5vPQ8SRfZZ4MvOn1Fi8j8CNxYgp/zIOzk0vHtqGRqz0NiPO8
/Z1uV7IBZ2LJQ49gCxMuqjkR2WT7cqxm93R8tZOawOWarXnECDQtTm+vdxtgWU+3SA2thcSx/lJz
3kgZUvRA3bsv5aC4wvzR9XepkZyUYE884TZZYy1mexxfAOY3nd1Crkc1reDeMcdg4oRb8rFSG+OA
AKvkykXZeZNspw9BZ7doKu9qvG++WhAByx1Ng2I9iMGtouocKU39YbLJP7y2BZaaNJcyUN5dckAA
IlcDgkT9dFM7DYxYSmd2YrwCAgj5v9TiC9OduK+98v37n6U4ZCCdwLnfyAFFXY+IQm8J3ym0D00t
volsb7pw2y5jCUpQWq+LR/M6+dTSlHGAIje+KUQz0QVPlV+LQdzPQIWmLUVpf1Xsac5Otl411c6r
3Ppo3MdIGMFXux3Y65FclpUgNGox3l/JnZM9m1gBB937xzVc/IsWJFM64vJ6hN4rVYnuvcq4ppK/
CylnWtTeR6N4dxxmGe7ixVWeHHhdJU2NrSWwjYSvBs8467pFO3kFNk1vn+qNlI0rRWd8uqDflrvy
dcCC1m/o0ogmSgbFKnSlXps+ZMMgjlZWylBRlfkPXaL8E5t4RkhWrY5V3g07xdlWbGHaB+SPKwe8
+U3yhutpqZSGH+eyO1iGKyWBb6exZ3bBpcv2cANb+/TFRg2NJfoK6+RAbpvMEmVvX/oqwk56tls3
TW3rYwbi6NCoeXxo6RS6lVIOOwndVmCjf8f0iIScDtHqbdejZYpQhulY946btr/BLHiZ9aEAArTY
Vj/u2Q1svVjEJNBVZY5Abrxkfn9lXFPa5pldoKVe5QDvnOJrQazOGsXV7eBTpe1Q2FSVH/c6X11o
UODjZIBrvNrV4ylpMo25hhZ+Xjrd6PUWFopGbSvf1Sno5OccV6LnKY2b761ptYbrNFWMB4Ip5z+4
S8fYraXQ9IsenMEhySljz1TS8tfZaOsvTUui5Y1BFesHuy6d0a1sOzSYbTMod+VWluydA7gVUOC+
om0DJ+9WeknV22YkY07gP2EdYLn6AOg+PvXtj7eP4NaeYHy20IchTt3I54xSA16HybxPzjrddSYs
6QMVsdI+lOEoR34UTwV0hcpOv0HUG4y7PKn6neC5sU/IiIhmgO24iNYnotNKq+2VDgniMfE6zKjM
VnbxZDiOeeEZYo9atgGs58YjsDHjoN9006aQRxFEYBiyazIg6omWqnmG+UaHtGzM49j2w59Oqw23
ldPqDAl/OqZplT3SHZx2MviNlw/mYgnkVI2LNOXrA6LGDeL/E0UcbJfxmidY2ku9GA+Gk+eXfJqy
Yx4FSP3OnXCloVV+v/3tbysvRJ9fKhQLeOxN4JMwGc7suWOPNeg925cx1A5CnXaC/MZORgcQYCyA
CkRF1lGH55HavHcQl7fOtfUxl8qTpQenNtqzbtjaRkABl5QGxueNN07aIvIpiW70J3TJ0ujnoMAf
0AUH/WcW74l7bL07hFK4Lqj5ybRXhYou2rgqHXxAE728B7cKY6g5yvLe4Pe2bqCPTyGKv9hSDa3r
BrsPq2rOaulSqsXPSvRIeIXOTgjYWmPxaFvUuBm9rR8Ft6/CUGfcvho7uGaDdJhzZadc2HpbqCIw
1KFYsG8kCrR5qOqwGcS1K5P5KYB9e6iDOfi3UIdsJ5ho8u01ACJgySqW7h2SRq8PlV3SUWD8F/hq
gzICqls0zl0nkqPopBdOUh4c5MncJE370BsTGTwnEpjqPXbr9hezi9NfOiIHpZunptK6ymiIS9mR
JLsdSP3Ac2ZNMk7F2KJpIjVQ4Y5hU4emW6B+rxxaNamfS+jhXtmr1gd5qlRxttWSocFUApsr4y6Z
UWmeYVfL4DLm4/tPNBxx0MTIONHhXgUUCOh2BSwu9PspP7aOxjREeJW1g43eOmiEavBCfEnWWq0y
JFJXYD8FZtlhPkz3PHfHNstR4o/K7qAlxnycUluc3362rTgCJAEBJPps4HuW3+qvbKIKDL2TiyD3
wSj9Fur4XywAPurq+E9YSnvqE1sbFoA+ov8McBkUrzYRROoxzyNo9zWfzbXsQb2TsKd0h4l57tvP
tbkUJwNSIETZm4GnZebsOgtsB2YS922tPaJhd+gpJd5eZvP1LXIFHImFTrZ+fVI/BCZmvb5j/arg
VBb1kx1+NIt5J3HZfBz2BJ3YF4vL1ZsbEqO0tZFRR2iAy3GHsKXN1kw9PLa2VLRgJ+vbyKYZ5tCF
YL4KVGF9u0gdaq/DqMl+1ovhOKaIHAJoKA5WPE845o7jwRlV/SC0pNnZjxtzswV+i7QEeGZu8PX4
GNeunPlSafsFthfBqejl8MMchP0EGV3GVxMd/Wk4KXpj/zTT3KT3HHXKf3qIC/dxdBCb8IaIzGcn
/m1Fc8x7Eblauu43Pa1SJh51cR5fAwdQt5fPTie7QTjMO8XE1nemlOAVABwEk7bqNXVz1BoDcMWr
vKghVrNsPNLB+ZODyNrpnW2uRP8ZHRSF5H4d0HvVqZNyyDo/FH6GDEA4Bee52BuDbr03Oo+UoRBR
GMGsgho48TQyc2aQmaoe6jC+DLSk3z6CWw+C+vgyT0JC5wblaYFoyBwkwfwun49lE11FUJ6LJn//
ZYvy8uKxRsv2tguoRSm/wEzCZQzxw1A/lkYPrt9+f1rHKjA1eSKGLjcHjzysykbwudAtkvY0hbVX
J394v8d3vzReFVQ1VNsIx+uGhzkmltzJpeZnTfpoMiOd7f4hC4KdsLWEv1XxyKBqAd++jKzWh9ly
sk5W2k66dHgs3ptTkyWXWNXL2s0TZRSXJAIUfEBOBNXPtx9wI4Kpixnf0nBcSr3VxpOUxEKTDkZe
qzgHS4r+QOE5zVb2SSnUp8aSTnq6pxi1/Mj1wwK0giexICduWmUSeqmWEbV4AhWm+mTa4N1MY2be
DpziJEWjgtlmoh+ssEhOamb9fPuBN04asEJ6ZYx8ADyse0uhCSxEL1PTn6PUOUcNlMfAzvYS9K3X
ipwGoCXU4TY6WAVgsq4FR1SmP+e0vohS3AdjA6P4q5MlJ4lE8O3H2lxwQYwv3VTGZquAiOMRllAY
lfqTFxqn1GIp+zmfi2ORfc723AU2bnNaqXTEX+bTN8LF9mggYi2qzm/M7ki/2pW4Ah2EVFEVfvux
tg4GNTI+GIuSzQ2tuFTnzMwzmsRCiOQwG3l4NdRJPBXNlBzluAqucRIaf96/KDXxImhBGnsjFedA
dUxDHV3mkd7Frzpy2j8t8EAAGpET/AMMKZJdo84hfby97tZrRSfcgGeJaONN29OedLN0YjW+anP8
U7OM8GGc9eqxBGF3GZQg2UleNk4C4yCecTkMJDCrLRPmbdqkStz5vZgO6N0ckm7YAcNbW2uAtmfw
BFUF+PhqjbRu0mZsS9lnNmSOZzH0VXBAKP1XHibRz6JI069g7kLw+Er8FE0g1YD+T5En6aN8QKBV
Owqzra+dbg+XKI3EJzMd5KNm4h9IEjI8arFs/ZIcePSTUPQviJGrbhxE068pSWFwxE55FlGmli4q
ib+EE6JILFCvjXsrKlwl781Di7o4NvbF9BhQ13tmP34bVHvIDyiPT56h5Tned3np9SCJv1bJ7Dyr
GmRhge/Ff4ocO5eWWZSbUzgcVJTELrOUWJ4mhsQjnRjc0rYFAG0dZd6u6JIv2WQA4sBw7lNrjfrn
iH76xw4OErPgQTqqUyY91n1cn0SXlJ+1kOboNKXznRU0v0QsSZ40J8O17Ds0mYsmy30t6qKjPWr6
1Wri4iDJ2uLLu1v+vNQ3q6CNWi79Bui/dK7WGANrCiZGOdS1oLgQ3is1t21meqm1ZrolfIflQc0j
iDsDHYzOBjbWKIsuhOzmFeWrXGTCg7TVunY7OC6utuPJkMc96LC6EQZBvC7FJ+D4hYX3ukybEZfr
9Zryhfsy7A5mZop7J0BdBDy4PGhIhJTinyapW+0uZVOhFxAHhQwwyUoWgb/xE5R+q6AdVTSfU4RJ
PkyLdPXUF8oHewrQbptTI3XzoJjo2LL5zINh1IZ0V2VxWnt2n9j2IS6jDoT82NoJYHFRfJk6Sf8o
9ciPn94OGFuni7YG0/FFg/TG0iYy7R4y/Zz7mTxJ/8oo/gBe08Y9xMdGXAJLQFxDhpRW4XpEoehJ
kpRJ0sH5iz0uUMyBaCOUXzUp2rnFNnJUjFYXfiG50G0HIW26ylIkm8/XZS4WiV7Q575V7ZGsNm4V
rhNk7Wg54wm0zh5FR9XmhKF9SWbpSyxHjTtXEk5zCnzCsI8fNb14f5kNcHmpsUmxyL1XDbus7A19
nLi9SgGvSzWj/ByPSX22+mrP2XLjCCCtCJKL2xnl33XKaiByJQmnbf1JF/nnWEiDh08pOjEEnehS
K4NueqUe2d4ghcnOdb2R2kGwopm+qDijwbu8+L+6JItwp1ykjXGxeu3aJz+r9Fyq8v1Y1YcWU2UK
0rh5vw4dRQ2OheikLXD3tdDCYI5ZK7oy82HC+Er0VA2Pbbv3/TZ2DL4ai3AmOfLiyvX6wdISee+c
TvpFSM/qiBUv6iYzSlp/Uvikbx/qjdPGoPqlEkR38UZtBN1AqVGsqvUrs/g69XLp6iK4E2PrDab5
/e21Ns4ba5ECLFqqzEFX3wumSljQ/kFLKJx/9vb4IZLDb43S7myLrWUIT2Q0qgKFbA2yShv+BiXB
wjdTFGlT1aVe8Kz6z9sPsxENCYLAs0AuoNKy7iSHhUhMa7QjP0NQQCQDytf6TnG7NTJGcYa+C6tQ
GK73gUzqmw5hHF3VoZgvWpUN5wWscQojTf4HYwc4z4yykBeJGV7LlXaAc7TzMjcfc5mMw2Gk9bPu
RDqxwXBWUGDbrfCkIDvkTbOTtm1sQQIVJ4qq8KXN+nq3A3EQVmaPJUKxiR9m4aGtzUPTfFDMnRHU
xsZgIeBWKj9zgSa9Xgg8BNozdS2uAF6jkzIbw3mu4vBrvLh5v3t3sMu5VRZH1VsoGVz50AwTREUm
uTjHlvQoerGTUG+8tkWQCP4Qlxj17SrIq2VKJppAGVLH8mMFFXHCzdSWwjvY4+e3n2bjxb1A/ByG
sy9si9cvDkGSvp8l1br0op/PWpUGD6lQw5Oc1nsvbuupkPhEPoc+CK9vFfrMLlNRslksTerEpa6F
A/1xGKDg7TkdbC2Ejzw9AQSklnbE62fqMwv9O7rvF61Zqjqvbk1Y29EhzT++/fI2FrJZgwsD6j/k
4+Xl/nVLNUTYqawTkEf1xbL+zP3vGSPfNtnT0dj4SBSIVN4AuZzFS+j1OlU5y1WUtUioKfVdVmuX
pJO/TcWeGpbNj1ml5ot9wYJK15HLWafmZjZUzSiVoV9HudvlS21yJ81fEEVyc/k66ju7fCP+IEu6
yIkZmCTdtF6rWhmpWgbrwl65sxLnjJjgTljYXmLBfdLKwMJ69eLwU1NnU0RwaBWz9AMkJfwMG4od
cOnyU9bvjbEwGQPGSLdiksHUl0LVw9E3s+g5DSyfFim2jJ2XdanvBPJPrZ5OZr0TWzc2BVPil4SF
DaiuK2KtHuPcVBf4dJ8e0Rg6N13yJFvDzs2+8QrZErw8vhMvcj1CKvV6DipbQtg1ySG9hvdypPx4
+xhtQV5IhhDWAvAJwmY91JGDnMHCWON1lychOI2lsSY95TkCES2K96kcPXKGlTsjGQUTzDaNQ8gn
KNBd6zAxJBixU5D/EbBSjO+VEpXOVUltI/aIQVPgjYQCTGMDPa58pOXhPmhWrWXHQG5G9PMX36qj
ksr6Hrj0JWFc7QuU5ag+MHpdkr1VHLJTCbqFnSADWKSlOCSNU/0rNKf/nEVKNqPrgSCIK5WtnR6m
bKq0U9bEyJipATCEowJuZfyg9nlVIeEwDq0r84UmL6eiRGJ2nPQFV5z+YtQg/pnjKv2DRUb4HI2F
I7kBUevYmk2soQlOO/oYyQp9w7AaPyBCj50G/rnpdQIxc19ISuC4TlhZmjvamnTOMT18jAPkGV2l
z9TojNOiml0LMWMohoBFdgfm2eBq6ozLFJvaXhTaOE30/BfUNJ1BrtjVVT6onXCMxIj9uLHvoVqf
win5HDr1U141x0mJ0IQRcLCbOd+52LcOFI1B0gcKVKb8q2BR42tmK4lsXewax/ca8Fz5NER7wnwb
BQAh/MU8Csz2jSbZEKj6QEcIZz1LjT5nyWOsO4/10M2S22dG9rEWlrUnzLH5ZMuoG1ldSvx1GKzZ
J61l1ZEPdfyQSCN64Y7bJXtNk43rEOUz3t1SBIAIWn6Nv67Dfg4GcwrxYC/k9geeSDrzwf5ZTPqz
Kid7Si+3z8SNwR8c9BgT6mu0VTAKYxoUGNxybWHLYj7mTvG7yvQ9cOf2OsiaLX7Dt3Ptru0iqRlj
C8hvfGiciH6NlaCJ50hZvFeB3l7A3PEL6JesHKTRGvcwDKSEtC0sP0ns/NQpknqPHnJwbKJQ/xBG
be6FshkcpVnbq7c3V6a5ygSagHGj9B5UTVa2phRcpGnAKWCKfyeDdYp0/Q8SCl+TLPuqa9OeEehL
fvQ6QL5ME0ClkWxwyaw2jFJG0WzXSQJmYCzSQ6n3Re7qbcKQeWggt7t1NWNLkJWT07lmiVaDGzpM
qyEkGZIXS50fm2McHwO9M4RXT0VXu6Yy5/EJ9znUNAqmYM+5YvXymS4x0uCTMrYpeaeRFDheSfaP
wDGi3lXiYVa92tGHvbHf1nulgkSGYvE0gbf4+ki0xSQVY2aOftpL30JTwqihxGBYP2ga4laDYSOD
YETvzgwQXUOuDtdveJJMSV8vqnS0dEw9zfystQ9NcQTdf3bE+4MKqyzsRTALG7D7ijeqCaNO/Hqy
79sgP8GM/a9tu+PbycHW+eOk0/un6U/TZHWJ6k1Vaa2W0Mlzwg9NHn6HW3PI5r2Sa+tDsfUduAp0
p29ak3aI4WM9dukV5zBgd9yiGA+O4aGY+shPLQxWY2dOPKmX5NPbD7jRCuCkwzddyBIAC9eDREfN
wQUA+bu2QRvVhzii99RKcvZsWFn/HNdj6OESAFsEcRo0q4dYUbIDkr/z3jTu9mriF2GTgjmDjsX0
7/W+UWXyLiMGwiMn7cVQTS/NngYzQ3ZEJkHZs+rb/LB/rbYknn/dFiXhkzZHjO+go5ILlRzO2q17
7bLzeo3bDHZBU4K6QMkR0My6N1XpZJGOzZg4b7P59zAHxinAMcoLk9j4MPeKxbQEuZYwL6WHXJDh
oH2jE+/NUHxIzKFGE9vJPL0T+lFD997royi+t6ba/BT0dXpf5JN5HlSh/APkWrqbTLM4kGjhXhTr
iRfOkuPlehA/aMyVLqXQSk8MmnU1jCo4WbYUPEjx2LlqNYWHVBtwdo/D7Gwjg49gXDldRqPsrqHq
SDC6i1xcTEMKwalkMeR6BJ8z8sHveIZO+NAb2sGZuuiMe2nmCSluznE1lZ9s9CAOlSwF5z6fm3My
GfohMAftLlLBADZRnpwp/Ej3rN4sn0dT9PdyOOEOXVT/x9l57MiNZGv4iQjQmy3TspxKJa8NITOi
955Pf7/Q5qpIIonqBqY3A3RUJCNOHPMblR1HyEIJPS/g/rWXy2r7oDdj8KQ4IyI6tq9c+ji0o1MY
Dcp1LKT2lMvpnxIlqaPEGOHRV/0CvYY6Otp9YyPF0v2WSv5cM+jNjw25nuvrlnOR0fW7zEH6O8Mu
/DyqWuNWbWmTyQYa2lToL/ls6ONI4++ag1Q8lHbduyKXcrM8004hNKN7OwyEbJMpn1INj98qbnFg
aKMQK5hBOWSRUh2LOVXQ/Cb/sTSI623RRefOMSu8g9qMgWL4vxxwxH05I9Cs5H589NEt8Jom7rpL
X4zxu8i0gndAK/F6bkeI/RJqpQRZ6pXIqoo/ra98czLdQettnMYnMEcFAueSxUCl0K3kTH9khII1
YJxQTOP0NQqcxpN9JD/dNIHNmVdxeTb6AeMDO7S/yXaQnmpdZvg0h5kiUGDdTzL88YBGVuofdF8b
j4qTZ9/b2jJdO5y4S5MtHXzb6C5m0zaHLsiTY1MX3YHhlL0TvDYusXCJJlrQNId8Iv7/fy6xEunT
bJCneH5RHyezAKmJA0Wh7aTm65qArJxKisxZdM+XIXLQ6rbsi0pwymllN8NJmbT7AYZDrgOCxZvp
NCZkZ90e2nAjIjL5ECIulIhgIRYRMdRqfUq6tPMwvr2feaz1sT9UcBjm8ncKTOF2qNpa7e/+mA4I
MN5itUI3ctxTtPwOe3aoLO8a/VkZ3wEUArS7xw7ceO/IJcF5UOlQ6iybv1nc89Bhluop6bdIzs6T
7zyVyZd4fIzk8MJYdeegbH1BqDNIqyGuhSyA2Ps/B0XulbGaLFEL+9mZpxBihHyd5uY6aISSJ6mW
PvrVXim5FfkZk/GcCxXfVSNQR3tTrWMp81DzLI9KL//WZTQBb3+1rStA90ehrBJgxWXVYySBZgVj
FnnpDA9JDy5lUN6HQ3V58zIq2Y9onlJfr5K6UHLssof7c5VVST4OcGGPfmJh3FAyzH/7UnTrxddC
6Acw1+tvhYMWjYFmcq7j1MWHaHb6qwWF+bnPpz3Rp3XJiJAu9ZtAYCMKviz2ExU+O4UB/P8hP/hZ
cT932GjVFz36D3UczEb6m5BvZahji02let5oWuijHTIPxX3BMPfj1KaVm8hwtN9+JBibknBws3TU
dhaHHfFAR5/VxPYco+uPuDRkZ3MK6w/ooA07g6SNIw6PGDA5UQpz3WWEUjslbRB8sz3gG/5Ta8jx
h0qZds2Dt5YhQ2VSJIgPqzqGEqcdiimfPezfAbNgVH5O6Hjt5GpbpwH8AXA30lBAAovXpEMGspHT
AG1I0KuPE+5OLnlE8TSWUneyisDf+U4bAZfQB0QAUUL6PsuDPlhJ2M9Vje52K6sHNWvu6tB/P9rm
VQqrL+W+UbToXS0KXkiEgGZBlpDqLzcYKKnZ9wAD7qh4tJ9TYKK12wexSfdC78OJ4nUC6oNcn3yq
u0DC9nask3dpVZYfMiNof9y+51sflQKRmh9NKEDDi5+bgpg8Cyqhl6Rh/sm359TFVEB+cw9ezP7w
LYWbhxrfEpKa+k0wdBlDkqpPAFypIKP2HrOtEgoSE3NGIEWIjS+LRMP3Ez0F5nk35BmIdWWS3/uz
EsOv1+Z7JO/vu25uDnId2ec8DkYXWWjl6+0fc+MZgHiE9jhIYoEnXrQtgzKMOoV84aq2ce3GM43y
yfkcjdYOYH0DCQfgFUS0oPZTEi9f7niGUTk4IOHi0po0wlkWOSdjaPvwyA/U4y8QmqdU1d6ZqRR+
xRS3A8mZN9za3P8RS5XuGU2T/cx0lZy0q9pJPuMUyXNiF7XsHAGyhqqrBn7ZHkercoRRe9a6Wlfp
OpIImt8/KdQDo1sXpZW7ZRRO5anOAM6DF/WpVUer8x/GSSm+2dFU/iyBeH4MJylXzyaVUn9A7gMe
oKHBG3anzsKCMur16PdUpPln429NM8cdtGnLB4t6UfIiP6LMbX5X4qBODm2lh98aafC/yHXOBS3j
mtrExqw5OhaWxfYpbyz5GBpK9NTkTF8ukOkRBdBjxz5Ydpc8mJQf56xMjPtBpe3+q5rV+aNdSZKB
2ZgxPsMky559eazGk03pKB8DpUhrBCOloj04IPWMx8lyihaXdCX2ZmWI7ENXqXN/ADdF2XP7XG1c
Upq2ZDAQQzYwpFOtzDO44t6LJZM6SvotVfbP20tsHV0x8CNg0zBavfdF3pgzzDKg2wHuN/mMt7d2
mg35dHuZzZ0QAniGkbhbiSf4veNUQ40n+5xUidsrxrNejjutr7/aIIsIC2sMGLqwMaGNunjmw7aS
BscotWsjKyWj2O4IkQ5U5Rez/qkGlTuE4ym3auS525OM+rZuzG5j/A6H+DL3HxXl62T8ws7C9f35
hcrnYMU7NJB1rIIjJQAsgg+JhtkyOUBWP0m02HCuELNClw73O91sjriRHcdSOVhl76Gy+ISEKx3n
YecTrL40lQywBV2hnU1it1rbL1qp1bLCa7XqvV8Pl7qoP2Atu5Psr4oLlhEeL0xwmAKs5nktdogm
OiqBp8vvVfldawLyhPTSlG5mXdTqw+1ztcoaxGoChk/3DpD1MrNTclo+QVHo14Q+SlQ2RH2fFs5L
2u/MeTe3hTSpgOJvGNckdqD5Su8Hd51Z6lbgmgysYwR1UVA55lrQFZj76aNGAE4Arg5jPP3v9k63
Pp+YkWLfjqzbakKVhVZd9C3kNw0Jx8I51aV5Dqs9YvnWNlFOBpbEQdFXCt2mxjDWxK/QA0vT9SeQ
ofF8gIWgx27vhBGA6S5VnowkU7AZG6pqD6q/9T2B/FGwiS+6wiXZs42esookuaal83lu4fzYSstQ
rEqt+iOaE5/e/qtC/qG2QnEBhvIiZBSS2qll0eIFnuf3XRQ+JkjUJFnl/YdlIGXBNkMVasVcNAI5
tacBao4M3KqxcZ5zPlnBnq/GKshyGSipSIboJAtAwuvazZ5NPYl1mckI2z0mdaidie72y9v3IjgN
f0EvdBEWq7RpF3eOFvlXIxzsA82lL8xl/5dZVbdTim6dBYcbh+sWI8VVBR8rielXTl153Zi7c1bc
ZVl0kWz/YOxpW66F6Xk2WEgcODGxX3YoRgQOHDqZhtfGc45WhGzmXx1cRErejDb6Mkmdfx4GNcGE
pUOs2u0sXYzmSK4/Y76u2Gek6nNMPlE9eJBGCOQ7xcrG5ccPhfwWPgI1xPLLxpoqp0WFvETum9xB
owqOSpz+kONa/w8rUf+jl0fPay3dpOJ5WUcDZrfQKsaPdRxO3kChdJFhqlzffJCEGx7wFaae5M5i
0/+0hYAFFnqbq9JV9+VnptOf2wGTpaLbeSI2QppQNILjSbm3drDNZF9vezUNPUdt6fu/C9UHp3rX
jIjzBJ99JTy9fVfgZWiJClusFWbGr6qCMW7T4RTXnWM1+lBL00Ft9wDaG5eDXXEPeQvACS7nNTiT
1l2RIHoyI4SD+Z6LyAf28w/Z8L/b+9lciP6ZTGGPIsWyy5v1YZAZaTbA2fglmdGxzu57Wt12eL69
zkbwAjosMEAItkNGWERiJ3SmrJ8SpBr7+FgX8P7zPUu4rSWY4//1hxIivYvWjO20AdWhoCCYVElW
/RUH6V+3d7H1axm0fQQpEFr1Ur4urBKtSiiEPYY21aGX6k517UiPPcKDDuUh1naS3lUbg8gFpETA
lXm+Vq1BvRvHVI0RKGqtnsmOc62nwLXt0G1k45tj71Ukm/szwcjAFge3t4QJOrRMemscoGZDxjna
etEdq7KPwOqU6slv1XAnRmxdXjDf9P6RlOYQLh4b2xwBNY0Q1EMICU9lWg4/Kt8Jvht02Vo30nVA
M2mXKZdicLCBuv0xtxeHrkS1TZK5hM74ypSoZqdFd03FRIiJ3B+gXNEBmr7uTjWM02FyhkMXDm8W
0uajmgD7EIKiF7nS/5ixhIqgCPUeCrRuPXwOOwQycdNRroa/c73FtXpVM7EUgADyWkomcHiLH9jJ
RwtyHZarRlHmICXG4V634vzPiBadW09G+X4Om/IUSpLyGQ/fPfjk1nlC9AD1dcH0J2i+fgOKMbKL
1qkwOWu6A1/ANarhkPYvZf5mhBcbpXOCHCGqvmul/HgIJLmvktQblSfoY8dhbtx82jsyWyEGBVh0
oEBHrLkrTtunNXNXG6ql+Z0rwgh3jz6wuQSVugn8iZbTcubQqYVcSloxeREio66URe0xkOo9SXxb
2zgYOAoQ+SHrrRkxTYsPG9JnSEMYUvNYNkGjHZGtLDUPUensEy6sUuS2Gh0vhqGzTIaO09mHvqzq
F3tw2gQBRrWz7+q8oAKUSss5x4xL5wc8dfx3tTnas4uZXndX1pJpuXTVDOlcyNazKVUXPai6X1Vn
ZZ/8qfQf5Frv/K+Do4yyN7VDHz/4dlv3f+RYwrasSFqrPhSjGn6TfJPyLy+mILgmFZDQQ1Vj0HYX
6UXy4GPbZx/mJhm+OVJtfoLgp9Vu05nBcNSiYDol6Bj4B9K53HHBQeY/nGBuv+up2n+ALWgCJ1fD
5KJGEuWfHsjCcUV9kZIgfmqjyXwG9Kt9zug/PrMZ8yFDA/NiVIBj3LCvi+aURZX8BfBBbJyiDNL6
ofbxy3Wrpugf46A31EOfKvVjHGndeEH1tI7OOh06+z2ZawU+s2ujDBRsnhmnAjv04arrfflLakz1
qWvgi2JXJP4o1OoYfw9TYzxEcJsfJEvbA7eKS7mMGSQCYGWAuMJjWbyjaIYghaL3zhWW2CE0rjYD
9hGZ6NvRdys0CAgThl5k36teiUb/JkmprD2sJ45TNR70ujfvHKVC+WhfkHor1sODQE1A/G/1sMHx
S6spMzPU8ziY1fPUZQ++co31yzRUj3Rbj2/encAwspg4DSvSlBSlsz5FtX2NZFAM01HXP4CET+lh
3l5n41vBwfnrEsDcge706wBrtkOj1qNdwM/OShf/pedCi8+VUV/+wzqol4o+ovAJWJyJri/CCvmy
mUko6oiznR3lzkncrE12Ep6N8Af2DHqHGBKJ2eHrDfV0SCzflGzCkI5/u5mUGVHWqQJ7Z0cb5088
/Ag50/FYO6zbydgPYQCRvlHn4OrkfngKYke9ptjdnpTa78+3f0HxCy1uFYgQDju/4YY5mmxUpjFI
AnFm2/khDNtzlzoPYzqeukIMlsOd6eHWyaDS44apIJHXrY+5UOO0nwmpfYB1b3tfDFPu+tnuJH7j
atGcQ2ULrCcNyOWAZuzGJqs7O72LnJwKVtXSx6GLNFR6ff9gy8gUBr4yQpUvg51PuF6ZxAL+AiUF
SsgrZCtOBLoacO492fIPfdc/SJN6r/vSI7D7k1wWZ0nPd0Y0a0klJgxgPgX2X0gKLYuMMp6QGLCk
3Gvi8qmck4vcMniK7IdhCn/J5XjBfuieEYKbz6iRm+WjLQ9v7jaJRiFQXsoQOs3LuXCGZtSUSpPM
1M2KIHy207vW76Kv6Mrt+Q+tbyNLUXig+sXvvBojZjb8d3lCYL+3EQLSQ1/37Crod+78+iqyikWo
ZEfYBixPkKD9RYmvcUxbrevwOSkBtal1cKQN2R4bI8u+vfUu0ncSiFN4ZCT+y155MKpFH83F7A2+
cj8O2nsfJBnMYwVthPRjrAZ7tLX1ZWRBwYKh10XPYHlqtKhr1bZ0QvjOTnOyZ4mpW2wo9zVh9fQf
9kaUBhcJ8nTVdsHQi+b0mONKOn4HaO0Gpnaw/V8JNaMST28OauyLPghUOaYCyB+9jtZdLrVmJdXg
wvpU4inV+jO25LObGYb2nQILQomp7nERtg7lv4uKsPBPY6kpyZhqSU08I6owmx3utHT6cvtH3Ios
pPmIDEDjRkVwUTa1VtG1MdQlTy0Cd4w+2/Njn+cnLdYPM+Lj07DX2906IEhmIOZHGGMCINL1f/Y0
tdYw1PIILsfy/AGEoTwf/bT9D2fjr3wUkscE6iVNU3UAypQIy97lkt6DM27Lb/MY++5Mi/zkNL16
dJz2f7d/yrXaJRFTpF1gjoRp4/J2D6hF4JFcYrJux7Rdw6HDtRCrtPBYtU3pn8s8Y0CmB1HMVNps
w59qZ/j2sYMdVbtdmlQ8koXxUklT+1PG2fk0q4D6XRkD8uqg4k5UHZKc2Z+L6lr8tTIr48nWh/x7
pPXdp8rvuhhtjnhGmQeaU3zopNJHXQGca0ciaAW/G8ajfNIx1Z2vt7e++VGF3roFS5G56CI5C5t6
9COg5tgFqgcrdI4TejPUPjvPoPjPvM4s+IEZvYr3CK3L5VedGV4lnZpkd5I/zc9ZLo0vMvaYiAsi
lF8c87EeAjcmqo0ILMRjCTy2wfr49l53/ghDfn2AVTmMrTDFnz0Z2s91M7/388CLM+2lLqqPbZ2c
gCx8CNXuz+1lRYBZ7p32Am7qgOcICuIT/HNv6rFVGivIkGEqge3WPM73yFqg6qPVHc5g5XzsGku5
3l50670S2CKsHsg9VqPWURL1TFR3HlPmUxQmJ4Bmh1RHkXXc+bQbJwjqKQwThkqMQZf9xpiX0Ek7
KfRAhvzII/1MAvmiK/1OtbL6FVEtpXogiUJZai1cmuawgSwfCJjRSl6dO3c11hWlopywAfGSYQ9P
s7kcrGeoXSg9rJCBfetjazrk5lXL/PCjnMBfc516MJ9GuzY/oiUO0lvD5XDniK7eDXBZQlyEucff
fGZxVhRAooPqR743tFVIjlg04cFG1XFPmXVje6A5IA0DhaWluZzm9B1y3T7Z951R+w1CvNH8ocq1
6UEbm+CgAW7/Gic5au5vPJQcEPQ0SUsBSq2VushY2ySLI8UzrPhFadDPCGFMzXg6ljsTl9WhJOtk
X5Z4GMGtLLHMeVrIkQrz6RpUUyIopL+ykLGVH9XxW48/K6EnQN0OPhG0gfil/73dRdvWjdYPKF3q
UAjQz0rdylIlxvP5uBOs16eDDqXwSxa+VQLn9XotyYniXIIncrXH/MordkCQZAdksPHDMbeF8kAJ
SKq7PBiV0fmyNTU+KgmaWxWhiwjmoVF3uPdrFArqI4yMuMoot4OGXeQSYTZG6FbhjNHEOuheuOpZ
+mUes0vgR17UZ5+DsvIqLTvE6h7hab1DHRSp6PYKkZUVH2fIbCsG+VMIBeRz6cDpk3OvM/Zw2etv
xTIiLQNlA0NhOR0bO1tmaoXXTmvSYdMUN5n3QuLWTgiKDAfwKmU+scgAi9kI9akbfJpgzudm1ulM
Ke+k6c2y40yTAJbzdjGBYKS4+FZa1OBX2+OHBN7v3cjEz40sjJyneg+aJP5Drx5KtsAglqangiwN
jY/Xx9s3w7qKcr5Gk4atA7eFa3BCw0UOXa3plcgbEL2M3Em0pV2zc4b3ehyF6tWaE8JxOdZKcNai
tM+PbV+2e83AjQ9KfogsDw0LfoYl6CCqLWT3csP3TK0tzwn186ktg/jj7RC5tQpvqFCMoOXIRl7/
BjF8D58nCa0NI/TPfik796Wjdjs1kba5DM0Q8jEk61eUbCnotcCXy+n+M8yts+X67zWcvA/aMTwU
B+nwcrlcHk7uN/f0lGK65n5TTgdcXdw/9537+/aGlY1TDMNFsEXBxYN7WH71Tq7QHYCbhcyXEBvo
de03bH/MFLicgX9OjVyOT/Y0lYfRlNND3Q2Y9Bl1HcmXyKSNc0nTsfngV1H0pyr09Fs3GUF1vP1X
bv6RdC9Rd2LQSZnw+rPQoU/R9cf0pWos19A/pWbpjvWP24us8lM6YWQbjizo/6K/+HqRKiARmZPc
uWLN+cRBPNYG6tZ+9VW2m+IYBeGvNJ8e83IPh76qJMW6PMcq1EvxviyeFRXiMwY9kXxN+xqjIruY
tcM8ZJrvxpKfeJEjYzsx1Gi/ZMP86faeV3nqX6EceFXkWtTpyxhmFUapJE6ReH0L5RUAC16hKBHo
B2ncaTZu/Lqcc4AvvNEgkZcrZUbTWwUC1XeEGdM4pEZHfiM0TAs38rPsPfprdnI0ArvpzjBP2hL4
hGSqO825jYNEbgdmgg2Dj1o+4XKEqWsxkPJktnSZ0+jF6jBCAL5z+2fdXIbuANBEuiyr8W2WTYoh
OVjV0vSkpT8fQ7V8UZJ8p8rYWIZeO5nP30VWRoMV9W3olGHgVURc+zS3dmdgONUPynmqi8TeyR83
lxNqx8z9mcYsW1S5ko2qLA1gzzEScuu6sciTcwtqYy6/Oa3jriMXZTBN4B1fpnX5FHdGEuJMIofd
u6SVXKPXyBj00+3vtL56WOOhIEEiRJ9/hX1GLqMJ1KTJ4Dz/CYwvEspHvay5cn1SrQzs8N4jtrpu
7IkYRoUBXofcYZEyhEnTFUqgNlRQ/XQEgvszjoc7s6seazt461FHEo3KSYyhBVRj2XiLSJfzrAvB
q1ZGRGI3T99yDNHug8HcO4ciMr7KHFhKE+kW+T77WkZOQ7IaXAC01kNQ9zLOZzB7rto4rtKkh9LY
SV43F2MkjdQfOn2ruVlQ+IofBeXMGP9/pn4HSvWsq5HrV6fMUnaO4eqdFhsDLUTEgN2x0jQxG7uz
6ipO7swyHk5daFnYKNHGfOMpFKtwAIW+Byd+2dlLEyMNorCBeR9qHxG+P1m9/BI7w9OcV747lL2L
b8jOyV/dZdYET0M/CKgfg7TFo9OkErMXpcrvwn4snqokgtIh+2nt8qf6O9FwFfpZi1SH90VIpZH7
v35Y8wTeZaID84PrrY/opA/NUWZC4eZDbb+vAj98KEM9OBWYbfyqtSjb8xtcXXM0aWiugR6Cn7Oe
yNSq31c1Y61rkUTOk2PH2kkN9f4L5N7wKBDkF9PO4Ylr9fj99qddHyAOjQiYLC4Cp/gM/5SnrZlm
ZhgLz/I8otlWYsq6NzhY3wchDCeQJuDt6Z4uft0wtmE3SdyHWq9+gWf7HknZc2W1xyFSjsDS30ro
4rekmS/Ei7gWqxDWxL7k0E2LvdIAChFXH2S5fHPkYgkhOwYG3IEtJ3b8z4/WBVaX5B16CamZHSP5
zirLsxZ/vv1l1heAMQttM+DSkLtXeoQJVXaSl+hrZvH4PKvjOz00DuaU7jzR64jP8yzyalFTcQIW
9yxHQl/pgLlCDPOPcvR+gCYczrPbRTudg82FoNESR0hgUbJ6/aPNTV91QayHXlDJH/S5vIa57TLX
ulDm70TgrUONTohgUonx4vJlsZRJr7R+qjw1nL+g2fYTq5zgcPvzrFsUnGT+MSHSkhWvqtEBRbSZ
Cm2+H0pqTh1DSfRY4vpZRjvB0r913WfVuo+NL7eX3dgavB6HRcG64lG6uK9WaBq0wTEKMBTfDQmK
+OHs7Gzj4FHCiLKPNg9DzcXpRjhAqwKjFrUM7grNO59Ge8yD+faN0O0GponCq9jP6+Pg4OxWjEjW
e1qsVPdgbICvO9qbfZL4SCCQwaTzKWguLlbpAe1n+mDPXhfNh1KXH/ooOYRlsHPgNs422ji897xW
MIRXZ7v1tbmXKtXr6yFxY735jo7eIe7sb7Pd7UyaNz4P3wQcIn1FHo0ltAmfpjFX+yTzkrKxUGqX
sjA49nGWMT0aR+f3mz8TRCzRDcO0bu2jWgZTgfqHZCBMqVXfRtvpkSIp9Z3Wzsap5vkBRSsjUcBZ
WMQGBYe4Uaur5M5Q6ulllgbzHmmLPfeZrVWEByRasqiirl4GP839rmSW5oEquRZKER0UFBt3bs/G
IiCm0EpShU7TarCi60Xbmb4qeW3jDz96yALpUbFxqD/e/jAbR44OLGxe7iryb8uUtg3DoWxLYlwQ
REc9q+8tazr4o3ModHVnSxsnDoSxKI1l4UK1rP9z3wq6yJod2vJpWxyGapieawwpTqNeZnvZwto3
FGSKYH1za3krVhkJKJAir0tF95QkNe5yJ2xODFxNpH4C+6T5Vuzm/EWPTYgkg2bl4zEkpcLcNwh3
tr2RtzCIhMIsfHTWM4JxGsJ0RDHMYwrxUy6LT6XsBy6eKS9GD6zVLrKX25906+iIfjdcQWagKwbq
NEVal/aj5kUo1Rhz+QA4ZmeJjUSTwg71SnELGDUuLprqdKE2F1i+FFnpAOCg5XEAip9/7AZTPZZS
+7XI2vixaU1/J9HcOkQ0imnJig2umlf+lA2OntSBN+r6J2i2zOrLI3Dvnexva4NEeuEoKFqXy1Q+
tEvsGVV9hmCGvHvbau01kzL7UusS+kPynF7CyNYObRLt+bxvrixyThSkhVaa+AH+SQqDaJQ7JIYM
T08dDuYL6jzHDim0KtVdw5gOKW4qt8/LVggQgpYG40ch2rB4qLvKbJFebU2vwf+oyTXzRJFYH6XM
qU+wAL7dXm3jAzINZLwqpktr4dNxKgMk35EMlkv/a5W0L46Pg8ikUjf8h4WYWsAvoF7Azv71D2lm
tR4wNQZy0OLfOclYRk8nOy92AujmfmjXQu4StKHlm21ocz61bca0v/3d5p5smMgn7dnyblxpqHAM
NOmokMWvCGTS3DlymCZ3vjlCUI1GQyGElOnXt/9kf8UOeUSh7iwjtJk4va1jyOuhvYU+ZoB2QSK1
8inBYe16e6mNY27wFACVQs9+PbdytFRK+kKzPb9Souiu7+t5OGhTpV+DwmowV2goIIkxYw3ny99z
WPjbwnvdyRHcYoBvgAkgLy0bVLGs9GlnjzScNZxpsIrFPv6xk4ZnBOWOqpEdurw7VPoXpemPQaNS
AUxQtZRT2XcnP1MeDfQasqbZOUubfxacIxoIpLJ4QC3yzNzOe6WlSXIHZ3l6b8fmVHhOnfmW6+ST
bzynWmZUL2rVM5+KrRZRz5kRyzmyiv8h54vWptVqJT6eYdY950XZfuvN0XiEqJdUjzbCgPmvN39F
wctAIRNKDTTKRdWnz1kFMXwahZuZ/VANcn+cHS04BpqFlyeW1QdIEPlD37wZN8GMAuyCIJ8xLaO5
+fpyNziLZZbRBFzu1O21xO0guHT2JY6/zvoeJ3Xj9tEJ4JsIN1Y69YuvEuEWlBPNjKuPBU1Wjuc5
2WtTrcG0YkN8eGLVX+vExRpa0gVFnYey5zcRmq8XuQbx7VSu2pWP5LQ/zNbEbUvpHq3a/2pO+lNg
tDtv3kaiAj0cBjKBmT7LMshoReZjBeuPXlgb+GuZ78Zs/jTK5oOcaHed36Q7AXrNRWbPfzXF6KQi
fLd8eAo5GA1rzCUPhJbqDXUYXFGUwZ+MblXQkuqWTq+e9FH5nvQ4ahhzEL6DGGe7sGfmI1o81YEc
v39/+0xvBHQACXSZBEBBzPBfH61xKNowHmuCYN24Wvo+lfxD2pVvzwqBqgkXGUItv8NilXQycKKq
k+hukkzZLWPHRO5VKo9dlSZotgfBsRul/5Dsv1pUZAL/5BaDgTt5TaPjqqfaqRuanwkhLFaT77hX
7oSyjV9RQPG4MeCY1dVgI1Ei2Uq1QsffHd1ifBbQJ+KCZt1MjBr1tz9cJEzi2NKVXzfrWmOYC6UE
codx06FkVu8o5jFxtPPto7ERCMREj04No3O6dou0V5FGH5zxYF99rT73TfQIkHunvbX1u1H7k3Gi
xggkbBlR5b5NnJD0iIHmRZ7l3EV7EwMgZC9v72Uj6xNNEwayOB6s+a12H/LIO9HstcXH2e9c228R
wQtdwtDOShtxhZkCxH0qBt6JZYumj8uZ7sIY30XTqHjgdHoXzktzEeS6NMIiAEO/vRHe1pq0UUj7
xFiD/tDrk17W09hWEL2vSfGMwYAF5KfSGtcI0oMs7QXvjW/GU80hF2d9jXJjtOwECoy8qxnPv4lS
zd1c+smltKP+w5s/mgOcCVwI/yJyLKNGjOZq74fp3Uxn7akujM51xuxFj/Dg01L74+3VxFlbJEkg
l2C98cQLpZTFakoRz8pcBrJXltJRRnJG067ZpUnOVdIfVKSa6/nt95gHgaVohwst8cUr2BuRNfEj
GzA+pUF3w67JH/G2DD8iWNK92W+G20UDGa0meAhr31KpLgNC0Th72Ka+c4b+lCbKdTL3QDAbR5EQ
z8SHJg7snGWHpfFHAxAkRHJDj5XnQppNd4hqhDqjLmQyJMmnXh/3FCe3jqQQesEGQcDrlpFK8+Mh
rHQMsh39pSvPsiKd5V55ezhk2PX/i4hw+c9zMo9dOMqMDT0n/tHE+bEY9n67zW0Q1tEDEan68reb
ahSr8gSNd8Vo79Gz+qPIvZurb5aS5yRQjFJycxTAxiyOXeWo6WRlneoZY1DdF7nuQHstnY+ZUfSX
23dq4wmh1waTAidumAfLtuuQB6rfVvXo2VN6LBhjYH2yEyS2fjR2IZqGW0T3ZDaCsERf2nOkAoWf
6WKU2Z8asvZOXN9cB0lY4DRCJ2o58nEGO08xE3SuQdu5TPvB09xRDB9v/2Bbq4BvpNcj4B+E2NeH
rMr8rohIIK+ojVx9o352QukQ/JcBJqRYKlH0CEhYljl+bfUlBukdHS2rbi9yGTXXxorHn7c3s9GV
BD8gEBFMF3l4l8vgk4zaEwoO18KvYGnA6Y7ln4Hdn/3ULZvqUyylj0Ym/6+ZJJS8tT+3l18fPsDK
uK0RXIGcrzqDY5o4maxm4V2AvWRzNPvcGp9yTQ7yNw8XWAhvbdEjp226hFgWPRCpQqvABSHePjrh
+zqiHoQYeXs/67MhlmFAB7KMifuyip8Rs3fGIdC8olSPUdaem+ZbGcw7ddE6U2IV6j70Z7foqkEB
HLApUGdKpATWeVKj5T4eHAvnjjQ1frx9S6RJcFdgx67hn2PL+D5BeuxOqTF6dhHp4pdLpwaZz3Io
urcPtlCJofWPEg3YyBWsPBzjZqR8Drx81Ap8mKf46qfqeCk1qA+3d7b1M4JMoCPPuBvbukVKZs1x
miUFXLXWac5a4c34DyV+w8xzJ8RuLWTQkSPTFE2eVQrdBrz5Cn4reeOp2YtmApKPv4d6vrOO+INf
p0dCKoh0hESFbvQyx4zHaohi3Qjuhmbs7pQZiKhWyDQ2Z/mU1/mvcPb3NKs3SmYOh5DEcDDc4v0Q
N+KfJ7dpOx+a3xh4wZy9s+vxEJKKBSjtu2Ope7PRnaQg/drwQs5DdLXN9k4qnVMe5OdUV3fuxdb+
SWzo4IEy5Isu/hapiihwGxykal/KLkoxJA+V8Hq3lUo61Klcneusld5cnfOu0abmlSYnWOHduyzo
7XjSAGnjiZr0w8k2ARaPe3vbOkO8ArLI3DYsj2d5DHVJR93EnL7r9Y9B/1LVkJrSPeW3rQgGKAnE
DEXKeuKbVFo5ggCJ7hw0Wwu3ySe7PgTp5L+PmlGZd17sDbAB0CALBV9hRcQbsEh0mnEc7So2NK9n
3Gfjmta0X9SxqrFPwKr9Puo1uepdLD1m4yGNkKI++g06uqfMSVGjux0Pth4jAX6Bm4uLzyrXL8wO
U4UAbQ1J0e4UhAjlQt15bjeWwKQLPi7YSsiHy0iQ2lmq1lmS3OmVVdDQLkbnszQW6uc37wSbbxgS
NuyIteBOWRlG1mZpdKe0o3Setan4CLBzT1h240jyZMPIERdOPK2vrz5Ouk7eNWrsWeVHOftVVl+k
4j7r98aVm8swrgTHxsdZdcblCvGaidPvSX3S/0+LCXHH/6PsO5Ylx5Flv4hm1GJLkfpoWbWBlegC
BQRBgADBr79+ZvVmpq3H3qZX1SczKRARHi4ohva+yRXJp7qEnzbp/v8vIOwncPFQgtCA/cdPMyua
YZJjkBgWddIZuRr4XfzzR/zNiwb1/teF+zLhA+zx71dPDfHuHRlAG2IvsoLD1NCD8/Dtnz/kXwSD
/ygJ8D0HGABNJEjg/zmvOKjNo5R5dsG7O50gv5TdxvrxgN37KxTHSE2NF9+6AIJ++RWF46dwf4vC
Vb0nW/ItnYD9/vM3+rs3ADUKUAhe+y9Xzn//2byMRyBZISJFCNwsawl7vqndVlX8j1/+d5+D7eGX
NxuG9/9ixs5FRmC5JcUZZJKjV1WrRv8/Tv6/ezBzNEbozTHTYhr4958ylWMJ34zAnHXJDyssweWf
kJHjFrz88yX7uyfla2WIu/jlT/KfZQ3RhRNF2DEcEeKwJRI3yfQduJ3tP3/M310x7Fzx1H+Ftv6X
TkBuGi/f5qH8HIbzOAj0Q9X5nz/iv03UATfgz2PS+LIF+S+AnVJHF7up/hL0ITQP8yr12MFXKn6S
KtM/0Uzwe7dWvaqlLSN+mKeeDzA4sjD5hTFocoJaORFHEskEChGAkZ99MZIJEU3xOh1hvNQ/uN26
P8q79LfjVsx14MoSoeW53ikgoyS5R0Kpei6n0NyNFjFQNFnE1qE28ayFxBVTkE8WV9VjZleYRcNc
x/9YchfSbkmlLpuNLPhLmMPDnzmyCJFgVPqoQDRUz/t6A01H18GELJI6yixIJEtfuKlZiny+xyDU
w880J8gUpStnt8oVq4cIOo3GbjTgYIA3PsJDPbVotAHG00dSuPAV20Z9ZJHXSx3gIsDLMGCc1X2K
NNEmTUdYEWAZo3RTqAUqVh1a8rbzNXs2sPeCzbb0Y1LL1QZzPQcsBpRgfflpSt7fFWxJTctozsGx
qaoZq0chI/4/3nkIuP51nP3HQfT/3Hm4Ff37y9KDoD5n21idacLsY8Fd8M0scdnKOH/LQ3Ucork8
QCMfv06Ju1Uh8gfHjMznIB5J2GxDkh7MlwurS8Regz6tL2FuWLca+mnL1cIgxP4g4fKn9PLdjUNr
aHhXTsUNSU26jsgKyRzaGT+W4Pwp1pVsvg9E6jA5RV9Os1t60D7BVS/JD1ckv4Js+9CLR2D2QHSL
wbJV3LyXgdbgItmrhQV0vUfhxw7qULdtial7Yz5JkK/Nmu8/Vu1oE8v42ZvdtEiTqvDcFMmBGPDM
6L+kpXDlv8JF4Y+n5jZGfrm40UMJNFYIZBlI1QxpiDiy/sB4LA9VnzEQ+2lUB5jDy8ze9Zk+lgjC
WpR4GCtQmFYruphiFoy9/MkHOb9iTngmQ4U82VzL15LZvF65Yj9jh5BLzjvvwxvoT1ObV3A4DIJw
uQcx15xlrpZ3OyPSJNjm7KebpTsvsXVbDfK6fqBmdguCCaS+huMw3IY+NVc6JBqMJZLzvYHdJkwb
jE4mXxsZhN+GMjUPLi70X3RZ17AWsNMWoDfh4jQYK7isK7cJWpslzNsVwd4vU7wGNxHMiBUNBx8+
5b1XLfhVe6fWOH80SeWuciXTU9hz2+RaYcccWI3vUQbq0+p8btZRulNVClA9935sLctsG/RliNy0
ykFtkugcRrsEuXJY+nXw29vvYk/kGwls2OzF7Pra+q04EFLEG6hZfXJLi37uhJP2u1zs8L5uawjB
WC5Uo1hoDxEhMejFiW0KwMSnEMY1V5Z93TPtx3YfVFI7MuUPQu8x9niJucDCvLwUIpPPVobRAWEJ
8IaxJtCdCkt32XYW/mYwtzthMp9e1kjBRC9fC7i6h64TjM7NMjH1wKpsa7fI43E11YLsNLbujdUq
eFgQkt2i6mftqLEF33GenlmcrWcgS+6xsj0cnnOr/LOGkdAMbaspnss5mTqnF/5AggQngomEe9Dw
aDtPG9dvCZv3uM0IR2tQTF4GdxZ8tuRiXCEL5LyBGwoXRsHrnOUjOG3IbWiXMIbIgGfRA7OplC0M
bwYYlIVmfxwphGivJpqzsJZ8ch0m1r4zNGZHlavqDphxchBTntcc/1ODO4ZnAPSgm0C2yXyAqizf
mzyRWgIAIRP8RogdPkNJaHYuxmlVTSoyAX+d0k457PJIxW4pMHXaARIDuBYG+ofI7fiisByxNYc8
bUaWBVKumykMmMR9I0gw7WO9ExihzPIcLSV4DWs/I9oTRo0Zdm4JHPj2TZb+caZcvSQ7Ldwd4IQc
aSQo2NFvKfZYnEoA1Mkd7gYQLpBIMjpjeeHpYJ4zMo5mJzWlBo/QlgePlZ+yy04o2F3waoRiLxl6
AhGoy/uniJEIVkyicO2Y6HU/7jCCxYhfTfRzofDXKvtImDaYXPXQQwnR9IYsb3MFF6x4l49unapn
jE+6ySE6PO8C5Lbac5Qih3PrAF4FKg3sNfQN6ZPFU2R3D+dXjnQtXRYNG23REngmXo1y3zaEQfwF
bShe9V5yesTfx4KkmDhHTMdMYRLjPJjJ2TibQ9LHawOW2vANfuD6voxwZiAiwkQPtJfjh2Qr/HOB
xdAnUxZry4tya2dT9d/CtU9PMk2DegO74pVT33+4VYadnyqyNplVc6sHCeffhIi/LCbHawDd9p3J
Mzk1o8vCd6KC5A6vs+2qtDeXcCtRUhFaeaDBQJshdhJPjtssUu3GIb1zDKV68h5Gs1VIhmYoQnEB
zrucB1OGfwEum6850hrPRYLXupWTCx8CODhf5ILlW80UrvxoJ31RztK7isbumKuUPQz4ckWDYs1R
J4g1P/wW81MA3ee9ZWF8RZyCaieLxYgAEnWjzPV/jGTFdRjL8lsKL5DziNAgmCJWyRGhANmTyjPy
Pd2q7CKtD2rBbzFHaGnnEx8WrQ6do1ByLCHEaP16XH2g2oplCybtuToqE9FXiZe4ZmRlB9yW6STm
yD0h0je+TMZyxEHuImp8ztMfJOMwkvNoqOpBlhPKKu7+2YSles1QHt49p0MHElV8D5Le9G1hyTJ3
TNj8rxAdEdJiCtBbN20or3tkdO7gk4+xqcdQc7yemyWHxGTRhUYW7KIAAYt8ENsdInRUXfCS3g9i
cX8qVKhaL7k+kGGLjjlH0Y4jPuBsFw5ONlgc/gT0n513+JgciszFeMWmUR6yOStPIWLncTL1M7va
qYwucpbwWpoTbD24VecyZ+kHAo3Iiwxhc1rH/bKe8Dakd4FM/D3k1UiDRc7XrV949EFVLLslhi1r
soflDeaOxnTxnG8aHGk4qLBllLcKy6JrIW2FRmwLS5zaAe/iDebutcnUeEx2nRwATybt1gt6NxqF
5FB8QWyGJ4+qZfd7vI/uXMAd8DtFbXqA+F41gGXZQxns4lgmfrgvTAU2A+gy5ORnxHcpOdqjiPR2
XeMYxxrdvbrsuwGXnsxb9cJZBGupiPJc12NUsBDNtGUHpLXupyER2THGd01AfyPFGfE+o0SHDQyz
jQh6WtzIYRg6rEaxBnOZc008fr05yRTBcRVupAtyhtwgHg3875pwSKaXDO2JaynSQh9W3SN81G6C
nGMkTn9wAkXyNdws0jzCsUAi7BAL+cOGws6nYBMh8nmDBFGayE71NZe9S2qi1+hY0mhMjptK3SM8
29KGauXQPYTIOOxRbioy9W0RSfIIi25i/lSgfbyrcSxfUVDJz9n7JLvmRTzTJ+QPzPKUrmaDAXIv
4t+hzOVWr8ZWwYPzMMv/DRL6mN344HCYUYZQ18brAmcPvHlZ2eKmxXM9jfE+NhDPCgScFqE74KSZ
7ucSNweq7r4XMGzIF37YQo/OzMxQB9QMUTqymb8MwTo0euM7pgkadDjgQ9OpIRp/lBGT9BrnnjhQ
c5ykjSHE/86k2mynxhiFL1qG/rf0u3i3oYaxR5xKnFmobMv7rCMZPWire30GMW/pTytTLL+b4kwB
QAFu8BMvRxCe3VYGOBwjXmLZFMG5CUwmBhS3yJccjV81CfGOsSYCUCGR3dbyauXfaLh4+5AucNpt
k8WXcTNs4/YD0XhX4+Ns+6I28LHrZxheHgZ0gFkdj2MeXpavTCDOpq9phlHYOB3RWuEJqUyJdqQG
s8Zth2qZfXrDE6Fd3QdTqe92QJLu7FFp9toAYbOHZSukeMwJXArAPDQYE2c4ieVwqPAyvZZhEIJJ
GWrEkZUsIoj3FEA9kTPN3doUDLhtHSeY5+pAEfVjtgzJVruI56upwLO+jQLZv6d9YfsCoqsffw6B
WEkXi3XDpc773wmlSfXc9wMHmMer6btHOBeOGSYwH+QEXMFuWOj+XnEYjuFaOjh8Tp6rFfm/ew9b
w3HLTgOReUOoDC9hocH8VCCvPPAp5X+V6HauStCsGyO6w/8/4UeZJduJ0iW/R3JcVBdz0d+bZHsY
owDvpNEHHg4XLuY/erPfkkiNNWT/v4bMBjUMDh+Ah//IgwQ9E2JtmgC+Ed2WhVvruESIQb8ueAyZ
7YZU0RqkTtEIun7C6f6vPpnvY09/Zv2CgkmBqsh0pfWCn1MHBBl2lrEbimOCz4urNkWBeFhiBOFC
bH0faJDEOS1umAH3brekRWrbPTLjyw5UkaRNHU7bMDRX4aLvRa8rVO1AN1m8XkoG8nI1Tw/wl7ZH
vZcXAtTzxZZ7M274h1DEM9gABlj485dgKQlM/+etjoupgNZgfZyj4gFhs6eZifjoly9q9zCfMXX9
rOYMs0M0PVNlfiyj2vFc4PQIZDBdYgX7gJz+UcS6hozkF5GhPEQBQAI5qjfYCL3s2Ct1sSRnEUa/
gEeCGBWFr8icftVCPZV0z5DJVrA2yIekXpPqfgiiDW35gjO6muQRCy7eCasy/HqNwxgw3pERKO6d
8L+d8g/K5Ch1Ap6GOs4eLPKimliAYjjD0ulgBIXFTj+gIKLjd8Q/5CkIkXIOP0ozQ8wi+feFfuk3
E8iKyTSfWehvU6CfEp3kNYnhpM1nntUJ9/kzyAjrKZ2LN4ZxowlSNt3la/6bLkofJlLsJ4TCrei7
p2+bjebPWWAqrvOtwOsb5ow+JYbDSnlCJOpoYB1OR5sc4dUtboqhrEgpeNrGi6IfAjktF1r1pF2q
IQhr23P3PkU8bnYk0R2LNco/9tHHNwUvxmPleDY1wxKj2u82v1foO6DTWoLwGgsB0xuYAl9gkrpg
UTEn85EG03qEdHz9QSEma7Db3h6czaDH2BPSzqJkd3otMUAMcupAdgwe9wVMF9WLotmzEE8AsCvz
KqoowD5LZEAVRHLRSC28X9fVNVhpkamBonr5KWGQjUleB3utYK4l6kho9TpIrX09W09+h4iTlG2S
9lOd25z90pibOpnuAtZcm+rIwMaO6wUKHzDa25DZ6mCAZD+BmLN2G2XkCYhI/pJvi3ggZHhlYkDN
YM9q35A2sa7ipCFa+hUNdLm6NRF/9RbOjFG5LrddLsEDKMK6ZWlAPjNg2QdW7QKjJpz3EGRVnfp8
SZCRMcEhPY6O0GCkZx3gHRzhVFAnpIyaBD1DncXuy7URoUlW/SJwz2ncEN6yeHikYP93PpR/mXH1
HY/yn/m0o9jhFc6m33OCKSpKJCwzhamrkrvab/pnsCFpe+OixvL3foGFOp2iz5BlZR3OpQT4kfz2
olzrkRUfgue2HVIbNFG/vCUzXMxM5PN608NrwrlthYoLAG57f2SbuikuOxIjMbF05m3N4xuIpVe6
9EeR8ruJ5+8lIplmTmecOsiuJlHxkVWbaoKdoaRliIQTBYb7KHjG+3+3xSVAxV38AKKS17SfYEBt
KWKhfdNHy3wKq4W14DMBUtzZ0pQ8BLbGA9e5ApPZTvPgSTuk3dl+5x3mPQwQwKQ4LC/qfF0VHOV3
mGaWuikH9TEHHhe+h0ObLuH8RVSf1TJgVwkWYTfsq202x7dWhnyBUUHv2n2KJc7v1AOnUG+2Mi1R
NHlP+gpfGgNzPUS56SgHQc2oIrmRvHyM5JrWVWy/ZXyK0R9GiHokKoUEdl0Hf3MA2J7Jloy3WC3s
J7Ag9gKNdg8wkulaLn36rLMcp4kHrWanIz1DrrsfsjX3t6WqPrYoe6/MV1RZz4La7PTbiv4Mx16c
YKrEHJAZ+zjBUavmFR4/xB6CNjXt24Xlbj/ZMp1FjQAMQKg73YIjysgIh+G9uCsE9mQR4Jc3JAfQ
dx73AVwkc9TzaSleYLVc3pcDrInR15oU2SCQI3xgWwiAJ9bRVSwfPiTHYKPjAc42PSoCEqPtnNuu
nKekBh78vBXlnz6bshqz+/QaeyWheAbIQi3KQ7+nQz2zHlZmX9WWBAzFarP5Kd04ogqohHko36da
heK9R+joUrrfxGt486egyUfF04Qv+8hMCe4gXtfrRgm+/uKbqUTWfDnkcUf7AkNqn/xB2fsZGLGj
KKD9YgtgpxIGHxBZ7SOYt+VfqY/vSS5NWwTreD+PbAUciJz7aFl+FI5im6KDI74F8g1Wu7Q6KHB3
nf0r7INXB2S+NQx5o+k6pPXGoo9hK8sadsv5cVV2PA000h2kXjMM0G3ewPcIPpM26CQZsyaJyNLm
iGc4UDXRzgeRb4vKvc/ZLLGSpaZNnH3rwSgEXDFDdKGq74wVvImsRegkpssa/nri4GBW0pZ0eAIA
/rBs6zVCLHQzhPFngqGiWyk8pvMpSpoUer46EM7dZkqnJhdOX5Fvaeu4mtemWobHRORJy7b5TkJ6
22U8eQpgv92UMXkuErK/smVS73GmVQdDXQavOIpuJWTPNFgXtELjT5KI19wiTFX29CviHilOOvdR
u5PkNQrQX4Dg9VUp2WXawj9rhmRKOHlbms5tMOtPLBOyBocxq0e6f6CdAji9FB+jid/3qkTlnuWj
AHpQS6PMLwhD+2aqPECIrMSIny5geZafRTr/Qk3UDeCevlmi+XeKuaBWppju3ViOxypkT3gaUWdX
QRs3Z9/2PYIXcO5Qa6MErvF7OZwwciw1XVCOkREr6gBuSw28O1cEXeiXyG/0obLrrd+Dh2LEtG2Y
ecG/YYBtw08lKxSKgfyqRHJAPdxq0OtOFeN4dZCuPjhAE4Bz5CRkkw4ax3lMBZYkgOmXiYxNNWrS
FsbeEE6ClK81QQ5BCZVgL+Gx7t/puvNbVhHdIZxNdP3mzM3taVKPZP5msENuSk3iljGM+VhxHNdI
bt1gAKTLAbB0r6Pf+Zpmbb/0b87N/iIwFDdVHyNeNNPLI/iEa2vJvjRq80ONPu5tH9DR4/Q0jUvB
/EAI1Ir2AoIGnAlA7jJZtRPii860h5gKAu2xLSzKywoZYBOA4NnMNjd/ZMSyLjbquBnMx74X36Bq
CrtdxWhblPshc7Z2JZimCfbgjQSLrhmYAyRpme/kAjUt2ZHbkuK+M2pEnRTA8rCzD1rtUg1c39Hr
EiyiidxEEWdZgUWYA1nX2LjX8xSOreDJJfZ4ItOU8Xtd+K0ZfLodK8XW1utQXobBisZ7/7YXeP0B
9C614mN29LIE9EbthnNXmEbBKv48l4hzUctwW/sqxlEAaRRBrOQpIjpqiyleGssxufYBv0LNrttA
RcsBrXR+hE7xEXE0KBt73uO+4REJx2i+0ijSZ23NejEx8LM5ALcuIEV5iC0aor2P3nZBwjqd1SeG
d+zx8hUfbA0/erbsQI9BB01U6RqsWIHVqGn+jvBmrDDcNvVVPe8FfuFk9yfGN3WY46K/GSzkAEuY
8hJlApozxECN90G10GMUj9VvFFB/GgoWnzcr0kNFqv0JegMBO2k+0qbyIa31GLOHKggYq4NipWeP
VPUjHK6mM1uoBuCV6vISL3l5xfM3PAm5yLsZmtArpEjRSwVs78sKY29inwINzWaYt3vh4y6U03JW
AR440U90x6mTydvApOj4lK93OWgryEjlIYTe04QHsZlnBCumfa6uHDHkHZ2XHOsNlfwWMoP4NMwJ
yg7KtvnhCDxj80Xm12KXyV3C+/6Yk4h+zsQXdx4OzHMDMCTu1oTxbsZp28bUiW9isLoZE+D1I4/n
4whv7kcCkWGDE8nCtUyqrmBMPfdQpJ7cPsgr/EXQuanEjY9Ew2imVnafL1DTfM2zs9SPZq34IclV
0QiRRBhbx+IxhRtnu00j6dA+j60WQXEyjuW3dUvS1s44Tmg6jKcR4MALZVP/PUfOL6+59ltXzZzd
O6fVjWPx+4hupE+xNY0oXAwAxV5YidV6uVbrB2IH+mulTY5WoffmIQn8eGByXA906+OGTwm7LpGl
nYgxNZS+cFAbctMEzPrOwGXxZnfhTlrP5Q8K5PMYsEhcl2oJTgUQRbQeQHxuuo/3S4lYLoswYvjx
baIPXG0Ren1G6qBplQ7WdoiMbPNQrG9BmgBrUvt6GmdbHcVoxZnB0bzvkAa0PmGlyp/2XaeAshxB
B1vtxyLd9/sx24rHmWv3O1K7f5oCQM2TxcJz1XxClzlP6VNGgvFgJB+e3QTZMEcM7U/sochlxjBx
DEGLORRj2f+i6AJOu1Xpc9GjDR7hMPEZDKAOEzNP50VvEg6Hffbudr9gyP9XZF2MvrmP+h67NxXA
MGyrSFOAeHmgIEu+ZbObnvCMlCf7FeXUb6oCRAzG1QgkqEmDOPwlMOA+j8m041Eb4DdcxOqVga7Y
VPNQHnenhscyX8Ux2dL10cdx//AVRvJgSbTwGkGe+rdVhh7cYOMm8xnePrjft0BPV1yqPryqAJnh
JVbG1xCGsrBKX2LUuLzSxQOoI+4b4cJd1ri07TyCrjybSXJ8URs9JNs6PlTFZIAzr3sGMy+cz2h9
1pNbt+K5gPj0Rflo/I5c2OFOcAY4QCngKXuRNcNQkLPCFvwMYyrgX1ritahRDWdW59rhDzuy/WJI
lxwgCTQ54Jyqv3P9UFwwEwzf3cJQTirQCLYlBkw2UfOOjHj1LFdtO3Rq5uAJjt7Cm+Qe4CH94KgJ
9xPIQHjZN7meTRSzD7Jk4ffIcfENZIAgqnWaL2fYCyb3Ssb2grX9+Eug2f3ERlMAbJv0HXT4pMXk
o98nkm3HMV3UZx7YBQNmsX2BORR/Z0rinoPYPcR3EBuWb1zo+QAqYP4tW0JUTb2CrX/h8MVcz0KE
A0PwTqZg9obY+Ln1NgLaWUYkWz9nvWbV0cJZDJgvHNb++Bk+/0LGyPge9qohOj3qaFLBUZaOitdd
Eb8cxeDQWmOgJuFtI3Rg7bwajUkpIht2AXQqTXEedAU//GGMxdyRJVcvs0sKQGYVdDFfKpVgvyJm
noDb0a/i+7RsOQbUMApRHqPYzS0shPBTSUD6Al/WDb6eojXTNRc98nbQBWWqzgfo907zCoIJ9rOC
Y1YpFsExS4axOpJttki9EjzILrnrk6ddl1gyZWZMbLsoO+PrwT8mb6wpKvEGAG1iXUX9vp77efN4
yTYWugZtwhx2OVA8eN3D8TPvIlGw6CZlnz3pKDBlTcWawn3T9ftwnQhL9V3QE8pPSIKO4gOGL2OB
tg3j/YqFwI8Ijq9pnVMFSguaAtijI9vdPS4ohRn2406pbkQjWrVYq1YfQ8+W6o9e7TTAmrtM94uK
YH7eDfMah6ciCgBeAKezMZpqOueNLILdH6Uc87IZ4Tn/Q2DGc0/SZ+OrxO73AiQL9b+g/juy2vux
KUKLPem29Iad2EoIlnaBwr4WRLQswgZjUPS2g9eQ19aWYui0zCC9VAXOnTashAu7wKfoV4XZCDnR
aSzTBq5dhT/HHq36RyrEKJN64rOMjjxYpXokCmzcA+5Usb310cYAykzwvLgFMa7dJbbxttQwKZyG
JtO42Ac1T8tPX2WmPEaEx1jBJ3uaw4EEaHEndgftn0+jYGorqB0+V7ot0IaW4PtAEtgjTLTyBGN9
mprMH+ELwFgTT2idLwVWgrLRPIpn9DCGzHchWPIfgLboe0ArNdcGShR6rLZ8Edje7HgFo5hP14S6
md6hfiW/LDpEwGjO5eA7DfCiaSW4SVErsM/nl4ogyvwCViQwYFCzBvZzTDbwsnBWY0ZGbgw4VAdL
k9DdIy8r+1xGfGonTemGF+QgZVjil7MzjQbQzA/RLraPhVq0pCHLF0gGBrVa9HdYg3UrHIpn4GxL
OByW3hMOx4Eg94c9UCAMOOTf7TXAIp6edG4kyAt5MDGsaiGoPym4UKhrhMw9c2RFkgaHFYzMGfgh
49GhxAZt6XZHZHkLV2xOGj3ibbv1aANizHdqxiYlhWjiAA7gTh5Db9bhXBox624H6W3CqJWV/Kom
JIAID33cDQs3tCjBmO9IIgLNz76upJ/5C/YaW3ITAwt5y3YoZzoXxyo6Bns2OTSKCOJotgDhMSe9
xdn3IlRR+cZISquDw8SuTygzIr1CA456uCN5ObygP47Rp1YApmrep3DLCczKa+9lhGDF3tHhua/y
pag52u/xBloGx+wyRny792VP85Mgao7urRkFg7gm1X2LET2P66Hcy/ycmE3647KsKj5Mo4UbSABS
PP5+aQOcoiBQipoOQezrWM1wChp4Hoyvk4rmN7dx/5zHE1bkXwuMD4jH4+0edK5Cvsooo6Z2U0aW
Jp2XfXjfjUefCKcqzVpu+qU4xBnBlg/lYcTcyEv8N63WcL8wOjKsWyWqfl2oYkJFwHjzJ96Qmnis
sMuYOo+gmuyw7HHJGqTqwibfhNXX0KmKkXc9mQRYUyQrMewPo3HHgk9Kt8tWFViU4w0PWjkw8z5G
qykauxSsxKga2+08RIOtOqTeB7CaTkz/ld9BcOBMg8r9zxx5RlCEpKIy0auKhwh2dGUPar+rhUYX
/n0a94j/cT52mDeRKokEJ+Pd91XuX1YriuOID73EuE7CocBAAEXTfjC8QmYe9tPLdBhNGK8nNNMg
opdunt6rHQfPpYgiYKVQ5LH+GPR0X1+BXvnkBLQMMSNBb7P05PqIrd82LBBdMw9gMXlP/PeKa9A5
sK7ayOMCZ0fgupar4n6Z1q2Sb3QKQcWo8VSgwg7wEJjAxmrE/3F0HsutI1kQ/SJEwJstDK1IebtB
SHotFDwKKNivn8PZzGKiZ1oSCdStzJN5TT4DN+rcFa86FF4FAGkvmqdFspDddxfwDYoq2WgtF6us
bKK+U/6HoLvATqyx9vWQrB0ncavbC22bi8Uw3iwBavXSu+t0sByVnWtpqHznlHpbPYObIOepRZas
kjSXcXq1Fq/74IKkGxhvQeEqJGHEevCCeVY6B6np5HO2c1Zrk/A6EgWp6yqtS8rGTym7tadGHSf2
h3YT6aQ615KOGtbxUNbp1Cfukq5q77UmN4Bgs6m/1lu25MRkW/ohkqLY0n8lNyg7GivPLZ+ZIVwj
yfrKM18b3ZX5gcMN/Wv0Z5kNUU6pqeZETulykkRaoUryq7ys3E8XaCeNnUADw5zBobZ/ogqC9qCZ
NZZSuhj9eMqdEREShXu1Er9n9Idvmfm480WpMlYt5vXOWswsfQSscYqTJkX9DgdVREAuepmMrnC3
MHBGHlip0x6UuFqwtUggqUrx6qR/00R5Abn7iWVpwa/m67W88/qek97xB2oPWObBuEZhfQvsZ+Sm
cfRYnO6FPjTrrMJ6tqbiv55xwIHPkrq69gFa0TM5I19GA5sFaGmk4yRNqnxo8wT73iwiWbq4K/Vg
Z9Z+MAlo/7M1SwOqHF2onBJYDvTiJKwZFYdARJbeW003NzE4CsOY500rQ3EVZMWTm61B+h8vM9v9
KXGeL1j3IumsdhMnErJ2dqrp/kpDWsxAnUIWStnOVyXH9b1fOL+PahvpN8Nk2ta7aslvq5DYJCXD
xhCTt0MKRYPkT9mdZzk1YJKI21lC+LavuXohhn0GUyDrpLQ2N3/0pcNSNvaEqibiQ7YNLtRCMzRE
bHvt/xsc/j8wPXplRLhhw3hXWQP7qGZVaD3KM98qWmd1NgQGHGb6eesL5Z7zoc6Nk6it3koKJvIv
IDpGVT4ETd7UAdzsgvyyH/Zq7IYjQQUdoSyTzRTaLXLesdXT4V/WVqJORp/zDRBZUy+8TALrgIti
U80MjlZ/phOIyoG/NpsFsmyzfigcLOqYNbmLOqxCr9bdyICtn2zGZPQc29FK56VrNtR/CiXW7Fo0
YpaswRwm7VQTSVqum2RI457Ulz0nYDf7zyV28hxlrA3+cWizJ2sNVqM/Sk8rtUhzK8Y9t3B4cvh3
rW1iirwtdrmU6z+zV1nHX6sAMGcx17oslG6ZOdKYsAdQoKLlYhNCqjfo9rljzDH1Ge6WcKeAgWSg
zrKI4jqTVUjLlHnUy2c58h6rgkl7MVE4J2SPrH9cV0dj5S5u3S/TLxBuI7PeS+jo4bYSOHqvRSxo
LWCR5LqkdwOSibkzeo8X0DKpRjs3liNYX7emY7Cf9Wp+A46xUEcVDezRXEAGxlmQVtuRQrpuaAk5
TKmZNC47w2MT3fwyZapM48lLzeUC/mJ5dCcJrIqCzZEqsZRn0vUyj6MWLWvr1cmceYsVsiYMNlEy
xhXntuJlGvVOkHv3uJRdtROj0ZUoK6zvYFVH6bDWRZnXBeCHjdd+N/6YZj/ZkRyyMiDAAn4SGW7K
OsVmWIAQ84ApMjKo4usSpgxEZqyUyYj4ZFgCvnqyXr+aQkh+sLGlzKhid6i5N5xeiShb0F6ByoPq
DyeYi6TM8u09reHSYnPQF3niC6X02LXHhYUKo7nOUTF1rR7Vq1JLUqR0UseZO/Yi4vI1+vGMg7T+
y2pypn+gs2bzY2pirZCOazX1j55dt/zgpb2wmzHY+tW4cOuHcmtL/vpPlhw9yIEBtJGxhxULu0I0
iE01v3q/bxWALmbfsqSQrM4zT+cwfU9QwSwnREQbE9scW867ZpPDsSimdjyVPUtRmBfTQp7sMjC1
HagQ261Lxyw+6Vz2mrgIPLpcNFCj3xWOUfCpm5p75w6dmQPCLStvN1a7W3teJCINkSibdMcGGa2P
c3PJ/XNRDgEUwtj09mubsg0C2M9a3jZnUPXXuvW64D625ahROh2ZZ84m5SS1K7zvrsxY5B72ox3A
9HC/r7MqLIEI5Z6/ETaNQzngxO7oVvXncQBlegxmG82NiWUzLuNI3dCB1QuQYwbXASydHB1rSfwx
s4N48za1PE6Grm3xtghj++3tVLGBczS17jHF2Kz3W1GMEhxJTXg+ZquhHBEOZKHgbtBQhF8rbIvt
M1dm+lnqQfahT1P+iDiGN14JdAZIlIEhtxjJ4VFK7rDt0F0oAdpbndJYQ1MUzX3PTmvwML1qh1DZ
2vQw2VPu8JQjWRr6Kruom82li7RGqXy/LE6/PbA6jJeXUdgS/52nZAjHLbO0B2E6XfC4GrpqULLr
Adp2JPuQCJ0NqruOjeLbwRdzXn+xva77DaQObNXDQQQnILHcfmbLg0Ifkg1KRtYZGUyDvllC/+2B
C4LDkGcm4ubWefW+m7tR/PVtz9m3n2Y/QyUvsK+LX/QH5xuDQh5ZcFMfHG004lLaRiwoVh9D25Ri
V9sKp2DNs7u1av8U6/kOU2+KJ9T4dj9BiO6E7Y1JpznwWW2ZPluWBCqXhYF2Pa6HlFH7WGN7XXuS
WjtYNDdBddAod5sy7Kqqa9jFp+swjtqocCRNeRp4R1C2lrN5RIOXDgnZyQcyv4j1g/T+tECvo3Y2
5khDPoibYtQj1hsE50lDIl/a1rl0lC3/uZppRLLXAexHytb3lgmFB/NjzvFiwYnNDYp7mXZujDxr
fd/275wKG1I6NLY1PXRqphB+ZsA5O7IiktLMSGXtoBdXpNj3Ggfz5K013wYSE/bZ0UGRcK5scz/2
jcFx2QTyP1bspklZVCAaouzVHNJKQo9Q0zkXL8/cIHSqsfncRjEnbTDad8ZYqfPqd13M6TFdBgZx
AeF70w0Ghp0I0miKKc8YaHS37Tq0c7t8tzR9uPO4xeLFNeP6M5i1+ywXTds1bW4fjFogTcBkz3db
vaHH94v25fa2f6WH3EMulmasm7l5Zcet3LGtO4Xybygomfv23HfNrVTXWxM8FnVB1rJ3tk+R+Abu
gu28DkuSBqqKi1UfHv3NWye8MgGL1Rb4uvrKBWY2m2Q0s/GscT3h32dpNwXeiwNDdbinS8UNdAoY
2hwzDAQvZ0tfYzNP/2xdz6PVlCArnFif/jIQgTIz8QPaoiUZ6mdSlnW1K4EpANq77GAtLA3SuR4c
ujQw9wJS7DzSKxvWrjK/p5UmtTowmlj2nnlwM80/UBmQgjgVt++7V4W+42NENcac0IRGwtirD1MF
LJp269VaOy0cjIz+sXr70TTzvRzml6DviaYFuz5o1ZGv03PgiXiqvUOrb0nROKeiVv91lXoSlXuY
5PrOlHt26uGK4rubAv9bVs5HrgkqfXpvXwzc2fT5lDKF8x49eCrL+ehvSBjOaORO89ER4/uaFSo0
s34LKXI+VylPCRvcJL8D9a+bLd8pavycs+4LdrwnnVfnX7VrCmzBmZveZH32esAYPjR32HhW1OPq
MA58m2mWqKl5Yv4do4J0RcibhNI7Mb1O7WKTI/PfWE964WtnxOwu2Blj91+DyIkixzAKMtTOZoQs
8ULE5W6EGW397pEb4Mkquidya5houUKVyg5lxv3O7KgLNCsQa4G0QqogfXD6jideyyHPnf3Sufzc
ZYDeUb2TJYgMPPM8NQ+EDU5TTxphWz6WsX4TE81Lc3fGIzkFsk38hdsqiXsHLSWkMveOGQrupqi/
t22+s3wiHCtmY9W2ZZivKQq3s1d5cNCd7ZNh9yV1pk8mtIOY0Y6sbEhYpnAK2vxSle2wy4z8ZRjH
V9mUz6xqvBq52JczZvDqWViI2ZRGpta8DKrzY/A4GU3VfOGy4cae7/2pRd8jib6u+JKhP0GwCt19
QvG+74cVOQH8jL+4Vkapve047XcNfl/mzN/51H3aLrcM9hkhym9Kj3rll5ct6L6bVjyNrjz2jhcT
NYtN2yc04Y3fAFNclQPuYU6hP6zt9uDMK+9whGmdV0uNFpCNdmKSHYE3O9Jz/ecN8onJ4FCzQMgt
Kthx1OAKQ8t29U/RBQfPhSFq3PKrFsteG/13Bm0c/xmofZP1V+YsSeZu94NbQNHUd26tXVsIoMhB
8ULeAVxyBUKSsMtHZ8NrlbQahEa+HksCukHjx1Xdv1UajP+cniSBqM1tT9tCeGyzpwd96A7rLCms
9p6CDfffWXnTNOVDxi/HAPVdVFtibwVcZnDWkX2LRu3q4aWTdoJddQcsFBfmGFvmGulZlcyVn3S9
eqlMd+9U6j1Pc1i69IeGk8iAtJbcSVdHRb3WHeY+R9rfzh29EumAoNWs3Z/qybHh41rUkRSbdVfo
0CcIedHWqf3qzs8grztnpj91hExc54NMDZbGiIhFA6y4m0MWQYUUHp1QTGJ8sj0/6RcZSv6kQ3A0
xhnBLD+CMJ0bez36XKZbqY9xMLdz2Kf601SKfl8OOAue2awnNXC/d4r83C2CzSMloDMpC9hH2via
vS3zZM2ne1a2hmKu7rWlgnFB6ci369TmSPJud+pcNnH55R3wtJn+w0C+Z1NLqN9AxbYc9sJPk1RB
IUssbEryCYAVEW7hyS3guSrnKLfhzk23B5OcHTbGmUbCc1dbDyaTW6RY4DEFv3RGhkDnh8U0YKGm
R7pvlrBq5gQPXIUUga0RXWc3knXHwX6PQHp1fHk/1fpxcNZ7OjnOaO7xJP0HQfFhkq5UxxIyJYis
NTupqRNlLScDzMlG6eCE4A6VJ17enYOmJRAR9BezXR+7ovtb++15qMbHskLQFeMdfR1PALSP5L/L
UE+x5PsWbI0/03Ne+1cPkorJY6/acrvIcvioPDlHAVCW5FWly47KEdZlG/LCNlniMK1xN/XNXW1b
QbjM+VVYzf3Y/3LDRuqt3gie/v+Tu9SsDxWDeV9l+tNQjFG5qc920XftZhxLr3jKIRxNp2BaNaER
0AbNWMudNkxn+1lT4nNFhokNJhsiiOW1N8i+NJm+A2Nla9YqvLDKgZGrwat3qNZbkpMzrMOBqgaA
hpRhYthiL03lJSebwfE/Pc8W/7Un5J0yJScMGxaShQTifad135aZz0nZMc/dEoUnMsr5SXh6faRm
aTjZBvEfZdTPFjBL4tYy7kX3XNf6aU5HPlCJWVI3Dx1qTegt7sXB72fB5PTOKeonRaVz/pT2e786
z4shyrhDio7LbJb7agNzD5blTqn1BCP42C8t54dTJGqpk0zLdp0pOpyHbqfBHe+DYuO4N8VVL+oX
aeEjFGCgg5dfMrl9TuDtpLBwZNjR89tXDnqVBdKbN678YV9GB5ftXOfAzw59CnEB8DXtxp5Qc1Vn
X0XgPxbF+scxZEaq9851OTwQEftmbHxRk3FAQYWV03/JReccYkPc9enVAWCeajjoodkXFoqO5c3e
RahChIxJJUnmtpbXzVm0sF2rf4PrPQxD+2VI+TBa3t4fystaNft+ULEq3ch0tW/DA2iWvgPjqXag
6NktkMdemdFYd6Sj+2O78QMMmvU7c+F/pJzYuAEdHWBx/zwN6/REG4J2RzGeTpzQhBCr5ukOGXED
sqvKPDZ7b7xyOZ/2uDtIoLmlvkvCqtf01pzVt7S+2+NE8mDqztC8T2UXwEfa0CG2OdOQjaCzqxpb
8TRMJ9cb35VVkji3ea0QbnrS7eK5Klq2UBFGajf/d2JStHNSkUFQFDsGkIdJ3FAete4Hu79ygXLD
niQhPuCwY2A+oqHPIfLyscYV2Bu+QdeaJJHa8jaMxjpXVLn2RtjpTmzIjt6oBZa5zqVBLtHLIrIJ
RWTg0oE6LS4ZUvfsm/0W87rcMV7NiQ5vzPjh4cBaT4UvHzz8YtHPVSLl+FGDla19R0TDtt5XPy/i
ZRi0U1tRM1gPe7BwK6oBUKKxy7HsgwqDrfAUsdFlvJZ2CsXHoXNLikQeOJ3N44GsH1HnVYWWrJ9H
Lz+0uUvxLckpqwe+1MehTBhb7fCml1eWA4OgHfSpfHXL8rfSu52Q+gLpiMNrF8H9NJCMbQgL2LZR
HaxhjbKa6RvlIylHRyaDL6bQdbYfc2BSMixkr7me/7x6PNei/J6q9j89m70HQtnfKIx+aM/Lh+rH
dcdanq8Uh5J8YOzkw6vLfr4SOXtfzHX9OVQOJEZZNsRH2WvjaNygI9AuxtrFoBwsSttJvdtk/x8x
6YCMBy29b0bPfK/duTw6g8l3hR21NDU263O/KIZ09ktYMWth7McOE+pEBmkCMAvSiQ1mkD5gv5O+
t4WJDSrBS19Ntlo/37pudxDz+jHH2CB5vYxaWMrAmaOSqMGz2/CucyWCJs2pQG6z53fnwkWJ8vlL
RcrI/WeETHvfznyjLJXnUTUYv2LaxmdbLvNxrlO4L5UWIhlSIV7KxiFRNQ7j8CJKfTVDn8aW77Eu
QZTZ3TTFw+ZmxAh5FXBXDsijdqhsKwngP0GNFYkybR3b/Zb36X1fBtm/oGhWJ167vtrlm25ywtLU
3oK2/Gxic66qyb0Emp73v2QKSekY0yISP8brLNvsJS0s/S7I8BFCb6tXxHPZOgvbzT2JvQfstcNx
HJ8LRtj7PNfJTiCKeld32oqY17C2nzPTYw5sZ7p2MasPc2OQD64KPFa3rhKXeO+1mpDUQ/Skv9Eb
/y260XEIuLfuX49bucomtJN1Q/nZ2py8I/tU95Poq0SUPF25YOxwy3G4lsqY947dALbaWUoKpH7j
5T6EPiGjf8joTthzy9r1VAs0kY3D9SM10R+Gm7kMBO3eWn8YK1pxmwDcdj2jnw2hbtrzg0dl8J5S
cbVLSfZFLoT+/eikGOBajGlrXdwhKC7IG+tTABzzwl8MHhEvLxltJumh6L43LrxkQumJJhwyPebZ
bFyYWcp9KdthD5iofc98AhwT5fKUFfmwT3PDSgImpY+BR/80go8eBWDIUym40NmuNqgDvfvVhc3C
5bVuDRE13Qhki2v6m80s74qtri+Jj44O/6H1/zkIBxdMi/pVG+0U9EPbzCe6Uvy4tqRNNtIy9qnu
cFRa2Wh8zdDfu35c2GtW+ea/1Nic2HJcgM/Z9nZEgd6ym7zJWiXjVbNmktZYKrCYpMWgBg+qDo6b
Jk5yommv0MzE6LyLqbvcvBnSi3nnZuWdtzEt2VlFj2Ypq2tV3OpCjLxjpnEm+BJPAexDt9VmM/D4
zUEypcB45GZ1BtzyyIoP9Efp8cV3PPLJ8OhhQ4F0aPriBZBBo95P0yOL5X1RkN/2XzfLfxukN3A3
eqNoSXUHse/hrtXp8Li4tR8LVijwxp5IwC/c/SvevhBg2ZXoz3ipl56fpoGnNbfmobEo+TP0oznQ
v4WiAyPgaY+r3t23c/2O7AfTmeELQ5mIULBgYtXllYz9VXcAYUz3UNoULXik8hul3XK9a//opu4Q
k0ViVYi5fctu+Tfk4pyjylkWN09foYIXK0pWb3tlLN36qntSxopzMzLN/N6c+68qA7qh8OV9Alh5
oY9nDeXYO5HWlx95tv5Oqby2i1Gc0na5bTRnJyX+Ws772bRDz579v76cXnMkjrAz1BSXc7Mh+dbP
ZuUvzF5ld4Xvmshszi+1PdaRrnPTnyTgerUxkbLc5aWcsyDsF9B3acwiqoftlzwWZJxF9ACxK48r
z2gSr9myyEFViUu3vG6T/YnHx9ix4mtMaoe2u+xwhSiKoUrmrjPnPLH6amXiQCkvt9zma+HNR+FL
n9+BsvIUk13XtUTWIsZfi29fLld5/aGy23o/TdPLdmNybQbHkMtzymtBzZFB+DvOfffVNvJLwKLO
kLBad0ptbpluh2TfdNULASbtwbbqxyFdHVpLQPSDFqRuTqvE2jZY2rQ8b4TMo82oyA/NMS3hia7M
HSFalEfxUhD2D2Xn/Scqk+b7Kf/sR4Y5TNqTRnQ19v1uu0tbzoRUVxjrxXlKZyMMBvu91Hw3Ide8
PFhe95e603QE1bsL7IWInKVeACQcBEfHx3vK8hrfiip6y7o1rUrjUkr5GCw0m3jt+CMdjw0ZdIPA
by5HjUBO5BXuLm0ybUea460pqK3jhAzCXHkOUtBcnUxr+7Qd+W0gnZ7Yd5fDg2Hvg6XfDwKYqKRZ
Q1/ex9J+E5nGIsTcXS7V7PCPIL7EzrRtjwX1FtdaJw1JAvG0rcVr1sAYS3qc0P4owu5YKHOiLvNK
0eWIp5qrC7l/Wjj4Kfjp+Dx7ruHeQazl+6CrWKAcZWI9cAq+eHO1m0BYhCC2aRJaJDO5p3n2NGb5
W0pcjYqVVxkIe48la54AaQs4u+7mUcqTv1VN7E69CGf4ktVf/rm5iwlRWJ/eWj1MpfEFaxC37hQc
IMdOUlveNTN7hVjEN514/gKLF4aClN5Xq/+6eNs1D3jefe+58bsf3c0+U8R5Bq+V22ypLVFfWHMs
c5vMpiu2Xe1yM5+zkRhO77/zL2sPvSa+hAg4Y/Onljsrys340krjaLbGhYana+cNjyiTd43bP6Ee
Hnkcf3wTy9rhGxAKf/yYg3y/9T31A00DYzZfF6d7aXIt8rT0HQfsUDJ1oScABdTtS2puPFNpWTww
8du8foMitkWPUeQ4/9ElVBACaxHJpilPuiKr4nEhlIQJ18RDW/BwqQJHwy325iD6yPKV+yjtPjvb
emFHDn2hQWXi9wWM9Fsl2ogKKkov8CBCa5oD/ClvfFqptQrNzXgUjmHsF4OU0cg/FjVTQQbNax/c
0ieHqRRPebVesxE8se0e5EwIWkjSUrL0rxu7Mo3BOJtGnriG9s+ctjpaaTOwFg6IFXoDJm1Ouqkk
V0KSOsjvdLMfIx1xAqOGywdn2Webrc8+7yjWKNnEa4KGuFDv/vSm92IX9o4+IeIxo8P439NmpOrp
NjUbn8vs/+N03FWa8dcp48OHMgztpn9sCy/SW/VQ2xNQXW5GAAWvbAG6FJJLOho2+1AeM7z4vZNv
t/0HBo6O7fYJp/m6D26niTXVv6PeTe9zRjp6bfDpVrbLxake8K6BUsh1SlOy9N0W7JtK2y2IjG3z
I4AU966dzOpudjs+T9v5Xlr/HkTz3dVZ76x7gLxocW9VYEVpav3XL5Cx3FSF5jGOs8K+9FUWkYC4
MCVhlOWEzQU2Kj8LKZLtuE2Gh/FRPNUrJRxMiouzXvyarTKYG9nUxm2P3CM48eRyrKTzjNVvYKSZ
ejJgYCVjBdui6vZBGoQdQb3v/SW4VnXwwas0Dc3Z/Wc55SsGoQUupL3Vcr0bN1ER2eispAqgO0x8
Mc3nISrHU5bmSTur41gvJ1OVp6DR8HsA9kb/dagtD5F+uuv4zvIz6XnS+MN9awc8hHmyVVmi+dOH
rOkxbJYPOxfvTLbF0be4FgVIUwSAEUr1diVNSNMMCG1Xc+lgC3fhkdnolX1vjNaVtwnBP9IHyZzn
v5Jcf5w7yxIj8LyyH+K/oOSQ3vRujbxh7pLtlkW0yvS9yeqP2hjeANDOdAY9ubS47aVN3nKEXshN
pF5FR3cE7U3/9Mga2G66pZq8PrGd7TA2wVcrrHMdWPcjLUrcap9VqWAuFU9ttwIQTGcuHGgojK5X
NchvSOXi3MGqhbhW7kGj8iq2FQ1zM+nLzMhwb/CNJI/DOFt8W+tn7vyf2uRcKs8hAWq1Mao46igq
5j13Qf1eb0lxGrXmEtDkFcH5TadK72BsUFaQ9CSe7wqhLQ+6xtg66/hKpTafncaIV6/9KGy7O7tE
d7llDaiKVNL+4CVg1hY6GJTjEkxuIn8TMqrSbX5SpMfYZDAWz9wLqmjgPrGbfMD9ofKmve/JswnL
yz6c/tljnNsDH0DptQRwggk5taxQl1WPzDhqZr/fBD1jvdMeU929H6ltQTHLu6jtyt98lgO9c/Ue
FXA6Gkb3UKLlxYMtXyjVIxwpileoxIVgV2A9c3I7J7vQX9pOvKbzcIEVeaZH5+wOwK6GaL3b+ctk
o8MfzDavu1YvAOFQzjVqeaLSct+5AEBYC1+dXAsYxdqWkiu5NibNujxvekkbAEGKbkjJbASPzKJf
OAl7Z8yeSDIkZmd/KQgesQS7tfEeDJsb/Srr/TwVJ7CtCLXmTZKBaxUFZ8E6PUDAzYw+1R7xLCHn
tGdn0IMyg3e7kB/D4n2z3Sex5pSoLzUMilPWDF7GYXls2y6ZapbtVR0AX6fiPEhf/MJ588REkrR2
+oPoqWvLq+Amb9rDUXj+HhqI0Ur5S1LJfKZSup5DyVUsHdIHY3Iv8Ih7XbrurivKHg/F23eNEQqH
7Otk+Qt6PnSQTk2VmLTXyV/Pa1M+mZvzuZb1f0ieYFuLfvSBWCMFH1vo8m+2nPcFIyTkJP1vNsAN
WdqU6ERUyCUAPOCFh8awfbRjfshdfWfm+osqqYHRFf2FNslVltJ92gHRpAqzG/HzzNHE0Zj7J/aT
NzR/UCZgziCA/ozGIOg5Y8aNMViTnJKjyq6umIpXWDzsAJtKsMWlbKn5HkbIMHfga0Dl5xvt//HK
sTmvt61l3qUR2ZXR0gwbP3hFB/9OZ3eFpiqfA9C2paITB6jv9ih3Yar0f+nM6qFhs2RcAG/N9G2S
iyq5FBgWrTKU5VFSHvbW8u0qtQMpvNHXa31YxoB+kU78ZQzaolsfCsp5WFyYGbHfgsjW1bmzFyoD
ZnL4NhvforVafxdJ+xTk7m5B4b0JQRcwoY3rWMu3m/k6yulAo+it/qeWKvgAm+lOfenQq1iVRNbz
xSPOPj4OU0/xjt7AQY31A/dRcmtID8HQvsE+IHPNzYOGqtVp3m2ho5+j9HuPVVF9WEi5SxcAicvp
spInzWsKImQ7f7HRky3q7ZmcLXHF6bkqexmbBbKeOXiHtdJ6bgrFhuZXfNn+/JP5HPhLW/M/0r+n
0WBkZ14tGdJJ1Ol0qFwV+rKlL6Cj3hMvhn3GbMmabIJt4zGzZUV1F+nbrXKTfjbP5TbqcdtMJ3/4
5A5ELKpPCD1ENcBxWv0YbMOk9mS64xcM86k/C0oD7Vx/cHFT3ZpH13gvuKoWzkaJUHYNVkV1By9/
6YZm/VNs3bVqtkM72zuPja8wOAc5M3UFsSCYUEzreWvro99q9NSau22ih82Bmi77T0/DI+L93uTb
qSmqh5ztHx7SrSr9ndtRJIqJ4uaYHpnPd4NxS25/rNPeN/WaIKte5tv1CDIgfdq2+uQs1ru/dnv7
hssyFzhajBvT4uZ7ydTye29BEKlaSwwrf/TaT7ALxN85pNsyXMd/QvCXaVHrffHpCW5fWEtvY5Z+
mahdeUH+Zd35tHb23UvGRtTcU2+T2ghtwtlOb17W7U0GyJpMWwVLt5jFIXDuUlIULZXqtvznj2S1
LPsYyJseinVmjkNir69pOh347J40P3guPe93abd9WW8fIgfVy0RKyQ7lPnXxAuPBS5kNqfbAz9zs
hfuRSeukW97F1i69wUNjngUlR5weEVWqiWaO575aWPukx+NGNWz2l47UWSDvWVTi1bdtq+t726wa
CRCmVpffsRDRSELQRJIohu6i1eqz9LID7UV4FQvG6xZxQd+tqzw7gu7Iot33SIp++d2OznW03TMV
qXmBPUnVGKDZLWK71603Sw2hpXh6UQHHfKD7QHx2efWYORQ6boocYLkzYf15X0X6hDlk/QFB4E4R
06KkQHzJ9FOteVJVLFjM/8fReSy3jURR9ItQ1cjAljmKVA4blGhJyKEbqYGvn8PZjj22RQLdL9x7
rj6i08BxGrylubdK/RDdozq7ZkFv2bEX2dhBvmNuOid4aCYmFojqM9SBI3s+JtHoOfbKIWkGt7OP
4nb0dhFLDVIFWL6m274ZgJV1WzcxL9Xobxz3UpkSdB8a+C+h3jP41a7xE07Z8q48IPp3wVgGAgOa
gPwtMWgLzEtaJShq7LUN8tf1+ISBvXlaYshjqsALN903vdlf3nyW1Yca9Pts/IV3+zont7q7mfOA
cppaN0QdEPPiyWU3YmPK3lP3T8b/yqHdNVa5BBe4Jhpr697hCQ8Dvl/WbWP0M1rxqi1uKT9pcOvL
X9/dFwVMP6ZEA86KOq7Xubnqh60lNonehcx1LGM1J+MjReQAKW/y4BQNP+w6jvXgUvHaq/tK0We/
a6PH6/DJ4brehjil/fIauwK9JZs93tTJcZZppw+mgwdnyF5m6ArMUxB6cpMVWzE+j9GjZMCgEP3E
33P6zwMpBJhj1yQ4dRoUbfFfzFh7VJgvcbBJ8QCvk4/NP1T6tXG/2HSudPA3xz03obt1HDrLmnav
eu+9A8+iEwablooqEOGumMaVg0QSc8TaY8KCs/F57J1t6Zj7sv2DhLKUUbqRgNv8sloFHULQIN6m
4caWiELG8CG4f6IZwrTSvyoVQsN6GMBkIL5b+uZHmtw0jafTvlTdk2kzarZe7iH1bfEVQLBLR4yf
QMK1t4aCS6sEOhz1Jb2DFAYvsgHNiBqH8Tk1+FGCXiKaFbdauQ0CEyV0JdZaoJn0Mv+nncV20urU
A9b0fM5XYMtBz5eXvLjjq9cf2y5hYNCsxKAOYeyfU5PBTYDvP3xNqNOUmR259/plQ5wz88Q36ftH
3+l3IVw3MeIxk/FVTuVdgiFj6u+7oQWnOFsneXV7my0qlzkrujeM2USHlg9dbu2hx+7ibPTY33qf
NsuLe0FNb0tDP+UMMAL9ZNvIcYJh2ntmfepj+cMR/BmXgudaia1JfXaf9TzVgThbKoMsMoJkgL2C
1OeIqPA0atGu3RbzYN+br5GajlBdGWyWxQ/TwGJbINZfem6xiiF/ZXa/61K1cwIODocTvWnGTWjO
N6TILx3zgm2s9DsKaWp7pnN8j+IQGjjxsm5v56JHp+IdPR2sA8dHZ4hm/YtFGHedWb92mf/uJ9mh
x/vAopuWfJhPvhkcJx9jzuTh+sNGW5e7rv0u7yqhwfEfyml4qTJkQ1V0Rc6MalnRXxbWGo7SGnj2
pux1tRj79Jy00UOouMgpYV8bzuOusQ6YjnaTC48QFHFuzDvRpSdtY+nEEoCCKV8rEDUrgX41W0EH
wagLQto+IrU0P2GA3eVT8ZAOlMYsSg4483N4HGgsYQ1YSMoXocdUk2E936BONauOdGAqU9qpSBeQ
eCs8Fr10/+bMTpelYbz0JmPBeroMKcMML30ZiY7tU/UluvhkRuOqsIOlOYmDVxAfkiX72ZlWlc5+
2J39lDHbQRN1Z8DJZdsL6Cog+4ziFYPfGm4tw+3yWM8Mh5hHIYJ5UXX37RUo73qHWaP87hUKLrPd
AL5dDdrFjo4NEPCOwadLdQvbe3PPHmB+xjESesURHe6+lowtO8G7iHQziTajkR3HGjejbtZdEt6q
bLwmfbuP4Eov58p7DVhBxo7CsZMCfgF647AiLoaHUuOD6viRhH0i7f2hYMyPvGGXW/YeA1689clR
ud+huTPQotu3TmT7cUivhqLiTmLcHv3GMMpFwItRdtElKCpM5eNVC/ciW8df1JW70/BPA5ehaeS+
IClDBipXvW+cXZkdJgdap539ZSGII7wrj4q5JPhprmUUFsAcD2R/LFCjbUTBOF/qb3BqiO7Dk0qN
ja8kTWRwcSJ0Ib4vHhqlGTSBwl/W5r1vAAMEecxE7ymhZtLjUAeFllUg4cPWsUo9pISMg/dTO++U
cq8M2XbdhO9IZ5skYjoV064w2DtOhOpaFsEy1XSry/4C3+Yxb4duXTSgkFL00Wz5sPGuMA1ukICj
0EnmF8bY1CH98FDUuIObOPpLigKaa04JHgnxLlJrgPIX/FRDvnE7fgjkdq9kRxF71SGe5m9mRCEH
CmBsMNtMB18Rp06Kyqzqg5+gvFMuctAP4YdVDnhD2+wP9Ayi1HLZ+MwEdTpyiyeSTRTeK5Qmj4ET
7WHObmZdvdQe/BGzQiKFkvPIgGdXOsW/KtGvNcwy3OCvHt1VZfbVfrKof3qlaUm6cy7wB6rABncp
necZFf6iNIp3VM3omGoU2QZjHjbHXfvapgbCAI1CAHEF5ZIwb70ZF0fbQbdkMUaoGzalvjNsPXM0
QZqzF/CU+FRd9RyL8aJmhrThjBjx7ghmv4YntY/jizeNJ2vmT7Qj9R37gr6tS48W/T0tZF1vnYZ+
sO7RlAcDly/WM3wO1WOsA/upidK3NIgo25nKLy0CixZGkMidSHLk1SH4Td413vy3Vga/MfTz1CHT
VBvn2JrXKPh3cYnO3hXzCovOqu6zjQlVbR7CU9AzxYqJ3kk1mwC4e8cYQk6lGnFJRPBtY/VniYCI
uWvwBAz9wJAve7I691nl2EmDiBmMz9GtHLEiRunf5LHLs3OGp+x311Mh9gkUnSownAUQuCdluN0a
ckO3wfm30+6d8obsEsqZTq6DiYNFZ8ZBJ7ncSS6phLAdlKQhC8bK5HoG70mJQSdQZNm3HxhrUUbI
o8xuBRMFkngJghG59BNwRaAGiftg2T00m7REqZbvGB/AeBv/5dnUswiw99Ws1qMzbHK25Q4wBjr4
HNd0+wYl8DWGpof76GQM8tCY4r0TA/bRYUvZFC0HnwGSoZ/SYjIp4fkQbEz/C78tN6Py3yzq17mY
VinqY+ZeQG5dd09hu8yNMsLZQwWqkbPaivUVpmAbHbD9aMUTvA2WO/QlCLuECRaLYhFDdXEMRloC
B8cLSzPnMRjTv9orj1SfPllf6cxGoezWIh3NZS2qi5hi+mTUPk2ptzURVjBD3ZbRRh1AIJfBVsq0
XxVhdh+fW++F34IgaZ0HBqQ0ZA7nmiPZ7pIDQA2aI67jg1/oznlHl/jpe8MXXfkV0+Ilnbv8aIaj
Whou0KHSyuy1DOqvqnB/sctq8ompXeqiLnEGF09qbEoGcPaD3YM0mhoZ7+4xjms/S74cvzNoVWkx
3aJ9kMJ7NgXa0NHtvqrBz3esqdtVqbVcxbPPVG7eGAltXFx8oVWqF1lunb2Ot3hi12ik4U2L+qfp
QeRx9W7mUlPf3EENk+usB84I5rXiGlSTWJpmmGyjzv9hvkGH5YF6YqTpNcfcZGSvWlYURdKtHW4q
9qzbZi4eC10sqXzOmTY1AlhgMcytXv227s9zMIwby4ih8VlVgMYGuxGSYY4iE/HILYNAf63KKj6S
yIE7j5iE9RiZPxM+2J3yoBEo6W1t8y4ZMm1JfSD5HmJK1ckflshCIk7J5IUl+Akr9B+GH9qTOYDQ
wUBBxx2orAFHYwafRBllsGgj5yHJvQiyWfjYVU66VaPNnlercR+4cg+k3byyyzAfgGn+ouWwN4MU
9p6/Fig0NI+26W8jfXNhcjHxGx9dFdtrNwjvk90Rs4Y1giY9l5OiwO/yNCNvIEPgwcgNhccGg0Hv
rfC7SLFpIYkyoCnY6yzKOZleGy0S5+CMKkTV6vVTSKthIqDpgpC61G60ywosqlgboKhJ9qndOMUW
bQ/4QMUn351m0xysX9Gwi0hLndg7v1MphTqzKWfddHbx3rqpatgOOvZNcjvWi2rqsxcv9ux2kdjm
oE5Cj+qUBiHSO56Go0kQZs+8E8A9g5GeCaGbd913wCl/d79IeKopNJuhFzgjx8zDv4CP5Yw5I0NK
4KFmMkQ5XFwDAhwXX0uvwr6bpVRVHOQUDRffDbyzEd6JkDgmFl4txBZXwIxfmvNdp2pYgyHxVkjN
XPDeqiUQDg3xQA4kHQdTlEWQYV2b+okZX+mZ4lsPTQr7tzKZ8/MROzEnhikw8bjBvGARZ1mrYQ5r
uSJIwInW8dSpu2w+yF/7NhuOZaNCEsSMEB5JZUX/WOZ227yBATKkrYDRPRW/vgBhaYbZV9micyQM
Xm3CCq5qm0/VxsNq9EJDDVPW5TNfQvecx3Mgk3hc1kOtzq09SXzaaMnP+dAbvHZJeA6RjSy9OBv2
cKoTJOti/JRh0Kx0l5YvxI84O2aG7YPVMKiRI6S8rGPN1PZlsq6N8Ufx7b273VCz8atKsR2lLwCn
IZyPKUEfyb8JQC2MjfXsYWba1VUjt45N25bZIPyYG3MESwCrQN/knSAQ4xPOh0q+8ZsAe7kIP9OT
Cf6gWzawFKFjBKj6qg6qDWgZlvkzoZ9IXY2d6my1kq70NgmmtV3exxU2ObdJP6MmLq4uSu+tTAt7
2brxvOXxMt6h/88PsW8HDxG16NbLfXrTxryWmNf3OBeHm53NBaJDp+nPhm7FBQTk+Di2RUGvkYsr
7uApZsnkwkyhdk65e23jvfKVvQqaaO52s/2/0DwkchxLPe6IrgOZBGC5WiBkssuVnNL52Q6HKmDZ
WyMd6HsHbBOSZ4QZWrBn7juxJtt+wOdQhqs2S/9ZQYcDF+wfMgZ6PviU+BFLKgnfEjfLjx5aS4tb
VDTO2ovdZF+ltn9jSRK/ZlC6UJFm2lnR1YDFmCzP2sd+KtYm57dk/ZKDG0ANFM6rMZ0lcNm2PIWz
Ve9VyPMhBSKPUcgaGIU9td+ccP0aOa0+tTE6chKSmObAsEaJ7+GWi+cS1Q+fJEpXFKgvSGDzd2VB
YlJdjjvProMtKFx28WMcG2eyhkaKO5vhR26xHbQsM3syEgsBV51cO2fmli3tfdcXX13SoY2v+YaD
pEWapUFzhKi3zSzxzp2OH1iPcoQltDCFtlYgVw9mg4fQiO9oFxeiTdGK9NQEGh+rKseVG4trjBia
tpH/nLZ7j7qty7hAukj367I3HvHpMQboK1TeHgCcDpkkC7LKwSCCn89ay7F6qiNC2HuPWZP3wgj5
XxniC16ktgfabgDWO3fJB6EKz2ic8RL4974t7S74+h+LCS9DPbVvXpB+G5p6FDNWubPC8ZvptmCQ
FJ5qL3o1zN5Z1YbHCKsBPmGiZHgVTokHBjfzunEZdEnC2XCDBMjS677facDZjc0Gb5LtSZjFljLk
KzL9P/a1EdThIMFyIkmAEAMhKTWVD0xU9MAD4DnhWNnFZn/AIuUWGulTDgIeV9UK1TL7empeE03D
os+jX2StT6EXf8VQDjsD61DH/0/IGJIfD3xMr0puEDK6S8894uZPUJXHzN+CYhcWeoPFeNujRiJD
7xJ0uELG+bUM2GayE6cgSJtdPUXF1tWYC2ThP8vZRcHByL9GxzKKgbsLZz7Ld9SBIYHABjNC2CM7
2B8syJQ5LcwS374RRP5DX4p2iWAXoBRrrINnAsISPjVPO6XI5oi6OLYDRpPa+ef27ha1RLWxI2PB
9ZOtUbqLVQu0Z9MqYfzDEyWqK9fXeAuR2a0B5YEgaYZMOIxXHW/l5WB8ZyRf8Fic6FRUrvqqotz5
C+v7GF4oqBgp8ysAzmm6QERlbaSVmLv/+5sWo+PrENfcgqIONnEcVSDl54ZNgtnuG/tuukrHrzJU
r4JorktmMVRXgOf2eejmlGsOElOyEcptrkJgdhQ4LwrC/LZF+7J3LAIjctPPf5OwxpPMbpcZZS4g
qpYx7Vw2PFhZbe1Da2rWylPJJiLng6gtxK/9XRc5Bo33HQ5lcv+q/BX7IHPTx3lx1TGiYxTVbX00
WO4+Dh3tdcKRuDDMQD4RS++jRh/MI1ZjyeXeoo7ka2WWC4lPFK/BOP+pyQDm2eb2LfISd0a/6rHb
zmb3dSZpPkBR0YtjEln2O8jz/qOo6vah92VU7DxBoJJpYDOXZA5cFOj8Y8NY+t0bkYqLCpW23bCx
ovtPN6VMhxcbVCsVL+jtoaxluK4TEW8MYpKY6CPDlMuY3a+78cuYmdrs9f7JGSwb7V9tXgkdGDZ2
3kaEl7mokQc0r9Tq2BaiVjpX+BvhpadzfwvzkUSoclTdqpwK64RSPMCLJRC1ECKw4XzlAmkm++B4
QbB3iyH9HTmlX6Kx925VnPqnwHH9fcPe8JRZzYe0oildjaHdrvywoVKX5LeQ+4PQ1iQWGxeGkse5
AZ+xbjSjV/gb1qGobB8/BCufIGU/ONeNm6zsqis1qHtFqS/L7i2scLWxV0Nu7rkU/CY17douAeqp
lJCfBXA6E2UpdT1ZIv6t91ijLAqjnuHCA/q8ZWbDdhC9EZOUzBWr0beB7ds0d7BUAN2PaZMj0OF4
Zg9AGf4LoPIrJ4JkOTLD2LTRkO4xH/xyNxi/fTh2f206NRgBrWbb+bk6jp5g7UEc6oTm00vvBUnm
fo6Qkh8ijpZTjAh459s2jaR7Pz/KJJhP3pTrNz8CAqHC5qdK4zeGnCwNorZ86hqdrgVKo+MY6pLs
lKpNK1qUIn3STe6FyyHVlC+tmr8AXMudZ5f95zgWULf7GM76ovAskI+zqrcNbIV8I6uy7w+8f/6y
RPWfg5Fn0c9GjxuuBJW4o7ApH7PSrq5DXdC08o6ZT6wGio+5RKPJSi9jbF/b+0GzZsligrKMtt+y
iDKPtuEEy0bJD9eClqZ0kzwDdIlWNb+4UT5ZTwEInzv0m27dbT97M6wv5Tgh1M7cchO3iPBRlw/7
glHy0gc7SbVPoobR63xpOok4F9OsXxlaGlzxYPSYYkcLx2zzlRNlxhnXTbNEqsHAPKl4fPg2SB9k
J1ljCp1YhGL4dar3MCUl6C5aSR5cr8ouJaLMZ9Ep8t+sJlpDuKlo79iTouPHkAXuZ7ZRXxW+/zvy
B287r6y3feKWv3nEOnEkFmuHY358J7gQclCHSqGBTPThOl7xSZ55v8kVQhKZFI9NHXUbZCREfrfh
LyxnAx+Vb+zb0EQt2WENrCTAKFCNzXWg0tmHsdmefY9XGyGIRPBcjE76E/cYvIBSACDE2FsAsoTZ
APGYjZ6GBhz28cb0sZZOQ4ABui/iZ4Q2GGdy3U4rbBvlnvH/rb2bDYa2H1fcOes+JcXUH4lznrV9
S6KxWTqsET4YXmKqq9IVOxH5V7Wdsx7r+VLb8aVne7QEPtVcCDFydn5meEuXYnwpSryNzSjXeHxI
HCprdx8Y4tJOfnWWRgnAcwYUm5r4DvJKHm1YE2srdqnrZvajMk70A6lMIdOfECNNMSHfZM6xHLzZ
eLSb/EQklXWkp9SrqTQj9JwODOYBdFzYl+MynU32LxEuvpyoMqxrHt2NmX+jsvzXOsVL5FncIn1O
115kNxWOGAzLHRAqkGBhcQ58zrE5987SKvqTEfr+JQE5uNFkJz+EQJoARVLDpFkZLB0nOdkZm1W7
jBhQ+EXIG4aSpDASe1lF/XRIppRRcgGDyrRY7JIHe0uZTa0KF2VVJgAnzXjA9Yj6G20cD0iJxN1C
UBQDC576l6zu34Rw30Yr+UbQ+1A2DXYxA2w04iZilqLoIwioXCs2sXx79mWaHaLEQud5KKdkV3mM
wAMPUrGBN4LkBPsIwMBbUXVaS4Orb9l1xpdv9n8zJxJMAGyyvtfmWxvYGNpKk+gsaDyMpf1yOEjL
8z8x0IlvIkcqRhI82n37FQex3MYe/NjFoFV2Sozwhy4u4qds598y9AZWwd2zD2JhKXrVcQMP7K/z
Wn13CGmXCTUUps3krWK0uAqzGFJX3Zdrd+iuwhuxlFEuaJwRKCzhFDYVjYY3zXLLouZXT+UPJ3NF
2qB88OLuQ3nWV5JWz4Zr/kLwOFVZ+lnARiMI72voUIZFc0xzbHTblEQEGTZUBOP8Zozu1ZZ4SCT1
IWqeoxT44PuGu8AZoc94Yfqa392bpZ/DL79D9avUXQaNPk7TSLSHg3vIkRWCBcE8U1pABnzymqa7
urE3voXB+qkRw1bI8IWwUWeRhwLpt+SJLxrMb01vfOk0QrIrrn7mo5uoEcsbEz+a14UsCwyFTs4d
mF6nNSL8UMIrttXVgUqEZN5JdhEp6QfX9BgXwOGMIJLKSw92dN0NPbSSHDreZFFwxwWbL2mjm+tt
rpNC2swfE/avjG/kP3BsL0Zb/Buqevg3JlrtXCv5DMr8AoZA//MHw8I2qzTq7nCigIuHX3+MPmd3
NFf0Yc6NwcCj4XlFzbzfH3emMT+OSRleZWoQzOoZzkuE+eDDVpIXJR2th7vJfWHmkOyxVuI4qzDZ
5H3ARD0aA9zoKoZXmwS/9zZwJUoSYgZtTacpqKqnptOM3yqsa3ENIVxXb4GfY69VXr3h2fnRo/8c
hRC3fLiebu9cw5wVeAJS5eoIdnG08qyqkxFOhD4nPAS72mfH6Bege4KCpalBFEVjZB+53376s+l8
qnS+4/NQBWqCOguTnS4VpLsEoeJvpkbUOG/SjtaMe2WRGrl/dVvdbxrALps6FJhZfFk81aZ+zBSW
OYvdGD6oblPFrLaVIgbK7RLIAh7G9d4DPYeTQ20SbJ4M00M0GBZuHkST4/RujtK6xqZEV8t7tRi8
vOArYKSOp/TUzKIj81VWW1Rd2JSUf7C95BtW7BOw1pNnVIoNTxBtsGWNfPz9Qz1157C1sZG402fn
1KAJCFiUIdzsSupwXflRevFJB2ULPNlLRmLBRhiJubIN87mFDb/B80gvamBTYAK3mzTuYe3fPd7R
+FuJqQS4Kukp4PA39PsUnYIpl1mMEBzI9D61s3roQgg0xVhyM2G/8IyELAnuFaOIA8QZ1GeFq7pd
SrPE4+VciCtOl50FU4X2MePtTal/8cgxOa9eG79nORSos1FhREDAXIEoYLrmsPtdZ3dvJiGPL1Ph
UHtlAZDzOvce7dpt16npJXs3cOsVqQNcH9p9di2qycbhevNa42y5I6SynuDfygDR0IzkOVDgwyOd
cKBj23glPAeRUjE0C+05tBFq5i6tCXy5S2C42dYOk/h1CkduKe0J3XBzX0pGc3oAKM+Kj7pgqZJy
2qki3qWBz2PSNSa2o7udz03e5zjwNq1MMMMaFAxbd2JXn2v5G3f0X6EHio44x+zJRuS4saTq1sMd
+IEL4UsSSXfojUYuPdkAeY8hYnWkK4BTnpc1SmdZ8w9KkMIf3JHRJYLRk59nGvZdfXA77iowU09B
Y34jSOEPIfESYG2LAth22qNZTTvIy5IKs3qrUqUIhUj3ohU7jb3dJYVlW8cNPgObOWddgEKJyD6I
bBeshWTfPHtY9p1MFytVdO5xrPq/0sNKCqJrk5cuBuH2ZnoGFlG38lCL+sGyF0G9KaBZsKTKsS/I
Dn2BoBXvRgf9kLCxt+L6eSzAGR5Z5L4mtSHXsRnQFxUdENuIxGxlXZ2a21p0OQnnpA4wZpoCkLfa
IDuB2BZ31sbNu99ibhGxaM9J4guZyiHhKtpbOuQcyg05Yg29k1sZ47Ib0GM4eg42eYXfL590v6pD
XldAbg8Kqdym17H1GI4E0xSIC74DQeZUzNOcoHZ0wBEY2j8GAWMiWwmxqqxBbxU515TlaDPnAXvB
bI4IDaOyeGZ1S1Nq41LHjMKQjAht88EAz30Ckcfwvwy/Wjl8xlFGNJIbf/qaHCITuqFoaT6qO3p0
asqZYc2IRJBM+aPAMkICX/+SlENEeRF7b37D/S1nfGxZQdj4cN/+wbfchha76zwtP6qwwGirYJU4
+DjRNoJj0c9FEXpbPkNkaW7zHg09tRMkW4s421U62fisMJUA7Mn8XT82zpNh28bB6rPqo60hvdnO
BcPSrRHoKn285U3vGAd6MndjD+Yb8Z/PLWD9KwROolIyo36WIZHusvR/lGP86D610F252Dndeot5
Q+/hcm+FUMa6daJ6bVDh3N1D4S5zPBsZoFWswE6xfrQzf2kJ8sPw/iZLTP9QbSyDSYrHpGuQ5mXC
lXSOCKSkgB3Ay4QeQYNt9tYh+V8mGYh3Bk/EjnREPPY+gKUsSfhyw4y8cid6FRG+Z7DAu7vUYzVD
WGCimb3WLhSkuDZB/7XRVzlZcPiG7MOGc0ueOWa0pKieR6WfrQgHQ5E8cw1WFz8u3jvLIt8jZiBU
VgcHFBqj6fGTHENIBQBziNZD03OxrQ/SR3dG1aKfIAhP5qBUgPJisBQw1fwZmcRsf5k9nKNc7kNw
8m1CoB8yH8m0myysZUzuSck/cGIm66aSclQjtmTPi8q/CN4iXz6OJEyGqHcToA1piqYb+QyTled8
zB8GEg+62j0wsTqMtXnUxBnhB9vyKsCLnDceSHwM/xL2RNOM90S5RUccpiZqlcXOgk6TlTYSEV7Q
wcTHV9T61Ul7wWFbv7RVeJxi/qG9i7oPA7ErrJ3Ik4Pd4M0AXnsEy3WdgvmlwzVsuNMuCOKbpK0n
cCq9kn9+dS1nlzADyhA0zkTRk/h7dkiE7rsuO/rmk8kBbNPGm7zMUfnS20+zObxgOdwrW/wTaf2d
tOa2jcnTdYol7fEmhUKOHrt274YbgyGwwIuOpi7H7xQkGxQZS/CSCx2jRsfpo5LmCtdsOYlTOyK+
sQP04w4S5mkhsOzb+pGV/mJs+DK74RDZ4uJWlA6Jd1RmTHQMvREigcpH4omD3byrBck+grWystWj
EVRbC+1rCAwi5Qtr3AlrJPs6zfMdPE9k2eJRX0D+XhXqt+S761G1DiR3DzNYJt+89qW1sWNmT068
BKKGjrI9UEPuXPe54pcGpKWFb9E0VRhpETNXUIvZI0UrkaDgrJJdYvwOk3Mjau1d8UgvVBHtERyj
/r1n9hT5NnS7AxKtbzZO6HJGgrUC6h/NWok+F981vrSVZUHjCusrXGg0/3fSrAC/I8dkldosyHys
eCGewRi5cfhOqA/LT331rJvX4gc157OoLOQ8j4oEm8woDipK96HpXog5OOVNcxmmZsVcaxEX7ns8
8xGGOn6aSutZRhz9yp/OYprfWjISctzTK4yhaoGPH8MgmcgEtDPK07c6g8LM1sCtNzPllBtDgsE2
bYVMlApGdOO/kYfbc90frUlk/l8JLf23UoXrjvBvxcS2HS42VgyIo2SKead7bAI7qo0RW2tsQhvh
1xBACgzXNo1NGJ/H+blh6yA1H8rMWHjyUeMwo8oquKXJ2qG3j2tw9CgJ4c1tEpx8QfWdDSn1Yrht
WrakiHtTL4O+RLI8QzsF+MLN1SosuTs0vscifpn4tdF0zlPMv9Lj8q5v+MHo15NdmdZnn+QrnbFT
0RzvNJaoeMblFHx5rrFRbbwhgoHvOVne/QBMU1aO4eyt0cQjjBPCxxJlMbhBd8dhMBTVDRfdh+cK
jn6iGX28n/1UbtPhmcCsT4WZxL0nDrkfwPx5V50Lw5cH0iyAKfxV0QfhjTY5qHfTv9nvQa/vq0Yd
027q1k1LeESCzhxG5ckZYQBkbLhrfUxMxE5WFzz16VuBoHW2h5vn1EcgICwzg9pbzw3ixUqwDEl2
jSyIj0wQVIVb4Se4LNIloUglUVL5h+4iZNUo5lm/fbaetbRCGBJSbzGNbe0xfyOo9COIwrfEyf76
zGvXI77/2bA46On5okJzj+fXIUWxEAfWpiV73ZHDD4fBsSTh0piBzUU/mYcOiiRMJqQryaZuEGqj
qDZU/f/7e5il2kUdhuqi+nCkL28YQb9D1163MW7eULXPrts+um15j+7goAIzkQXLuUet3LrsDQgk
IGhwzUB1m93blPgu6KsfzcRhKpsfygDfWR4PO0PhybfMtRqfGgEshbp1rVmmtiVWvjHZY3NdN2UF
/sdbKYxYRZ1vCf8yuW5R26KSSbrpBYY5jBvjPPnOn87hioFZH1LgZMPsrk0RbHpJRGc8HYSP97Bv
68dylGhEqDf4Ml372Q3fDfZbsJDWXS/OSj1NvJGldjBv429Urr+UHmi+yT77/H1NZrzB3EWQrvxV
TQIe1tZTiJasdNPzzAXHQmHZtQAXHHM7F86+RQHBqr99LH2YL56c966qbmmvz9ILJDk748lw8N0E
9U0j6FpbBnaXSn7LPD91PcsmP5Bs8cIKfWC/x+2uFwkb0NRKAL4SPO8TK+ypdx15elkT7yvYm6NJ
2Oeu+d7O1VmPzXuTcaMK4zEp2rPQ+mZE5S7FKRhwNnaEpoo6vpSIqqYiv5r5xIVT4cWwt/5sPeig
/Ohd7xol8mrV5HRbARme+XOGb6TOkIZn5reV1ntGthCuE54jyrGHcOiPbMhuvfabVTVUxOLl/quZ
kakSk1rn9Z6zl5lTrOy6+Ov64Oh33Sp0cT8b+DhaB2Jck3rbxGuHZaXzXfkfR2e2HCmSBdEvwowl
COA191VKKaXU8oJpK/YdgoCv75M9T2NWM92qVELE9et+HByqFadf2cwO3KiwLQwEVdtSAoay1d1y
vyHqidxGaTfOv3HeVBQyiJTCamnrU3tfS4dBPPO0uK9OIfcxH4E3dDd6hP4g0PPCQ0WJmu4lZTdb
J96OffaqcSgf0/OR21W8yB0sDrHrHQLFid475i50pbtKFFXQ2vjFT8gViyhzxAk+u3f0ZM1qxjb+
2ZrURBJZD+E0732TFwLiV4qNNBTpCwOzuQxIkMck6WkswI+ddDdVRXveVl+wazHM8BgrsqSVUTDM
jNWeBMUeWXMLf/utT8BhIry3SxmEcunjnehc58/PcHEV4VWbxbor5k1Dk63nSGxrwLVnVbIoSH8F
btpFmlITlsVDyi3ceGpU0ZOeNAS+Xs0QX3nbcaSeJJKwOmETYdazsiWPEXSg/jBK8W1iGlgKh29v
bXHKAp/mxmVv9TR2K4C2P0L4mx5AA6s+tba79uxQ0LwK8vIVIsmL6FChpvhEI8AWu4Jcdzr5xYqC
g8v1Pi1XnOi9MZZzYH+Q+bcW42xy39OHrEJ9MfPuAuGA/5La2OTawxyVvAqzYTN6AfTKut1Ttfo6
Mo8tuqb7dAaoc1b1YQXeh0zrnVvPB/yq/FIifvlaWC+V3dy0Uy+h08CX8O6xWB+uBiWOAC9zgz7B
yD+2k+kvhp69v5Mpd6Ezrmv0Q8mNhAty8gNAhF5HX3Vi/nOoAUDkX40Fq4w83zRd+Y9Y2Gtv0z0x
BW/JaJDeoLrN7Sr0HAdZj7KOLO2OWvLe8rxnpxcwN+9pGv9YufZqHvtPMuFnHRJr6IqhpP+IgiY/
euwLf+sa3qppMHJH4qFU/g1y3GebDE+jx8LJzIw/BrT3ML97AWW3FW29B+kE98o7giv+YkZ1lhqv
+XKo8zd2FRMq68zCDCxjpqOlzofvAhw4QuYi0sYjEmX1JAOaIO8u4wE1isvbyNtzLM1NK61lHpDH
9o0jVVh8IarVNFvvcioOYzcedMZ9MvmgOfcjFeGSGqqdTb48BPofaMwXPisIbAS0yj2J9K/npKcq
nd+0poMZ0kFQfgXsKlLhf3YdO5i5Ev+qSkDDFPdOyOd6AvIAyBqA/6HFN5Jg12wnsSwa/+Rj+7Cx
4qyA4e/oSWPtHX2XFteWoT8VfbpOBIadcVqP3CH8hFSWAVYm5cUDfYVNBkdCeNcoYckZRfRqxdEh
SKabX8HUpx0uif64IT6mU3QQtPzIXPx00JxsEx9XzeNRUDYw4Lgos4jJNtykVkxdQE23gm/ty9g/
FLoaN1THYJplz+jnG9/sj71jXwbOA19indFcz2pEr3U6FD91W18dO/otPOtf69KcUBvkmv1heKGn
Y21leHINt3gpfWteut500X21cfL8T8wJhfa9dUgN9zHIDbV2vflx8sDRxd3w7hltt/MBZi4gJ52M
Mf4KRHf1puYN5eZPeR4B22q6BZHpLmPCDHJwYEnIBxiJz0ZuQ5QCJLYoMK4vFIlHNC6xqUwAlBxX
7sHMBJwPgxZU5druJssif1n0JhOXerSSEXdbfP9FMvUUQ3hFZD+yDzsJM2GWi94IpyIi+UVOqrV9
yn3GK8/P3/nwoJx2lAi7dcBIG7jEeYOfUic7ij3OQ9beeixNjS4wZfTuJ/QfwOYWf03D+inc3F75
hnGiweMN1FdC3rV9EGqinxq7CAjjpzRyHwXhSOTbdTlYx1DFK2iEx5ZSwBWaOatriaVpmN8hZPUM
5ZT4SXAFeRa9UrM2rYBcR5s0xHAVmS3wSf/oR4SL/HQHVP8BZMtehIhssgOEx0ZGT9mKSPl3UMz/
GB//mik+dyWRq7TjgPRDdS5L9YrvoF+MPMAL5fnubsimDsspUg4WJ6Ewfvhq1zh4nuC+2ZX67PP8
YIQOeMYMI/Td3+e6+4Caa2MiF8giDwXQ2E1NeW0BFuEd+Gwzev8cg0sTZimJt6q72Va9LsrqC2jd
KrAvEkGu7UKERUnSBkVpYfpab1kJLMXQr7ohP7O8PWXE9bM8vTbK/hd2koQ8+Y8w29p4IEnOgGfB
sqBQjuJim8Y2TCt5dky1FtKij4WgVV3Nz26inmhK45aF5WvEX5c8sMDcGKiLsiHIR3hoDPn0Qg/A
gvK3lkEAChVuoWpzw/H15RUJAawOuCkXvyKUu4BfSF/Qo5jWV3SXxylmZe4D4cvqTcR+KrYxNwH0
CIdiBbOEkTUeCX38tB7s17zaRL6/qnmf0ZlCewl+6iYxv0rP36n7bMtbzJv9PevlnMrJ9j2+6zsd
MzvS1kIWF1gP267UC1s0u8SaOUO7XU8lYFSSX2OaLe3hO/TsC+sFbiN8GDit437Y1zHuCiIrlc+2
bgjXM3mYJJq/07DBPFQybA2rkCoqVtQPFT9hLNS5gITIDnzVurxemlk9UwX1bNWWXoy04fYOZHvg
lk7DZtgmvCqwYyEFpSZXdrhF+yoocYa6iIiGD0BierFSTAoiitgQk3K2dPZjN8NGSA2M2l8NgBkj
k6keH18AVRC/6LqY8TgCj2TbC7/GiP8ayUeBG4THc3ygdumoZokzE/8kXmYafMq1qBOKVr31nHWP
NmZWTrvXdhQcnDVdaTlMBuM6UP2Bv4cPksgoYTs6NnSZvio+3yqCnF/lD32IKybzF2mdrgNjYGvQ
judZuiAxhmcsKSucsFvlqxP9Q0yz8S7o/D8ivnrX+eUHgvGjDZcutaKfxEvui9q7sDOnEdju8T2x
zHfhpTeQgdmidnK5RB5a+Wl9KTP7lCXxSxdyiUhZ2pyFnA7IyBAqxkvtG/uhio+lQUCzHFcNlBw+
0PRDelSUz/5Ed2ye4J2x0Bp7zHqTDn5VNRJysTj24ky9mzi+ZDvkx0Llt9bmFhxGLB+JaB9cUHxm
PL7xooWPE4mTI/hgrBSRMvaNlwpFdyml4FlsX+bYOLluuSra4mwJPAVps0vdexwnaGGRs/su7Oxt
Ds23yMHAmhjtDAOP/EY12eex4QG1B5MV00wSQbO3cMMkvQROe+sSsoqiElc76cVqJPPTGuGTYE5R
Tckp7/nBesaqd57q8gNgH/4VGTxSBXAjRrKNR7Q7jKv3BmUg00awL8s5JK6YHnFXQQ6agi2Yicc2
KH4Hnjt+AM45QD/cCbLuQdXda18zq6XVOC7yoGHkIsLiU4ZUNCgyQBQ20uCHN9FgtDO/tnXwOlfN
NXZhsTfu3RXL1cfsaBKhGWnVy2ZJCa9YVinrsL50eUIUKkgOJejkNlaz7mPeQ5N1IVm2jwrvGa9V
xuPeKo4N+oqc3r8SIj/Wpvlus0sfJa4S7ltLSTTJcUzW206jmWaCd9JH98fOeh27+M/urW8WqC7i
A2x96UIFJcKPcVJDx8+nku6zqNxlPja8UYf/sgTZL4aNz1sGyT0M5NGmqi+pnYuC9pgh8MW++1fS
Zs/y6TJ1NIQJ5Q6ngJtNiBk5b+PLHLaviTFQzMkPInqEHBXoZ1/6D26C4wg2/YStMD1bZfEwShgZ
RRHuQ4ciB6C49mQUS/jpv4zPd9x2eG//mi8et5Vmrpejnj89jgEyoQ+W75914uzNtH6vzBwxfExe
cK4tyyh6sqoR8qEN5s9y3wzXu4rIWGurgKsaHN28Bbxq1U+Bbz9U92enSbgl47bGz5SwLg9aN0GM
Du/m7U06edeYnfwqmrLr3PBbjHPrcQy5vAT5k5joonDonEYAd9k/rwhl4wH9P4yWy08r4HzXme+s
zQwololwrg06p3oQIlE7sZSzokvaBy+T378X/cQLvz7qoTpGs/hqwNJBbp4XuS++JDASFpms7p1h
b4dqQ8PojiaJ9eQCWjWmx8l3nxz+XBNHDhJ/XVbZMy6gOwqSuMXkU2IRvXpWckhGveqc9C+yEZsY
PkFcxPBzYw/nUm7bz74eh80g4Av7LhYW44fMxJvPm2khZulv2mp8pkwSJ7/B6WbSR4NCIl8JK3wI
M/wMMvE9ZOWv37UPLa80lqWk7mYRRBu8puvZjl5KeFBQMyWngumdYslE77v1OW8H2nbIY+Zu+aIM
/I3Q0SnApNHZecqHEVqy02Dd6kl/KeMYcbH02euZqoeQok4yEitySacsFGuvdg5uX11DXMPLRqHD
28PJi6dr0DcVa4T2nT3aBAx3epBjgdfZTre1X5JYQZosqBth502PWO2jn4/KXNYN0q5Q+3iov60I
90Vmi0eK9lC4Q0gJHo2RYZgYq5LMSUmweiz0DvsJwyaZe8b6HyCmL+5Ec5KCbsUqqb2mVM9QWMw9
e2qhLM+BfuNd/5HZiYvCRJyybauHuIQkOBUvFQQuAFDE7g1wx8rrfoZ7lNSWxc3OqN+wzJWjgGi4
M1xW6wbz8k0WmoSOPpK4wrvbfk3A/ZaF5x8czyZ+zIdl3i8dts0J5SGNCi9/aALo6TXXj6aPCD33
7pu4zx6x5f8apffQ99nOLunVyqWFz0I/tUZyMzvxEpvlWd7LSSer/RdM2bbvyE77Jo1jsrHBDbBq
JnYQw9KmtmPkOA/brdk7YtsW8EGCcebizRNrNytV6+HOqtXTK7Xg345bPNbdrJdzauuVaQ68pR19
TGR2ilN7Sbrn2UUqRY7voCRP4b5S1i0o6vsBeAAIdC6F/1UppHNM8cskRNkxonPbMCrlxa2Co8b7
9WZ0yc4eK4xO+hWb58fcjz/9HN/aEO5UImj2ABJXDOO+45KzIHjpIg3AEe6n4Qzc7T2OGmhj4lPJ
+BQ3yQOUGyLSbJrbITqyePmi4m1V4hS2Eo5zwKdrS+AxAOR9pm54C9vtMDpqCyPiPJvTHlvXd4N2
SCGLDWJu/IsYj9iluEd6Wk9d2P75XHCqu2oVm/N70uh/LermnaYccJtIUgWagadkDrMViPlN245P
Q08BA3eXnA7VGF+oe+m99CEXA/iB+oBvYDNayGZiQvdiRLUT8yGihoiKZLwfXcBxaD7ogQaUvFqH
4bjOzWphzN4xtardeO/snot92IiXWvDOEkibXUvJG3XYc97SRcvrOmhYYw7byAfraXCL3UNkWBd9
8Akh4JSHXNsKh9wbV+EI00uPTA1Tcxx55NuejeWovF1kWv+iyqTcztsamb2ODXmYStzD1NSn1CrP
svlBF9iCddrb9176rEyw4jr8KKnH5mgc0fYNrI7LZqrG89hGqBUjbIeDQfv8T9c2GORVWdenNk7T
JRz9aTcGkJaUPoFpX1ai+MHIujJrfaOPaNoFUj/SbEBgEbNAQ0KpqKYDQ99KevUeZyz4z/LUGaQp
jD4fjkqRxIwds1n55fAmeYSYlEjEsI5HZ3B4VUFsX5V3H+wMnpflCVaY3kZLUHjc8StToQ34zHmg
ZWSXF0N8neL51cMmr2RNtt0xH+w2xIIkS7i8aBDBZD2nRAuoUqI6oNpR4B6vUqcxuM/48hBo6gxT
Fbxrq6wJuN27H+YnY7Tfq7G84QWCKxWMFzz4PbaC5JoMeI1KY1rqxtPYQg0mdawqJt1DHfzqqPBh
BHtr0uUrCur7FUGQnWlEl4BMM+2BNLdgtWhoV0qgNZbzwfatXT/21yTzlkaQc/vjOmQWLxp4kBjS
b27BrODkxgbxGPZDTVCGz7hP/u9U4CsWRe4i86aHEjA/WNwORChXKJU+eSl3A21fQwkWrBObxqFy
MCNmmRAqzQgHsO8kX0JBX22l22aGGxcO33RibcYgOqkqO2tccDwzRz2lv8CQMgbh7sH0nTOy6zv5
ynM6UPg3N71CqFTmim8VYznxhqBun8gkHMZ2PBqSFG3b6r38f6mk0HlkD/sUjqRt5OGJgNh7Q23w
krcgyAyiKRTCvhcUKtUjTh+0qzcYsW/hxGhV8p8lWQScI8P0NQ5spnq0O4GLXkZricsjA57XN0Qu
8U1sLBOBQo5PVA/uZUzaR5cWxovh17XoUotz7S2DfiDyFKt4y5vjbPGAB3V5LKmPT2oAs37BeeOU
HYlv1X3PbvN7fzCsAf6BSDOAd0Z+5c7LVrCrHlgasM4Vdv9IwR7M9GbMD2kBT8uFrnaEe5RuUjMk
cB50mFFN49BqlxqtwH3BaQGOsnYwjOnqOFFKyoHRQEoeqV2VwJoUmU39plLCLf6Ibzfl7YsptEbN
l726+nYGzj/EbfhsRobHR53zMmeh8eJbHNQkugFKOOCBCeC85dXd4NJSj4O0zI+wmBIMpLofqpfG
7sQ2mrCjpq2GxRMSzQNwvcAEBleCFCbB22wnHDYNtucdGktgjOC9xBOPUaZjVm8qr12WPQu7yoS8
QV3ts93BMzKrZmu2Vrb2UcAZH8j3R1xLJv5/WtB3GuYn3LiftREdnTA5CNO+dWa2Uj5tmFTQFHZ4
mWy1jEW5yIxw59+/uq0cT7zC9iKvXv1UVMsacgKOrqNRAJDAwRzU5g/a83OI7bSMxC4PKQ+C4Jou
As//nbDXBMTBVukcfxD1g4ZjfTca3EU6EaEVajgJo0EJjglvt2SQ+N97FBK4xpzSCsDgYUbyU/mA
RLTN7CXq/qnOXFSGiN6s8ui40ZrWPFbjlmBXTm9foqyBfYb/pUr3CFP75CY5fhoLUy5878dQMcUa
3pnwz8Gw+i82HIsS79YiURwMopmeKNjjk2/bl06RBKAjeE+K9RlTD/3nQF6G3HhSzYBRrmdlFzP7
1HHdkPwrmVzjj9K2fzXs/0Vqx39mG/5Ns3sEnbbO8va1yQHBVl3H3KTGnVkFdD4pbHU1JJlR+V94
i25ug4w9zasCe/SCzmQgKRQJdfKAURTvIE+J00/H8A6xSHtaEyR7FiAdNmlfyE5iVB9DXUHIxLxE
SGzbDJpyCZp5wS1u4twAYsFFYi0K796VaQBGSC+GwAfqzc287LiIQo0rz0hCE2tHH8NGQwB2GpIn
x022IYZcjqHnrssf8zblKzS/6EHjxyzxXUlF6dAXbTuYqbzHGrzkUKARQ6cnGMyoZOd7v1RHA3P0
AlDLRxD3/wqfDrmedWOr3riY8faxXlO3PkmC1HSup4vGzT+Njt10Ljs4ecVGKwYBv9OnLig/7AZb
G3kVkCv1NnO56Xs16NvBV68BRlJMXuOVX+yTnfdI2Yl1btK+36KcnakQ/mc2+r0wk39pVByAJx6j
SAtEUncvqE5dtHHzbHQQSeoB9F3ICbu1W/lpiuzW0axI3N0/da375yJR8JmaUINNXqVRshNFfotN
C38oSog39sfYZrY2+QrOsjzyjF3dyIPBxMTV2dUuGDNvQZVbtfCxdI68r30n/JY1raaJSI2lZG9E
IcSRJNFbbYt/zLoaGxPyECvEpRV6e8cDeE46Yo9xw/hL4lHQnNHQrDSTTgD+9t579rchwivfwvep
4lFxVPVOv/QS5Cn+YMf/Kutyx4PwbtXkbiTwBEoibTbtKeUHVOwu5BibazgQ8EXb/pdVwXwl+rKl
yi9ZRymuHd7Q+VIbcbeTU/tWNwPjHgbkqUdJCzIstTb4Wn499RHt5cRss9X8U5bewN+wLdU/IyCQ
YIdcHDlQz75FDDy6K9jCcFZdj7mS6C8H84CXIHZqY+0F8dtkGn8eMVV85DCFzDbfp4aFsqCLD488
K6+++zffINrt4J3Vo5U/YaCYICTxdk5swznLiht33I4b/lHzWnG7ZB3GL8yTxsJN4juNX2LcZSW2
DGFgItsKe9UyofOaNNJVqu2KTU57aW22lVp6B5O6rbWVU6IgGp+oJXHpQAIe88Rh9MtDa8/tvukw
Ok9G5mytRu1LHbZHgsOPePIoyeCdiBPH/1fm5Y/q7/0XXLRUwDEUpagdBUY52Uz/pBPezFCxMxyM
/myE9b4r6PS0S0B28ZYQ0BPjZbgfcy4kkOCnpyhhPCbDbzN7uw6rh2akqTzrNto3PyKN+jrTx53T
dHoitrXvyFMgn7BMtCcMeAENLfyrMp4i8GdTi7pHO5WLsl/ZPJZzuYFq+9Xh8HoNvYQWHIFTJBFw
FAlLjbJ4NJIWV2aFNqcqqixsfYzArOS5/SMdfmYHFA7s5FeEt5vX8yABig0WlNY8DS4CX2bh7O6D
c+GMj7k9MTeOR8rmHwxl7WfHffHZqiPBRzGlcrxV29n/RnlvFz2FVkuW4A338m5TKPhF3jD9a2X6
prnSYFxz3hoT7qEC+8x9gMww9AYaiLODaZBC7IL8Rk85GzBdzuQLElqe2sR/EkHAZ+a+qFI/u1H4
Qh3xOzLUsRfBvG+LBpqX2hZlfal1YO2R5UxAfBgPuyEqCKik4caeK3sFNMVeS9W/yzm8ckkVS9Mn
9Y6JPt4CnDj7khIPo8pwKCZM1TUblCWRKswlM6IhVPePLvRee528+TG3oXHony06nskr9+cqAjqF
iwZ4wAQLNe0mkKbYfB1md4p5oQOGeIT4YLeO7D4ir/1MdPovd6af1nLOFVYQFaqjzPPmZLXJrxNn
WzckNWD5xlWomDlrejGyaVgZZvCqDFoQYBpzIpIHxhThnOI+2BuyPlRWidDlebeSYsIoAQboZ3wB
2DeWdfLe+TxKjVN/+k3/pGCahxjU29xaDkbM9mtUWPQN9n5Oxwdi/YCC2eStkUHU9esdgXIcUbzs
9zXtdJzIeMFaZ8LBXAZIKECZgv4cpgqxowJoym6bFY25Jzb73etALqasIsc/sKuuJg/RAgmDmwLj
/9xJLDMKsvIY3GYGwTKA/wjsDHRRcudDFBYkdGv4ZQEAGT5rX4s8+ZLC2LVkTHCreieIObQ9mQdc
SHxmo4Xdo/PPkba3BSzWnl8FLhkYvJE772PIr03bcbwMF3uWl/xO5SiS+VP382GMef/V3iXmFu7H
U7tij/atw+p7Uu0jEfKXINPLYTRO7Vg/d728ZXm8qYvpYvAOKOvwPe+Lh6aDQdOJFdHvAOgoeCcI
hfldKc+k99wH08EbPJrGPMy8cJssDHfhxN2yHZudFevHXur3rBMfCZKxKkH+VKn9JQv7rIti5dDe
GGXNLcEUEEX2ZSSRhYzzxNLzkZA807B55Hr/xFN3znCeRsF88rPhefT0pR3c3wS3Q5BWx9RkHg0o
28vM7kkIF+pleBkNLBR8Z9FOc5MgA0wwV38RQYG2UJBViab3pMt36H70wvZET4Glq5gKG03iQ+f+
dkRWP41t8Z5m+Y9lp+c4GiimKQiyAvTBJHIJcWkR9UayrgCzEyZ9yCxI40wC/bJyrY3vVfs8TJ6w
9QYbsnCECufkMW4DrtPmv76Q20EW5zSdD65j732ALmsRwhMiNxivTTmla5BGZ6hrKz0SZJpiDxcK
ZJ2ln5CZBvw+nCKfcwOzkLhKas4vRa2rU1Fmyf7eo2Ca1dV2zeDRF+WhSIbtzA5oCzQFgxIo9MVY
tb9lN3yNBpYCSkmvVVWBDUu7AEefoVeu3/hrq+qfcOVBaza952Aa2n3UyEceEjJs/vc9OELVOrUz
08UcolvuUVVRivfMSs/EUh9xvpO2bt9ApazpnLt0Ut1swS7Cnq+Rruq7yHZHnoE+sRKbL7U2ibMS
N5DCO3LW+/vS4XSh5DA52KFx9kvY1SYnCeFTZsxyWtc4egyKAXdNUxfrEE7xws28E33sV5A5MBWs
D+M+WjRl9TmibCPsLCn7PTRagmW641GIjZBpg/rTwbaTXvg2Z36Kcofd3he3MA7w+XJVuAtHHEFH
AkjXuQdPpQbGEocRzkzgjRcTcE/7uQjdYR3dQRmsUvai4xmrqIF7YMwptnHaPXILinZpFHDJJz4d
S+eWsT1jQAGi0KJpDxQ3blTj/olivHE6/cSReW5yiF51kaO0z9Wnw1psod3uAVNVT0QclloU8eyM
0GsaKeXaa6wtjNYc1RHKSSyeo8Ry0YKSrwAx0apqvQW8369nawC1YFTMeAZ1iz3fVbeoxDOpdbyB
aRhsXROLT4I7ZiZUdsdXBwtnJtU8UAaJ0UWd+tn+RpNb+5X5G/DHB1Ozt3fT6pGl+XOdjHugCW+j
SPed3/+OInvN0v4UNt5e4aid1fCVTtiN/KqEXowTdBlR7L6uqWkk/Ls3nG6neEUTCMLzXiThEdfn
zTKa92FgEwQqJSFiQApD4PRYIBQ91arfNsohEenraEX5XgH5J7lYEV9l0TiYlzGHg9XYOyOWv7yR
z9L2eo5WhPEgYt9v1NWPQalfZWI0btkNYEtwGIRHrG3K9HF70HyzbUpvRcPBSXcEyjILHz6ZDV7X
EiXLeeB4vsqRHAtyGuLsYP4w+GO4gNG/CqTC+MVJZpC1X2ay+Zd0zKyQmjzOLmzEROxc7MKIN/cB
PbGqs+OlsCHHVACuUN9RUz76cN3GPH+mahC45OSAMGhB/DY2COepW8FUWBrpuEfPuU6J+WsLZz9w
lIB1/4Tss3MG4zErxg0VlWeE2L1FxNTztLGcVPU9hj5JBNcGYw0iKJpBiHVtdxZWfE6m/Dm+1zy4
0jjdHe4ReCV/pkfHno8OjxEj7W4k+2Hq4FEkbP+q9Oxgn2pw4+loWsuKF4kdx5844/auXzx4qh1p
v1K3phBXanOwHLFQQAPjo3oeGJvbOTuFZXc3Yg93/1T1ilQFZjNvLtxqL4kRgrkh+jbRTWNDf6Vf
BWBtau9ntD4hzaeM6UmFgbdK6BMII/+JEsBqFxbyFuUTfwEqMooQAH+xKuaXFJEeVwCBHq7hmdob
2Kngw5M7weawHseIy6cge5Sa2MNKlxpyQd21hXjIPUFiVk/wJhXM1MnQr7VJr0+YPXhNf+vC8i0F
wFya5kOXBkT16rOZmOC+nMuYVUDMkIFkNn7nXvaGvvaYFsGT1gDb0I40eVO4kfxrz8prOnrMzOmc
iJmD8j6zBsEB0ObaZocPz0OvM8c5JFVNarfUOwZ+doa1+0Vi9hmSO37bmok7Bbirqg/b4TuYDvzC
S+RBz20wsnHIjPiKqGbt2NmX482K+9emmTfOlL7bs9iZZrlh3Nopkju1W1M3JvVKWIJzGXprChQ1
CpgiWtC1U+6dJzDUKtfmgko4btFqYOFksOuYovilUfULlIhFqnmjVey9obJzHYXKq2nCwT12Sno2
TVY/UOvOxWrJ0v7d1TUWApzeId/yGFB0EBLmG6d4BPNJ8kn39DjFFIaBWa+3rksJAagiNzA5+Mtt
bgO6DzlWJzGsU2/+G/LspREQWLk5vI7JtCYs+8cuCgeyyS4yd76h43QYH+Ifw8//tQUFfpHWLKaE
iSlUpszY/d1zROLObhFfOi/k8jp8zmnwRGEINQYmTKHEa/aUB7x4jkmdqX1fSWJSsC8TLLoQJAw0
3unoRdVPJ2fezI0xbhoWU47hvuk5meFuelvZNtQxMA4+sGR4lDHRHNCYxp4eHyhZ8JrIViJkaovr
QdS3z7IPQdpGAHwnqyHA239gV7vUPbZMD5/LIqzMb6/FaxW64q82Agrq8/BXF3WwTjq2xBatc9sQ
NRsLf82vRb7WwPaY6fz9kM4f04zhUdW7buw2Frjg1m1RzOtjIvK3rM6f8T3dTGCCqMwrR+f9LlMm
4HzeqyZV9RJURZYk7ipV8U4a3q8/AnqwfLXt7h4UPWRvLV4Zvp44dbOAwE5mMRC35goj1iUgT0FD
6IpT4iBrRfJfHzO8Bn2pV0E8oo0AIAG8huZxsOf7Hac5TRMGLCC120zGx7yX76ju6P18l1dGa/2l
pvqDNhkuLQfi2+zZB7xZ7Ahk8DffmyoG5T7ImqtS7gNgj4TOFioZqEhCgNygHWNWEGa+juboO7Ty
H/uec3Aj9ysl/YKz35lXnkXWSWjvnNrGTmXeBwtXXlI+F8hp1+E4VuyayWIMZwMs0zobWVaWzf1s
fa8QAk720LzGefqhBanEJr94WYdY0pl0ZCPSH7grb90oe3FJ8FVj/VEULg7R7jqp4uiwcJjK4TUa
4rvmcAySeJcG6SaYxIZTeh2Z1TnsLlxnuHlSYAMVdGl5ZHPcfIYMl9hXnYpDC6/XkTQhkIMlHBfQ
IEVpEJyWBZ8QjzQZkGygCNbztqEWZ/6AIFa4N0D+ejlCgJqY9Kh0LjbsdtOFkOCfzNG70oa0lUZ4
SwPzq5mx+44sykYX4dYvEH+UxfiswlecA68sfi7taCx0rd4Ya+nZyeZ2aed2sg7ub5vBe/Ps7tJr
Oo+LpCRf1O6dQZYkYIxDdJfOeoNMg2Bl68ja3iHPD2tR4Ym3ci5S9C5z7BsgDedY73Qi8dl21JkG
gbkCRvTpFoq5s4mey5QPsPInvFz5NoP+jrkav317qWL1as32szLdC40ZwyIsZwoqZlx6YNOWJiF/
kgmwmU3nC8AerWgThkQn7u0zZLh/VWij/emsOCOg3poQKDXkWARfJGPGYaw7Mp0vYd9wMUuTnaPK
z2AGGBhPMSyoKBuXpqdt7ko0uYGePHcz7Kv/ODqP5chxLYh+ESNAA5LYqrxTyZak2jCkUYveE3Rf
/w7fcmK6NaMqErgm82QfWfs4BjI7RP+Mqb2DjUTcJA+u7UGWhw/BaXSPtPjxnXxdZdz0JI5DOufc
YLaAMx2AecdhWGQ5cqCRdXaDV6oLWOjOgR9txjT1/2CRoh6fzUiS9I3afwjNTSgLcE4dTiiMvH38
ULW1Qq06GacW2VyMhdthg9i2JkUjZMX4Ocyr9A8RC1t97Czzh8uQAdFMPt+zOA9ormROtUpJSozI
IP5zIye8aGhADy0glApLotHszYnJD57QFHNN5mwygzzDoi+7c+YK4EbtklHaZVe3Ga2tQHzCaKSV
L3468GUu5GVSycyDZ8vP1kG3jVM1PfQiMb4NgMM76IMMpUIGOpXs7atMiK+nH3M3YTz8QgQzP3F2
/iNIHIuZCEmDjqLkZXLw0WMSX7LNG2ZUsjdgZXFtNpLYq8lP0S7mrFexHOMWojGwH2RgpU+NaFIu
mpIHMNXGPi0CbufAdmumE67eDKpTT3PJrDY1mp9BR+IxxSQ6nxxTwjXnaV8xfmkuXcsMY+WTlNWs
6tFT6O2yGAtSUjlHnH0kOpBlbZ0cpIZrz6C05+FU0BR809pPvfcnEWb3sn6hM8T3Yjia1WrwaAMp
xJ2m8y0jWDJJQ9n7X6iSnxDtinUKumplSXe1hORSVcPtzPBlG0r9xAWUxWZCboAcsOBjqvuHqkZw
5Jj8C8+ybbwJiwjV5olRKv/2W3mEyIGjI+mDraI8As+2mh19LgITjq/jfdl+8hnr5FhFwVtqiDus
tQ0ymjVpJt8scqjKBv/RzdR/aK2eXGRaiPPiM1Gkj7PnvvgJ3t4p2AGqOnNBi7VXMw0TZvw+5fVT
0YbvtUXWD65VE4bO3MJloMyPjfA2kYm8KmMz2hiOPBmZIA1eZGz6vKuTIbozOLoCk1Z/wHDb5/Ad
xdBcobheUxo8yDIiRfrveJtE5D+pZQykb6lLFkhWQ6RLbsuq2qH1QemNBi+3n4XkBK0z0Gj9WPQr
g0yRCzbSAg8j4d+qZF8g68C+wH7b8z9j71OI/YCpD52tYiS9igJIw8OJV0VGA5whJmO2QOUi/HfG
OsyTiYIC4AOaqdkYMiIYhAiUkyrt6XmyTHMbWOU1yZwjA/67EY3GuTNZE1iJQwxxWpnPoScJvwxG
9aF19QJhHNX7vHC4G34lHnmmLFRREHLIdGwFiRRN+Tk6xSWTcsIVVEKY1TdvNJ9MvA2Wqs3HvJie
iHe8DmTl5Ilx4hbHwm6z9Ui8ezB7d7bx67ZBZ+sU1UYF5LgZHk170h51Y93tTNwhO6Lz8jqCGFEh
jU3EdL+i6m0FwZlZhH7Xmj7metmIFfPFGQivkgwU13Sa1JTW1hrRUjYFju92BLTH3330jPxnSZiI
4yLfqtZ+dov8MzAYdGYp+RNutsyk7OipnVFrFZzdFAxYFgbzyWn7XyITMaHbzAmJpg36HesXFp5E
eYZtwJHqmQ+IWw5B1r8J1MuL1zJzFaL3FC2sYZ7H8q2qJ1BI6Ks7mk8XUGZbH9vZwUkan4Hh7kQ8
/1X9dIpnvXea+sC+5FA40Quxpn+NJmmRdL3MaddZTtgq1sWp+q9K8g0aEcwjAS1iuMtR1JIDB6l3
rpNLpfzNSJBaR8WQ9dg1Q4gBOYlHFTHP9DCbYXGjtdDkNXEs1BbsEJ34nCJJOora+u0aKn9Ed8Sy
pGY5U6CS0jK3Xs78XNPzOOs2rI1d2nl0gEP/avRIQKPwErHFfihTDtw5ingQ0xR3bAJBpJ3eEC+e
SyIuSeOmbcAztDJkQ0DsAiH1untulpJse/w/EnA8UmUCAhLwP22c7GY5EAVZNDiXswGAYrVscFIF
EFNnWD8WmzD1h782Q6IbIqrpXW2nGQ2I+kTcxRap3TJ229E7YfeUH/2Cbg1Ez7J+kLsCrDOKmunV
HMQNHe++m3HVuy65PxKjTreJICjoKSIMVWIdxgBVLpgNxRvXEwTU4Q61TmCbnxnR3z2XlAt/oCdg
llFKpoj4v1BDApTBZR+PHJxCCUho0EiNMX0zEQQwilAXeyAGjRk+v8a1K9SP0/pXKu5vZinWpnNT
lPyl/FUtiBWIKV+yBDCD7D4i0JPQyMJEL1m314GPo2DFLqJ+Jy39bdZc3pnxZAI+2cQq/M/u8TxF
DAKE85LVGUv2DkW7xlqLl6nivm0pYbz5GC2Y0sl/bjTIceFhAKlxzOTVDrHtFuGY2jAEbm52HN5Z
7ZBA2M/ePmclmqn8iWikclsm5qazwk0XQ4oEbvKZtLySKLJ/CRTAHayneuN4tK1jV33jwNiGVQez
1WRpp/x0W5XT3avSF+jl28AHCkIBYjYUr7ikXpvS6zlT2zX7m5PhTbidekyps/sYm+2OCPkTbvPH
aupfzBz+KK7EMeaOLcAB9/llaI0jsQzfFXgess3eQ5IezYbcEQZmid9dWUIDagkJzymp1lvXRZTb
AMjLQheplfhoYdpMgfOBdShfOaNz6Iz8GuUu2I0lXcjjl1nH7XifGN7BWQnMTZY7LXsezM8uuGzK
Q5i2GQyNE8NHMBES+EaG3+ABDe2HTijkGefvgsm7ZzJ6MUZGvM18o0AMjk2EGTSAowkCKik2siIV
2ja9jxjW2TY0yCCYtbwUxpLfw+eS52Z1EDFmYAn/iFDWGFNCNd0VUIcVE9MNlxuoaRUTgZQ8QbLB
XTL6L36gryZJYT7iFh4VSAyVPidh/A1hML60pUOydjel2P7Nl5EyWscKZ3XIICL5v4h42YzyoQSP
vSm/pblwrAYeY8cyXo0iJ5EnI8oPcN86Nni7hRN/J2IMiE9AEIn65StPOX6EOfaHYM5+Q8ylHNRV
vusa3p8gTyJE8LiUOuSRrJV5E2ZVHRGG3yjD2209NGuTlZdXuPvW6V8Xz9TQ2mcua0pPIiT9zt/O
mksJwSBK7bZcUkF7rLsAXlhfansNGCpeBSB/HmVJSmvq+uhofQwhgyXxUqguX9VdR7XgSaJvR9Is
WIreHDeFl9hExZrQOs0M3Becg4la5QPzNT675sFtFc6roviZYhgeoTPds6y6oELtiEIhYSIzn9Js
XPauoWSEibSu/Q1n2iXpveiehzyoU/5XGsljkVSrwA0Os8WXKlX0GbN8g9oybzMHGWjEM0W6EKRA
jFrExNMCwnNx2M88FSJ8QVb5NmnnTY0e8KHSeBuoEpsIwUYPKINFEfRnpOirYS7OPaS2lVfE01aF
DiFOgnvDYvM2TExAaXPgGIwwLdlimM10r2z7mmnm5VIQeIdKlJyJkVmICiYHjgXc/QngQh4qmIgA
NITTbEy9bJ+rGav48J1n5gdxKHvwhKcYuEoc8XMVDD2FxmAmWMulrs5NH0+kgyINCUvg+/8qT9jo
7eHzWUPhbNml92iSSRiSYVXvyC++K6QDKzGBGujIklxZUVChTQq2gSQry4S6g4HIOgiuY8a7n8pG
8r5shNXeDGIbA6Ry1zABuncDF/KLjpxXB3GhQwuI7HIMti2sa5SgqNT0OJ18aTjbgI98W0p9a0ns
QveJ7D/RRrqZCjVsNEUp7Ostccc//NyAJZ0VH/1pSTmYxbuyPUCji+LEiCY6EfJ/ZpIzVj7ptIjK
kPA4rLtgRfEUmT05gf0086HCknYc/RcJlLUpvzUKBJqnHHcRKFUMdJpR9vSEZ2sr6vTd1fLZrwEl
WPbzXKOawgzKsFlSPfbDpVP1uBeJ/xt1rNSLaPrhhXtJUIEKxlovSV5Y//Fs9hsjQYsfj91nPGev
BhKSMg6vdhucRTtzAtvGNkYNux+KPL50OUKqqEWuNi0wkyDAT8n2g6wutnorgIektVVMxtVwnoUf
sU2Z563208/WbV7iqug3Gvc4u9D6nvIRPdj4hti8pK+tWbznVnj1dbofIucPVd57Pqtb2Jjvouv3
oUW7PUa9t25j53NeHJBgKp9SRpvsiAk5FH20SVPBOzqqW+MM54RTdOtjN+QxYBsZDw5rHRgghmZ+
3WdgP8n02TZ4bzWbtB4iw9BMOXiudFOaHW9VC9ZmNr6HrPmJlSAjxWbe0jbdwfPcQyiD65g6ewuu
mG1wufr2j1DYH0C7SA/QWZ/m02qayYKa001h2zf4ADdkdRZfF9idGg5w1YlrmJUnjT2tcAxEt/lz
3Eef/gChj7++U2FxF2Fw0AzXg1EgXSI4p68FCwHGOqr9HVR87R3g0aEhP3U1AjvhgvOGm5NSnwdN
cIqKAvdZ1G9ZBdRoJSYKpEi/WxqzAS/xvVbzpnNYaLQUsLPfvjMbu7BXPndV5m0E4F10vRQthrdv
TXinADZvBW3zLmNCj4EDG9i8dyuSxyTRXWnU0/lhqmsIo0SRpCUKlWVpwMSTK+H/6+10/LHDqnhE
SG+vY0T8CMV26ODBwrGrOWB/2890Zw+dtt9bqIJN5sGzIHhStt2SJVmjQMvtbgs4p3lVNgPoJjJ3
Ued82LgFCejDbugC+qF8Da5hRwxCikaJTjdeOXb4VaigOYKbkVvNawHR+JNwFeQCXrpLUnxdRvnG
fnSvya1Hm1yHBxSnR1IIgD1EL3G6+EHAbTwMzJeQr5zYe3xhId6jSdm5boe3CH4b3dItyp3DQCzc
mizdHMqVP22DOPuNgxk6C6sQH5r9tof8u9PB9MYeBjV4mG1zAT4hLllw8k5mWLdrKviNa4h0EZS8
g4Zm2d021lbV8W0wY6JFS/QnsbrpURNclFbTNin7TdEaPwoL6kNJT6Zm+0MODT7B6sOs9dXAwK8m
Fkqdm29sbuFgBMXdGpixQvPYYfesZ+Rmbggjnfwj2plMkWfAlRleMFAQ5mfln0bcbi0ZfaOjP5Ks
sEk135WuLmE6snsYw1M3JT/azgni87cFr0VhFNs8iLiPxN+g/Luthvqhkd6NYjLcoL+QDz1G/+fU
sLk2as4pmbevFY5eiHwMrqiX+uYnn6ejSkgRc9JlinIkDHun6+6rTbyNCZ3O59k0kR6WOQPRSX7h
MSCt0h9OMwEvAgG6OdK45yWO9wIifLQtMCV0boPntrDoNfp5VcTFyS/VBXfEuOrLiKwvGTy4fns2
yxGvmXNBX473gwT4B0rDM8GcT/bgPwHiFRjWQtwWcHU23Uz5VabOJ0BVBtLQG9om/ze6zVcL8RpK
m35GDjljDHEeE7t665PqpHW2DTtxtErjtYasnPjiXNX+X674G35p4QWLf6BHMrHJOSxE8KZzenef
6GD4QrNvH6MARwPuLQ83ErSD+jVmhcYQiRWt7xC5Vbu3yCSZRio81kA1F8Gu9RR5+jdNbG/lOf2e
/JQ3S+Vgg72JaRFo5dhfwurE3HzlqmzJre2ddScIpI20+SqYFa+dKXp2deczyzWPCgNTXnGYDnHJ
FpNxGvCYFudp/aErmJm1wUohSLJn1Gq7inn4KrDE3qz9b4f540M/OF+tid4lxsZoLr4Sw4ZgYz1l
M3PUDg8lMihEYvYx4cjdYH5kS2UWRKuYbAxTS743LiaQAMmCGRr03CXSnFhiqqsBlA+DeekNYAyZ
Ug080u697KTcZEGd/BouIfL8KaSZwV737o9k97erS5IsOzxf+zismp0yrA/XDf+GIU2WeOFr6SX4
52f1xs/oubIXTkNkvo8xz3genqA+hqQw1zZC2Yq4yA4iV+ejaVeuKlaiFtPajT0YnmF/HaIMb1qz
EYN2z/MIrMLygcYCTACz5RHs01npRi6SFi/JtrE2DuNoLBGB4sINBul96qY9h9SedTzdaxY98gTh
Hm288sFiGgsPvLxFacYUfBouXhnoTTMtua0cakQD+L9OXt96RzJDSRVLhFJ/hy6jjyqoroatp+cy
BDo54sg89uzqP7Ihi/9LQdKhDJLvfo5Keaq4pJvefIzGdl+DzVrZYvTW7HiprrPgK2vJjRr1csWF
oftsMOV5cOsYgHiX42yap1MfqYPUKCz4Oo62Uf2D+QxRC+rfis/tK0DgItPykQTLextH5S63wV+i
BBV0ZdG59VKWhRHFqQloljzE1tzMRX5zlyw4J8cAg17IjG3ucsP+qiYfHEXr/UqNUh4AvP9k5yOX
tItY1AvlB9eItx1mJOBj5V0iHz13MYTfkYjh0QpI8v3g/notwHOAkA73B4k5Kraq/exTv8WNZJ/g
GsMlSyPGTlWCWGw+tLNkbF7Bq8rp6zo57HPJBC9K7rOhfw2RXLJMf4q44gCOz3PfPeILO2sf+W0m
u1cE/RDsB/dxjNO98iFhL6QZDYDWy2Di4Rt80FzJKytvrhoze4WOiAK+rDbmktYsdEkR1zfnSAbH
lJDxjjw2GnkCbazovTWynW3YV6caTn4HlbFPq3hjInpd0SOsVWHCFLNJU67KjoiiojioGemcivOH
xJPPHoJ+7iPfWvmmPKG3D14db/gi0iIFhJqzsBbMk5F3P5R0uEZEHZIBnsR4E6+ltnaGlb9Z+HbW
TdSBJ4FBBGWc9ciYk4M6W/qObtY8mkjd4RWat1n3r27HWCcvupriDY1j32KVSZv6GJjhy1gM0YNd
deNtjrpPY+gmqBP4U/waN2ZsK7EzOMuykh8ZZdADqgsSZihhbIF72BK26wmLsYYX3wslkGHH6R9B
T+e8jzx+wd47myJAqp3waqnG9nnSqCrc3HOfp6L32G2C3zpOykO2SC0VkaOEZRd0MqQXL5svs2az
SoIuFPbQDjxs3pyjlQcvLA+W8rXmGYJ3pLdhSTJKOBMrwqpxjXrpULXgRgCOf5peIzEQ2++pVKT/
RfmPGLqfyPBPLPM/HMu5OZgbV1VfQDoQ/FnbdS8e/iQGG81BlXo7l4iTmGVbuFUC4hmDjHQeO2kY
49j/XIz1pIeM17bl7VZ6HmGdhVBAe+OQByNl2xR7D2PJAH90wm1sQOUoDGzvfKOI5objHFVfAu7l
nDd/ngh+wnYRWKnnsszZdJf2vnKrN0bZ+LB9gmoALSUPhW+9I704jV3xxaQFHgaysMizLlY3noZY
HQEhn5nS5asClzeEYE42q1uenvKeZjmPPu6Eh7DNfijltwUpZKuAMrY3fIb9lcCiGAKKEwOY67Zs
ysuo2NqEDYEoXI6reRncW2Xqs6VwN27u/vBcEYRs5/KLr6W/JHMQ/dNy7o7TCHIvq9HetQHOLJn5
M6LZHpg3SNFP3iX4q1yZjKDgXLAIR/fCT7Ibtt1zEXzTRhz6JQs8qrLnnFVbnjUfhTNLRhrYqWov
eR0mxWuEuDKbnfchnVZkjtwsVOSbILFeeDVuQZ2dhyC7eD115dzZb3ihPjqb+JKYkX1UED+E/xDL
a1z/s0GAAdl+Kkvc9lq2bLbmkIEFngRS0nFht8ZjXfrYtfud0wJjE8hmND7IzeS391FXx4a9E2WP
W61dNbtH+GxIJbG4MIlBB4WRKKGCcU0GuYP34Ayh8RjPjblJXNCwTF5cpOspE73eHg65QzI6oezd
o/LtYlt7AFcC6dGeadZylo6ZozP4RxpDdgjS798xYnSDZf+5l8FHxRaAXI1TWmJejeBccBfvcM2w
uMFxDYOyWPY0wcI4MCcUx7bZvdRdGqzKhb/ZlQRd41tL1lVHmVMXyW4gJpAbPQof4WqTJ5816WFs
GJnFqjHPBqbDdZkV315UfVsQYOQU70WOSMEzpmMNV3aKNDtPOEzdCJTZb+S1dj0Uem79w9HOoCxY
JHQKvlyZpAdzbH+najrMxJdvVIQh0SjmR82qipBIIDhTmfxrRvykufEUp+yg0Z6/DdD9eA8Mi+hZ
QjzCAn3WMNcbW4SflkOKZWi7/xp2MmevyfNT4NZkacr4nluwcMLmO4p9VMYeEiFRxrzNafM0LiTi
wTzPSXdlCfRpiIzV5FIdZhaLb9Dvu8g0viRCryCHzArDtcC9hdLINh418UkcGi3N5hgwTrDnfaQx
p7ozfTn0qQ8QcQYay/IyVOTKGDL98zrrViA+4loM651N3nJpqZtq0NXEg6IvSa5iUoiDwWmYS1Pc
Nw5CAsgoRbsZ6/kio+poz7ArpQngQHB4gw9GzeohbA/u5MwwXwqnu+/V3wgDT/mQga0lYrgO3a84
Ld7U0NGdkf1JMOqpH7FTRuVjgD14FebFCKR7mRY2+mb0pCyxPGqlcbYHLDSFfg4dPzy5Qg8ksejs
TErPVXriBRYCNvCUYVY9A2DuE+OJsg6F1vJLhzwSG7b/O5syYeez5xoT8UsYY8kxiOIjlF4GH1oe
mjBkXjShx4e48YDQ79gHDp2I/YO9U7CyrZEYoq8dk+baYMnBUfIcanHs0FlSzl9zQ76NvguyNDEU
Jb/+mnT2Dd8DxIN1HNLsixZjWHkI+NZIcVgd4oWs0IbWGWWpN/+UAYL+wRwOcyvgr7DXdSPBRNNj
aRLuZTDuzcJnPCQ+kojNKtTVky786MyKeIA0BMgoD9RLq+r/R/uenEwdaN/KVQ43Cw/ceRSER0zz
DgfZzvIm5rE6+RvbFlv5QOqGZZSI7QeC+CgLQjgNeG0grBHvUhJT4dVq1Vh2fHNCP93h8xM73A9M
hhY3eGv3zS4r0cQGTF3DqNr6Zsm7jJd2PXe1Os1kV13yuvsbA+OLF+A90BptEGbrmYLiWkhwgF7b
fSBmBibT0eH3qf0f8wxKG01zwiH66If6ODgzIc3e1qJ6WwXD9C379A+pwFqHJQnv9fAgJyPeoKez
9nSVixhabHU8LVJEXDZEtdDvsTyraBpWpW8UCF8lB6XdIfnucc1UJuJSN2e1FMP/bLIXpSE2WfMz
XI6KlF/YvMJlzGVYqXsQRDpH9G6b2PLfjNlFDtqFIPQ8G+1QPD3w2R5Dt9lHICrCwPsNovKeQzjH
PUOASO1pLEHBpzUgHZZUkDVDvDWjoV1PN1Cnzrpe/AnLHiyLy3M5Y+TReMZ8EynWSAQkS+b2ZHTE
9MUNWKR8/lSu2HUGJ65eUpgKE4qodbN9c00ALpD/XPEqI+aFhUlUhR+nyYOI5DPk8hsYrV+vIAyY
a4O3Uf9l5G5sgdwwf8f72zUue6N+nQfgSXpXXnzF6lfDUpvJSEbRN266CGSPN2ixtsr4c/Qd41Da
jvkABPItRlYba/PP8PovK6v+S2NQ/cE83Rvf2NdO+Mt75e4SjUc7bMd/HqyLTd5XxYu082OY+Kuh
AqLZZiU3L4lec8EfFBM0r7kgzHwmUnNO6n5lETeFloFgQsK9Sf8y7X4ryeJC6IH1upoXUwa2xAK5
zXocJ6JLoMCRbVll5nbKMkD2Dl1XbgEg0oA5kSo171M4WA+EojLeQtrrJAkiO/lUxt3JJ6PnGPvA
DvIWVYxt+EST1S8+LOqVLGPQxgPoMMdxNtQSTGyn4TYUfPl53mL7nvAXzYCwZ8tJdqYFur61B/u7
0qA0hvZ1rIxdMxLpx7YfJaQU7O4s95FV5jWgWg6bciMUMthCoRa3IyxyNqOU6gNDyP+taL+BxFQB
KuyhoKPeN1F26VJcQQ1VM19c44ld1SD1KxxvPidwWJGydQ5AaJQrapqZfDhfY8oSEl3w3PgfrO+v
w+jHTFyN/sLnuYGG82LV8UfTW8saMrybsTj0JvA6UzJjxoG+In5tePBHlk3NEj5XJtVj6vaPraYZ
8QTsQH9ia+j4LTVfbF0SCpL1GBHC6slg51DeZWHFItu36i2F6r8o5mtvlAjW/3cn6iYmwB6Pnszq
n8yMX8cy/dejvFypdoQ1kPxkfoLeJos0OVH975RomlI3uE0FOiA81M9ZTOql0bt38m+/pPLHdQT1
cYuY6ZRL+FQDL6XN6H9j2ax4EkwoOcvG3vUPQ8j+iKiWY412Y/Qn1upEK0JzR3nXpcc2zX+i2UOU
RNCD0QzHPpn/i2f7TjnnbRy0qSuooTzsxAftqqT+cTzT28YESaxkpz9zTcclHdBWLNx3okTPbFFP
9yPaVGGkw8bHfgoZ3SKYY7xNmnY3ywrntexGds/qkzC/i5AUU7Zw39K6+tIFTiU/ZT402EOy7q0s
fWlLuFbu2NNtJayWI++5SVCLeGSqPRhpjXxndhElaVa8srvaNcEhOdBD9IqXJnQPQRfs4CJOh6xD
YVRCn6RAe6nH4c3PO+zBpBWRt/DE7OgkMIpUSXXWnLlBog4CEHAYu+gYwu4txD/TaQB2jXKe2mqC
jVTC1jTFCNBnvFUTph5teWstyCqRc/bYW8nw4Hr2s5psRosVLCrWDNNGZPLNRv/pSJhYnYag5oT6
p695/cv4CV4G2nFy6TFef6XVn1k0hynvntNJHdzUvNZgVhgJDN3G811+Y7HuC1wCs320mZHLXn2l
BvGhEYMr3TiXiDC8chpfWS8zmQOo5Mgkx17lXWeD1Qbpv7eZJpE1L59x5Z1gXl1ItUqWM25epyL6
4vVxDsVAy1ha+sYlR7jXCB2H1oaTtfCRLMyk25buLkysnXDrXVp3MEenDAhLNa2Edl8ad/S3LBVu
Jkqx9eAP4EKTcaPJ4TMqpAfwq086zt9r4Vx8B3kpJxbIXpRQ2WgfRLm0qkxiK6pzN182ui7BLwmE
SNsLLkRc4/Ug0cpEZlDL/FaFMNDwR65J/lyRlzisnQGJcml8kOh4wYcIuRuPGkmykuyCtkGnXwwn
8onkKpndvcrri9L2L4LzZGfM9jbjKVtPrvKQ36qJOTXJWcbgnJnBvMmsJR+wsl/jKkk3hJcrQPA0
vYUVUl+4JAw8zGNTwhCszOCuOZnOWL7OVbaQfqwhf+OOYtTAwb5KHLwqQdWXT6HFA2OmQKJZ+3gY
T/W84zUsfivfA81tV84l1CPIWEKD/+scs/qPNtU6FVomX53t8/xZecHdjwsmO6Z9713GvgQsk0BN
2kRj1MLBmOyCdbnXXEJsTk8UDdln7Um0+hxWOSpoy1s5Ya13jkblUYF+IXJr2drRvMA38kkkrHxO
YWPFmE6sODUxRDTipfR9jhoLTaN/qyP8J7yOSCGHz65zsEoMqPZV9d0BYWkmMJt+VF0nAoiY4fBU
Jz7sCUjXS21jdcxpOzzLyLuf4cHvfXP8C0ifS8zitdUjEj66OD5Aqxk4thFJYVrx2EJZmAVZ8xoX
I+knvu2KtYrHe4mRLl7ZDFkf+GNbFxio8sQVcQwAWdG9NCzXqBNnBI3kjhNv16H3IqG6Ker8WMWI
KUECWS80+hEBT6ajH5WZ653pCH2qeTD3PkyCjU37jlECUD5DQ/rlqKsHylF0QBtrttA3OAltRwyv
9aowO7itTttV5SEfwKjjxUeN/NLdgKM1hofZEek9gIe8y2Nn+Mzwe+1abYFwxMxxm5NFS1/7ynvN
Y9ArZuOyK5epcSq7pKXAqWXz3zynX9Gk+rsjDeBLE1vqg18LtNr9QEr6pi0mlF3S9bYhhKO3soai
gjIAWHdgeXcjxW0xeHW0txMG8Ay83FMu8uzLn932TGRqzkWCoQnQReuee4Mp5zoljuIvIr8Tq8ui
eScZcin2Auz1oaaVYjuyI/1dQ09Nme0Zoa5eSxIjIcYUA8uD2HPUjtmh9cgBfJ/mZhBQLqeG7xSX
0UvT9hQ3cemkFyae7E1iqYenujE4M/AfQIHtay/eeW20eDZF/ZhaxRQTGi4ZvYcpE6PRek8I8mGa
OqXV0QX6stHYkFHNklukLMZ13F7qmXlstOsIRIRTgETywD/zmI8lyFDAuCRLjXiFuFsYy0aiRJPG
PhFSW8xpHg4Ts7rGipq9lwlXrTUN7JNXi/A5R6m8QzaePGoMsutU+vXOmFL1OM6hsy2UZX7QGMLA
HWeFrS0to50FRfcrHNLoVrIfeLUHxJ5CFS2vG3ZAmHuNf7D0rD/LMK33XtdYbEF1vRcQ83ZUjvSN
eDEXuwnbJIghqVp1Nhd20SJMGvuEQoaxO+xWCVq7AlqRitaiWQKEXEC5ZVEZUr2OkV6bDcisrmx6
rFqoUQPdtf/5aSTeon5WK2mHzobMvPJakEyxZdYUXxrTK55t8D0MwiqF0jyP/vVh7b034JlPXJ1w
lsvklJF9vI6QrDznbt++eEaX3OMqag9Dbg7PeFP9J9F3DJ1gsL/MgwK9W+NWMUJRkbSFny218+K9
CBtmjJ0FPCdq230OafJZyUCtTYIRMHvUhH0zZTjYXIfrQbL6GibPeMT13P5XVU5FFYu5KzZt+j9Y
lAeoB+XJiSd+wDzGl95ywcf4Tb5ZkPDbAajev6blcd1EcY/FQCw5a6WS8z+KaLk324iktDYoodCV
ape3iM+DWJlvCCxAnaaWrXeN23a/qeHCM5Rjui34Xg4hg7pT6kfMUjt3gK9sJOGbN/Ffe8iTwLnn
ovchF9vTnz3ZoEIbJH4H4ZQowdCSKJTDnX3zIPgSYSXpbK2F+MY72b30GtuPgy2r79OY/oi93GrM
Df/FqZ35mjipeQQUPl/bAdujNwbD1krbjKuYaQkwRjO9db2YbyVZM0hN2uBEbCzxtrh6Hqek8LEB
VDG2rgFEr7FsRmEksEcocnc3drT9SprFk5uk/6PovJYbV5Ig+kWIgDev9KQoyrt5QcjCNkyjgW7g
6+fwbSN2785ciQSqKjNPBnvPkbDhqNkl3O9TADHpyVmV1XWDTrhugSpauPgtYt8NAbQEwrBgWRdc
/2KxQegUjC1LMPoAk7tgk4P9O2pSYGu/r5KDoBrullQyF9ZgAgvlJGmPPJQ3d1RXB1talZN7R0Ti
gfdb8Ha9LdB0Nbg9tJLQPhoAf2deHayQmWtwRUnNg4eiJhtRnfx+0UxszjMNdpuEQN6658r9IGWh
1kYF1E71frAj6QR8yLOptwPss5HEISDykDw+2FniH2Q52scQbwqKzlg/Q4YOn9MBe2DcZdNDgeto
Q6Du2U/FRLHw9NflNWa4siWKPCIkrrsw9w70erdbh7AmS3/XbO0MsgvaRQVS101vHAZmctST/Bnz
Di3Jn9yjC39nV4VhzOcRsCINWtary+eUDFDR7ANhk+SErlAeepxRL2Pdc/10A/JHE2ktLOkxoZiC
Osq3rMvbkxb8Vwhf8wUMS31IGxDMBV+zG2LX+TNdm/rf7Ju53y9J3NyZKFTfRDMjOG1ZdtZl4q2n
wCLFi4nhjWlI7H1f/y0DK5QJs3QjXGim65YmtGOoUf3AP0Zc2rqZ4A8Lmbo+WT1XjatGetET3D+U
E5Bk+PzsBe4O6zGSgr9LuqSmKjuID+AGVoUKotVsp8lnnHFkLVt2CUUETKxLonTr1OeSHOm2hfWy
UIADuZFnhpz0Vo6joawRz96Dy6iz4SNU/UTSN19dlkmcxlfOl66W6cf3sQrgNZiOihAw0dxc7DQe
jL8hcJv1WEXtyapwqJKFBkzaKaqbE48pdTKNOlIlQiEL7Nfy1W19C5S3kdaVPb58ho6HHFgNYEGS
euqPagQ5FWfx1TLhzxsVK84hahzsJ+qk1M51cWvxcIvHXSjwQJpyDndkK8Obaiyj8yji36ysvyov
tC/dyPoyuDK/w0secEpHEB9T+yXuOOlDdok3gpzMNlaAyjs/6nbJWI2naqyKR5nEd/T8XSFjQ3L0
Sj1SL9LUJ3oaHC41bnObNYF+SAcYZBpJZCsjrR+xW8AtWJZpNaRQEsGss8taQfnmpoP9JRKRPeYG
rS/s4VTz3KKFw/flR9aFnPXiJqqOne846apEU9vp1HA3Z/2EMCRSxIMR9f2xGtFWSO+mqyIMuq1K
e8x9TodyPCaOXKPfDwcECuveOB1S3STgPtsTp5kuAeZL1m0+k3KJIVFjNuPTkYW/pLEFdgdKYOoe
O8wgAvXnBSPX83zp6Ry2dhE/CbDsEXChyY56+ietyfyCziZTZ9kjId9JyB3/zuOlAKKwBq5fgpls
4RFuE37p5PN1S4Vs70Mvxoxnh/V8b5VxCzgxL2GNORw4d/SDjU9GNrTFpOByLLauZ9x4cptRofuv
UTGrRJs2D3Gh1bmjMWnfoTstmzDIEKMCml+KIMVg0RThTUfk9dAJpharJLhAn1WwHVmLSfuI4qHO
+X169YzkU7UwA+2lO2rdRUfHnqGW849Uz2Hs2ptMxhQaTUvzME2Em2LuSQ+xBgKl2feo7xAZ54OU
ByBwCm5WIQ3Rh8RerDUqPlYmEzm4aqcyAsZtO8vnhOVrZVGB8956NLTiyOEH5DN50BZeBR/KaHmw
HVqo91YdJB9GzcGuW2T0U9aL2tmj81F20bcuefg4IWzVlbTVcGY0pOiFF8tdXmiCXXFOGUFOF5wD
x+0QcKi9yavwml2n6bTUSXoTzJNzF9i1+UogRb52A8fjxNIR2dD+Q2UQBoN5vCefO9xgv1J3CZ81
bF+t2EbCVPvYz7NdP81XzFUWp9wcrfgIYap/bXp6beQ0F4+6mHCJOUFYUOpmypuSjhZ+Cn6j7nD8
UzlI81G7dp3epcOE8BiKGbmTDBN/EWngyVmUX9Dcs0fF8RstiAA3QbOUEqq6fxrQSLFBW5zUDOgy
f+NlpXnUcRCe41GO95NC/twKe8HCYTk00nGE5GdUaceGYiT8y6gL+mi1b+Fs82ZzM0WFt7bJglMj
Jq3vhM5MEAwFyjPYA8/dj9ZsXag1Z9oWXkddWabjF99IWJehRy8zbrEbhgPvrnN7Z7Mwq6wdAbbV
MHhs26HCn0c4ztomIN0p3l7yfTfKK1K35h8xnndMcG4dOI9hwmu8lOiuTH2DZz3V+b+Q1Q/P3zVu
CIXoY8m8euHGtbQ3Ghw7Hz+HkiDel/0lS4T1NHsLY1vn8vki8dFeZk16SvSd/nGMQnQmbnacxxTN
sc2Qq2eT/QpTOPVBBhkr7ZgBzli1Dnt82IfzLa4UTLZedn0DpNa/qktzjipZPK0lp+N3vHvZDyjN
OViluafppV9CWtamkrCM7DFP20NsvP2IZ9rjqijGD3Cp4pcNntSfLPXVXq7SBa8efcNPCcr/55L6
8sFY43JR2uZDlEEf3tZ5hnWvXKyTY0fxIRtpUne0cs5KJZRl4ibs34uZUmhNAJEUR+S/EPuw3xta
h+5iiT2+cMiDgNZO2S2AK3HHFfBX7ZaXu4X8Tp83U5YSt4k9fof9nDwmWcAYa1NRpYJCv3PVht1F
Wsy6zA1+uzlZ+F6rLqHyO4g0XYnKwnwxFLAzWuPCTGZmzrzY2tk5fpOKRyQZ07LLPpZr0qNgVF+b
KLN34OYME739kjOYbVRl5DYQkjLWiP0GVrjZKDf97IHVH1uc/Y+J4463S1Xlf4Bzr8xI2VKanE10
MQzldTnNpla8u45VnUZMcLfOYE+bEOnn2I0JTOs0Wb4taD8gDKBH9r4u73Wcly8RvNu1V7gSz+U1
xKBjzCgl129UkMXsTCoQoXlLPZWSFsjWn0Ma6bjPM/Og7Hijd1gip44wwAw4qyZmmxhtiBOw5Z65
EiW3sfbwP4OfecRPrXdImvpVLVVwsObe2/rWJK5kkOILL5a/j9uAKdhE4pMke/mRV8HwMnq1OfJ9
5W6M2xwRaer/dWnFjcuH3zj6fe5eRyE4TF5LfXRZ9SerbtRlDOhF6xMr/rXRdbdlDctYS1HfFew0
Nsu8v9zKFNkXpS/6FzXWh6vycMNDmZPLMuFSat0SUHLb5EeifeYLk0t/E5rCPsygEFa6H61NzFaJ
G6ON2f5hxnd18WeyK1irirPjEoPY7UOPX1EykRIpGYqxydsnUXfZqcjZnLGNgh2U5LvQ4ZyHdgTn
7Y2lWYHvR+DjaHiu3QjISjZHG1njXOJeQCzFCgZULDH+dtCUIyLbGNnTkAqBCtl602Bj2ZRDGq+J
GVxbg1pO1i2d4XDl/VOwVP2+cbxz46YQ00MV8CBGxwP7yvcuYqCYO42mn/JcCsrglhOdWc1cojme
Em6z+L6uZGcPL1xLM4TJ2H9GaKp3Lm3RByYXb1t7TfLKMk/60o2RYqefpiljnDzt8sIS9bsg43Ge
4DU+s2TfFPb8otkvNnAZlm3vODniOD1BXk6WilYjvTdLqj5bvhBCYQCtsGjidSqpLFUTgdqY2tuH
Eo7Czth1zB0DgPZIcEnHYcLUgo4lYchsoBVc/NgDMehM6ia13D+Rh/cqQsaIsS6uVE9+ujW4LqiB
iU9hmBy0dOwjQA+BUYjFKvbA1k69epltONZOhBWf2113UvVM+xxJf7JchBrWhLahPHll+8v1NHsq
6078Q+Ow7saMYIWpMkYcJD5MbcdI4Xjq2D5Q7gU3GFe6a3BS8ISF+0qpBGaBqvkD25vu+zKgYwiR
4sDr8EEDjVx3Hib2YvaBAnpu/V6VbfHK3BeeMxfGQzlM+DYscFJLSfSI/jzNYdjKzljkGFT9xl8n
jXdJ5ZJgL2D4dRkqdn1gv/G3/icW9ZYlI+9ZFvCDGl29d68CkAmFRR22yvadX3oPeV5B04pFsgtM
Hp8QcWhvGlW3z2xoNuhD3nYhn3WxKuWs+EMUlRIet9IIC0QHAmYzJWAeIwFtkzKq55zoGveplN8t
/onwIefOsI+nQAP44AKwKDsAddILoEgV8RrTYsW2ivRUJ0gE8JkKniFzi+mGYp2fhpbBLU6TZ66G
IakaKyLSONv86WHonacpcY+1AYmySnXED5/ELtTnrPxeKqrtwHVxnSsDGARE1KNPv2P772e62ILJ
afYWM8oa46EH7c+R97Ibiy2q3bRdZns68Co2NGNQYGU0keRFWTMFvvmrF8rsMGP1vWksKhvlQPjV
yzRQBR0PO6+CeFYk4YS5cMCc4PHUQONNbogsomj0uOpiFdxMwfC4lPCgitHHFJHUhlGe7MNqUH64
rvFQ3AUsH2hGqez2ybX1TM5gp6nS+ZLXEVY6OSOX0uJhYI5kGZ+T7IaOg/w89jT+BK1oj6MS1acp
TMo+iJ0IbGDvParIgFOYbHFCZRBPekGoqIBabiO/jJ9tnjh4xgjkBa4vvyxiOEe26+I4lcRuKt+Y
d0iaLUUMzvgy9RyNgGODGtCTPomcbgpemazzLS+9l4iCm5vUddSd9lmgR5CI8LVs5x6OIzvkQmGA
UrbcDqNyuRznJ7eeb0sZiQ3+p+lUDPZ4J/ngEQv0qDUq0/AWPiQo7xCMQ0MWbeP26V9jud0rYNTu
zMfAZakDkNQslaEXiStnwn2Cspre39lEUO/4tE8QuztxjFDHYhvYeMdqvYl0bTN7lf0pqG3G47AI
yPCmTDV7yEF48HqbPE3Jdm4nI5hiZ0ofnGAucZDokuQ3Be1WVc33sezOdpdAWrSjv9bHbV7J4tYt
K29XhFNxBHlv0Z5nF7vO7dqbQSk0SY8n8RV96u8AEgwo4co6BNK4N9LqX7oonzYDt/gVv1yar4L5
ZaTe7YiVh7+m29wM7RCTxlfppUkmAgyEmzFjRfxXK+UodwNVMdmNbb2cbHsymzCiJhYsIGmfkJiE
xIr31NQ4VhuiihxSw5DnJxFl2Yz8NCXxwgMXBLHuZP4BlvZL1WVMVZv4LJyIABJHI2ogMHUK/gV2
ILTLs88uz+mJiInXICtkKX0XkKg+l3Ac6HLpUwqPEQi5bZV0p9XFHY2AFa4PHzR9Q9ewUrmzK+Y+
2TWh8+PHcclPU+ZUfsycRZL5c8ot9y4Myl/ywylqASJ4zd9hE1bi00JFjaIsxq3rcWccnFeB0/uS
toKibiTAGyy7vIuK+CtJ0R5q2+2eg8JidQ2q8oIVBvlhyb9mTKiPmtY0oF24YmCDXc9ntLDKqBve
KmlAUVXkWLKx+A6HFNW/nvFP4YUe2U6a6IMfjs+Sqr4zHzh5DQxkn0LWfwJzy51pxnk12pZ8ygqJ
5Jei9jZVBQ3s2nNukR45oHyV935z/XPa5dl25BmzHmltburbKaIgTwGp2xpcF+uOr3slrfeE+Mze
4n+Gvw1qqhw0yZWlr/fTCLsy9vv+FOE6X01u/uZef//sVv5elKbbYPnD+hYxJyTYLQtguesIVPVG
zUbcI3im2yyn3Hmq6mWXeC6cqCkPCQtGGV+xLKLdp1V9ta01+0DBTeQgKxJ/ZVqXZ9N7t+Hitpgz
p/whmqZ4l8N5QH1K8XQaPe4Jd7zmbqS2nGrfuyCirsn3i1vLg9/eOk5JK5y0kQIknnsvvsv4gexn
FypwXvbX4bGWh4Qb7c0MLQbEonzuvPIptCZEQFGfXU7BO44ApBFhqKzblqJ0JESmkyi8IduH7T5P
7TtnsY5DBqqqWYhkWfl7uVzhozFk7CgZW6Kt9KKmjvtLyyZGFf9at9EuSJqESm87eHfbROpHtk1w
j84YoxgNmGgnXa/4xVZ4uur67JXeTzmnCFddO2xl2QXresEuoFwgkVEEgYaWi4iFA3dKOpbjLcGx
/mj3S/TBgA5T3TakMOZRvSX9kv8irdEoEMXRTiTmaDkV1OmOFJtrI7IaGURkq1N98Hu+9aagiyYZ
TYsf3vBho7X8Jkq4svmBKnccWCSgCxDQJ09UHJoUZ0zPvlplMaNAHKvZdrwFG22AX3NNCYO1G3RE
HBY3OoAIXW25BtHy0tXBJeKWcQQ0FjHbog9g736kjwqWIIcGLivANIzuP8H7hO/jMAZbMYbUCzZU
eFUJPgZ/VvRuzGVwseVI9gvW/DJnJXdLYK+69X+kw56QQ0bcpFMTfuEIgZnv1+aGlA++XTW4t/Mc
vukBmFjodOEbT2G9wYcsNxFt9pit0idOpmRwBvLsq8b0At0cPdR2rICHYj3eNq3FubyKoNwEOueA
zNHmhKuW24LM0ePZAP1DDX/iHAKCZdG+um9dals9UDdncroEe1PZv/NZgbhoilSdyDgk06oFmb0C
MDfdWvCMtvGo559wcr3XxuWDmGSREfswokEDWJB96S0CeGmVWE+lRdams/z+px+TeUMaMFzzmwrO
VN6gfC8U+H7HVGoc56xjhPBqblCCGBdFZ4hOvZP6h2AR48UVJMCHGZ2RJ7771PcqO7plLd5cv/bw
tcRYJ5To78pSwqfPyojC+TSN+eq4JLBY/mYOXPaMHKhombQhkK5MEE93YSGqp7Yc00+TBWzHoEvV
qiMZyikiNU8UexU3dlxfX9FlvyajLG7jpcKmGLZX95M1JpdIudEPVybvH/hDtcUThkc3I7XkzniF
irTsUETVvAtsHv61nXt/tZM2CDPwmiQHUDZMOjmYp0VBop0ig9l57yvt3dIvzzGJMPVRN7I3J8+x
0vGYUAxLeqmAaD6QQfMFOkXigXiKslTctnwRN1U9iPtk6PptNDbfuZz48llYnj2/RJiPq+TFcFjY
9FW4KzuYKx3fkJ0f5vHRqllOiqEtX9O6oiTA6me/X6tM9m+YQK7CySK2rcenrRwHdSK6OPCwJNwP
METxUkKj3saFF0MMj2h+RzPn5RbQk9zogURJzlP3cVAeE0tPttsJfe9RBsm4V5ROXHJ8+nw4DNlA
xVtxxfl/pIUhmTYtyMut6sVrVVbhRybZUxvM7WwRuAzc1vlsxrgkAtFOd0PP+3RpZhz5efpgsKIQ
ksAmSZMP90bKsiUJLry/KgnWYlLBWg4ZMrwenYPHm2IVTj3v226K3hcTJFx9tCH4Fn3nI8ROHHbz
2IBIKyfiLUFrQOlNkm/jHp6X9p8rNePCSyF5l2X/2jmj4VgUL2dqlPqPBIIn1igueHPo/OWBgwjj
T+M+7RgxObAZDtuZc2mqllidbuJLmyw5lz16rGEqHMBUvNVx/1BPkNuyrFqeqgjGFT+ljMk+jso/
XyXVO2FFH9XEJuTJN3DoDsiazYZuJ/uQqKJZa669HBfKNy0y99JX3CUC5YuTWETHdZQCan9rB6zR
cMuQ5fE8ue05EknDRmcrH3hFW2y5tCTbRDglVTZNfYzCJbzMwwRHrW3CfxWnB9xGw9lKi0vDJNib
+o6tg+yU42A+dhqbygICPPsMVOtZLL29aQfDDxjGb70KXApgKsab2660zGm25u9YLvlr2oTzvsgd
g4cMNx5XfkpRtG+ODAN025Lj2XBBxyU0FEyxcD52anK/wYlkxzgln8WZCRS1TVEWK8XfWODP9Yzh
lZhmv5w16i21ZLROEIPZNA6+97knJ1ZMzhOT/m8SD+kGlJe1Qp2hUxfUPIKG/rbdATxtlf6MovNf
AI5i3zLZshaqueempe59e4JEtNSk0BBdeSeMds+SnoQeuNwhzBMaaO0aR56z1DYv8Z4wE1wa/pb1
YEXPYrCqh5l1BJWHtNLnAhKMrGQbhGrbTZJfbcOLjWhoQGBuQ+jQfQs6Fk9muZoaGk9z1HlwORtd
50qh3qkA6DhRhTKoT9RjiO6VP7ulmchz9IWHMw9Yym1INHMGzbaiiuIftx/n18CpPyO3/U5quARz
kwZ8MEWH/ZOAZGNNX65mxL3GJWFXOx58S7hwjQufAxi9JhHWx3tPEHTLCqq9kxF36iDlGTej8+4V
aAZxG4dvvavD30KMcIZzfPJ7TBwGv29sGK2rUtziCSQTySAewt25+lDiSpIFjYYo2pOrst7Z6uaL
L20yQyOPgWmEKhjbjnMKON4+2HYoCNJqQCNES2/H6xi/6CV68d3Y2WpHZpu6o+8ipMwTG7olHiia
J0YJufkD5F+xof4mPuV49DcZLfJM9LS8eXOd/jNsVfwGB9aEjqpP7jJjeSfrwjvXvu54R/ny1fLK
4ShL29sKJ5t/3bSwvuDXOZellUR3fd/a2p0gsgtUfNdy/urWDmMrNpuoEdvEG6rbDNvQW6Cz4WK1
dXuXVQUWuW6k1qOncyxdz25sm50TueMzxieQu9x67Z0Ns5JbSxoNj4HF/M3/AfOoiQwvQ7e4iYve
35g4Ht5LXfqvdmXbTzEu9ruOLpVtFBZcKKbYt9c0mTAL85xbEJ619wtER+zikANlqx3yxG0NZnmM
zCvszpxfRdWuEpsFZUX/U7yRfosGmKcYHbBTlcygDYY5zWQ1hcMVIeGAp7Hd5yrseMjoHi9tqr+z
KgIE6JLdSAmOTMHSbgOoOvi0In/fW4CmfRB2VChlOZYC7RAARhTjuNHvI+jYF847XD0dm8Q8YH8n
8U9eym94EQs2mbgRKEclO5jn8Izv5KHXyWvgm5NzRZvx7qAttjEsUYv9AMOFa5HnsekCtGn7/kNP
/YtnfG5yC2N21U58wwMnIXyCITyxMiDKbo5eVUNdMjRbcn9qyf9Y3YcTMjOphUa1fPYHXuE6XTU2
vulyHu/suHR/K0peAJ0Xj7OFgOkt4xclTMQBvO4d52h7akmrVBz2cOaJe3RlXPYokyuraF/kIMw1
ROmsh7n4QaS47fvErMZRMhcBS8HopMZrSKuuDlU6vwxCvnmYbZjinJRvgGOe8UT8JjmU0DlJ7qaY
oq44ZmrFkVXsAhUS8+3xRObAE1dds+yByRyrJqdPHB13bTLjrVM1csKug+9giKeHBif/KvQVD7wa
T1s4aW/T6d7HXt0mtOUCac0J0sBjBuWlGu8+Xmr1BoYmqXfM+uW+WETpr7Rt9dRa58Gvq4ghelLV
u04FPig+DMs50JCHMVQUWcS9+pe28dfipe016UhZUFGQDCPozjgaMt7LD+JUyzoRMCAqgW0JbjHu
136Kr1iAa11uu2xlttDcStUSeaCSrenKTscRQIgX9KC/KxpUoA6lexMpj53UBSEpuVmsbGpjNn3k
ks/rWTjrKg4PGNKgWk2gEunzstdjXsMZwEkLPwwQnnHhjBXib5kaytRIbSvHik4koxkmZHl1LYkH
MSxUf9CgsOdW8SaMdU876QePIEykSpC/D8JvRpFlo5B7z1MCqnss2QvjfoC1y1uKI3qDV617wGTV
beJhPokERS9TyPex988ts0eG036dtPUrxy6CeLK9gG2m66Z3HluZ3+M/w1HfzYR4krd6tGGAIWGZ
gDsD2uIei0CwCjOcrtbkbtu0dvaIK68m5rewjGyAWcMEZWpcpdZQ/wv9wt0wK1WgkSfJMUB+SlW+
14m1nxxq79seA5qVqts0SHBbJYTiZpYWu/SedQz+zo0Z5LrFc1bkFO71qMUhveIdEbfgI0F8GECA
s8Txtl7YoyxP/qgCZAHDLm3vzfgDxVydQBNSj5NcD0JmX41GEgVlx/WgEJ1GmpAvZY0FqOOTkNZE
SPApnahG+S3IACCOiD+HKW83cp2FiDfTdAjU4Cj5gN0LgarmWMOnbqvl0NidtXZJXtxQCeGDOcXW
75ToQbKNM8gCyMGrPLCbj7qMig0zIOcvn3RBHQV3YulgSfcGRa9Kov0yqi8clkd+afUZQQNNPqcZ
xhFxSfUkHrai0hzYPVCygd+Rj0M1yyz7q3HMkahOeLKErQ8z+u9u8aP+AAPcPxAnqdnsE5DYPM6e
rflazTHT/45XPy5efAKHf3bM9qy0K3Z1ZLfHQbJU5SXk52yY8L6hxMOc4YLmjzzC/dTPyAnlZzlW
wbEOgJFY5Frol7i2WJs05Obi3fodYkOVD6+LMpd5oQhAuYh/bthy/cutDQlqb+eUMZ8dNXD/dLz6
Jde2uWljvEDSA7A8BwqlpL2LcxREa9HhjiDQsM29me8kfJt1ZrlmHyIJQsIln+Wr4D02Xbs3aaNh
Z+gnXFYvGJD7g4iH4Sh6SQR3UchMfvid1hTgDWmVUdCIP4AdmmYRL+9uB44FWz+ktqAmycmjA86L
qvL2UZGxOLMCRbsyU/K3Lms4CH41b1xXpOvcmdW+C6p3m5mMeZhC+drcRlH0MA1FDU1kiNBiOPeU
Tf2APscbCIz1OCDKgZjgmRqnal90LaJg+RBFzn2rAyBCvLMIFg94KUdqUwZIc6BT5AnbMaQg/0pu
4V2Hj/otMpzhFkfYm8IbLlWz3MVl6+/KfjFPS4DgmfnqSi2jB320QZv0k6R6mfvlRi9Bsuacqw8d
cKc1COB7r+p8qo3EL78w/sNEVlzk3a83xxdawbC6YFZf2SEPDeTcF4oqLtIM94sP4SiLx7vcC+u9
A0YBO/qLmgecyarEnOEnt4uuJ5jDmd42VsmWmtbP/JzYFWpciObaFBBFvmIUHK9NXG2D7y6YPt0r
gDVHHKIo2E9P0Vx9DwnaEzfy+MAC3NxPmmK3zlXdGZcJj6HFDIQF+ulYqDhZNy6cxymaknVxhfLM
Hj1NEaWxcPsppY2s4mrGGDNKM9PyE/fAgFm/TR7YashOWU5+HYejGwsc681ccf6zZ1B7DIOqvx/h
mkdSYGzGqspJs8LMytBPbya7eQ7EsJoa+V3PMMlbPIAr/wpmGpfW+6sszpRbFxg6rwUPxSUag1+6
gl5zKMc7DCXPRpbPqksPFKbPpE7r48DG4u/TWoB6sQb/J07LZt2InFJQVdz1YvqiOvJCPBYyJ04y
3EeCvNpA5NQHJLqEnKVFVR2woCFOxda1ObCEJBs5hOaX7I9vNWacPqN3yfCSkRjSIg9DrBguRcN1
igAUFgFbcIYu9xJcwex3PwQ79pFu4Gp7KCi1RT3Stba2jLhh9WzOLubzZcq/Gkv+o1aKaVpTFtC7
E+0vJNNrPXxRc81s1+H3ET1uciuhcruKMuSN/Koi80u5SUC4UbhUXdLEJwRJuAnUJEYRneEngSMf
NeuQ91wdksVHEi+KD2wXJK4Hwp64Yvh++eacVHzHpkRZm8wkNjFEqzj2U3Nb6fZuoaMWMaJetx6k
4Bq35iAmfaTxxfY4tgcugxwFFVgZXwwZmijMav7uy63dhd+LoQkzHPTZ6Si1KeheNLO+FByPz4yM
9Q1tVeB1pE8zTzxC/lPupwURY6WNjJ7alDNg0WgwM3Fu44/gQIIn9QurD+6+rC9X89g+phjLEdSI
9CCbMplG0EjGIuD7MUqyh15VQACYb0bbNQfb6GztN6G7veJMODA1eEeAfeD9YT1bludQ1O90MDNC
OdafSIc7KOQSNsaVlprJhobwut0nYuYnixaPwXFyZLwe3BT5dU5eue+Kk2PmM3QY3Ip05QxVLsnf
pdhTKg6krbXpjHog9iA2jOcEpsrrzqCZhoE5EtDg/U5O9hFf7fdiO1R0Edk7sd7wnUqo0pSGdq25
YjyFAM3MXrz6wfQXYWcFLVe7a7/VvxxEeReGWCEq5wraHP2HIuDAEtpkOtrx2nureEe0AA12SITz
Whfgoa0B7Q1z8p+d5Zx25j/txeaA38nbXt1XK19qtokaw0Y65PXBAGbbgqFpYYa47W7p8GH5srmV
qpp3kcweclC8PCt4Uhd8GFhGwP478/TuBT19yIjzW7MMPzxqiC96PiFqVPFNN9bLoeyYPiER+DAS
V7ZL/wX2Nxg3U7sea/tx6nz2mPg7GgC+eUUPAZZoEp9s0ZClFIJm6RYTrP4TtYUGT0DPrW12puif
ULC5hzYmvTG/cPXE0ze9M4jeDOmwI9v7FXDECRXuzClnvRkWLjPTIP6ZLuW2zLuFvyead4GZZZAN
AagR/SXPSV9D8thgX6KaDRrnobOw0IorPJcikW+MuBdexw/9RM9tEaqzIQSbeIvc1Uv4L0M9XePw
rneTo1+xlP9Lr0Un7jK53J4BOCQOg0HoR9lOdxmI3vFWMcyeULGAfDSGShnvx3WRI+vxipTVwSVu
2VlH4766xuyYoJk6eOKIXO4YBVmYUqddowtxTuJXaE/LAOSu/cg8/dJT5jOV9r9s8t7DlrO1nPmt
EQ36ku703oOgsUu0B8kytW5S/TnMwXPdBVCp4n9dX36m1rBJF3GacAU4mHy7xj/0tXoZyvaroktr
FY5Rg8MylPhCaWZzlX1uGW6BQ6SYSWktqDrQvszxfz69L1FZ3Yb8ySyx/evi8VLqyBOB0sEUTY0N
Q/3MQSA41G7KebOYsPYLSYlYcg2p4K8xU1OeesgLI762dTg7cPGCPqW+xfucPXCcSVQ/NXlMa6Y/
sZja831lkysydXGDtvZiRJ2seC5jyNLTK0VixRqg4zccVupaS2LQoZhPMH6vNm/HMGPWEUdhGlgm
/JeCQPB6STOPYh/2CeEEajeq6Q+HCX7KyWAcwhdhL+qpJa95uyi1r7Pl0nnqpbbQiugTvbCH/g60
yCH8cEd1evDJZhz6tZOPMVT45c0JvXvKJg9t7cDeFwGuga5a9rysfkN5zYj85+xMliNHsiz7Kym5
LkhhUgXQ0tULmwca53kDodPdMc9QTF/fB7kKN1JI8crYZYQ43ACF4ul7955bxY/kA3AO14G9pg3s
8abcgDHeNW1c72WF2Dr0AjgjqCwcIOmc6Mmc0bK70kz3OexH8HX+Y9GBKyeO+N7AKkEFwrKHVVL8
Jtv9thKC0ssu47lxr/AqIk1mR/TaGyfO9uUcoe7j2sp9ogdsmP6z8rJmwlO+RgUpmzHMBhrL2yT0
a2JdhpWfkwrkpASc1gmChzCd1YDDZRKQMep34r2rg83EwGAVGlW9buPyZKeK/8by7oss+92kIwT/
AnRap18FIBRQ/ZMRa/jmnTnA6Irot48DKUIhoSdo1e5o1DI4A7yxUKBvgAHSwu+rOxMMcCecepfb
+WPaGvJxhDS/xBr8lAT6vdklOmyJLt+FI4pgmAfT2AwnMyRJbyATcNGGnIV7YRewsogURxmGsgvT
PUFwixA4KBA3O9lkdnbSVPKeRhMkSiT4dSee2c03EUeLBbbOOZOVAqwALFh55gWs84OVYgrMdFT7
BfCLyu1wQZTUBoSPql0e10fif8cXXVWbvBbktSrInGBMBDFse10vi0PY6RfCEg/Sw81D6plgi7Qq
0sqmifTN0TZuJlvexUyKOO7wnRi1cG13yVGL5AVEh9dxwKojyuB3Aq1Iq9y7gFRr2nEZpB84VlkM
axzY5ZEwbQqJ7JcWGMlG9Y3Y9S3MZY2mT+Hrd0FJ6JAcCRyu/cRZC5siUUb5A0ls162U8qJKzWqd
1e4Dul+GiF6+o7b2YWJOOL10ZFgQaQi3Y5XPj7kH5QoGAq5yrpSNCii+ZLKGddZqV77QbxnaNU++
3cP56tCOsg8LCw5Hjmw5rocfUWRehoT4ED/gF492g/3SJl8t/E9lMj4EzMIpWqt8lRVDvqltgmxm
3XapLjnIn/TOv9XLhlgM27o0BdUQE7F0wzn60stBajVVch1aerGtQzLLOFBd9dn0qCRzXoVpYZVm
6VPpR7+YRKAqx7NPap86TKXqT0FKSyCKLB16b3IJZAQZ7oihO4JpzKj1qkzAyco424rIxz6hlZch
aSqoLWfW+hQdDc9B9ddAAVKIpRdIHW6NbkKoKX3CVGPgE0Fu/0KAd0RjcSn0+JkeOef0DnhXgcYw
6V8Fc69FV2pvaUosZWsVVwDBXoRSl4P0nmYsX+igINAna6tHAK7iLl+HunwVzOlXeu/R2wqIV5X8
d7X/BqVlCzydz7ZtXxSWejdr40r26l0FBjtpmr0RkTwnRREUy0CmvkYes6tTDYCrqxaEujLqSZzf
hDzVS1W2bxjvKL1JCWHEM74iRdvEA269WPdPRc+m5GTqrYz7+y4rV2QiqKW0MAqXsr5ssGatgG2g
Dw1z4OfBQxaG195YkPqDHB7qKOF9PZaoxP1ZxjyGKmkQdZf3WpheYW5wDjkhH7QPMeGbuXltmH13
qhn8xNRzhxzFNNK7riJiILsvK5UtlZmVl77sD9GACKVm7E9pKg5h74FCpcFMrktYLIA2XtR6TMnP
jedJECypd7dke15hyCk51DRXY1ac8jTOUHLSPSv8PeI+uJBN/GIPdONkK/eJKpndw6cftAIQe3Zr
p5N54RXhPRPd+9btb5nhAQtqLSpwTVDFa43ZcLQZrGOGloYiEeIgnNEfqMPkytRMMvXK8QS0WKHC
MK4A/ECMsKqXJiQiya8fkKs/F5hpF21Un4qUyXJfA+mUOgnE7XSTh1S65RAii0v9mzqXz8xZn/LR
0Q9DhmIBTBhcVDXDMidiZRzr3gBVu9JMuiN1ZgwXDKsfMTVck3XD0Rw64kpjApr23k6JirACWECL
DibVEPg/9ba9AuGczvoYsBBE+TyVNiCPlnHJ0mlxZguHmRb/F8ZzgYslddDNOK5qAQngVaRO8Xd1
jctdy8ZpVdgmyGsDjIPqjbu48+Tj4JvYt0n/9UKAl9iC3jPfIRYcK+5i8EZvi52HQXBe7owhuUEo
g1BRcFIJOiGoJwB3hkXhLVNtvFOVd28WFUQtO3oyW4BMqAeuhcSg7Jc/HDFsQJNra0gAmMoCJo4m
ao7RTshPTq/1KniJAiYJvc1bWrNvLKeM6LOUL29h6zQHqIcRoc/o3Tb5MRXGBUp4dx0b6NkjH2Vo
5PvNtjVCgodLC6me5z+MU6NwKhDFo2K6OhzPAY4r9VMFWBfMTVYxJzdi5y2IK4yAhoBD5aO+ygf7
NPcztjSsD32azat32g868T8TvDiPqa3XAD9vp9peiZGBNafvU5MynB/h0PCy3w1RYDLENN5c0TGl
cMU1XJQZ5sBtNTRDPIo4PDIcoD8fuz5J7zCoEiN6Lz09eOCAHi2qHr47R6RxNddK0MjjBwSG0y61
OwT8zL8vR2GQZlZ5bIJD/2ri1mL0hW2hHrxNUjcUuHbwQ00kpBSpZm15GwCKpCkhUfqqjosH2tV7
nxCDLXlWwxIQu7sxpLlrYghouADYoWVheFuRWz/RoT+Vk3QwnkVwTgxQ7MhKmQqkzsCYi7blZW9O
L/TfrXWF1YtwPkA3CsgKy3fodljSSJBkUP5WF+NjSCtn24JY2Cp31phByzFrW+x0YZ+UTpmHXHRk
1oj3fLT9hdBRPGiuLZaiZDAqkrD/ScLOunHpJyhfS4ASuw8BrSHqo7JbJI1lr7G2sZ3Ofa1RKRAi
UzBQvDGbDaeZmsH0mGREal8iKJ/ItyGAOhdEKowj30cnuYxmlakNOpbzcVpuaA9Sk7azvDCgSDeL
+p7UnGTd9LZ+4Qb+NTG1KQsaZzY/rrgKbVLqG9ctt21uX+uqbe81dOccyOp938H+8ar+failz1lj
Une+J3ZFm1gUFIhvXDfc1Qz8b5wcKWWUOgXqNT2iCRXgLogm3SQ13Cd2xiHawWeKuR51HRhX3st7
1TBY08OM8I/B7V8nSUojahhGYsS64aWf7GXtEIPR+n52yCPtnp3fWuiOYa9Hkd7ZIuv2DFXsLSG5
hAoaLF4HtPi2Yt5EBGjdrghiob9nqBcTYfpq1LiRqpuJG1yoUq9l2gOy7GGT1RVmZunimak5v2TE
xzIPpgWvIyvVEx5d7HXWViLc3uFgQQSMl9g1xt/Z6Nh3baFHt3EYitXYa7fBfzJW8+KpN/x+laXs
wJWmBdjRC5e0Z0VGRtuWu0A22a2rmvlUBAjGUXetEd/kXbazI9tZmchTob5N3FNleCvqk3RjoLHd
dqbx0/JBrHSD9ZNpoJxnE9M2TQUECesHJS5aQ69Kb9ICsnMqKTb40mjbPrGLpY1W8wjPDzh+LiyI
5AQOTeWoMUHK02WMzvYO5AKznbKZh4ZICrxBu+xoiK0K175EcllRB473bu11awPe06JosgN2elQx
BeVIWcg7zGwz0L1HH6c9wVIfd31KbeBIvmFeRIu9rE0iMfL2wRnyrecn7sLx5C1wpQcsJ9WRfuKb
wmbv1/mm0EF9ZITXdhF7WWvD8IIghdR2NhLZt46rcczgyLpMYmdbVUBaivZAvsE76suT7pMMn3Nd
tCmcb/Lcv+vB7weS448eZK8JwwXGFxH4vJoEAey5e9duftYd3nfMsXdKq0JCgTCieDWOiww1zgbv
DsFcZUynMCFXpKhVe0QK9BaQ3LyQFnzqrofjFmWFscx0Gi5J5WwNa07+BfoC5dJCemUw9ESi31a7
STXdUpYC2a+TnOCuBZuxta47aChLpH8g/IjcW9rlLHQimehXU9PyKTsCOa1kODAiRLVt5slD3Sss
9pyVuU1k1GlMFqoMNxc8gaVrB95skWfsWzXJakrg+LlVWPNKO6x5Lbk3SYig+KXt0Fm1hP+GQgeo
p7bOquI6R8t4FIoZrI9ggo9adg1JPGLFkvdIn0KBOR+ghRJu9ZpF7OhtUjxHTuquhoS21+QIcci0
QnLOKq1m184ZaA7e3wVBYNAH3ODUNfI3zZYa1E+Jnd13drQYnQUTK7Dgda2WZaQ/lbGoNloRjkhl
GmZgobGoCcfcoDzBydQZ6QZN9iX8m27l+PUzgGKemNY/RDP/hzbGtK8Z9O7xn0drKjM6apzU1p6D
BrKOh+bK0enTQ++4rJkJn6K6AsFpQA/M+mTfROYT8TCEhrnQuxI3e4r6tt4EYphDlLyfum78aDrg
jkHW8qGdNbhoIwbcGx4osbZ0t8Vso0ronnLtAEDAfOMVX9fIsZ4bOG/3GoTuBcotjvuCgzKyqnwf
Bdbl5Mf9paq0atXJekbaWc01C8N4LUVdXSkvQkLiYDxeGLmJ9bQeR/h04d4ZwORFdrcK3fTO0LRt
IDJkNnSgVskMZs1045cn+g5qCAn0Wf2cNAN8Q5fWpdsNTKMFw6syuTOkH+/DecbbpBVr3labMIrT
Q23rWxgU45qEvsuwaYqd9AzvwML47XYtZW0FSloEGXJY56EfnFerF8020pJ9JrVHPQ+t67QuKZ16
6gAe5h361NvKNrkOCe9dkAFGd3Smx0Pq3tA71mlbgQYrkhcH5if1V2UdTFDnWYLVEOnVUev55ng9
AbDkfTPFVN6cNgVFzM69zVBEPL+kA/nhWYj3Z5iiM5G42npXHn26TdLSC3Zi72iF2nUTkAYoAtIM
3AEjsmnZ2iouixtAi+3WLPJn8nKctd4bJ1kmP1QqMaxnKHJCw70J5jPj4NjvJUhA6M2g1sJZ5AQx
mV82H+GRFjFYIs+Tyvng5PnB8pChIbZrdmlUZkddgSNi+IZeTNN5cyD9XKDCJQqMRkulKugWis97
3oy/fMrJNXKNI0rRNxXnfAAq8+i4RbSTyj8Yqn7JOWOeej/Ac94Mzaaz+5+hBqQgalw04R5B5pY+
VnstAZVDr+UHI81bM7MOSMieirDGxoAmyI0UpLw6RYhNnsfwoLU4iNK2f096YkPAfU2oaOEraxPP
uMhcxIS031bROMVXFtBilLXhzURJQegJEn4QY+DnA42KX2bhdRAQr9H0XYnLvs6uRrx1d6lnqGur
kGCotFAwpsdIu7CyEQGx5wfj0pSC6HSrFsZyRF6+ySNfY1QnBu9WdFN8W7n2nUM4LU6mRFtGyTBL
O+FjYHnAiGQwPtfLhFNydD+loMBjXIp7OkzdttMtTvZGLzlK+lV1Y/qE2dPLEhvglDTldT/b5nH3
os9R7LIdr0o4htQ2yuIvSeZhATzkwfVcf6NZVr/VyXJiJC+Lu9QIpgsf88j89trX9awIddzympyY
d73QwzW7UbgGQfdMR0C78q2UBBgW3Jpi/5c+MO7lkPeIeB6v30Tci6On3Wks8MNbsOSOuCydQ0u2
4AEj4EUimInj5MVRUJPfacijT2AP9dlDpUVHD08E3/vuLe9pwBUepxGan86xNRg9kFhljpUAFQhN
lg2cznX5HnqE61i6uGJuz0HX6x70ziCLJeBslooIj4/p4PWty9/kASHyagD8NKEwGYzbVnsYUNOt
o7Ajs46R3dqeMVfM9Oc/O3fv9BwUMalQ5rZoqbp8gUeOWRNnq5TWKg0TBvplMEvnK8zsqM/gxjJR
rks460H3S8ZzMUPDRMszZtAdlk26dukV5l/65VRNSz+VxsnKOQFmIgzfjLAm5FlDnsMoKfqVhm4J
zkg+8kivPbM4xW1BJlA4HSedCQnQm/zZ6odNDoF74xijxgFPe07HZlvNiacB0nPZszFDO1/5FZlA
BkexEvjyHICRrozUIveeBqZsE30dyPYNY2q/TiIv3OWthgNSd/bKGh4b2tr16F40jVcssPviSIqH
G769HH+Fe51UoLUixC3HTC+vQtAx0Dg8ayP7vrtwOKg6OgUIjdTsiFm0XAO+dCie4YPKwRkpzpwH
1/LiC1UwuBxN2ASmMb0geJjWbCXjLVR/tSRXBxVbkmOOyHJsv8rOLmzejY3lSW1lSCkeXVmhA/JI
/h5a6HYD8TSontymWplTq8g+SpnwdtCME89sD1aS/Oqj5Jp39sRhu9q5LcgPG+cQB1lvpcHNgUTY
Ha2MvyNvLlFgaNa2FWIdsEmYgdGmQFm2TIbXEgwcHC/zOZuHkLhb4Iw0jb0i0nVa+53JacwGYkrs
OvnTTHhvSlMmaE8BzExmha3X1q5anEDryMAXh+ZIvy7Zthn01uTyVQamDkmEbkfoGHoJzvZukpVX
Kp8UvQswPhnA9yW0ioOB5nQBgAPRe8yMq0DtBAxxwgDfNcvaVP2h742HbkRU3nTwnaRQbKS4uCZH
yWWWM2WWfvh70r07L6MtNcegBMq68bLY3SY2CtzapIeSSZRMIxqXVddpKBsKMNkUNO6q7ZkrCoAc
l8xK5+N8mHtYKWv/NjO610jDf5IJGvep5ZcAhPBuhryk6wlYTNdBT+aI8WiH4mTRrl3rOmk+ruJN
QzNFWzYQfHm6Ojc3fOQIM3XIfWaigX+JmKCekW9cv1YTGoayQhcRx32+LlroSmXrvscjnvjYb43j
ONOwNbzyOFTqQztLjUij0/HFTNTh5YiZbypwxLH3X0wEQB+zetxZk/+bzBYGOA5KUS1DHtH3yj0E
hvxFamZ92zjzl0Z1/rIc0xeZ1u4RjEi3KtsG5HM3XjhJzpkfENoRoQF4JDaVVQOSgHmeXq0U8Bib
Eiajv2UQV+W5bASJ4IxjV4ZFBWG2jwEEetxgaDi92EPJgsVnyQ7kHekkOhy04uGp4gQQL11k5Oly
9BL7vpTSfGbXKndx5NfwoUpzZ0AdXatMEXU4pWpNj0Z7ibvaf0hR771REtaUA2X27lfmdMz8nvrT
c3x2g8hBlWY58Rqdcsy0s590aAl6pdGCH+nQlpo5nWieWTclsnjeIN15EGrobhiVFtGWHnnxjJ2x
8d56A42oUlm8LD1E1SIqcaEmlPwVgs/KvjXqIbqEzV1kW8A9/ZZMxfy17IAQLhqV+XelKsxXN2yj
136gcTxWNpN3URn20cOBSok3JuKyzxryQZoxpxkw6qirPTaQ2GlfnLBq2OYUHxWqarz0oZ3geig0
Ye1KekcbyIZqD4qA7Jy0w7qQ9PH00hJjuGbX4f3GpEpkvVWTK1oI77ICN3Jtks+96a0g/OmppqG/
paXOMjDxteBTGekdez8HbUDEQqvqVLpTdcH+5m9zAR4M1xOsFFmll+BI1QHPpFwYEftpU9fUmXn9
LDU7PyZBa85xWwhP5qg3To8/ZQ6AWxfWuKkV6KMevd2KAHXWXRUdhyELibKFAr5zogzNZOk567bh
XSVhrHgoiv6kp07wIOzkZ+zV3gIjIWbj2Qiuu4glIQmOaEMgxEWBavBjIPMk0E9htcnblS0K7dSI
ga6En42v+sQoi7KHyXJZEuDQ2nG/I9TOxErB/yAa2MSbF/WwLKeOqN08nF8CqR8w9xF5U6f2pQcp
ZuXHdrIHkO7feb4M72KCIXBm+WlwgLzjXVEXV6DBM7HJqGfgP6UcX5niQONKMQb/yvMREZBeJ1eN
Y0XNylR5SZCEG+N0xWbZ3JstWQw0+U33ahyt6lT42ACYOFGjdW4UQv0atTfDaTJOmTSg6Wb0902Y
ZbST0ADgs6vc6MUiw4nDDI4CME/Y3UDNW1Q0lLi0i6CS7qMiMS6bvAih+Mfyou6Uv9JoK1PiFXiE
GPr0QHza7jLQLHGllB5sQ0KKT/yxzE6Vb2yClIq8nYwWUYLZXFqof3XyjeKE0obR00APcOlPqmKE
aIARiBTfrEIU/W1VTMRotYlzrYdOehJAdOAUlfAkmywq8Kw60cmKrfaOGdSPeCCyTgrT21cqp2Mi
Os1YQE5z+QSrYheIFMsV4SIr24Cy0jptcav1lnhvpFktAxdfrzdDs0ypGGljav9dux7GyyGO3plz
yWVvOPXBzvX30UlIi6ZdPOe8gUuCFziwQ0raiqbGqIbYQnz0XtM/GCXrj9FZ9TC4TXI5vxY38FEh
q9FsuaNXikhb9tbejrz0RS+YJCzaSvUA/YhFWAvh8wWNZQNFdhoz/ZWzEHt9bzZihfK/v4ttcriM
Wp3KQKljXBGMmUZ2/trCtd14UQFwPhzpo7r8ScvEpQIHBUOHQ7RPOpmvNH4tTd87WfeWgI7mi5FB
bCTJgCStENnSWkYMfZae2Xg91IJeXNRB0GEbtDlFAhszrKdebw6tWew00H+Ej5kBJ+IErOlgF/uW
XqPY4cYqH3CqGKc+DuiWMNtHrLaCW1etcQCZ9IwG89RokrjGHPri0Id3Xdp5O+El3gpq37T497/+
+//93/fh/wS/YMakY1Dk/8oVA9kob5v/+bf9739hVZj/3/3P//m3lLa0pO4Iy7YNVwrHsvj372+3
UR7wHxv/xZvuCIwRwYEIRgAwsW5gA8dy/fL1ZZxPLmNCcnAtw9Z1W5xdBqMh/y4etF1CYZbgDBpc
hg6hfmzrHL5m1OX3YZ63m6+v6n28Kg5j2yAKQPD7vLOrYgUxZYV7cueYvwwCZPRnuzyFM3vsZ8Vb
7nKm+/qCn/xMSgWH84g0TYPb+efdTJOOoYEc8n3boNlH+rSgHt2bvmMv3GjYki2y/fqC4sMvnG8n
N3S+pmnr87//x+NrGd54SZCSA1uEF6lVPcnO29COWX99mY+rxNZx19CXYroBCuzsMk7SK3pcZXIY
ezvbSb3UL0pHC/dfX8X4ePsYfpimCXAKfIBwjT9/zcgSHfDwt6Bcbaqcx75JNhrjbGEyHwBaHGDs
dTTiVyE7DMcKdTesu6WLaZVp29h168pM//qJcndtrL/wV6TnmvMS++cNVjHkvsKnhcfXyYCdEVwi
pqY32PPV/OYl+exh8j7qrknWK+eas2uNGiQeb8ycfZ6Y6zFLgrtc1QhrCxzKX9/pz64kTIN3w7IM
yzPPnqfGviw6bHiHfKST3AfBb7eqmzfmVt/tL8a85P/cYFiVljAt1zTB13vzM//HDaTP44SJZqSH
oUbLhUGvIDDaila6CeYBxBNZMTTMl02t+ldaGxfFmK/MMl0bhNExz6y++eWfrWTyc3iSBuvMPb/H
aZlAygradj91+tGQ+kUsyquvb65hfvaTHUu3LI8indXz508uuB3CHsfooOFgxEgUS+wVtVdfOn3T
3orKKnd9NaIRRo6DmiWxOD/OINyKjzK/WdqHr/9Cn/1mySU9B9WuzuL68+8TlvBhgUbigq2s5gWr
HelSxJDH6err68zr8+xRG6YlGQlimLLt83vbEzaQ0B4N9vAYih1E2A6WXtRvyUNlkJy47o689uqo
13RrvLbVL7++vPzk8uzypmsJfiQ/9s+fCSRROk7pRnvIh5swQ9IICDPMnrLk9PWFPnl7kOHaOpBr
B5nm+dsDzlprU7RtO/qP9QvaJTd8UvDBLxvDbIe7ry/2ya9ioRpEPQnLEcwW/vxV+NEgSg6Z2qf+
yWlfRPkyQDAJg/v/xWXQF5rCsPE/n7+mXu8OEZROtS8w4BL1uQxofmldgAjm+usrmZ/s8iaL0HSk
Jw3vw3MCquGHQzKllP3B0KzCIsTuJHAZkl7jROgQ3dTqEXFnfbVnPWlMVVQ0kUfQGntir2lNITHo
ulWOtS46CS9Hae9nM0wPC1xIjwBbzHM5ZMOlGc+jMeJD8M8Qgfeuuziu47FwXQp69hodDcqdHOrk
2qxo0H7zOnzy2pm8cBRYjq5b8rzm6RyzQ/OkcWgpAKX3KSiuMUiMbza0TxajaZnu/FGWHu/42arP
Qckj4CT90wjDnTeUF77/Y7LM9dcP7bOr8AHkH5Y8g8PzVQhqV8a5pe1L1/dPQ9sbz3Q1aRyV8n9R
a0DM9FiDbJ6mJc4uhUet03LSH/d+geZXqd3gl7uvf80nG5Wlsz9ZwtAN+0PVhOI6aAhC0zAsFylm
nVquM0vZpBvjQuDwmR47TB5rykeTwTer8+vLux83Kktn2Gia/EDDss++81OFc3GmjuNxxQhhIMOG
VYJHRXmefkFP0cO0I0oOTnG7/PrKnyxJVqSQgoLRZZ+eH/M/PsYAFX1CzEuoNBRZ0geYFTbbry/x
2Y9jzbNVmQYl9/lKMSsX3kbYd3srQ9mMvJHs2xBAS0E6cEWeFo2Pb27nJ2vTwtssXfSNkpt6djtt
0AAq7+pq7yXmpgAhiCPyptLGl7//YaZOfAD/OJ51flKSMRzg0JwSzMDlZdr5zdq23HEZAdFZtxVz
N29s2psBnMs3D+2z30epYpvs/obj6GdVsQokbx/JX4dBtRXqFYb0hlLOpo5TFMZf/8hP9mZrfm6S
vHHB6352L7shnzrsz7AT/fyCOIT2hmxMZ9YbptoilRG9cU3kT19f9NMfSH1tG2hocDyfXZQOFNZL
RVZNoeStn4c/NXxvCLK/KYM+uQyfNlv3hGd6DgfCPxe/KKMwaMys25VRMy0iML1VL7DZ29/s+598
sWHwedZcXFPLn+/IXV8wow5wrGWE2P0u49idYKDPHSb0kRmevxre8zfX/OSt47RJzWnK/7ze57dw
sExc1kN6aOENMArLJZkDjooWjl6/W8YcQxvb2s5Kcv/X3z48aVimtAws7Cyd8y3FobvgJKF09gye
hps+MaonZdLPw6hdiPGbA/3HR8jFbHZMti8KsPPjrh1WcnJq6ezKOj9aFq75qmtWZeg9//2P4mww
VycOj/F8RY4MQlOkIR4GJXNr5fVVZtJ6aqJv7t0nh6O5TzAXq2yZ1OZnj60EctAzYZn2HQQQBqJG
mF/TMG3u2es6pudZl+/LLA6MCzdVCudEX/2my5g8ZZbropfIbUQ5eFVhk399Az6u4fkv5nEG5W/F
aXx+EP/4UBSODs8DGvu+HcNNJ8qHGUYR9ZLBgvjralqatsNMkJffxUBydqm4pOUPxcTZFVEd3GJO
LLfsBfinrM6IvtnePr4mXIufxI9ic/7wccJU0DJTDEgoMx6z6mcDf4T2+aoJcO0gD6CW/Gbv/vjB
lWzb88OwgCa45zVgnM42cjMM9omGxx7pDjND/cfXz+qTl2Le11wPqo7lfGgbmCKNPHNypv2UTnt3
AkHo1fs8+K5q+eQyAuYFpyuL0wh3788l0VMqBB0kmF3QyBPGByblZOtZzTd37PPLuI7u4KoWxvnh
qmm4Z3OnfjcxHdRaDMP2u6q/a4B8sr4FlcJcpHgcGf/zYv5jfUN87zHxRQih8XTm9dqBMi1sBiPa
d0vusysBO8Jkp0uUnNZZOSszATyzAgGXIbKGE1lbCD2sixBznSKi/psF/sl6E7ybji3pnplsX38+
JIOgrlrxodhnrmtdJRg2bpnJjPuvV9zHKoFW8VwDuWzBjn7+hWsIlzAgqAWHSdfeaurslV671TqI
XP8ORNurzf75zSU/u42cBiTLXOcsfF4zZyPCxzT3oj1aeEMih5MXgEAWiat9cwc/WX8cchDmUklK
Ju5nd9AbQTL6Y27t6JBsULAfqsZex7HxTTHyyYOiG0PLHfoS7cXzUw4arjzpE56MOyH3SIyVC1bg
66f0cbMjUUPMrS46mDa9jz/XgvICYkEgse8B3HL8TI+O1iBiRQuTYAmE0WWv6iC7+/qiH28fb5M7
H0R1ujDcwLOL1gRguODQ930b3pqcqTCk7RVT968vY8x/zp+9JpeUT/wG7Eem/aGPxwSaRlPeRQfi
Fos1IULZAcqTOIEYv2GnGpfChL9StXa+5jYsi1TFp7po/77/7jom52/BdsVaOe9Yy9YVNfhk5rYp
rk5IrdbK12OiV8ap33z9kz+5s9xTBgt8LOmbnG+MrYfyp5Vlv69lm60Sibii4lhw0xAc8M0n+cPi
ZAsxaHnzkzBLf+g5CQsrP3LD9CCMzn7XM4KFSVNrh/Jv3zWuw0mY5UnbiQ7x2SdlBJLVg/QmsnTs
Tl37pOXukTyfb67yYeuYr0JCCLsvI5kP5ycAPogQHWoZc5htTJ74aU7VzTijEOzy9S8f0nwthwXh
zAcM5k5/Lv8iNBSdEjOZgYPVHuUz+Dw+zSu7y8Lt31+K93qm6us2PMGzm1fEI/p2+NGHRs+7uwIr
yNIbw/DWaavhm7ftszvIjk9fkA8mp6d5af7ja0k6hQ4emm+yXhIAmCInhvGwCME98UZ8d5z/9GIO
H36Hhc4p6mzbigOERs1Yjbs8c26ydnyHG/HcuuYtmTR/uwnztNy5P0eDlfHW+XFCdDkl0+SGe4EJ
BMFXcyOhP3z9mD57l9iDeaG4f3Mb9897h7g6c3sfgSMRN/2JlAmyPOtJfPN5/LA58BIJm2c8L4eP
22FR4qTANtuhyyjX5Tjh9ESpgjDq6x9j6OfbLk515kb05zhrojA6W3QVAQaDNHF6ZUUvxlVZD9Wb
26smWXglI39UIrWG3TH3HYzNtdO+gt1vii0BBUBTvv67fPKTKeHQYRiSsTL91T9vbFLJ3kYREOxx
Ge8w89hjxXz/u+bLJ6uRq/A2W9KkLjhvvgygybMiN4JD0eBXSWJ+Ke83IQQG5A291o2br3/Vp9dz
aFCgLrSENM82kMy1OjMjYnHvYW1fTCOKYITaQ1gZyLm/K+k/WZvMohi1Ui7OZ9CzV40TegdhOiAk
eMIlA44ngkgyPH79iz57TsgM5vG0RfPl/H2WKqzhYGvaXiPI7dSrSIehoyv3Eu0gu8g3F/vPDfqj
MGCFzhu9ZAeRuDzOfpOnvG5QgZbxTfHjdYpJrvaUjsq9qlZ2IO21ZFPepHG0R8D/YEbTIxEzyTIk
j36VDJB53L5eFl6xFx7ZeQGeeYn3vG/TBXn016pQzrobUP+4uQVoIkry3QRYEJlR8yu103wZFOEM
Jwl+KXxvD1WaPYvKEdumLh9LQ76L0f1FBfVgoVAcsJSHYbUfkK7iNLD7RR+GB+H1KJYhuyPzA6+I
ajkLizeN4CH8jgFsnBKtltUhyslc0ESmuHYsdEptV4HKQBtPZ8sifSeZU+Us5pxJ9DuPzDe7Dt7S
0Uq3blnfx66sN1mPatbV6602GvG7b1kPse8Z67JV4xqctbucwOWBkiYXGOudWW2pn+IlInfmQhPw
1PQ69rtrt0aKJ/NfUe6BkizVrwYP3pyjDa7VzciFzA5MeEDDtP21zBLum3xkCVwAOwCAhjo7KYpt
GFQ73yLCNUQHqsORKmgg0cnaxlp4ZAKPGow4MS+Jcd/YazcLyYTIbgl6WSJBfxw6+9nvgospMu8q
s3zDoTyHfmrXRJNswRwuoNBvlebdgMr8yb0COQkjG0J2cAR+fgR7e2is4qQhax/c9EeT44yY1M43
wlMAhh8qMhdKxv9P2Zk1R4osafQXYUaw85p7pjK1r/WCqVQSOwQEAQG/fk7ep5nutts2r23VJVUm
i4e7f+dMZ4TIRNvUT5cg2xAvWclA28nuZripw2LOngFelofggxqs1CmnPVF8Z4374C3hSmEAWMPH
+V0k8wNcOCa9i/84LS0K4J79jQ4rbBmd3Lx/zvpx48XFR9f7j2IQ6ynonxiaXmQf7mAhHgAnQmYY
dkB4YGypZpdXAK6t9liq5LK45pc7269pthxEYX+NY32XO/Jgs4iGnWsfIxMFv7xrIPESRTgwuV8n
QXAcyBf6UfITjnO4ZhrBJrxroxUaDqDzvnBd7huzrAMEz4xJoj27npu5/gKderbmCC34SNSk6IBq
Aks1sfwNEHk/9M7j6Fo3TBa3WUQQGFIHee6ZjeXY91F52zfTDMRWldDHYS3XG6+rzb5xeRvjdBUI
5mS1WTq2wkmTsJbf2TDyM++lGLXaUKrkW7gtFtvXLi00J2bpqpH9TdHW/BOYIIHoXZN23YcDMDUZ
rIO2OFbWQxkRefZCmFTjLLwdoU7+SNHsE3vxbl0LhmdrZc91FH7xPifWjqCO5VRzMdXbXAPezSb4
hfRzzS5JAdqBFtkOOW9AleFzhVDQuOrtCi8H6faiBtNBNQmfPSv5Y1KW4qAZvECtZCWgy59qNBBV
kJ4FwJG58B6U21XbMnH/MCH9gONKeFgfKJ2JpRHBsJ1f07B8ihJCcOA/dQnJJaL+J7qIzp3TdNBj
UhfFZQHGbxnrU9LiCV6gQ4zad++Ey0eAuXkDXuohdCSr/tXaKYubVvwSntgibflk18ThgRnBC565
XoTCqB4P/m0/RRcL0mEWe8+ssLXr3mVjfOqyyxzEd6bxnj125Vi22tM+0ptU6F+K4E47dU/l0j4v
cbHJPJjoStxza78n8EAaFW3BzQF15LLyxnPjf+digd5cWp+tcA6t1X+00r/kemBlz9yU4/zjtRlq
haz4CfvquYYqufMgV7DKSfbAUy1dfQusfuix8KnvIIRs5sSAkpkwpLDf14XcdYXGTxITmosLoKSk
fOwe9kFcfNNaLk+ZFXCFVOe4YUlb+8fBSe/7AVdk0eBXWFBpuhULzW5i3y9X7MxEsGrt+6C0x0rc
LVb7gc8PwYQDqHhsN20CoEx3a6+Qh8zXNzIgCmnP6g1cwsGyl0scjA9Kg8sqA9Kt8NuAnr2yg5yT
TWndlaPSg2/0NWTkHhnqvZSwMiXrXbkf1QSArr3L6z1RM7SPyxox2SQ/C2D7oJ1hRpE/cIJh01uw
AfzYu1Em2AKT2kCmOU7EMqTmHVGGG2EF3wDsYVFpAydwgt9rJ+lNGXbs7fvOc2p4pc3VrUe6iY22
lIcNZZBqP2uHPE0UzKcm07fE2Ye1DOWzioNt5KujI23kMHpnQvuOgDpgF9M9+UH/WEKZCCX7j2NB
WMfuvpHjgHkElLYYPFANRo8ry03I+NGtE8C+fnJXdMU5mEPAMtz0w3KTFOGrlVgbJ2w3ossvWWKd
w+kKlHSOtH/fsc/9Ibq15/T3KmRwtFiJxPmYrkPbrEe7RclpQRQp8n7VOukBcfY7ZEeGeAUdx65b
DZ4mZj6+BBaIfTaJ8eypjWBZcx0WxH8lFPONJ10SDJ30Tm3mbHVSntXA5kJfnuCsEWtNmi/JK6AF
DLhZagFwYhw4COAkZykhOE085xsQjXPuEe0ud20LgyewsvzRHaIImLn8l+Lybx0haqOYeoWjDmON
v/W2kqkGBD/Fw7EnpQQ4cOOr8LCgzxIuaVbw+XP1L7tQ/1T8xYwtOWdxOvH+dl5ImVyKaMlpAcVr
qKtvV8W8F1v/0ur6+yAlZDWBSRMjC3pBjJ//72EAO9YEwyU1EBfStUq/WTE6CwIzwBxZid+0kBlR
CnTAEHFMNB5x4dR8/PfS83r0+UvhGfDxXs/HMY3rvxaes0WcezF2fCAIcRVLG1zuyY3dkqRx5rvI
RkpTaPs7kf/W///7vhn/eDZNaMXGnGb/VvIKWUoTDvNynAIqFjv/9ge0FnEqL3h/b2M1bPu+2ymp
H8wckDC0N3byb0PPf7i06M2yQMQpmu2rv7ZySEtMOXs86ckNOxY2E3um+gm+UK2OW5sKGXOKQKVb
E/H57x/7P5xhAn6iF8eM6+iO/eVEyuyLqhh6AO0/l6+3o5Z9aBaTpNv//nP+4WDGCo8LmorhB+fs
vxzMsga+h62G8DhHbBqNVeytpRV2WKerOyIH5vzff9w/3DgB4xzO2FxRDHXd/3tBd6Gd+RMG4cNk
bMoaNynZeV0M6vC2+5cOxd97qQxbWGSLIuLudBH+2ig24CbitG68Y9uON/QfeaR9aFcBsSeE1Xg3
mfiYdL1pnHTb6P//A4KLJfRpK8S0Yf5641bR3I2jUMVRS0Cf+LAniGpk3v6lg8Xf5Pz9/vzfP+mv
XyBnTWjk0nHRzXgD8QDQdEU9pL9kO/Zv82LmBe1w5fye4h7mIieRO/JsS48thYMSg5vGAPcIUaen
qnvOlmC2AQbW3T0RrPgR9FDFcnTR3o46znb0MzkCNA2cpwiqgGR/gl0eTUxjP9mVd0wycqGtV8a7
cHbQEOfIst9dE5w1YewvULY4sgT/Wx34w4uqNHnJTvkkfYGzWcd2jMVl0MBeloIjCEA3VBhjzzuV
ReUJDFOdv8U0aha5FU3UTpzYwBsMz32HJDYkCt9uc6cj+hpHrfcLa44Fwy6OqGCHxKaOmNudiKL+
nVu2eWptLxFrCM+T2PkzaaNVQR5cwykkVU0F1QfjCi9xlO/GopxJ/S1DH2+lKqNw00yNqOGHGv1T
+jJ4WCJB8L4d5HRLMiFnO6Hjg+ZjzGGueHj7GgqAQt1YQ49cr7bsbD+nIrTWxMDVrUNKCsAuRJdD
phL3Pe7oCq4szuEPidUsMcCKxcPj21Vs2/sU+Zu5ioPPMa7QgJLfd4dDzU5VdlSmSfZF2vrXGaMT
cWounGJLRGqq955JvacGoNNjZEfzgaMfZsqZF853wqMlXXFbtrgxq9LcKFmA07Gmufod290ImmLi
gBobBAG0iIsvRs1QturMH96DRpcXV9fDi0Wj4DXXzvCGZOpKyWoAYgHugXgZZzFE+q4nTjrCraJL
InNE1kjjeXHkwzZPjb8j6OL0KwsxyAaOMGeMcYRJZaA3A6EvwOD3tgsiArzUCqvSn8QZ45c6LOWD
q439pok+71Qos4NngmVgsX5J/yQ5tqKtLweCP3Yx9vU6IFkW7jIdO191qFip9EpX3qg0Gu4qA+vV
SqJlXKUArQjCZ992BxaMnBTVV5AJwCNUQXCo4qA+jF7lPfSwh3/pbKFAC2EtrWSo8rfWXzy5dfWU
Qgi1mioiPhqTTG5T/OCrsO7zA0nJ9qkQvaHRKIMMKlBR3M4EZtrHqpgBaHqkPTeeV8yXvs4ABZdM
YHddqPxXFhT9315LVtptgGasCuSF7x48tnq1wI15SRKnh93jtAT1fMI9NgfMpGLDXwbwpoa+du7h
BtbRjlXKMV8NSo7Vbi5xt0KSnipirtyD68ouil0cNupoOd70krUDKraxFCFa1sD+o/Mw+mSL0YB7
zvJlXplRs21EN0GldDeC6Jh2XoDJKcrXbURh1BHn+AOgo72IwEo2dqhTwDgE2znlR+nOJqH7XA1l
sLfgBZxCrsr7rA3qW8eV6gEGxHKkxdS8NBLVrDfaxdvELP/eb+LmMsnI3UJJALc2Zs56MkqfuBvh
u+maI0Ku5vdALeG9gYlAyWThd9j6Uw9Ub2k87h/HGt/8ahY7dnop5GVW7/NWPXs1ydXAngOyzIWo
4dANUp+DusVKWFqxenIJ9PHvGvOrfmKqt3JSoK9soCwU0jDL3lhylPG5AGj6XcR50N4kwoTvTZzA
1mqkUZiXhLkEkM7XsqGJDEAKNTgA9XKCQz8nV1YuR367mGFmDC7oNpHftan4IJRfQWx3ynhfOmm9
axtauWCz3FmeCqfvTzZMaHDSxIY2xkvLRxN35on+ZHhBPhxBnBZudqbPQgTP6zwArrECOKjbdO+H
A2FIH67i73mU3YulW3cLnRE4HFF9gDcO25yceKYnBHUhfFLED5EdNnxInQS3JyPvLk4TPGuithJa
yyNtxol7euX7aX7fXScrbemmQEMxOsu4JnoO5BXBqei6aC2VznZdVEe3doeeka/KXGoNMIh3lL0J
AuuaG0u7/TJYwWc86mbD1CFA2u3hkFeiuwytequm6Q1BtLnppYeTABvHfE0wXoPy1aDG7ZzZ9ok+
0L30vIlOTtMSrdRI0tDYAlgRkXViTkMTExcMMT0TkAqmAQEGFfx9Ilk4y8enapKg7vBAHcugceuX
qCwJG5Iv493bYnxBYY3Zt23UmW3RHJgaS/fnUkzVrYL+dBj4r2c94kSc3aL87Bav3zaeyPdyaekg
xk3SrxYZxCvHzwB5xLCtS5pHp1KFiCHaaTgSFYVjR8dJvFimTqeVTJtkK+GYsV7sw8lyGG1OJqqf
9Vyox57O+005iP49Rf1gXyyPbOsmAypHCDHJ0p9OZd1e4VvhoKmleOvNhGM9K+JdHZXtfmnyr85m
6j3Pmb8LuWCB0qZNtJndOd62YTC8lJkgD+7RBh3oRwExpovi2EdewhkR6HCOb40rqoPd52btuWR4
ETIPwUpNhbWXyku3xq0gkLfCux8rslJYe5rP0VOXQhr+fRbyPTSULb+CdrL3NhTZS2IRgN860YRD
DHMUPWgtHvjJKK1CZ9nDYEs3vNPRtdg28p8EmIxqDSYbKxz2xpkU9UPjFjvX6oPdFDndOVclKzlo
z8U6rFv3k8fz78Zv5jW+x5i7KQnv+2pAz4tza5MGCfuWxLOvjZwmGXYTPJOHpEwEK/xQFPIsi7+j
RkO5lUF7v7SO+7PMCEWEmwjYwJndrftm0ndxlgvW+8ljH5jaHdtwFCdgnCxvZYEMxLa0GvskO/Rv
67GFqYFTNNiP3Mw8Yj1JBDZ26D+EC+2FcOmehSjLEzYdfe64iChD8pkLKCa+Ckt+zKebzNJy3fGM
/5GzzR0N+MMgWJ4LcNWQd4aON3NXe/k5Nn4CWw64/SlzEvVRsNLHg3WRB9YzkPdmo/UcKYrbOnS9
Hfik8BRrsKBMEybaj7YEuFUruYpwWHw0rjeegjyyr3pkMsE6HO6mrtbbIsQ007faOUeMah4YfkVE
tTE38V5x2PhqmBdY/ZzdVzU1tJeTYA7gzKxzywnq7dTp/BiUwBnYe+qh05GaKHUWmx0BiPYMfJje
9uQF4gBXK5aQmrm2Kc2wbe/m0K9++nxMhjW9nXrXeeOw8yNJYcDc7EH3PXl7Syn11U1qelelTN+4
dqat0e0crG0ncZ9J64LwoOz2doYi5eIHIFZsDMw+VAsywGWv4bbbegp5LVoh4b/cptKZOpUeWysw
MDHtP8WiOjxK4FV8qtrdFLbp1ubqhrVZCW2vmnSeNnMOtA6t2q9QALoYmFpAeuE+v/B9uuVxCYZn
Ddb14lm63ISFnB51LRr0fDk7+9TEknRIymQaZw+YqT4om991MFYn25SvmVb5iIYrjF9Sz0kRcpYO
QPq5htVnT87DQCuKPd++ZjroTPrs6isJpGuQNIwSGIrEQ7vYSEqUV5Xz1otHdWLEMKADaprvtOn0
NjH98KgKtrxtIFG0u8vrczh17gNE2zxT6G3zmM+fSpnhfvT9+TJUPPupo/QOLXzzOXeifzUIsbaW
VbLoYGIekH2Dq4Nd9QaQSPM5lH674wG5HNx8emW5SuCqiDvMDHa6Y4FsT/s53nVS/47IpG3KfPxu
a+rsIZ2HWzmjMppQcgZFoR/TkOWlqYbSAK6l3KH3hHbYxVbxlUVR9Za0efJSchjRKCH0ldBTthNm
0euGp66S/sJV1J+T3Jb7UQCy1P7UDdSz7FHgYQwpjAjd0zj05Usu8/pGgnsCCrq4PddtCF2y8rP7
WeC74D4PeQn7kP7MfyyDsjj5hbLufTUFvI7527alUMudbFKAu0tcMS7Oy1tXkQJaMT3rEVkaZwNc
JwEBQtx1PUcgnKrFbg91VWABruhvz8r6DirP3oXeUuxsyy3VmuFMTNwsEwgwKmYDA6Cwi1v6/YER
+HIb5HigNm3bgFjv6RcX84gsOrWfGrgEHM1wXbTGjI+8DG9GHfZrrlnz6qY2bvYk5f7Q+jtqsYNT
IdzaMO93uQeOMBynYTWgJ6Okxcq4YqEx20YgG/ak0xQhKR9jkaPHzUjv9FmD2KZ4NX5zAqowHook
7T7z0Ec/SRl7iHXHohgfH+TfPHniN9Z7AuXR7YLOdo2a2v9J6kYcPSt+6zCftWUwbiCC9OcMRP3a
Ycx8qWSnDi5/HWcPAcRpkvCghWcYV9aonCq/os4InAv9qmzdQA89YxeoYZKw/3YvFsf/Cltq/YRH
5X1nUwXGXQyVneDRPi3T+5yxxh4da/8rD8PlvqJuZJtWnRS3LXQJ253QCkXpKeUjgUbYsTlyfVIE
TuYuHCjCe0me7ZVuO/37SiZrBaSP2z0xu7gom52UPqPWNOKZzvbwVlepWBsrL9jCBjzu5ryPaY83
x9ryzSmYO8B7OtHpXjicG6olcs6BHO4cpSbQnapFC2dNf2BIyV0ZggdcZIpYrOpPCpwOv2j9nRkJ
+Cd2PuaFZY06u0JtGPHwmiqynVYDMPiritcDm3rDEuGlinleTZjt0J2YZVPludhpVFOrGGwcnnoO
8Gaa1dohKxIz8uGc3KayvNdegPycxNVqRA93Qz3inzpdPc0Zy3GQ1cMn6dDSos5uHjBVj8cRsl24
BA5MwSUmfqUGZlx1ufUijwJaWvMGWlxNnx7uDGs896ZnCpC1o38sYywDUbmorehdZ+0syt92nsu7
1bFYb68J/JckNFd1DcSPdeIrQ3GybyWiZNb5MV4r+hibiAXWLbaAco0HWZ6EXw0bvFXWMdCGQLhf
QzPX7UPidGbvNUu05VnHmXku0nVMY4b3pvOeWPOymtvC37bAsnxYzVCUiDSSffGZXzNyAUSToyP2
H/yRQlDFGs0VXxzzjQW2XTbEK1zPj+hcOW47fAR+x2MCm+3F1iFDpaR5jqbc2pPX9taA6vm1I1xY
pmrJH1WAO4OgT37j2vQ3vWlw7tEzgNiCflVZ1wGNZ9n88qp4LhyPtiWl+Mkuuf2AZKF9CZSB6jqV
CKaS/Aswc//IVOZ77gJ5ZqG3eBFTHZyDEoJK5aT5KTXjR+XXDB3z5aoZIV7MyHlieLzMecGlXr30
Tc9Ml/zzaWad7Fxk0EQZd12PslP9DrZm3FtB4gjQbmF5o8dp3Geu+EVTvbzAzqAFlmbsHap6ONc5
w+xVMML494YhOOcD1smZPNkm6xitOeQD186c/LHELFb14Pnnwqo42l+pd6jE3mjmUo2FEl6cygd1
z4LUn8W2a9bJCusBBcJj03NKZO5qnad8kRy9GOsyMPQuLH/wgEfJu3Uqn2JAlgM3XN3K5A7KFgD2
uOLokan2iQdzchuxdfVdtBHdmTJ1gaNObCl4ve2wBmIEaDyuw6Kiz78e+0itloV/SNmG0Ib6ACr+
YiEYAWGFBhrbzT7Vttq46VJuaMU/6AChOlipL7Z8py1DoxbwcOtdsELjsx9dhV84xs+9MrQZzoCA
jjPoO5j0BvJPMjtAW9Op2jQIpDkXgq32aYns7YTl8DGr19UU+G+2kkgBFY7QNe+UCqUsW0H+1QFm
+VZMS1bKo+1FNvCvJaEA5pVRds2H5YnsD6lryNLU/DpT3yxQfac0Ho4UQuoYuZp3VSWmHHBl+RI3
qMjG2Dj7nAwbTSDsrExPH8Zkrn/a0F3Oy9SJ22HAIx5Ww5biqth4KvbeRc/6wTwhXtCe86dK1cWK
0/Y1KdAzpWHxqQY+rNlLr34goNXT4nPemQtaqb5/6FjRyF38WrPfM67sI+MBs/Lkup9deXEYaUAq
TZ9y0MgiTPNLHs/jQbksSbhtgnp8gh3gXBueU5Mf3Yw/7vXqqDJnOnQOzCTNtt2nQiDE+TSebsIc
nO+G4KLY45V0d9JhmQvemKaqHWwfU61TP6X/eW6xp/HpjBrXOn1gcdSeJe/gJDsrt7yGgkYgFFYL
zGsoeX2RPYamBeNl1eUgB7OZAwcTkt+RkzrbTHuPFZHSY10B9ar9KzGq1E7z7BvWAf30etcZhH5D
Qwfv2gPYmKBO2PRJ2k0V8TALl5ZrrlB6U6RButZFDRR5KJ07YoHjJiYce6r1Mn9ISJxbZU3ky3Im
z14xzps4nt8d/q8NrS1vE8gKMFmxtL9Fgb762pj8JZbmd8SkAdhcId41IxsMWZU/b10YxzSpeqzB
JQorCqKhZZkHiz196RqbVOZ3f0jaUZAI/uXga6fbsvV7jCpBtVO2pDM7VTE+ksjaLqzu7CaWZlek
sAMymu0Pim8elFVKTL/yB5szQe6vwrbyd3MOM5gQmL6pQAvRiZ6Y37mquEUCLh7GzuluA76V/ZIL
Z+9IP7oRWSTuSlxIG7ft5t2U4VFpbKu7FGx0XIGw1vJQQKDasX9U71KlPkc6iec0S5078O3LFQrc
Z7sky/3LIpXZ0oCvbkG/mg3zvIZdFZLI1gQwT3tNdlrIRW2cnn0x1DdQpEc0bIGi7jSsBm84ik63
Qg7u1h0wnxfT6GzCLrt6xnQTHCALQu5sXCbr1XTVkyx5LA5YlexDc9X4JIHLrLiEw9vFZMVdU2U3
7TLPuyLrkqNQ5g9SP3cXVUtzYDkJvITvZjekVifqJq/mzJAvt4UipjolQPwckqKcbDiMH5PU7m+n
RM4+kVyWaUov7i9WFaNxQc640nXIH8/GYatF5+6tfCrvxYjZJhDAskw5cqIxLbfJlE/z/XQdbYxd
REjaQRhvO4K31zxsmyjI12W+qLvC7bKdV+jhsDSD3s0J+zhQMr9143KA8bN258yUVFZjeImbVJ47
p6HU7fLgVpjm00vou7sW7/SVHoDTBw2nmBb/BCbx9Dme9ZfFcXuLsA/nmrF+1KA/2bpIThSo7qNf
BvF6rPhTbUk/k0KEizugXjRWDMNbXmdcgyfWwZKGN3Gjn0TNizCr83o96u5FJD0HKn9CJ4OzZb2E
sd5GLDA95QW7GEYE5tK42EKKzkVH1PDcHAveERb77OwFUbhV/PyVO1g/7OVev+I6ZqWQNYFac2YW
ox7YneonyMKtWg9+Nq8b1UyrKscEpB1Y+tIdh5sZ/TfqcoDYoKNYJlPtCx+IvU54fKwqW7wM4zjh
0kYBy7yg2DAhX261qKZHH5gqVOhKsV8icZljStwh/PK24dA8K2v5k/pZf5Mm/JJsJVDH1jlca67o
1ZBqlDse2JJ2ymderBZovIxO76XP3Xoj3aLap9jA11aguv2QKHBiKjKIuhZ3VTA53SWVveOm59nR
MggroaDCnfTEXZSIj2Hobum+A9Mv/RB1XPi0ONRkbcYDRkVhvA01JQYpovSIfQAXWrnwpVr0sgod
v6APOeQRkKgG89fkocmKeoZwRTNRhtb+cje43VOg2D7sFnL1y8IQgm8637NN2SHmC771Qgs2rqwX
xlLjllwOizVXv1Rn4ZIzvsC8XYQfjsumWmFJdmtmw0EtdyiT2R36XRmN65pezI0rNU1g6F2VyUh/
h9ZDw1DxYpspeOT/yV9s+sArLFuUxLOsDo2h+TF21gN0G7Z6RfzqdclL4ZtPmXJ0HVs0Acjo2A7T
yv0oCnfahhZ8pdliH73zjHzn2WI/Dk60581grw3boLtoiOUrlnea8/FyJ5xa35auFx5h6twrUocb
keZIWNl2WI1B9NBYeNKGxDxPyZhsxxozRQ6G9gvYDp51p/yzlNGbXq6LaA2SvWp2xhVdTP8q0cnX
bmusz87UxXftEMpjrhTd2/58noI2205+aoBmQ+YgU9Xd2yWLWQMQ4GflutXa7hLKXxuOZ2CzjhED
+X/OcwuIsnBevLgx95q9TPIbimcCPq+7LFqiG0nNt+E6Sfjr6hp9ESuxXbxwN3I6Y9jvdZi3CpNf
z+df7mgKThbYT7Eb662Xs/Mxd7Z4hjcDwdPp//Rp2P4qEst+GasSLAwdzDcnR2o+uu2j7q2D9MR7
OvhcysnynSX2txXY3sYNjbsVvt1vbGnnazZly5NdM8qxOj+ES62nbdRG96Oj2bUAqBMqLR+dZqEC
qW0DqTR6TimO6awmf8j2u+uer/XK4elOcY9CApbL7XRVvBmvTi+eszxxBPzifPuxdMz1uJjJJQoF
wFwP7bkNlvi3bQ/z0cui15GVzhW7+CFP/iG6FDFPNZucydEZRrzziYGz3PTqw47cWypy4K4hguWN
nTfzZnA4zDh9Nm/1MiYfBdbhTWVnXw0Ps7U7XqF75TT5J1HCNOwbYT3li98cwkFg+nPqN2rxZjeq
jlkFdMRuXKgfg9Y5I+RBp1SkHP5wiAxXhiu71aaWR5x6yyugzzdyaSVOzgTJy8I+1Iovmt+zdJ4Z
r9mr3oU/W2bpOUp4TrDheIDWu7B+yXpUlb2xL+FCTATi3U3iGf82p2vXuuNdCSF5WIIj073izhrz
ZCvw57AHaPUvGNzcW6+vFQyZMb7xB1NdcocThUXug+q8aPepzQ/o2nbYZtwqQdFZJ9Clkq61sW+C
cohO89xQyo/BkB6MYFKje0jYWUmiqLpK0pdmYf1O2nW5x6/jHG0ncg59Wbp73yKvPkyxewhq7Wws
zamltHibFhyiXkzS2RflFkwH7B7qQTWGW45XydmO0nELLJb2Isat9OxTFz0LXwRb4Lz7jlPeFtRj
dYCNiwW7kEJ9jWWZ7BZ7bvaV29p7duxnon7M6pWHwcMSkISNcZhIZq+h3/2SwpJPXcQ5uYVqnYiw
PVU2JQjXF1KvZmJ4SwB7SjFlZKCp6fQz/ekW3tLoPMt9USvudyyk69ayLh79QR65XbwqfPXomvYX
o02xbaS3rOd29O7cnJW7BHvdW5fQhR9oTrX0iamNjL2bWXLZacumzmdw6LUd0/eWHgZLGzdWnODQ
cfrw4AzIaPBu1Ah5NQqKjDXhBbD8pp45V2lwTy8yLrwT3KbyuSPXhmZicK49UpZ4fZSqdRzLYRPU
Xsie9VAzagjzXzkDdTpAI4NZTq/rDATll2OmHzqjnEmCMH1MlE/tc93hNC7it6lOkEr1RQKZvZfB
1gq99kf3OJSdIfgs4iA91MoJ7jxgjzuO+GaFhYwBc0b8wS7ov1nA9N4JCI77yMleVYGZkJVW8G8G
GSz6AUZhzqpD9Lbp9dzvGdTUa8ZxrDcDV6cV4tU/tJ0LfHP4Sno2iICNJyNoXIuReDbt0641FPRW
v52hOK0Zosnd6Ic/M1RpIB7sgdLh+hE4H3+KII43ztw/RBaz0CAczc4EfrG2VE4zrO+mPdgMNs5j
kayESV6RtX6HAYvgZgjUJ+Mo/ybMCtKWHi3owc0+SuZmmw6xHlyzK3BTciZXgFlYeQkQtARKIM1F
DDYu7S/XR5aesUGy6Vv2zVEloGmKx+Jc9S67L214D2cZLI7fzXvLcZn6Jk14R8LZ2QnZJ2fGeK/W
EFEvIwjaDXbTveB3KXfeDJAZDjHhfg8JcLqIu6llzmcpDkCBbHjmFB7qKa46RHIYSnu5LLcGideK
sE/M2rTd3rAAW26hbKO/EBLuOQ20c0Xfkb1XRAjwz/SxCJmCD75lI2gzD37q9itqtuQ0GuEw9WJ6
wYrHkVOo2OVpefF9O2jIQejx/dpOW5X+1faefsgExn8ghM1UMKi2Dg5E9qS9W7aAlsOIyBb7gM+0
TzdNtk6mYPiaZeidw7Fqz6zxzIxRLRnf+Vg69nWP67RKbfuoPJ/1dl8FqxBrWYDHjc/DacviUk9c
P8UIUtwMznEZ4ibccE+OOxS/cL9gl3y08+JgIWDAEVVYMkcyM1szMyHk2pjf/7NfUPUM4LO0Tm7G
yh76bTDgVBX4WVfSMyzKOEgbOOCVA23ZwNXBa6Xnhdg7Xb2myuqHman2kenZACG2rkde607+TtR0
JuOhfTRAKmnPRJ7MbZKI6BBn7nyw6zB/Av41N+AaRjZGliXo8Ne73cZ3qzFYRxmv+3qarHcGGCOe
oqI9tu5YEZ8Q5bRKCc1unDpzrFUXKRj9OcFeNEBdd6NngbjBUjGUTs0uyyZQdDVWDRy/I4udBaZC
P7joLKO5XYmiuO+7MdlbTBN/WKf3wDAjyKyieMexYdyb3C5Pg2F+SXO7bY+BRV2yypHYb8swaNZg
BrI1PAX7fzg7k+VIka3rPhFm9DjTCKJX3ysnWGZKSQ/u4LRP/6+of/KVUiZZ3Tsqu1VSCALcj5+z
99rHpqKVy6o1MXAn8DzzY7b9s05vBbkAwPLiMuwEDLjXAxatuSmT265V4XXbt/U7CF5mfLFPFqrH
RkQvddx1Hkl5s0Bkn8jGpZ8RerdL4uBjd/V8VWdFFU1O4jwqq9FvlWvNJ+nWBSoLmyRNPxWrOJuc
qz5gRGBXFgpApGFq18CL3ZRqSt+H0p4Pg4PQQEHCvrRnXe0dl+CEuVHdllFndk8Ys3EMFmta01Ro
IqHrP1OKooZWTHYmeg9kw5ybUEbb3DdNEORXozuUO+mSg+VMPLGuHqkWk1lONyI15tuUIS9jP4un
uAEhFWeEOQ4qTEkwR/AzJ0FbnMJyJqVrNIfhihgvdHs6n1mm8xp5glVLUtCGxL8l0ktcekYBlmrs
UXB/Ldr8RCMKVsE76zUxanvmB42o0U7dmBptepgAHbdyn6XxutXbLPhGx/2ZDRN6Cf8LaDQiOv4g
dy7TGiy7rdNjCR873UjqILoEdUhqn7SziBmSwpDgMWYxem2YK9ITA7km/8f9/fUVf6K+hTtCiwe4
5NkR+uGKa69H4ZL3wb7MjY2a+xc3V99c7Cc3FTQU/nCTfRob4UeBLxZMoTPb3bdarXyqFQN/lu3I
jTEevr6Y8137oOBGu40RAvGhwLn8QXPbTM3kuYPt70Oa/0r/zjn7195+aJ7C6eHrj/rsougGQQxA
UgwZ9cNFlZM1djIJDNI8nZfKaL1j4i/WQ2gOxX2Smtb/cGUurfGQq7K4jR8+rkAaWPKuQzNf7kse
exBwkT9e6VJtwBJ948H8RAoeujjuBQAx20Yz/W/p8uQYg5uyGxy6ZH5UqUvjztmDAdjbXnKvg/HH
kKTf6P8/UUsDHDUZNnnMDuyP2DIrW5xSl7gg0TFFwsKFVKeYoQwa8f/9e3N914F54mM7/ggr4tv0
m7qf8kMmu0tdh0cDMmWOzxHa3t3XH/XpbQw9bMDwFsFrfXjHmSFXzKc16KCc7oxNmtEKKSbZlvQG
WpuOY/duuvp/uJGeyXMSnOEdf6npyR1JWxJN4TyWtrExcsP5qUXinmqXXvbX1/fZ2wbAg9Mnqi7T
+viY2IwK86A2nQOqDGpkKw2yS7d1CEhABTNn4NB1kkcSU6S3+/qTP1m0sK/zrIB5AeZnfbizue/n
opy6YR8WtfoRo2q8nNFAfPMp53fq42oSoGI5c63sEDfyv18DW3GwKHU/HeoMF/wrs/KNHYt97ELz
pydb6uDY29/xSD69NO8f3ACt+r9ooIyVNcqMnowLRuKmiHfzWPx3aAKPxz8sbOH9zUEcJ7dUyO36
Q0BDjkRko9hJB13819/RZ280HlAsFwC0/mYJNxyTbdXV1XlYmd1Kvyf4sSH2m26rPP3Xj7J4/ghb
QrRowoL48EVVA9uOqJf8wBMZTagrmvHczXK/uaJPNm0+BxM83B/64X+hxCdbl2bnsVf6ffAQzMVx
KnI0683B9fVmOas584x+mLqYFs4JX1/j38+FZcLmAw0ByBwC2odHvkNkMwV+ZR5GBBK5QlstrG/e
57+/MT4CaDu6Le7hX887fBgtaJEkB8/vd3NG8peML5blO7r23zunhagt8AEnYef4y+lVERdU5g1p
jY5FlPkv92xURrw3cET7z7eMDoXlhCzdLl/Zhz1z7PwC5YHL9SClxW4e4Xj9z9uyBe+dx/tsXsJL
/OHJcxnFul0q4r1K+2dXGLticLdMJemqFS/SM775hj67dQKRBjASn6rxY3na4XMcinmmuZ7vC43d
o2wipDLnAcnXt+6TR8FFK2qe+Yk+RcCHqjApTHdWJCbtYTiup7h5aR1vnXjW89cf88n1MBdzXKqo
s+tPfPgY0ZmA7J1qPOQJget02mrOluTX4qv55ln45JMExEA2fRPrBgTkf6/lQ2INcjJ5FsAI9ZvZ
DlHpNFTXiKPabWGSMPP1lX1yA8+8V6Bx7Iswrj48e3CJaMUM9XywpmHTkIKWopybO/ebLer81v97
i+KFdUC9ug4klb/QHDmR7+0iMh+Aw8ggSrnpsSekFI9z+IPQ4Zc2pkHw9ZV9dif/QX8DqsGE+hHS
vggSTcweiFuzAA1FJHuOVLThMT+XRAP8Ej1C5//hZtLyAy8l4NIDtfr3l4eNuyYOuQ8PKQbGnZsR
bowjKNvkI//09dV9tsaHJiU99ntq37/2EhczbY66vTomtYWmxOkTbuZs30qTQF2vQdJfZI7xkEMO
3lYLLTdBx+6b6/3kFvMuOHghqT4YuHy4XruEDuj4cgZ/oOn2ZiLZW7SUI7QsipCj5rvYjk8/z6Ga
AqlpUs592FsQAjCvIVOOh9UCTE+O/C8zwOXTfVd8/10RWxhcPTZR6+xY/Pi+a2EYRNmY8EbM9Cl1
21XNdH+a9U6P2U3ntZskGL8pdv5+EW2TD2OVOfMAIfB/eHZ4cJQMpdxbOogSNHBlIbY5A4Ovn5u/
b+G/P+Z85f8HsDUsGUq7hhLEmk5Bh6sAwSFtSjO//fpzPrscUHV4Ldk8cSp/uBxlzaOd0F09AGVA
geqfJh2sEDB+Y1797HI8cmLOp/YzWOv8Z/yfy0FMk+E69sJ9q4iYG7ElYJ44GHnMYN79z9Wbbfrs
oD6IVYvS6sMlpVXgpwUHmUPYQm1c5XaqfyLoy+4quHx/vr59f1dRvNMBCFS2Acr6jyXBTIRFyPtE
9Hin69daj3KJsgXQ/zdv8GefQylqgYXkeabM+ff9G2Ru2AFd3D3RPkgiM6p5df/1pZxvy7+XftsB
ekbxQV/FZvf890fkNg6tTGImXRIRbzoe6Q35rW/D7GdHO1jGA+3l+fHrz/zkspxzrM0ZUw1/4GPT
I/Nn5IXBkB/c3IeSMotjH7jPX3/GJ9dFYXhGZ/Ed/Z1s08y5M7iBag5pgOS6klEx70MTOgt5a0h8
828u6ZMn3fXM86cJjybVxyUpmCuqbUMD50At8oQp55wax9wRvbi4aZqy2fz3y/MI6wKCSnrPX4lW
Zok7xfI6jkVZTCc6wHL6vsSivBM2g76IEmb+WS8GYKivP/fT66RR5fBKc18/wtYMmduLadOMwOLv
3eR4Li4TROG73LSJSsSG9811/vPafng+YSjQGbDQfXCLP2xi3ewwxDb7/IDIaCKz0+umauWR/jqu
rTrV9bEYzFHQ2DSt7biMmFdc1GLGChXxVCN40uXVxDgSWkwDafUEwFU8y/Cc64r1YPHWUDIM4/Xr
m+Sd/6i//+iQLfBMQvjrpcKF5lnpbC6nyFv9aFbX7lqtEJyshshch6tfGEPW1w8Pd7/LFXnGq+eL
i4uVWL1eXa0vnGO9uvr58/Ferm/L9en05EVP/X//Dj2itUAX0N08b6L/fuWLnsUe82h+jAm8AFtE
qhe6DurYW9k75s9q8Jdvol68T+4HgEVQbJbN6fpjCwtBpXByo+0PuMvRq/jD/BBmvYWRt86/qSs/
+SiKD4o8AYPeYU3798XNajofPylXg1qsc5HuyqVl1qC/eS4//xhhgwL0P6FA8EhafmOQxxcPQXCu
W4kpwYR3CM8AmK+fpn/azR+eJnHG55/RKefDgPPvS2rs2mQyxuo/DvOuL+yTmRJSXKK0Jui7QYW5
8rpT3s+PRBSmK7zJO8dMjmlhfbPD/l12gYY4nxEoa20e7Q/PjUC+GlpnIGeWz+3WJL7n2BPqhRAO
eOcDsYPEf+PJjpbQXbZf34NPlh2qdhi0JIfRJvyIT2dQXi7eFGDZDxDxtqTQ0yqxA4Ab6puX47Mv
lkEG/ExyRDgSfdgPF/r+Itfk0ZMyv4uxYU3WvMUR8t8viN64y+9nWEKH9cO9lIHOcFcMxmHwMCO3
qQiOw9jZlyZpYWLwvMev7x/Q3r/XJD7Jpyw/0/zJIfpQHy2697MGwfwhMEpGrSZEKWkAK165VpjC
eVomlUc6bGq961V6xYNonzAckaLeLIXHcHAxzgqueU3tE661lZjbIh/ecie5z8pgpzyUAdJechQK
cx71NtymXg/PAfTgdujusG+NkVzSGs93bd62oXuZkn9WhNkLAjFju7SVBK8t/xBCx6hQYS1T3dtC
ovceETlkgyrnlIj7HXnBUployDoAB6mc8i1KzXKbpaFJOm4jwokYdtTFqDjnDPmTKzLcURY626wB
g5Yi53mcprn+sVj4OtZjqqZDX8TAwzpl7EQWdG00dIPcxR7sQaoiOGisaDeO7Mw7bEabaSgw1iJn
XHp+fwJlIoo9SbSpmMDZAZJa1VnOH9g4aHYiO5isH65l+vuZjfMQlHbzPGu8Uoz9W8+NgnkcrjiY
2sfYNMwtYhA2tgHJ3xTaw3UJGz/SS4v9lkgn+HFL/mplTf0EvCoFjDFwckQW9qMhjB0ftHofUMvt
yhwVVqZfUtTNOzN1x5scidvPBENbylnCq4CTAPmyiCpjnhBnv/okd1Ye0+5inRVzd1ycudoFBeQ+
HFnqhjY1Z3NMCeNuIYoPKTY6DkgI7U9cTtMOEX6x0RijIl7e8smzxxZh07hf5vGUUEvcJr18J0me
iUyhrq3RQCee97TBjVxMG3sEz9mX5oJdanQ7aAcFVvgJv8NGLsKXq0Uv3b7DW70PAzSwYQAkEw0W
DpkG/GE8OsYK0Y5/YfJK3ZfLIA95yLNmt6b7IhsL1QHW3HXYI3QLrbA8tK0dXI6u9lZF6dWMR8dk
6yR286IbUe8hwThPcWE4e9cYNA4SQ+/nGvkADgTcy1VrDtcJqps1K133ZKGhJKlmSB4mNd/OCx3C
PgYwGjduegf2A1VqNz2bqlF/PLcfH8O4cJApzxAgA9xQPnLwNZPaAQ24Yzw2GN7eEM5ZRIY3ZfaL
58jfLSBu9Gbo2EJ5qwgF3gCxdhwCs2NoSthaQFk48RAeScbsHxj1gplLjNC/ol0ZvtEbMO5U3ssD
mgR0G1NfDO0qnb35bZRWY5Npb+br0eYbtPxliiyRZP7GK0P9JzAL9RTiDWVk3jbzo41bj5BrxMFu
I4tdtTjLsyjrdDd52XytVEyIc2e0P6Bi3OL44zu0xhDWfDyhQu0I1S5a5f8sOsQJpK7J7AK/K/aJ
qWj+KHaWe01LH4JlOqICcl71hLBn4fG6rHukZVXJJJ2ntHsYKHMjP5zL6FzFRJYDK00M47U2jGGF
Na6/op6xL4qMxiaqcf9kdn4FUHQRURKXcp93bv4784ZMrfNwsR+yuZiiUYv8UlBQR8iP5Stzc6gY
C0qIGQrQljERqqc8aa8rtTyj2vVAlYA5BmiRZubGAzKIVwYewjprka1VozZ/TwG8OhqExgHkYrXl
F2K4FlK/D0E1IqUMpvI1y4vpKpg0LmZfTunaMeMeS5tHdyopMt+MGnA6137Hb2qbNt9hw6lhFdGx
D8ywLTBxjmpbKasmKDjHhtgqKV6XJOnXohTuzlF+cWFbVT1EaE/tyDNzZ0e2eBVpxDjtkWYNuu+S
l58GledlK2HkXb0ywjIYNvQ3m3dh9Oh+YzImWE6tZoGs0ulpI5teHefc5w4T4O6visSd7+zGSrew
5EtAIS2uHxfKRL6qJHOi/eKk3Y4ngVfJSYaHMiyZSiX5YgZEroj4hMNJbR0LTf3cTb9Zp+M3tzBo
iGUCdw2m2D79M/VKX8dpWh9DjtqoSh157JzO5HWY+dPTuLjvdWi9WXoatjJXy106u/aTY6AYWqVB
iyZYL1b1q7E0cCBdQHuUA4bzlRS4wkRPSLMd6uEugCsQWVbvXs41eaToIkN7g4I763a97XpR0410
ZUDxemFU8bbcsAzl120LFR9FIe4ejACGOBL4ZlxDIJb+KslrwEnpiGF7FLV7sXA82FspvsokNwBg
iqx3MQKG3rT3CV8Eg9q3Pyd39DIwpvN43dYpVENsYwwoXoICnc00+Nbb1C01zm57vBqyth3Ywcv6
isRp8yWrJnlEl5yxB2LcE/W4q4Uy2X6DDmW7P0ZeC6kiBYa5nrP2YIv6bS4r8Ak1vych7hpZ1IRV
BmuvHVj4cWQ8bwx0BXuJqDUCFNKiUUOYWVTuSSAxbUkQX5V58WS71o/aMd+0dPC7zemBqTHx7Yvl
o3AnC51E+3VtgFV0oF+VHc0TR/xpkbfv2tjEtCGLeW2kSbzh9cFcSS4SujWzt34FBQlHUJjaq07F
LEQJ7vPb0WpRxREQj2vVHCM91O1OFkN6Kooexzj+iA2i3OJQBpl7HOfgV6qMF0WENwVgeyumSexk
Nr8udTpFvbaQzeVKbpKK9Rl2hVVuMHiPJw1bYqXjBqZTC56pz9Pld48WeDVYgb2dkpB6SgZ4YJNC
blrX7bZKkv9QpK7eK7LBKSdSlxDSIdkQ+otjL26mTUasL6pomF/Yf491V5jY6NUcTTkEKTj7XVQE
7c1YFLdT06GfK7OoLo3gAXrJvI9lUG6yDrObt0CfBmC8m3JxdMcJ4DHqzvfB95oHx+jHizH1Uenj
Qjh12ESw2E3MGXscmq3PUN1psqhzhQIcms1RAox0qIPpjrVnuvD6/r4eITGJdvpRdYO9m3sfspPG
+AewQq4zT7NezlDF3BnsB2DpNYnq/P8uufZlY6LP7sHEZN3DKPr7YfDUzoubS8BZGXgglOUJxdC9
awTLHo/sVEW5rbPIw7P5kgt9x4Y7r4OxtGCjASS3Gs6qXYMY0LfBos3GOUvQ8EPaiTCAXdt6Ttzm
GEAk3bc+cfM9W8kJA6WFdr+941g13oh5Nu6wB54LKZVs8mXqtzlazJfC837k0K/22sW7VHAUWxfx
7Kyy0sgu+8XvjmOQJrsS+FZtGDdoizGSg6uN86p6FhVPgSHL30Vx3u81zNZ+1j91GnsQo0uC4bN0
4tAi/J2tp+IwxN4rzGukuEORrGdaEWvlyWpdEbm34fAd7vtgqA62GiWvCqCXzCNcyS8TOyKwjq76
cCUK2ewoG9ItcaknBKoySvAgXABmStaLARfJb832wlLAkOgq/pz9rv/ZdpyES6NdtobCuIAzJODC
U/8ketp/LZmGx8kBsUI/kLGzLDEYA1+96K0wuzLoQ0E0qwwe6Bi4wChu4GlJ3jr2h0I5AgPvPP2B
JdM8KmXczPbiPowlduep9+yNp5UJ/SO/UeRUrLIUhILljC9Ny92ZSptiagyCrczKmT/GA3MonOye
zk8dVY5BckYNRTzsG2TmmQMObVC/6ffcJnX9oh2xo5bEReyPjwsv8s7sNd/eCPysslqiYEWmqIq4
hkRWzZMF3309zI77vISsj1A5xnWo4XidwZKnuqCFq+HsRoi6b5B326vMS4JjbEh8RLW6mSyISzao
tvvWD1Gs5u68mWk4YMIPir1X9eH1wnq3MXSXJquR8fhNIV3IJ5joVCPf+2zCS+KjgO+qttoasUmf
sMnu3KQNLrw21Gs1zO6WWYN9z87FvzSkuWU9eg/4giARp9PJnw3/Ihm67tmm1ltllG3XuQBYP/bJ
PfDeQ5qjsm4SvfHs4iewhgTPg3urUqM66iqzH2Qfc3huKAZiRNJ5jZLSzhUcdALlTrHdPU8ifDKa
9LmMpb8tF+sd31a1x/DbrQejtTbtWWYNQIqXsnAdHlzWoCzp3X1q+/CAubJVOPp4HxgCSYqq0xT3
d8FocnSHS7hxy2Gh1jHudDJa0eIF48lIwNzIoKjvyzCFHdra9sNQEA/NGpogVV+6U1AC0EafHcDS
kcNL0jSb0QmAoQlxmZ5NILOcTwz1jFVsuvd2P6hNkXlAMTL+5PsOrArWE7+P/BZKmNdfVar/Y1Xu
I//RHfCDQ8aSThq1ctiKEzn+Qag7RPnQLPuybWCCmbtzxwDLpDauwO8vG8NxfyhE4KvYsBTzuyCP
IKT1eAnDZk3Tclqh5L+FEl2seihW63qRj203WedaI2f/nMw7t3Qu9MIjJSsPiabFcNc1FwU0/szf
8I1wbSQToeCh+6hTG74HDHcgFi/uGdbdTKe8cDP0e/3Mi5hBU9EefJ+0rjY0U97DM8AcyNGmLotb
pfJ2q7EYXI32HABKl3jKwgD4AcZKZXjpD8eoXP5Qpq6DX8+3/shSYmcJNYQBa3vAI1Surc6mFmKe
E4aeQpfe4DmTDN8qviJ/FxbjWxtbrB1+8WR56WsFMmCte88EDZ3te+k9LhbMiy6dr0ENPXdlrn4m
IOQiTb79Cn6Be69FYOwNIeYjvh+T4wBKaqNC7e+kMVSHpRxO1oyBp9dz+Ku1yn4P8TdYSxaolQRb
+khxHl8MWXFMhjK+72csBmyIuMSBdm+r3vBPgxx/2BoXc9BmEOhUfUps7D8c4jZZ24EIDOzfeuhK
aIzWfVwE7qYY8LrA2vEjPTd7o6U23nqtTm4bI+z3dd3tzEFcte78JxnqaxOj+V4vyXPJ+Ol9slBI
lYZVA0BQGLp5GNnaO6waC9gJS5U3uDzqvZ+AGkl7GOscWuLmNIZlFw0xX1pcA9IachEZk7M1imTZ
B0ARAc+mv4We0k3RhllkFbJky8JMoKEAr3U2ZixhIQeb2IJY0TU8uJafQVha7vOWxTjAEr6iPTBs
W9d/AHz2o6opuFzT/e0N6b2noLMs3m5Mc9gytarvZVqORxnLLXEY2S7N0u5O+3330E7eT/AT2YaA
u4BSVj9wt/B8y7jZ5ROIDw8X3E4xLNuWNcyC1jQb2MtYJjWqwl1Jc/7SzMCIw9ajLaXLYxZg8x26
9qIdg///D8Lrn7rWuR1980c2cXjvhlcn13d2x8s65yH2/0HexZYZwN4OvGuGi5BaW7cGu5w71W5w
FpA7YdqdPU09HKPSUN1aOGdOWl+M/uU4zfFTKd2KpS3tnvBjU3QYnnsVzNZpKrVBReSDuExo2Jde
T28ViphIq+pxFs68RbmDFclq3R3gVQ5bAx0sTnXPCXy/XdBVC25u6xg0i3pRvtoZbXcsluK2k33x
GNT6QXJi2hTT8Jwrjn6jwPe+VOSJYI9gpB3e4lPGjOvlz9ZELocpxXEuJ3qfnO6G/vV8Z6Z8InhV
TME6taUVedK7bYWAYD4Fb6gL2gh7Hv9RKy588NEr2TptRGfHXfein9fwU9rIsTjjm3W3cHhK5aok
RhY4NhktwYwBzyu88YK6vd97sxUcjAZoeMsecU++togKn5oqUDlVTGarGydP4v2w1PfdYuOtbltv
U1vyRdvlsHVsjnWCnN81Ff4DPBaMYk2oHzqJCE755aOaCeMcQ0lNag5y01gOBZVRp4AjYargcU3y
164MEpzpy1XKTH6rl/BtGjpzlYrpt5lO/mWSiAu78edoJBN6Bc7xXKJiGZ9s0WBDr3/BgK8gwcfG
bpGe3IjBv9aB55wHBTdTbMDhB7x2YFMFPgeyBDUD2Lewtm+gGrUUoGEFUanJeJrJMijFEIC1Np5B
TvKWFwDdKlxqSTPTY/No8WoW20nGK6efexgy/qkwz7EfXXMRJGl4so0uOe/HCAvAaHC+qIx1TCxG
ZtKdVbDMc5Ozwlxiw46TwDuwKsO1cHAZkrgIhhSfFJgtKjaOXMjgaIjmxb1OsPSwZoGkSd/o4rSb
TAqMOIxiyqhCEQpJx3r26o7QAx1eowTmh5MY9qOW2aoomkd8O69N3z9bGBnW1Qwlhv16ujMMD9KG
HKDn5IKsVCeVd+GY3pv8kRuWLWMrvPGtbIfiLScdMhJ0lw9I4MuNK9llcnlG2Zj3IxqONRauaa1G
/R7m4LDQASdXvV29jaJTkTIxH4sy28LZu22LBeZlOz53ZvYLP0OJ+a5e7gaLIJmz737TW+wCqkyv
QpEeDd1jXxH+uDHF4r97VvaeDOK+sUnKXrFHT9uR0GfXxS9pc1w75n71EFbEjFj+hK1PD+VqSEVx
7ITTAJizzmjlqjrwor37rXoNSebdJ+SK7MYyK2/rUr1ZDLS3VrJcz5yO+DXjcl33XGnrtm+GQoYW
0AW6Kob4Z+2q/qqt/OcJ7GFslBO9nwSDWqrmTTu289qx0leFmDzGzBvltdRbPZJWkOftO8SqQ0Kl
vNFuQhxQPFonG7QtWp5yX40M1FdDVc8Xre3c9jGsDQ6Gc0loQddkN5bVWJumKnxwwST5tFpjmPZS
xEDDnTnWxQUlqwUxqbtKYv1rHPt0f+5Cmw05J22C1dJyEw4qZp+eiGvSGxknj0Nm9FTPMHxMGtBX
PZR5Y6199TS2uX+Bketmdiz7Ggmvc6KTf4/dQt3GsgzWTtim+1pikqW7CcpxccSKuYXcFGMSbugL
3DkNJvi6L3/bPdaexWlgsMDvGYnAKh74GYTTZfziF5z07JoNx3KH27pL6FBylF3hG7IjMZj7cEh9
KPRWxg3ktHQmmQfN7N42RVJTg8L+FW1HintfQuJLOEwurj4f5hYedgircx5QUY2A4IZBIJqSwjnk
Vd/u+9y/cmCOrOMpeKE+f6ODdUOiUBp1rWRBBGdzQwMaHuEE1akr8VkkWbOAb/M4NkJJ2buZrS+G
xW3WBCOEd0EOrKQammS7GDkQbJhCv1Djqd3gLQv+w/DX1HUhnZSswrRWwfyeEKhcYdF3o8Sxq6sK
hsUKrWV9QI4tIzXhMa5QI+AmpDu88UQW4qUcknjr4FH9QZ/7D0UtxYSV3sdTqY795PTmpqTmuIf6
5uzpxt/4sbgcJEXRkJXvfS7ciEGKc+xDMH+96Ui6kTGs0W76MZ8LyTGr+9PogAmopvFJlfX0YrMy
R6UMLUIyzkwEDJ1YONsTI01wHLIbtjhPb0qz+tloV6cr+uDiwqr9dqPUmbjMJgl32shN4A8lxq86
F8laJL6iS6yPCAau5sTLVxoOf77tydp6pVUKdasd+LHZU+RJteB/y6YuNnXKCkLb5Ap44q5RLc62
jCTmBdoTjDqXkgFqJSFB9nOubXr19aUlSdWx6MNTFJfVOgyx/c5nMGGq2n0R0JWcuhCWWHafdeZ+
Lk16MwHq6sSW9Z2ZuX9QznuR4QbeD7OERct+DL1I5rvKwv7PpEBdLarDLme5eC+nhv0byS9tNTNY
w85xI5UML14emttS5EyCkIetoTy6B18VMVbJ5inNRPrLxJ26TRtaJZ0FjgQDvXjF7QsY00/730hh
ws0cTNOpbmjWdLlszrDY8I5CMN4tbl++6sG4Gf5xKLc2Nr7UK4+pJYxDzjH3uRoW3h8ZKjrQduzu
TYWal5nGvlQNUXgtnMekp+ML43VZ03lC7eBPbNIMdFetR83h9Q1oNFMDsg1UdZlrB7CRXPRvO5ZG
NBTA3BgspjsnHEBltcnwSC5QSd/UT3Ysuj+Zrs0bjfcrou4SOJXkryCFi+4E/R2AxmvKMTgVqpLb
WjvTLyAIfSS8vL/1Av0cOPq1Ln11SD2IiqbK7zIzVAwxMHNvhiFVGzItzS17aQUtraFxygFhZZmQ
UzoXJgfiUNLLavWmATkzgpLNvsfFuzM9mbypogGq5KczaXH+I+edd50B9dTSa28S16VNLYN2O2h1
Km3v3PBraC1ZQwo1jVcVTZdwflvjbEFcFWrrUZZsZ4OMtm6YVwTIMSfzILoW/MS6dbt+q7qS6pVj
+2oY62SflCGNLmMMjpKz32phLcpDwrAS+puRztmjvTo7NZl8V2H8a8IXGrEtXTEsNNZ2OB6NXpi0
CmgfWVCoI0C6I4OMetoEfXySgsCoXIo3YZbTAz+XXdBKtvYaVRB2j5BgzpYzE53LfqeKocJu3hW8
HRY+5JDAAFFzaipQnm0TAxZ5BnIM/r9jEBqWd5UgxrO3115gVochk3Ct/f4O7jmrfEYmn5xdjs0O
WcjsJSx4YeDcFm2HcsanZcgs+tgWwmIcsbBQxWYB3m7xI4YA89mVe+G6cVQrU+9cGmRsqWAVgvPe
VzbTQ9bAtlZm0CIBLgYutSipsEaA8mdqf8JfUEgz4EQNhVbT8bM1MVgVCvNtkSjQqIx9D3Xhd7eF
kc0b0k6o/W0bpkTiJhR8IW3xXLQUB3UWH+zUv9dGR1SeTvwdBvzxmPSiuhkns4Th6Hsnz4GZs2LD
fTPi8UW4LYbX3mlJbJDXC29vP6Y7lz8r6pR6SDwJF16RvWCbFZBcy4Szw4xsDBLj2nZG5mkt0604
vBq87koXs7/Dbd5HDJgbdgc7VSfvXL/RCWkunM6KiYAzxqs4YYg9NeqhNeVtF6CWimXTQuTAGhUY
AG+tcZtouu6wh86okXa47IPKPhWune27yheRamngdGb71uXzvKObsbcAEK1ILuHwP3q/KhPXsjkH
MVrd6pWwAmflTwVhBCDyrRTo0Nw/mDlhhJ5L7ecyv1oDBXlxh+5tDtoRx7/8lRbzy2Qtl/7CTkcj
ibyzorklAIvufy4IHUxiRryM+0g+JL4iY4f3lfnMGBrAbsxBKR1uXTm+L8JZ1t0SgrR3p7e0Zhbv
9ZAKRUpyaBASKNehkkYnv69yH7+Co+AglLkFftCkimeqJh7sbiyAyk9j9mQ3g0L6sIyvBdIKlNxk
CRx6vUB+jAG1gYx+JHQbFlLtb7XujLUbzk/8pPFg2r1HC627igvzkUfNiMCMMBoRqv5/pJ3ZkpxK
tm2/CDN6h9foiewbZSr1gqnb9I3Tw9efgc69pzLJsAjTLisrvWibPADHcV9rzjEPYCtAZTTDLkuE
l+Ihm3tQ/To1rOYrYbXdPlJYMXBnK1uom/fllD6bejICZhUkuskG8oDFDp7gyOoHNAc4jJjOdlUm
lC3qZtA4k0V85FT+Am7fEfQA1juI4obqne6SA4YXoLLtfmUpnAWjNElhFxfGKovp87Qyeqga8YQv
Ed1Ipx8SOGzbYaKNVokWyFBc/WoKcYjs8geHjnzHXzOE4HvrcpybCYA9hObi1eLgDwBbUgQTCoqm
dtiQjiS3TsIS4RrtOm5gBcZQ6oE+9w/pHBzHEepnO6UFrUb22ENyTFLt1VbBIKkgn3jxE7mNDOin
syZ+24zAvSBaBzshp+ucnLpDpmjVBmQouXvEKrwWZfngo9YjJomFWzdmAmtR5jtJRswOXJh9HabO
S0kF54HOfMz7TYnGmbR7N6oeYO+zUED883pYG2vLr7SD5WcNFzXekFeBeT+SP0ZpEdIp6MNYcBE2
uqIlmyxPAs/W9W6LRo26ietMNzIh6sCqe4oHekLRPPNdRCl9lq7Umi94HIF6iwr/a6m2PrCZIN+W
og6uItP9KUvxuy9GZ4faFewoXJx1H9Om7PTsS2on5S8S34AdZSBvR4tO4gV10axAe69QA5juqK6K
NB7tP6qphbbIDSqVVdRBuqSV9TOEMzQGQ5T3T04qVHjlFYY6HdzQHUKIQl8Vdjt9cePSfZmbyG8T
NOpo3YWm21/wHy2FxsvftZDTCyy63MV0tm45e7xQW2tyL0jcl6K45RALvVg7jnqAaMs9jINkMz3s
jEju7XAiTNPqX5tBvebsesnZceG69Dmd+Z2unq1EpwKi5gucjP8ogQ49ZeIrfP6pLpVwiytbykQz
JciQgyriYAY5x/WYrBRo0pp+Sbi/1PbN4yAMxcnnqrjElm77RplcUv70wUvmrLypGB/iII3XidF8
xZX36/xFnbpzf7TLyN2F+snHQYEj5euF9WXsstYzhqigxpmPf6numy/p/SiLeTcGfauPUyQOYRDQ
LJiuU0iZYxY/uIX1+G8uyLFmgTR+7aU+eupUXxixAUAANg+veKdbN24j9OgvdZFzEDsuXIv1DSm1
YS1EqCZdigpCE+3LifhIoIEqhyozPJy/muWcm0dxBQ5+FbUwfumFLBJFtmsOSS29NERHp5Xhb3T1
IBj95uv5gf4ILN8vWcuR5l/y7hVKKqyjYmwGz3a5cWs3U8035LOa8Z2sWSff1pK3elsoflw8tcHk
wlyJG1HsCe1E/QP/ByxpmgXdU1DOuHfLSZM3X0/s6GsiuwiOTyoDGG0j+goASgPbVxX2anaYQHBd
JbbWEg7a+6SAUgas6PgnZTew1egOwg+CfVeonbvTunagDQboZp2juzI2Ebi9YvYATkR2mENrw8pN
9HFbBkkNfH/yASk3QVQ+gVLLgr2uDObo6VNNmSMdnGoXtOiAKNSK/k0RbM3vDDvX/rED073SiP95
NoY4+a3Tui8OBqK33rMrjVhqJav4TnWTq95XJOJSnWSTYK1DmgjFRiQ2VW7yOusEnY87IC5pXFk9
n39eJyaG7VjMDOwOs/Vm8YUZ/Yzvs9mOXqzU3ZFPsv46DRYwU2NMk7+f6uibGQ1x92yeX0xCOw+z
GTXie4kSFkf66qhIpVnfyq7/WycbsxABMGO5uOYsZHsfZ+HIB4NNr5V4HFFu8YrsRWdvh9J6TTht
VUH5U2njl/N3cv4gfZz4QCsclfuI/c/99K1GSKjHo4GUmuP+cFThkq6UFmgQ8uPsEGsGLejJaF6A
YXNsUMLkwgI8P6jF8PMTnA2tXLC2tALQzqXn1arCax023wXxdLMwltaR4pvTs8Ym847QdPYP56/6
8/wxYNNgWcH6jth2aTlq5EjNMJ2EF81pCoYZtvdTD+MpzZtL7upTQ1m6yiA4A2ZAyMdnisCNbT8a
ARSjROeEwWFwOODAvnv9+0tCL8RijJef9XKx8xgogLOzwk83JKHy6EPHAnU5KK8N9c0Ld0+ff/Py
qUEC0f43hJIl+uM1leyG0ZQjZiyaiq5G3E7tF1yQRAb76lA/xT1TahVWKehleLasVyjo29ekH/0H
1+p7dp2yIx8wpLfjrOqEQsHKiom9xa5vEPxH0NGggfho3K8O+8CEPkfNlFRiDsPwx78HLcGeF67p
xGPCvaETRos7ge/m4jFNnYGCbCQvtKxld00P3drgnRJbU+TahT3iqaFooGCe4KWbbTAf716bJoYY
1TbwJtGL1aDSd6DmRelcN6LN+Umx3I4KfOKgMrgiNlVYtBaTAjT5GBNJER8xzGffIimro1WVYNgo
B3IAr6sEEYnAeVdDu/4XQ7uWwTkAU+Qnaxh2Y0IuiO7znMTMroGR+bcs1v0G3ShhZHlIsbgv+kPg
oto9P/JyB8lF8xBdMsHYMlifcks5izt13+YdusjgF+WNY5vStbZUAim1S8yYE8/SnMEZtolb0vx0
lXhXjcL1Af9MPc3JYTyWtrWL8RSev6RLw8yX/G57UhgZvF6riryCjHWUnfuuk4cIm+l/N8zivabr
1Didb1CK9s1y4wrCIFcWwncsINJ5Pj/WYuXn000H1QXcNa+LTO3FWHnQDMVk2MmRRI6d0ZclbqGc
mjooS+qitrmK6Nzsz4+5uI1/xsQ1BL0PH9/st/l4G0lF7Rw+NsER5wTebZAoXzMwvGtY8uPD+aFM
/ql3S+Sfoaht41S0oeJ8cr+TXNrkxFpJb/TtfKcjh970VV793VLyv6PYvNk6yn3QRYtVq+U/sNJE
cQ9da70RjvEUucNTeBFIsnij5mFmXymHJMBMnxE12mAakMxd09O1zqCSa0hqeUQS/qwTneqj2VVO
dWEqnhwSYowGbYrdl1hMD3IGoPLnYeyJ2ISyOSITQWn/IKPxtkFC+NcPC1c1Cwa7PL7Uy8XfgY0k
81YIVArKHZaOZ7Wbvp0fYrESz7dQWBiBBfePRIMlTUjRaOMrJMV6vAvITOzkFg0VfGHMzpzW2lb8
qKhPXFiDNf3zLPww6mLdmGi6tmqAMjhDZjqg3aqgIxJQmdyCawT7oDZVLJ9Vp87mUj3A9VWeqsUD
aO2ZPYSZ5o5cxDG6MGsv3Yvls1XzaBx5PQ96oAHA1SpPE/ELPN5tF0Z300BQpysvFUlOvPsfbsX8
o94toQjQ9J5oNHHQogQ7kIHYCwdhcIyNsr5w2xd76k/PevHVVShrag16e8+tO0p4dvIkkDf2cYro
XKtWauDj8rF/VIV4PT/JTiw6AioMm0yXncUnK29vD+zxSbTxskKaK5FE6d423fgC/EKbl8nF2oaq
zwJmQkwhzcrF80sDZUypLlKxTAfyfkiFaXp5LM0aL1O1M7J2U/XNsSmKPZJUsKLkIp2/zlPPks0a
qyrfXBamxQ9QXCsZ9dJQDn1YenYjt5ri/uIMesGnfOp2vh9mMWWA3pmVUmI276EImZLQvUy98Jk4
fSU2aAKH3fSnXTsNCTXRiiI8NgniRRRiT2YijFdJJ/rm/D07fTH/N5JYFAmNAkqiE4+uJycMPbC6
DQCggci77sJiOt/85eywOe78v0sSy49sp/ZDhlDkYLPF1MbfGQqFDgx0Rw4AMcf/4qo4Ms9Mm9kQ
vZgJSZGI3jRF59HRv+96JE+uHl4wOp98RhShbKiLWAKXm2j0X22r9kZ8LMwGM1yjgXqKAv2QudUl
vsGfKuqnm8crhVBeBYfhLG5eRUqilpp66om2kg+6EYNs8LVwoPFMh6ldRfSZU0R3qe9eF5Vq44Jr
YiTFnYYedJ+Myr2ONv/FbRELm6WTfSetyFD3UmS1XEuykezN4OtYLH17lPk2CKu62ctez76ffy4n
1wj73YXMX6Z3yy15FrTwc9RXmC9/uYn17JRuexOq6QiVHIF0Mgqap1Ae1pYehBt+JTpV+9Lh+9SX
BjLQzDZgE8Ym/eOvIBUAqTVyYs9q/Tc36x4crX8g4AdrIipItjHfyFDLLqxOJ7YuM4fOEAK9Cd/7
xaYscWMO4i7pa6VttteTj2ogDOnYGVHW7NzM+XH+Vp+8RhZC4D1sqT8dxtVinA9a0zSj1HOBw5k1
eUia9g67lLb1RUx0MkqyYxGY5e780Cdf9XdDLxbIqMFW3Oem6jVsH0kJRdVcjm6I4o30S2SvJkZN
NLnnBz25kL0bdPF1LbWyIgOzl55aFj+rRv8FV+bSQejkI3Q0x57rQ5xSFq+hjxexllUM2C2sfpWk
I6KnEOuh+1Zkyq/zl3Py8b0bavGi1EnQVqbUZzkEeIrOhJ7iRL2/68aehJaM+bXD76CtGzcwLtzJ
kwsbfHJ29RzRzeXbUWJZHjiIu4SnkV6bcEDW+hJFk65f2DFcGmixDUWY35BwauReo6QoxqMtwoJn
M2/fzt/KS8MsPgaxrUWy6GXqRX68rkg8GZJqPeL9Pz/Mycnx7rYtZv0YCVjoyOuOEdTMJ8SE6baN
2UTGSUuesYol6fx4ly5rMeFdMjMLTBvOAS7gzg44mA/aQasugWlPDSPgsfCvQIBi7fq4Vo4dGSuN
0tECsWvMksPax0Nb+e6FNUOfJ/TyE/d+nMVkUFQ3oFRPcDItYRQDMYbRh6Hq298E/Q3U+ihYXjtZ
YKfXogpstDWZ/q0eXTKwKtw4VAcN5J+r2hCYYpq0y+yNpKw67brWkfcVHXZyPP2Va3ZDCtrcGllz
+asMoRyghQtvkG2cen0p1OOEcEzSHZbnVAu5oqzLLDwmljaRpGAOCOjLrNur+UAtXZSye7H6HEVT
oKRVtB4RMlyloGRv0eg03+PSVDY9rrQtvekg32e1FT8mPuiI3okT4nBLAlE4IwuyKdTgoNs1KrWp
Gu9lI7VV3KvtG1Sf5gELkDw4tWPvQjUggqnMUbr3OOKPovfhHBn0sChCW+sYB/ihqDP1SxmnxV1h
KQ1iDmdSJfmcXbzBMt/7KxIVtFd819pTMJLdoiiVus0qdDIk7/4osWJu8YuKG7NsrB2dKHeHVZB/
EegbiozcPTi5iL4XZj3iuyFA2CSYdusQHDGn4vTKvYm7yGtS4Kl+bjX6Rk1r90XYdfPSJnWpIpPz
hbJ2Ij+/xnH65MSZXOeVT7IDxzaviCNBxRQJedFQ/Vj3M6hCD2SFrZJIs1XmOMqT7U5qvBH4fVcI
oUoaWBj5RQmAZYUSCcGJbqC3jYTrlfFk7xsISKugG5G9B8iC32geIPCtSK9di8LFClU2dvjFsB2k
kzOAwZDdPZ12fVuTp77C2KK+gPl3MZ622bOGGeho2hP3LKi7fTXOO+Cmtp4iox4JuZYT+cJsVTWM
Zq9mjVpiravtq0PgytpsO4Gq2+8PxPAMh9rCvojdzl9jHFJ/KaLgsZdj8iPozf4p7RDhtAjz7ngB
EZWFLmJnTHG4fQjCOoAlN7em2fiPaRDptMkahfBy31qTRwRDAazXelDJOfNDl+WrFoSacvfNPbZs
/9lKDXUrHTO+LuPsiwUygJh2rF+FGZBzGk4WvrQwEfgvRRodUdZm1x3kKCLDHOWLqlbm1YCXFkl9
gnlj1dPh3PFxc/dkmU/rsJBXf+KMFLcOH+1gcLeGkr9OYfYcjlX4Y5BtTd5ZaZINqAWPDX4mtDYZ
J8qKIBmyJ/CNoaoAwIs2iYSbulrHhWKtx4wQuyDF/kBltltZvVHuk1CDxW7k9teuaYmvCW0EnSHs
mF2X20jBWIs8gTB6W2VYZEo7p9ykyTnLhSks2jelN5IVr/Rw5TTFdJe6+fMoy/7GzlLz1ciK/GeD
6EPfG2yF7hpbQtOv4/YmEwQv6wDvvuQN2JJaA/+WaipJgmqbH5yRHOaVPtatv3bEVOMTbLX6OZVw
LQoylnqEu9d1kusHPZzCBxxI/j4Ah3bv64310oxGsS+swsd7z0ExsexHu0fTSpgaCrJx0F84uxPk
QkrMrp2Qh2qu0noTcXYroZBdXsuSbDwnJ5G1ZdJCh2teUFMBXOjCTt2gDa++Wn2JK8hKsl7Qgqyt
ZMPrja00NvvCWqESru5lpOH1Y8Hhz1io/ZvQE+7e4KTyC5BR6zbGEkgIVdPYKz+MSUI0nfjKhvdA
el1LMiC8oYDngVQzMlLrXiutccfrEXBtrbtLstjBF6Tgy1p3YiTUso6z4RDCoj2Eg2G0UANi843b
Xu1zTVrjus3j8KYWQ/nUOx0pf6Ujr5w5hM1Hs3odRfBk2BOImojOtMjugCgMVyQT6etWQY2t2JV+
z3P2DyM7wodgKqIfmZ8pdyKqtS35feZ34kwRQ2qEKDfAZzCVoH/s6rG5NQoABoliExKao4IE9WGq
mxorx3Vs6OmN3irKbQTO1iNpRH+1nS69IkGnWce9pv1Swl7DeRYo+8K0+j2NI/UFIX23TdBwY55T
4596whSfpK6h4yXGDiOwjYQ+Zq2wUrXa0zyFbseDX8XYK5DNj2O9adDgrQL+fVL81GdSRJvvtgpT
oE0zuSNj3t26LbFAcypbdhPmLs7CDr0fwnMFb7EeDP6+4zZvTFWp1gVdh2tbiagtqdKpt8TKWseR
KtDaShwkaUjWnglqqY8B7I29K4r4rfV74gudhtVyIFKdrh4Gd6qw3bVGLtVr3gn/Wtpj/mBqXepZ
cYyxQaaCA2qZXIVl1HgcMLVnbGXuxqLlP64bFLKIyN0CkACB9mTnKOEE2WCijWhI39p3SWU8WmZK
886duqcuJX1527lG9SrrqHpp8tj4OWDt3zgFPWWy55Nkk7M+vPHbLKIf/RKDQOC0byjLfThRxFTe
TYRHmCupp6a5IsRLu1UtzS43ZEDZ5Fhm0Xpq62xvZVHUrLOKeKGoN/Vt7I6kr5sO4j8S2ZOVsFPx
bCVl/xIoSMNqxCLr0UZiTFKTfT373/c1grw92nWSaBrH8Xwzrm7VVOm3gZMG9trl830IMz/+TkQX
rqKUd6cv/WbP60T8oUFOtm4K9jlA3clQNAzknVQbsxInBq5GIqqIxhlxhCrxRkmV9JfSuNG1ogXf
a+q9W4Rx2m1t+umRz+O4s1UoNorVZixdjRmtfH3qVrbs5BdpDMmtX7TdUZSB/tDgT7x1M4l73qmC
JytI+O9QHD5okZXg7Jl6cDOJ+TB2xlddybtrK+sUGGdBGURr1axJFMwNKEhKou1ZPzJsagL/JPbN
YIcxsCV/FzuiA/tnzapbr02/8vnEN0gr7Vo+kvg23RLixsokIWMfDTNCwBuw1biqWvsb/+K0V8iR
v8Fmb+FSH40XV7MyTDjRoN9UhR0fombSH/s2aY+4nMsVXuQCc0nbPZWW9I99iW8Iqx7yzjQ0960o
x13VpuSep2b+M8xKnPplP3kZccOezpL1pWAS7KgSVXcAwvNjirB6L+gqsPaSejdFZBbkaZ2JXcOG
dk/GdYmrzCR3Ow+dXUZumiR5bxRe5WbpGrVdsukzlmaSpf+pGqlv8rgOyfswwmurw8G7atrKPcqx
03cZwvXrMOxZbu2CGo9KYBzxWpAiGpM1lKJ3iPK0iJ+aQknfFCv7bgNJ2aZRqTwJ0eHiN8Y3ac45
iqrUCKsMcWAMFvyupH0UZoB1QZ1IPwRxYvElLmsqUaNOSrTemCwp7mAba1vt+VPPsTx7lkujbRUR
vk6DX1XHHiLIQIa4CxOhrCdlHyhWd93pIjjkDcqLWAnc+8qyfwQEBjBr0wT/Yw4/iAzcAvwNAVte
RlF43SIZY78Kyg2FKYpirJFHDYbxrjVBaq/xMbrbMnSVfdXEym4g3eqgswlfBznSaymtIV3ZbD/X
VjsiXJNhmL6Gg/nTJkEJDNSINHfK3BWAEOwVUxU92paS0wTN84ML232lDGqHNd/0t3zQGvz5Jra6
EBl1FINlw0iYblhfCoqSJISRTUMcM2yCmzqS2qaQ0tjkIA1WxmB9aUcZbrjDxb2DRfJYU80hpknI
TVP09VcU8v1uGNz2eg4JJQDQ/kUaLGSUMeqOQNgfSI4EDt3gesN5BXGowlQ5gsuL6ZIBytplWfaL
EDi8Y1OaIKZv4kOl5b1XiVyKdVOlZD/WkRlcqMqePBRRw3RYn50TAuB0BFxE7pcXVfcpwLDej+67
9bx0r9nTXSjPnjqOC9QN6I0dnW7h4ngclDntAFYFj2/lAarFlyzWFMJJh5fcDrd/fxQXlIGJ36G/
Qi/04xk5sYhlmAiaILltIJ8j3BYTxufcunBGPnlJdAPm1DAw/Estj0F6q4rLYvIAMDLjBnhNxZWB
f0XRrQvFhVPVtLlTRAAJNXQ6Kh+viOPXIGsU9ofQqHqDGp7Afxb1cgr3f3/rQH5TbSJdB0HUorwA
5EhHxeBYHttBvJb6CEhKyhRztNNj9/w3gwEss2lD0BdfXBXu0gD8QZoccx3kvLBwaYmom3a1dMfn
80Odelaz1Pb/D7WoBsEGzASq24yFidjI4CqI783oW1dd6EWdqs44f54SH3F61YvbV2fYieMY7Tpu
21VXadeJlVxL2d2dv5pLw8xX+65sH4A0A9qgmQc+QHeWk19NrotsLRr1S5WTE1UgXlrmOMkLtDoW
by1bL4ElCD57FI5ZuIIn2t9mjfqghw5ks74x/s2M0BDgwS8F5rqcEbltj31dOrpXUv+o9PHxDznC
uFQRPzkbONWhv7ahKS9T6cJxIu5eNQhZUOXDkPKt86OUqFFM3lPx+i+e1X/GshYdvUxJqTXSy/HC
PrmLkuHRKXCr2aH9cH6cU6s5KyuSfKSaFvXwj3MC8l6dRjhUjpmYxNtQmMYvSaDgCuwBtDULlin1
Y3/npP6lSXJyNho8s9lOorPEfxw5ZbsYlcgnvaYJr0FfXEFoPPaZ/vXCBc5XsCxJolKjhEdmgEqX
7+M4PSZLPelizSMOpYfvUJLaHpFDHFEF7UpJYgVNxvh1IG17WFe2UX5j36LvgljAjWGp1m+DTlU5
OiQae3SbkHUwE3jCv9RxqGH6bunHc3jNs/tYyZsf6B4dk7DPdHzSwdtyIogia01hgRMDGXmClNre
mCjA2rZyM+h1fWNiAfoe+u0Yr0wxqN9tt/D/mTIleSmVdnqqC+C5kEJyP5jtjyoJpm4H0RF0nXGw
AeTMKboc31eij0ygQlVgJhtcxbhqY2nr/tbvo/GFUz/GfoxwOiy22mgsmCiT+erXFA8PCuSpzPPb
oD9EY9y2OKD1RmOfFGh3Uai7AZZ4A7sbfgrnG46NDG8pEV2PbghRdyutOAeJW+bKbyy3uJaz0ATa
ZMoUGj+mdbk2G627HSBxgQNp1KSmdKcnP6pIjfZ2mrZXZlZNGuoUfFYgO2Lnbej5MZSBq7Be6XYG
wNBvavsX4D2QQ22U+fb2/CzR59l2ZpYYi9mYYLaq9KJNIYWoIt+UfL3sNd5F7KYjODqAGGUjlZ3Z
585PlQSAjvOjVgVHDSvcNwiwfbpuExVmm1U4lXEDoFUFlmtlzxwQm9cqGYDwDpoY8h1w66a+lkD9
hwsXMX/4zl3DYgNDrY749cJGNTGrkGXcP5TI7/q0+YeK0VfNH5/O37T5zTk33twMePc9IdqMJx/F
pTcM+RZsl9r+VODOieLRlnMd74ga4cJKf3IJhkrOTkODuLhUp2RWkcNmK/j2xynGFGklNxgCHwQJ
12tZg0A5f4Un7+i74Rbf/yiRRm1QnvJM9cYq0k0bPgX5Namr+7H7fX6ok8uhQ1InlzVryRcPr4+i
FtwoBBhDq3HTujXYHMXS5G6qgubCgzt1F11aytYsK6RxPi+Z7x6cLGs9zSW7atl+UZJ1pejHJib/
job9+Ys6tQFFrzT7LwUn72WERDlR8mmcAipnEWHqhPf2aozTpR7aSSXc+2EWG5sasWlDALDpTVq5
t1hK/Kbdts4/pbgSOnvSpyz65kvgKTaYlWjcn7/IU5Pk/ejz37+7m3o+5opeSMuz8xxTP4wHpzkY
lZEBxJJUHTYRRREqkKOIygu6n2X21B81Gtm1Jl4Hnd3WUixlQQUIRrfIjkUYKHIli8q+JQoEUIWT
E+Zy6DOp6gfK+pzzUeurP8YoKe/iYeCxn78LpxaD979k8apocRW5JP6kx4Ij5yrBTJ12EOCztH8Y
0ddgObeprsJVeo4m+5Io7+SEtg3EsqrLyrD01vQmKKiKDRJxjs9ZedW4hIIQBTEEF5afkxf5bpzF
o57SNhJTnINO7VQ98eZK1eQRIBx8C6i4v1mOnh/Bzdr2ig5hNK1La1IuxVGcmG4ODTe6knRzVW35
yIFJc7kgcw6OSmfmOBXN2kIVkoMUqy/oWk+sSehZ1fn9ZavHgB9ndt2Qh0Q5tPWiQoS7VnWCFZxQ
69AGqnLhzp68KpuIzNmupBLo8XEoMTj24MaJRELbrrM4WotaHocAQUHy1e9+nZ+rJ6/Ltmzq9ORb
fAp+UGiT1k4agjim1KV3FjZ9qpa1mb6eH+fEdGHniSaLXEQH+c5iutAlCjU/GGBOjCO7rppukb/P
zGnfTW/S/sJThMGf/j4/6Ik1l5M+sYX8fw70XdzJSkK3NJNu8mRabdLGfqSvfKEqc+LQMO+mHa6I
2WEv5wUsvlGL8aYQwiisbG+aBR2zoRjLfZFrFns/4O3RNjMKqDZCi/wL0/LU8GT7GYKDwxxEvvh8
0Tn21Xp+/1rSBbKMLAI6NXb805TsuwD+khV+/paeWF4cqhq6qaMhx5k4P+d3K3zqSEHRkta3GnlW
+MMZvvoAFtV/sQVAxqbS6UPT5nwqdqkhO/UswLJvGuN+snpwG/WrkzcXrubU7GdasH9CaEUVajEr
UxiuIDwr6fVGB3bLB5MQfQnK5FK8yqm7hu+aXCQTlSbv9se7RhM/7EmSQGELp2CiRZGWP8PqOtXj
zd8/HsEncN492SSeLB6PMKF/8fZFx1qBbSX6ER6+qMSqgBC50vLM+Ps6CssU7mgdT6fGNurjhVU6
QdJj2ZmephBEFQDW15/yobvwkp16TNSemBE24c6f3+N6apMO+pc3jkWEsBzE2G+J06tah1E3qhfu
4an112E7aOiExqAPWkyKDFpCI1sNE5L11c/D1dD9ExkObLKBhs+P88/r1Pv7fqzFVkFVQX4bFt3G
EOmOF8Aifsh9ZUJVQXQmpXK5rQOXKnmHE+X8yKfWxvcjL2ZK7gROTESD6tlWjYa9JD3J+Xs5HE6T
/7uR9uIgKZuJ1IpU2pR37acit0Yv0gCoD4mv/Iv32JknPPu+efIvHhnncGUYawz0Wm29FWHyuyh1
yPv+had16jV+P8ziadl1mTZ+5lTeFMFlc7fapLG3vrG7S2HZJye8LfR5qWAft9zESdIs0C5RnjQn
LQBD2aVDspW2FUKdY4GJvPNz4eR1vRtunivvFnXXArwW2D42c/UXLbjriChmVEbKeMlGeHLSvRto
sVxg6bCxDRmEp6t1sJexAlm9Dv4yZWo+CbBW/OfuzZf77nKwWQVjpKb+IanIn9dF3NJedEBVCRpI
oah//nd3bzH5mlT65EBo8TGr9fCuaPS3ulb0NXoFeQ/IvLow108uGUKd19s5z3dptGZXIRVQ/6Ce
LZnc9KjrVjoBhau0V+onvbIorvgdFavGunS0ODkr3428mCadJaQtBnPyFNMGjVgdIAitjeTS+ntp
mMUkGaJhslEm417MRfkYxJb8kRrodet2qP/F54tdk21g8yExeFlpCOyhD5jpnZeU1lVv0akp6z39
yguP7NQVvR9G/zghtQofuOy04NjCS7+bMNOue8rNXoI0aXN+MtJ35B9blKJ4j8jjnO3dbA2Nj4N1
SqT10dA6Xk3L4ZEcNz9CgNTSoXToDWy0lLlSBYW2h4lb9FeDleO3MGISF6y6qjZKJ9ALjspGBNlw
bVgtaHTfUu5JJPgdAtzYgHkJQBVHk+URIALnjK/xSmQIp6Ze/9LAkNikJgcJxfWDl3i03NU0Bsab
k8WPeTWAYqrrrNtotbS3pY5OjfzwEYlSVa5afubs8IAEmevtKmHbu0sScmxalZSWHvbbGsWhXBe2
AaB9GlVozhj4oNdZ4aruEOVZdL9XLfmKW2hx7aaLLJuGH0E51GT8TVfBIy0jW+4qPZEbneb91g4I
OKnNQsWMy37CGPnahtheoOGBm6o0mGtdW5rooJL7IkBTxhmJYkYLm32yLGVXB7ZyaJ1e5Y4kpPuI
sdyqWfcIKrzdJ30TbNrI6B9wfg5bo3ayLZC94cbsSRFQewwh+aSRGzEZ2maoE/GFvRbqHkzzBESo
7UM6GN85oYldMY3lxkHnzYVShfaSzlI3WpyA1XcDfTvo4mWqBmUbjqAKhxZe24T8yZO1G71YnE+o
9fjR7yFVvpVtRXaFSuAtugLjexHa0c+yK12Pz6vc61Kn8i9Nl4q5baff2Pg1xw5qGoHvdfVWSpMQ
G6cI63UMKnJTU/v+Adq5/lai41qDRKk2mJMUDyiZeYSfkK+0UDH5t6yMQ0KMUrkUGe4UdVxJfCW3
VLerNwoJcmuYWrHnj+Gg2XHuiSpJdyW0rydjktY1AJ3maiS4MFgH0VTvR6dUmAeuAYOTYChOK/dp
Gj43Arr8iJEd/WaS5c9JA54FBPzXwSl/Sq35ZdU2aXdBr+8RlomtpA4HcTMMy52SOtDuVVtuByoz
j4EZPRsp4SACluiqYqFAf6lRNKMFGnwjSQYSq9u+ArxD0jwSM+IAlymzeG+RpLZ2kszdnn+xT32j
XQHJA8cNG+7lrjQMm0zabZ8RQTseAQ/fOmaxaUJrRR/6wnb7xAaYpcOCEsGpUv1EgkG0xq5U+OKg
BPkrhL+VzF6ypPWcKd6pWnFhl3hyNBpulDocSFjOYrnvcEnB8zQKjyXkQfENknXbO3CIO72q7k09
v2DKPT2cazg6/zNBt31cHiMzNK0CEdix6aCNJtmQXJWITe8mvbfXJBt0a40Ilr9/eGxt5jILjAr+
WAyqNwUYn8bRyU01rBXQpexp6qGn0Q4W96S9ZRee4InJMlPF6Mzi98b0srinRtM0lt1liuf6VXes
sca96mqlXJU5Dbhec9K385PzxL6OTw58opnIxSltcZgAAeAEg2xUL7THpGCxnFtd7mC16e78QPMP
X3zcuB4YFJDTTOPTQTooEGF2DrRnGkyo1yo2x7pEJD0Qs74/P9Spezi78lWLyYJefp5I73aRhoin
uLC1zAsTa08a0Np3fS/GvI269l9Mj/dDLc4V9PFbUK+FefDJ7wKErs1kff/QJPfnL+nk3eOUhDYA
58snMcIwtGjYnSr3QvOXXv6jEjQQwL79rwb5U6d/d9+g8BvaaGdzGAhYQFe/IpHohtDFx/PDzFPq
00z4z7X8MWa+G0amQe+CN9K9zG12uZm9os27ijLjd6kNniQ0QFPy73EUXFitTs4Kbh0FI1xznwos
fqYNqkpzwxuMfjaa/g9p59UbN9Ks4V9EgDncTqayJcvphvA6kGzmHH79eeiD3Z2hiCFWH7B3Wrim
mx2qq96w457+K6xyLhV5paNBeXlpjCACAPZQX+QheLkEzTg0JH8S6ykHK/3LkXXrA5XwYdt3JaSY
MsW/Sqqsw9BmX3FiC/dF3Xm3SND093Bs4kmOHetOAQu2rlXwwX2PrhAi5odWaZ1dyi777ehosSHZ
pp1AxH7WMLU5IpOc7AdTzZWNnGifQwgScF+kXyKr9F3ChUEe0kKmKe1QObal9FKoZb9vECbemMlk
/uAX/gcA6sU96LLwo69GEWAhfrVc5PlexchrA+kXcWMLc4lY9rJtieb43oqhJvQV4MVcHZKdXCc4
tRQ84kSOZWgiqq+4guGdXTtyxRXfhPuw8c29HWD+k1qQDNIRbaGgHbxjHoRcwVr9KvwxxKkBhG3m
d7hQQcUloUN2rAYBCXgW2qqRYsCRKbiH2tjxQVtq80Ov8JXxt8y+AY6ukZMfgx9q2Qm0xlOMKZOg
vhn1BKnLdhQPlIZCOr5CgZShaDg3+X+pJBiboh6OEZy2XagkmCllQj1UXjXxVmo53VU4+ezLMr7D
oEjemwGK0p5qkJmHcSnQbo9SLHu7Cjx4TRorY6XpeYN4cGrf3uQTcEEeU/W2K2x4HnIDIltFX/1j
AIJlW6a5uRcJJnWGFn2M1bg7ZhjhwSlKfjUDdKl2KLxTIQtg2w7cjYb6A2SFMH41SjMtt32P0IFJ
RgloPxuPvuPt0ezHCKyKB8DAprJtAM7vyLRAubf8si7uItzjUImz0tA+9LT+0ekzs8/e0OUb9nTj
ZgMGsEOWvrKrvmqqx7Nf63E3tsPvOBx9l6VYA+IuvEMIpvFTpeNqESAbcTRRedxqKZr5dYe6PYiU
/MmjVrFLgrF6AeFpunYo4CpQHTT2RTviniAG5VcUQnEZh+SrY5b1S5xZ8e8WEzrk4IdvXqpVT03d
iq06OjH6uSgiN4liPOKgOJ5GNfsO6clge3TwSWI5OqBtJTP60j/S4pI3hYaQbWjZ3ffcEJ9sKdTv
K0fu3UyW2TFS+Bc8VPxTQvLhHDngqIYNVo0huOfGcLDFcJpbdaTC3DZh4PLjk12a83SxQpldlDo/
Gg1rpgFbDrOypQ3UNtwLc+MpJKsAQxIquImJT1qndfetFUVPBSfH0RvR+8YQINoGSv3Vi3TxqQoT
+acPbpcFUgL+Tex2PHbCBsefAY/nRe1stCwrX8y2hkAWSp+dXgftnMdfK62yHqsuNo+FHZs78Pif
TDywXaiI+PA4mPU6eryP+Lr3OByInRCiODSDdx+mpMWBntnbajCDA5y4BnQA4P8Qm529KMBUpzHy
wEUsu5mJsqOvBK6T9AgdN5wo2cQPqYdCevVDrT+kJW4ZtkktoxaQaqqQF9HGNJq/so5HR6ENz8Yf
qp1d4XDZaI+OHYPASSTzewbyAxXLMTV3yAyrh7qI76rc+JWNQrkZKi+kDZymrwCVmlPYcEiiAPPN
19H41NTovirlJ1PAtZZ9XuthgdD2GMdfGnmsX81RwmyjwnHjHkR5tXGc8HYYPQ/jzPGvos85OVFW
/2p1inTreF26rbH2iDaB0+m70jCoCvV2/xUDsXaPT8KTClNjO5ZYQA0JEtJebn/ysni8QWnf2wVB
xsupnrxikhy3kDZtn0ypq+7Njn9twCvgPRkP3TJyHURE3mgRqeRVaYBZyg3UsuyU+FJ2aDnZbjwl
K3ey3CUrmcLSFa7SS6UAM2m2zUUgMAzujEjtrJMtPLyGnjrxkEHB0INfWqVu/PIrmgbvyB+RwEW0
gI4npeJZcaRDlc2KMs4fOxbtNsJrgFdNbz1SxDO+X09Q/vTe5hnKeaxZuaw3C6+zPK11Zb9F212G
3+ph1Y4qoIR5sPngtOqWwv4+9qOt4DgK/C9DP6yU+RfnGJnqqbwFonv+bMxFLUFx6nxXbyofFGN9
QocdKgAWRbhff8sU40HzEfgOB22NP75QqKQhBOp1kowDHj+ba6CUXjkoIKFtA/QBRsHeNgs9+pQU
3ULXqhN/38NV3kBFi1eqYHPlxqkEPGF6QHGqYG9pI15mTrUqQXJVCtDKlVPIJwlxitt0HMGgNS2+
nqYNHyoEvZiG47CPR625s0NbFvseeVzqTZGX/sZEKfisl3IU7rocpXFkzL0MSvG0RL2uGm86rqhh
52SVGbhRIWOM2ujGra5M/qbXl9JS3g5j3Z4a9GyWeZM5qCFrthGEfwPDwIr7BA/UbVys9JKXXsbU
wXjuTC1CMtzLOetrL5cDXfZv8nCyfKPdZ3luqqD6jkdj5dG0bGvn6OtmtQYbWhofOA4VeDnrgc7y
ZeQs1TIFD/HBbcz2plHVz3onToagVnh9Hpc2A1xg8P+k7jZIv8s4oRykcZ5DrU6Aam97cwgOU9Vv
E3h5vsktUCqlSLtd09rdQcl4qV8Pv/R24HlsTVqsf1RoL8PHyBsOXYuIYi7dy/pLFyTbpjvkq3Jo
S9NJCBaKzLaT58OcUCxocmaxG9jVRu4FCRsePBSwrg9naTbPw0zDPXuBObzRm2Q0kRLFipjnFh4O
XLkYOVga93zW56Bk4z5/NLMk2aN56K+8j5amk/IGvCJ96jLOX0eDVRuaUIRJzvbTzh98TMXq6odl
f7o+zKXZRLEXKqxlqBBwZscYTqRCao0yoh0RhIBVoRUVWq2fWgoH++uhltSEHFxTaIGhz4em5zTl
Z1NKdEsW3E9uD3LqZNVm/bvrZMQJBlyt4po+fusbd8VEKSy0xH70rc7eaRg0r/RF3tZzOGeQQVSR
kJwwC7PfEYGthp9PwwKHsEbeITERxccawYz/3ui8CDRHvpctyIiox3Okkk0XQ5tj02J3q36+Pq+L
w5mEiSeeEdDL2clmO9jcw7PU3bJU1FtIRt1NXA7t4XqUt+txOpz/jTKr4kR1RoZnZyDv7Me82afe
ZLzz20IL9r/HmcgkWDNzmLzR6TJNnk2JCWSr1bP4PrDKYBeKId5WKWZIpi/Cd8RDegyYEcvfflMO
jlAxSYMA+1tJ+VUNH4fS2oHq9HnjXh/X241my9hocGwgI404+GyjNWSB0KSncaUeDYs6qx+DOA1v
BlSljv9bqGnBnO0z8qEst8t4dBXPpM48HDrZ3JtW844VcT6iacRnYXDD80WO7IVbRfFHlDuQYwDK
TN73rBgICFwf09Ly4wuxvDnfrTcK5wF0XAjTA92ohGJI/TGRb9W6o8v063qct2kdn0nTSaFltCvf
3C4FLrYlbnm62+q/KhUDVNpeAb47qfjpFWhiKe/YvOfxpnGfTSLSJL6BM7R9Qlr0g62luJwXK0W9
af9fZuqXQ5qdD2mpiw5xY8UNLDm4zUoHYmvUwg5EG8iXFJga5pBtNZzXzdP1yVxc82eTOTszAER6
dNy6wB3pj/5lFor/S5W03zCPx5XlsYCPngZp2RQvwdW/aXzghwBh0akbIHWhbt/mTTvRBvq8SPZN
43Q/iqqFgC5iW3FYP2aE9kBTiuYxxCpipQez/FvIZ5F4gCcJpPbym2ZWoaodAMPTGFFl8cxIrk5U
ENPuUNhW9yNyEnzuQi5lYxfiUvsDF51W2VhU7FZmZXH+z37IbP6FDD4aL7PM9cLPPga4ht/Tp1zT
ZH2bKTH1Z1Fm16mf45AxNODXIgWBSM2psa0NfRvLpZHueFMSdzLTSlNJ3ltUX1YGubhjyZRUHXsW
RZ4/H0w4TXk9pg4P0SYXqBEaxVddwd9237dpcqdJ5IZ7re2rz3igFebKIbh0+QJH/yf6bP9aDtmn
peTWKcFDx7eqyWJ6ZT0t7t+zELPlVEeIv0dqo7iV/NXwXL14HftnGYWq2vp0fb8uDwapeZleJaWS
2YnuDWk1RFxIrl7pP1SnpzWcDCv37WIMssDpMEe/e/65PCkd2yqThasaBZr5Oe40j0PBXbKyLJZ3
4Vmg2ZdhyYo2xf/abTzP2ptDOO4Vge1qWwr62IZnfZayEOGTQg8PaS8p33sjc1aO3uXB0kixqTkB
XZt9uoo3pWfLlXOiX/9NsZOXLtZXFqAyjePN8c7F+HeM2SanhKgCdUSwyGiKqgGG3eVYNZROND5L
SDTID5jB4kyNyXXwaEmlh5t3otcfZG3EC7aLUml8Hs1sKA5aANs+buNJ2ckYyu5g0G9Yk8pd+7Wz
w6KqkTKOOsk8qfLX1LhLBYrq1IDLOl+pKizuGhum6yTdDppslm8lQZchGtSGN6Po41tYefIJ108E
OMYc3YgstF4qs+pXgi48cTgLz6JOC+LsOsc0L/WTUrVOZgmIJw77I47iO2h6p3LIjg0FWiNPX5xA
xz6XXH0sH67v4MUT/yz+bAeb+LpnZZ05bl84kStSD8UtdayzWzxf5Y/XYy3PMFKltP7/JGWXY41x
+JrsMMEg2p9l5yWZjDL9r4FpniRMWK7HWtxIKPNNEvm6BcTlMlaj5RblTjG4naS0H/FdqT2Kz2o+
7q/HWZ6/f+LMX2w+6q4+SjLRTawjVohkHjsYe/Uq/tpmtjBXlsvyDP4bbVbHw4TWD1vLEG6TUhhW
2MG/ZUHHwZDRKFpDoiwNzYAoMvFTeF/N6dGlJoSTgHM7lSCuyrL6Uur6izyqK4/rhcLwVI+lyA6Q
wUAIajaoUArKWjbqkToQ7DzXyaxhL0dxCHc+r55VzYs/RuGkddOV7aMdycVjoeThpwHq9vPgDMqP
gaTl13//rOe/Sb1cPgMyOGGXlcGNXDfjTdKV/VHSg+qYePX4jm+KBR3ZGy9Yi3rqZSjdxqTb1jqB
QrcOMtd0vigpEi+VsYsK+3vle/3p+tiW8p/zgLMjZ+gSJIXlcHQ73BW64VsuvcbiscSeUkWdMDLX
mLlr8aZ1dnbElZYUjmVhSq4hwwOKkiK/twr0DdUutNxkiJKtlA/pPtHVfnd9pEt3B+c5ebGOFY0y
z6tVqUrVRK6tkwM6AVeJkzTeO8qjhHrS/xZodqUmfhnwgNdCV3EecdDd1PZXK/U2vO5XFsvyiCCn
KSQHOjWIy7lEVQ7jksDC6K+VfXOTRwqEuDY0McsI426w9l2XtSs5yVrM2XqxBvqHrQwkUk0QhqNl
2e0jpE9+lzhDl6QAa42iab/P8xOKbP+McbZest6JwXeWxgmdtl1IYSCo7K3VvBiQ4srsR98bj1ZX
4mDkgYldW6yLh95Z8GkyzhZrJzVhmwAScPUUOmOldfJxMDpt16K4uPItF0NxEfIMdbByma9O5P/a
VimgIfd6+oygx23TAMoHhPuOtQlKEur4VOSf58+OVQ2VnNrII2efqgG7mOcxf7L8X9ejLAwGo0bg
1ROO8G1PxhqVUliDartWEYNfjqg8q6F4KOshX+nLLEYy6Fqw/Kea7Oy6AMEhQPQGzslwxK2X+QdV
L9GnHMXKK2ohg1B0Skco/NCLob5zuRIMO0GVVo5GdwKeAIHeqVaxEmJpKAilULsk36RwP/39bLHZ
aKNRa2jCmxRRnGAvDC9KaI2K6H7sORdXDqmlAZ1Hmy3tWpFH1CbYx4Cym01atSfT7j/892Uw5XZ0
semugk28HFHTVijltQMmZ3r1qGXRUYnC+6boV7LWhTxoIgL9E2Z2JHlt1TcKYG437z+b0Q/D6bcS
alJ0Jc1oXLkuF6dNcajOUCiijTQbUpeC7shrqLpYMOyV0nhJo/JwfdaWnmQK8C86HRSxwVfO1nQA
nMqk2eG4ttaOGItK0Pc3npbqCADjr1dPBhAg++2mxNy8acviV2h1ULtleyg/crKoynFM4lK9kQu/
wd8j7UGGS0ogbnV9NNdeygsXgkICIU/1b5P25GxGNPoKdQq1HcGmGD+MMLZBD1fxUUpTf9tJUb6y
cBfj6RpiW3SCOMFmuXytyW2IfIF5Qjp0M1SvCoZ5afakS2syTguZisJJ+XegPxWCs/0YF8Ho5Z2B
YH0kdv74bRgQ+POcjTIMJ9KMU4t42fUvv7iQzyLOPrw9gKHC4D12m8SptrGP1LGIY32jZKC/IrPS
DlFvF+71oCvz+Uc042yY9TD4Pq9g9Al639iXPeKFgYbRid2PTxFujSv33OIGOhvjbLk0ftPYVm4H
N6qTwx/BsBL/EjvI0RO+Pq61yZydCkGXVGYc9YGr4T9k+LeKQ71/BCaWuZL56XqsBT17dMwmWAAo
bxhTc6pv7Vf52E9EkdIOgp3peSdJjIjL6vJDg263rJu3Q9vdILu6DfXmg9F6XxypOOhV9WALjdd9
vbXyAOgmOuhFdxsU8d6zk03kFUet1b5f/7WLn4CfyZmsm/za2V0WlhWw10HyTmXTahs0bbkwheWs
zP/SuppcJdilpBrwTi8P/6mO4eDjjSF5cBshryyV4abvH8Ly8/XRLF2bJg97dN1wcX3zth8C3fOa
Uk7dPs4Qgzahgj4Lf63PtxyFf33CzEwosMvRtFrQovCv2iehiQfsBW80uXwJ6MJdH8zSmcNI/gkz
W7SV41R6KcrGnVKAbeZHH1DS3/q8hbQxPFl69qmR7MP1mEsb5TzmLO8oJC/tuzhFqbXywPIrbqSh
/N7G9+BEHiUn3V8PtziTKNA4DleYbdnz8ztXizTXOuwKw+yglSmwkuC5SNcA4ovLD7I/hCCgCW9Y
JTqogFaSg8iNRPOcm97WQVi/KaydViUrEzj94tkTBZAeaRusIJXrYraf9FQGJZbJkltXdUBlzvoC
HlYtNyH0wUNIN/U1BJh+b+ZKdEx7sWbFtjih0BYwYsOW8U2VOIn7UM+qunDNMfgiT7q9RS4+5vl7
+kEQMf4NNHvXjgnQViQFfLdvuBBbesI5NgFrshOLy/Esymx9FKPc5aXfK3gytEDx8t1YI/Gd/Aos
fTPmr+9YjKZFtQW2MOKxs0OqrdCvLZwxdc02sndlU9v7wiuafW8Ax78eanlc/4ZSL08Q0Uxmi0ql
n4RvJj+DDtcC4O+1DZcT4ES96fPAJBHnSlirEy5uBZJVRAqQiHijuhppEB+7VqYv48Qyan3tY1dk
wyas629V8A6nGq4WG6CCTE2Vx8y0XM/yia71S0NN8S8Xmv/DCbxs48f6jaYV/sqETv/Qm23n2Ijj
TlwTXmeXgexAt5TC6yHs9NnOgODh/Ezad+AuJrtOHhf4auPvOwsS1FGroJEiUDGWXr042Q1RequG
3kpVZWlxnIWZywoiAq/SLYl610uPjj7h/RHgNV3hBTtcmVdSsD8p+XzmzqPNVn3dRI5EFMtthSTy
DToV2UPoON1fYCJCaQPo1/Ru1TKuPmRNBvTVgNOT7bKyGE+hVgPdCeScB0jRBY2+axLTyfco/HTO
PmvQYPxSanB/tqElova+1fSuey2sUDV2WldgNwgDS0ASTh0sZjIt0ro7q2gcWAs+AIIhQnMOHfse
nT7ds1T5Tu5rpcdrBN+cA+ia/EGLC/l7VwbyEwkkOp1KKSsQw3jx4IzHM7F0A6AISHiXg3BlpwDU
L9kNZFu5CEW0wSatOYpSCoyj1+lO7mZBKBVbC1JIj2p3nnyqkiz/hfqs+YoGX6ZtJaH6a4fBUnvx
fF1ps9MgR4kuVEAy3BhgOzdN3SeH0RLBSxI7znc9dqQHy0o6V3XiamerzQB5WYhP10+kpXPBglgK
epas9Y1Ioq3WPor7nXRCks9xdjiV55g9hPq3vIyf0tbo1JWUcGnHngecXSApveFU6P1UgY2qJye2
w2M2BPXdaKy+0xdDKdz7AJ0VijazJZ6xof26KEKMDPTXrs7UZ3TU8VG0PYu1dn0el/JpKspUYUl0
bbTWLg+ippDsoWgQSnI88wfmyyBjQvtdB9FZkNmCkbrIkGMhoukQV2Dld3Z325m4jgAOjFey0MXT
CFNVmzHRUJ2D0zOo5f+vyNQOD3IXb+rO30jWg53AHK+Tldlb+lIUU2gEThzZNyJrpVzWpmfnwtUG
/6eqtweqoL8tuf94/SMtjYnOJsPhG6FmOf2Ms2tJCRXNCzDxdPWseLQb797Wh22cK9gk8Azt9e71
erylRQEmnWMWDXywYLNFMaJ4a5YSKvGRLfXPihMFDxFE4LWjfOEOnKTwoBJgMvZG/GnAuDiPLbr3
kcHd4YkPIldczwrW4MzKUo57Hmi2/FDpjlqJLgbKiar+uTaNY6SoVFq9EssoYBgZqsFhoIW3QRR2
vyyl98dN1ar9HUSg3twH+Yijxahq+Z0ZadItuK6o3wxpFJk3/SDTHakLIbKtienQ9e+w1FD8oxb4
9xTNXm4y8ZIwoZqmBONwyjzhPGrUy27Qhq/AKWfJzsAC5wTtLN560II3Xhyad50KBU+GW7BJ4V2u
3PaLa8NGH45SnAXwdpZUtEEfK7YFrqOJIcMN1Y1chc/Xh730kKThzUuVp4nG4X653OMitHqstkI3
lusXJ033bWx/rSUTV2ZrO0Tf4cOtlK+XbhNYtsAlSDOxDZvNs6Qk6FVrAPirRsOZ7T6p4z0UxCxb
M35eCzTN7tlOpgHjDWUdJK7BOagW9YHETzXvIWiu1JWX5tAhr0QuRp6qGLMRdSCMvMICnIWJ6n2E
ukSijSouYMG+q/HZzbRviae+A6lKJQPLeyz7LBKMWdAxQc1YZ4Su1lm7pIrulTG/6cdXNFPfcSKi
RytzaSEw8QYqDZWwsjNtaF38wzaF8SHz+W44ohfyXVqstbeWjl9H53UKiQbS9hzK1GEBlKRZDfHd
8oPfatL596lf2lTDRHsa9bG+DQZFO1zfBIsrhftr6o6anMSzucx8O+2NtkH1VnGq46hAF664go69
V/d3KQ5E2UqCsxgQWTywhDb1gLnUQyglpdFDfHadUdqO/tEzg52t/VSk0/WBLd2Z1Bn+jmPNxeMk
Kg2dmgIbDJWDUedHcHcPAEBXwixlqSpIN5UWKCiANyioMPS8wig4qEQVQcHsquJLJ1J/H4WYMUo1
KU9tBNEOP2NzU/Vxf59pAOOuj3VhF6rIgyjolgGFBBRyud2jpjBqxyrDGxzS833VmPUn6JliQ2af
7VplCA9S6H3p4I+vbP+Fj0lgOgx0MCBgzkt+eSZ7gA1lcQPzJXRbkq2t4se5K3it7wPPWNOGWIo3
iW1O9Cf9rW1EVsuiTtTSPtltgR9oiBGnQDv+FtMU6SlsjDV11pV4c7BS5Pmtgu9P77ZJc9sM0aOD
c8RY71r7HdghpPqYTB5slOPmnxBPTzsBRm6d5GG68CQrOfmmVe1Jqq39f18tILgxseEqeisOCGAz
GLyyz1w9T+7QHKDxpY63eMYeEIR/qYLoThbFr+sxFycSYwzOUMQ+QZBfrlCtqOuyHKjs2NJTpo+b
MdF2dp4eR6yprkdayMIQtgOKjpquxcKcTtmzq69vum5EXLt2jVb9HprFE53oO1iXLkD8O7S7j4MU
4d5aruQrC4c3phcsSXp8sEfn52g/xDle5gmER2zt7vQKZ9MBOgNKKcgskeRYj5PH6cpYF4Piu62A
1uHkmZd3/CJREiHSwW3RVZNsOGWB+hD6yi2HBM/4OHzHV0TUFJ/4SRn8zTtEgsZaRUOeuWGv0Xx3
Ptdh/qEI0rvCyLbXP+N0ZM3qLyp4cxxi2OcUjWf5X532+KU3APeo1o76VkXswHd9rTG8TVzFovlw
PdyC7j0GO+QSVOOgpmhvCtRCw5OwV4lRYdqhl7/1Bo9NT/7YY9audsoPOEUPeOO9tob+YnnDDwwi
Dtd/w+KQwU7QDoKr+4ZzTCUeIYyQc9Rquo1KwWUk/x+lNTLB0mWhOrS0UEmDxTFvOsVe7jALrE8A
2r4rlVKxzwfMQSiNG1tA/NVjPaTjpjdFv7JHFu9K+KTQZydNmjc8XdqzaBgXcnyj4ZtMYTVxjoEG
qA11jLY5iZHfgdmvMNINLU8j2+GqDQ5NxYZujda+NNcaMFfukj/3yfT3s1MCC3S9aXIqsLKe7pCG
c/AFrbEBvf5Fl8DK6nmY6Vg8CxO1Zuvp1pjchBqSejC48o1hB+UmQ6htiwHKX0YC4bVGJn+DR2hh
bcoCRSof4Mnz9V+yOF7QbzAPEKDlyr78IQ3KLLB2aJsL3QaTEcGVNDdaou2vh1k6kCCqsJPMCdg0
h06VBXD2ZoAgrYtYe8Z5r2poSLTak54Ww4gMXiGeM7VD5Od63OWJJgHiP5RN3zwJCoNDHy9l51Qa
TuXvZDWBooJjKcqUDW7zfWYHDtvYcDouOw1RxLqHbozTs/1XlVb5SnFo4fGqThONuQpAyjfPhjju
HAV9TueUoMc1cLH2Qt1dH/HiTAMn0Tn7KbvPFYv9zGngW9XmCcgDLpxPlvqYy+kmDPeO9+t6qKW7
m9Pin1DTgXK2iCXTgaZd16YLOvRJjzqOR0QKWL62duhNpVgZ2VI4U52EBNDytcDIXYYLGoFumwG8
1zO+INS5jaEzi+QUv+sroQyPKTy9EQQ0pyk+G1fj+5VwhATWIcb2Xo30dD/YQbsynKUPZYLDmVzO
KDLM72j8jnQAESic+/aDrZQHNLE2Oe6dnH2i+H79S63EmqerTVD6XWIHWProyIj2SVjvfbbctu0y
a9tGeb/R6nJNpmPpaDkboDH7XsXoRfmYxqqLgs+uETIuePLWsqvj9bEt3tDncdTLzxXJeqH6BpIc
lHj19IlsWQ02WcYTEG4LclTbGH2f30BCn9vILPS9EkZYKo+RhIVyROJyp4MZK1cOnqWdTn4C4IGE
0wKNfvmjej/MA9GL+MbRQmh/GrK8CGTx/1crJ+taoNkm5B2JdbeZI7HttHTyUrcx4veEAKKDKB3g
2jf6HZmTlXaiqqpr4Yneokk0qsGKruTSWiFVnUoNtEq4fS+ny+8sO4yqGl/Qvt+G4wdTAKg3f62s
lLeyd+SN4N44PtSptjeLoslGoCkGzlYesufHuqtRmx15fuP3KrZ+1BhuGEmsUcAPgNYyaz9i5bOW
UE6Fk3kCe/4jZh9MdNg1QhvDuSs24s9NVo9fUnS1u61jptFtl9R1dEo7f3zkSTh8c0TrfOPJG7zW
Tej8SlTjV+1H8Xv2KjVVChWAMXgezdKAgD9FmdIjX1QGT4D0XClIvhhF8XL9CyylmGdh5rWXNKoc
NIEqx6Xu1O91OMrfG+xbaFSar1kcl3dmrKCTleW6+78Fnp1FdazqTTTSFBQNmnRy+a1h38shHntN
+xIU6leR/ndFqOmR8s+UWrNjaQi1TM/lHPu6Fh/yovf6TWGb/imgxbDyQJjW7ZslZSDZYONiwWtv
Vqvz/AqZmx7kU1HH991gnnSzfUqr8ScW66822kHXJ3PpIoZdQ9OJ7Tpxey43q6L4pBg6De26Qo0Z
wynZf010XpfYTxtPOcnVGkpoLeJszwS1F+aymst0Cfvd2NveHk3ramv0mnKXIct3fXxLIGKg95Mr
CGqmE6L8coB2YqZYrjfxqaq98nuuSf1LL+riCEg3uuljhO32WaL1H4PBtLapHlNi0qTkt17qiP+k
AWbceRtTJG2KXSKQbi57U3u9/huXjv3znzhbXVZJp8Wy8f/rRdp+zCez441R9ahhX4+zcDBTDZpA
2zqFoTeIlArZGobVFNgQPacKBmeNtkPmeCXKwgK+iDJ9/7OMqy/JQ4Q9Ju6AhQPthHAHOYcyZR+9
KlKc0mYM1twO1kLOFjFnj8jyOJBOgN9J+GX1mx7b9y1Yfr/tDzZ+xO+YSMB0Du8+m3b3fE2ZBTpp
kihcOQ63doNefl8c8zVM1sKy4B3t0CqgO0b3ZR7FTuXUiovCReJR37Rt8Tko05VDfDEGnmUTdgcB
tvktyjMOMocz2CdsFIoH1UflJE7sNRLxWpTZlm9i+kdF0Veun/XWsRxSExiRoe2uf5XFKM5UqJ4k
rRa69WPQ0UDvXSHau8Yxt36m7/+3ENNPOFvbYwvSp9DA3JeNH+7VnMXNq2NNmG5xn54NZPr7WRRE
8zWv7QGiUgPbtFa6YTylvfYEW4pC3sRNg9WvA17zMkqjaFWp5WrvRp5xyCXjQxU4hxSEzX+fsrMw
zqxFQ5ko0LV4DF2naxwkLNqXLGtWRL4WhwLpAn8OnpS0ky+HImy/9QspKVzJVqKNaYxfpMz+GPfj
SidkLc5sHUuDjghwT36ueHJ6aP3uJ+Al9VS1Zbkya0uRIFjJSF9DgGEtXI4o9eH6gTG1TqjQb8oh
2gnb3hjNWm15OQzFK/qe1sRTuwyDWnvXyGrWuq0FYiePo0m1dCtX40qWsXRAU+kFBY+SJ2SS2XBE
23ApjenoBlWx6UJz48Qfe/B8WIfvrOHL9RW3VCfSzqLNX8iql1mcz2XPcmjuBGZZk+zrTzv+Tnti
B1NvM4lqGtmxS9+B4bmIPDuyDTOnJe9Uwc0g5/ZB9yX53pZSsSskDE1XRrnwANJ4wYHpmtDjbzrJ
Y2uAQCRfc9MSVM1WcYox3MYqMuMHYaWkVXbXCHfEkeO3aQUQKwbdSoqT4dd1s73+W/5gWWdJq0Yh
H+YhvcnJafhyHUW52Zp6jtyTlFlqlm2ULka3u8ckzdlIken8DsZARqKi0aUMU2CtwVgkresfVWWE
NXl7hstCqnnpsNWHOM52gWiTHzxiq2gvxoL6WmunwCR7h/ztiNq58j0vSzNDVLgof7aOg0yxXuJ+
/YoWdPEAkF5Paab7mHIgSpbVoCyt1Nz4bSb7R83o9HBXFf1vlB7DA+wi2wOirjfkWwle58kjyp4O
vrgo+5qboA1V8axVkWajP+HV/mFE8/hLn7bWCzI4GWTLuhhHwAIoga4ca0sXGueyBqUZ9D7J+eWs
Bp0t7BxxFbcNYqTcK8+4RYPEe73+8RbPAM5/NGTAK799rmeJHsntQFXVTu+0sthWRv8QyNXaGuHH
vlkiZ2FmZ2fQG2FQobnumnmeYdesqBuzXnP0XhvL/JxB73hQ67Y7STyMnU00NOrLqJnNRxRsfl+f
tsWP8+94/sjyn13SZU/nNu46zdXq4Y5n4E7KlcP1EOo0J1fmbP52AZ4lDW0iAyFHcEvfZIkqkUgr
rdZgGj6oXwcQuWiUyJlabwMTr/cDYHBuWSVL+qdSLQGyGJ6QwPIPbSpeND0u0q2dWlkA+8ss3ZZM
LDp2RQ/ktyXRHR/jyrBuDLrviFW3ed5sUwU8M3ptbU3hK5OiDyrWsz+1QNOlDboobbW7PuYlmNp0
4an0/im2gea7XPQ+EF2tNPT0xgorRAlEXzzKQfI166NnWTLaTawm2/0pCGv5oR6kalOMCTYF9RCt
nK+LVxZQQpgkcKrfkMP0xiyTkcLuTYu++T6zMH5JG1Xe5rZf3uaDYR8R6U5P10e/tH451C2Ng5TD
dH6OYt6Ta3FXYgrd9s2+G9GZ5afpO5aat9K+WHiG0735N9RsPxZ5qKp1gxtiklqf4FqY2y434m0c
VD+VAQ+I6wNbjMZBRkXQoiQ1F+9Ny6Rv1EmuKtWf9fgHLxFXU77Itf5/nJ3ZctRK07WvSBGah9Oe
1cYY28AGThTAZmsozbN09f8j/i9eutWKVmBOiXB2lbKysjJXrnV8g50pz5iGkGiBzS5gbwCMo6aV
f47ttNjpaf6Syenwjy4qda9WVbyS1ywu68Kceu2ssdClpnfG2i0K1foH/bkaHsC8HzfCqdAJayvt
w/31Td4/jwjwKf5vfbMrIU4GvfaRVjgl1ujtYAaUNwi0HaIQbYooCR6lIXkKOiR2bG8lGC26pmED
CwDcwbTazDJixSTXYQz2wWvjbZNIiJY1mhNuTFFLn++vcinuaRNCGUJdyshzXADdkzoqnd4/V1mU
vwhFq1XE43LjOLZDta0b5MrDHjlvLUta9w2mQV+jCK3QSp3Do/Pe6VSPKx6IwLtofE0NZW8LaxPJ
xwhqzjQZVtrli9s6cQYjH2Q71rz+1gROJkMXLNyU6aTthFXdDUloUXpiyv0tS/tjanbiRaTVcmUZ
Nmmx7f+nwa/zUXIG/VPRIAW4SR2tqU6TWsYnhXT9DUXp37ySAMgYjgddcn1SIC0pW12Og7OOduhB
EZqxN0rfOgQpmnv317l0M2uA6P/P1HxeXXXKHsq1tHd1G3Yr2/mQlclKZrZ0OVyamIUZ2ffVKrFC
D9IIVCMSVAaheEeOBX5851BFk1ALci0rl8NScwz8vAPRlQEpJjiW6z3UM0ltjYFMTba9cl/Kun9q
8wjNnCTppvqQ7eam0W7HUeq3VdZ6+6FDbwX5sMCV8lR9wx4AoiGWA6ahqDj7ol4ZKUlgjNLJEBAD
P8pmiNqejDyHtZ/ouMTBDxzjv6qw05XosHRkGGnjuQFNM4Q4s22IQqm1S62fXuFqKA6TKg0aj0EM
j3kr5FRauboWzUHpACEJMzQ3HWSrr+kjoa/kCrQS2wRKJhj+B0nZ3/faRTNMopP80Dy7wZZJ6MqU
vWZAqFEZH5nD+5D12pOmIS19387S6QCvMKEPUcvmzX/tRKEUts4QxcTW1gveMTXhM8yCzEy7Em0W
7YDSgCMGajsO47UdWYsCpZI17yQbY2LudE+S7F0EUPwNp52hep1chpnsG+Z1r4MUzYhF5Gb6YH+w
geIAf0neANvivE8HDzA6xG+z1Wijkgc2bXbyl5968xJ3xR4twJVPM/2R+eV+YWQ+/DjKZdJAb126
8UB/SZTfut7fq+Bq4vIsy/Vrnz8Yzdf77rBoE05NKMmZ0WHc+PozJXKP9lYSOqegluTX0BD2v46e
j+9Ki4FSIUXDwRbjt95W/Z3nac3Kx1uKoxTs/md9lj/RfEBgo5LtU5N5X4y6/7eI6pfElN6R1SM2
lq5NfC455aW9mfPXZVD7Xki5O9X0HF0Vezw5aGW/4ShfWpl+xcXTsEkay7dzSLaVPDlpefCABvP3
JlSP9z/dUpYEGsHmRmXU5GbcPjFiEFo9oFedYcXNqENfxBDSqUuhg22HAyiRF29c01Zc+mLwuwOf
AgtB9Xh2EPKkGZ0ospFEygTxVi5/UnaSDl2o76PaO4ome72/yqUU+8LgvM0MDmRAEUMwnJlJz36r
n/px/N6P1lZtrZUbbck7JnJMqPGAulNxuf5u5WgoqRImgavkdfSYQG66AZj1hgYvk05/rEwLvvCO
wRs8r4bi/ZQHRrTvANDnAEHjeIe9fK8xCXaURfsG9mOswqY1qToyQzDzfHLYOKL+0roGwx6R4caN
vjWsL5b0S7N/3f9iS37pwNL1W9IHbYhZSIlGRfeqSA8ZefpgJZ+E9G9h7DXa9CEiZfXKg2jh2iQF
oDs2zfTfjpCRKDF1zYQ0Gj5S9hPEhe/sEiSnv6cN84h/f6dBaMT2MdIPbHl+d7axT1M8G6ZJ++6f
UFfdUjf+PnZcmZjFjrGGVs+LUucU85GqJD0x6PFqe8bKs2PB1eEyorTxe9duCv+Rl4VOF0mj62XB
kQHo/VivMVQvfRn4GJnhgiyVGaDp/y/8nOu6hRkYvZ6CKfkPbe7/yju72XZlVz3fdzh1IUZQIKUO
PlVrQGLOnBsFy8psNFucJc9q/9PboEEWMterBN3xRvlQ50rxKUQs8lsUheKxRyLyuy8c/UfkKc6j
aIAobyi82MmujsfIAmMGZ8u2gpjpYw2z6StZjsaTV9Oar2GrmulRyh3xq4DGAk08tMGTTU5WFe/y
yLM/ykUQr/nd0layjSBfaQffDnP0VdmF5D/jqXGE9KBT7HpR1F45+gh8/Li/l4umftP7Tf5x03QG
+9B0TGUGZ4ZEiUuUiM6wtySuUqj1v/dNLSHFgeED9+P0UuKeM2T4WufxhspDJiW9FyiDtw7GquaY
qANltodYzTaJnnwW0IHct7xwiUGTSALMYLzNBPwsQjF0OsZqZw0uD8XPcozKmdSdUP/cKUG6TaOV
ELXknZTWge9yEigrzLyT4efRaIUnuXo5ZieUvxoToTM1/cy0g6Md+7xW1wARS1/x0uQsijhDXeRB
kfWu1tTCflfnvv49tDLb3ufxiNz8/e1cyCHZTkdnvhYS65tOVI0gADSydXzuKItukK30DmWXmh/j
sov3uR1ahwIpmpMchPLJzLM17YClxZqg0TkBdC/4DdeBxsyQh6ftKGiXd4e2dDZFqrpj93J/kUsR
ExQG7Xwd2DdNmWsrVhn3KbqAgyvSyq3q6uT4a4N2ayZmBZoS6l+pb1EJjcfmWHTFK7N1a66/tFlw
70zdXlhcbh7PvTBLOeosJiaLD4UH1XhlIZqZrXjEkhWbVx+pPV26m35vGKayl1NVP3nF594WaMO+
l6Fx/vsvwig+PVAdVYCbxpUlSYx3VKiEqpJ0bBEl9vxo//cmYOhCDoUUm9LYLNutBTCTsQoVd8ik
DOZiq+seI2Q6wrfYgYkWutOpzjAvW7dtj0ZuZCRn6vCQ9yZmmX6Jg1J8++vlMMINpoC0iDm9+ZVc
dOZAiOqhHNPbr8OQPKtjsJJYLHx5GMAQ0ILDYppwmoVWyTGbzEgnPVBJ096nbT7W7+zeb02IN0XR
H+4vaNEabgwCmNG4m6Pv1Hnb5LYDLlOR6GRoIzhGJ6kPlhK/IaSSMEJ/BHXO1CidfspFOsN4RGwN
nSG5ZlS0+6rs7c8I9b20dVOs1PkWF0Xa9Fs+hAbN7L7gCe7IoVzZp0w2j43jfMv9fleF1q/7e7dw
CQJhwxsodgOWmmMykqK0zHKMfBcR+49mNb5TfIil1egRoKgbyvH3++YWgtsUoSncQQMy8V5e75+a
Zqmw1dY7ZW2UP3hpA1ig09fexEt7R1FSB8HOdXvj4bCE0mfukBusKAgefD/KjmmsmV+TXHgrScTC
tQ7TJaOudCogJpufWfiCggqdCpsCFyrR6T6IoIZqjl6/8p2WNo5khUzapPzEE+d64/IBghat1CTu
TzS7qlHvj22brVVz16zMPo/hwEWYoWzglppJhmlEm6Q3V1qOSwkfLET/W4o+QVouzpANyZKftQw/
1gE8hJX6XKdqtW3p6Ja5V24ku3zOZIgydXOnjOGawtFCmkLlbuLHhI5tgjtcW9fh8M9lLQ7cvqY5
lxS+gXqUtk+7/KNcpx+CVh03qtk/NozQ3Pf9Ja+8tDy50sW6U6YkRRQnaMoDwD1ZYan9EGUf7+VR
WmvTLe8xxQtu3UlMap5UV4PtjYldgRkoPgaSdtAifR+G0jGga13Y57Lot4bWfsjeAoqlev3H8GyR
ZQ5dYazSD9CFkhyqIizcseqho0Mi6fiG/bwwNcvFerDacCCE8Fn4TfhRSoSCyKXcblBU+O++pcVD
zj2G0CXB66YhT/1LbZtKzdwWRr3OVCeg5LYU7/tVPdalcMzg5v8szY55aqejCoF76JaRHbue3TFE
0ifyh0YXP1r4PQ8p/G8rN83a6maH3glyW+myDmYHR2/UTZvaYthmhgVFURAp9QuhJ4wO93dUWzE6
B874YC7kTELxGkacMn0ceTlkW3CUQfA0pHHSvy+UJK93cj5k4bn2o9Y8RG09VDuzn4oUQ9EH5o9c
MZJH7kQTIkJLS73TYJjts9oH1VPO/NEXXe1aY1s7Wjbus1LLvH0JzGv86g+B5H3qUHnud2Ra/pc6
z41wFyOdku2VHHIbf0PeZajJBr3nXDqPVmd4xyQe0uIkwUjubDMpoHOqd2XzM+vUVtmjMGu+gSFu
yjVotzPNO9FuXEcMnfJZqUo2kjYZ+kexshvHj0L+cf9TLAZEfhxNE0CZSIVeG+ljEsK0QLRWF2Gb
Qb/JWA1OQA0XJ2i7fCP5jtLs0GVPP0G7nv2QKtlbqbkuhsY/v2GO1ZRLSSlbVUTnwRExagKF4Tdb
NTPTHzVNsLVe3qLvkZqSGzDsAsDmesU80W003ceJ8FHL7K3uy4WxCSxPZby2V7xkqyF4uNZ0WNAZ
t+kZ/bGqXluFMz7la7aSO8JpITZ+VZhnEab2rzpsi5+c9GqT+VZ8bONBf82q0NvIPeQDpEhQ19s9
TPUJT29kRcirdxHS9MesG6V3RjzqSOGm2T6V1PxYc1K2Qd4aH8zWYEAzkdKVo7vsL3/WMUtMHaNw
amYxDdf02mAAeIK8MPTcQaVsFDvw0Cv0M7k5Dk1mV+fGsgQPZVMfhxWXWfqIlKZUviHKSDfTF0WU
ymYU9sJly3+gRvGcAxfbaiX3nN58vn9ElrDEPGCBLE3oSDLyWdJgOpUcK2pruLxDY4jaPmt2uQvS
T7UV8tGA4fjDxrECdVOLdDxS2bee7/+CxdVOnVrKzZrO6/DaeVRr5I5rR9+t7ScBV0QvfxzDcmOv
seAs3T+mDTMV0caaiqnXdvzYCqy4qUaXSSTYxJgFqTZh+S1Jm13S/3d/TUuHnnYj83Q83aYr79pW
6eSQz8gQFMSBs6fa/dWubOoqa62jJTOTtyLEOBmb9zwSpwtUoxxCN4DqlKHil2JUNrW0xmG69IXg
WpnKexNwaF5NbMImNbSy11EnfJXaY2uVu8R5QWx5JetZOn4ghYBE0SSGjGn2hVC1oFwpFe2pKYyz
Z2sCAd/gv060J6cTn3QF8TMx2o/mWK6FzcWN/P9YC+CXVA6uv1euDZFlBX7q2mH9b9Dr77Ohe7Kh
W1zJk6ccZ9YAN6iATJiO33ZmgVLxUmnaYP+sOUHFvcfL4Etvx86PNG3KZG+Dcit3UqFBGFCqlbdW
tVr8kDAFKPTH6ADeLLNPEy8A2H1S7E+G/y2ymk2vwm3Rro1dLBqaat7cCrD6zF/4khFYfS63tuuU
WnVSI8bjhNI5n4a8aM5NpccrlIRLZ5ta3AQdQjKepOL6+7XeiGRiwUR20yR7Vc8Q5PsUxc9a/1Sa
4QokcukheWFrjr4yx1Zz/CITbhA2jyLqT7K8RsK5tH2Af4Do0YVWwQleLyfi2W1ooR24eZpvhzbf
Nv17K5vmDYaVEuOS419YmmcnthxGdppVDbCPVPnXFj6yd1YXxk9Oimb3399rMNIQ5xlBoUQ7D1cj
MsdZ1+fSKVS9zt+hfTHu4XvbOWoxwtpsSX7/998KizyFJ1TLdJteb+TgKVUvjVCCWn2fPfkVI69G
LLX7+9F+wfuurEyf8+L165hJ2oIRlU5qPRxa9V2qVE8qSkUbOGSOtb2m6rHwza7MTT/nwhwDMEXq
SXTxxVDsmY/ZK8g1W0a2sqoFP78yM3uv9SJJ2qKgkJ4W2Ts7sqB9RUZqJSAuQf6urMxcPWysGskN
RbiJHg7jKTYHy3NFkNrJWSti8ROeQfWBjjEqqUMAa96z0paPQ5C8ikgxxk/E7W6Nbn5p4VTW6LTC
JCvfsAzZWZoEci/gByuqRy92PiFEdLjvMYsmgDkzrKxObHKzVReVVIWDNaqIjNl7sxy2hTau1KkX
YogJ+h1CR8q5tzycdUDiSCF+cClNu4Oq7aVa+0eyjYORlSunbMkhmX3j3pShXGaY4Nohk2JE8lTP
A5exhhey8n2h1K+VlP+4v2nLZib6mYmfjrLktRlJD1PPN0JmU5XovQgbV4lbF/XDFb+f9n52R9Pi
Q5YL+CAwoHm2U9ulkRmhY53UrA78LbpzTJILsoZPceGF/TbQjN6HhcNnmBAN08Hfml5kvAGPd/Ur
ZpmCZ9DXBS/XuZXch62/QQ64d7Z5GUb6oagTzXfvb+5SDLtc9WxzB8vy0kyThEuPbu8MnzXjMTPI
/Eso1bI36FRcLW46HhcRzO96hTcVUK5UbYsjxa70VCf6d4g4g50X6vZKFWhtbTP/lPPaqrySzoad
t9bOHoaXMlCcw5hJyrHU0/QAqCZZuViVRW/9LY4BJgkk2Syl9O06Hy078s+OXjVkcxw92OLpGUI7
nXf/QfBlg1MC3Fk/McwUGswqmem7RAqy4lD5icNgtDOWv6o6Sx4lwymaXceTYsXXF+MQrxSO7jS8
On+nDG1SNEOhIwk2NKfSil5RKXm971hL+0Cko30O5SJ0i7PbagQq7eS+07ieAqmQLHSxLctfmb6G
k1qKdyxBhaIKlAxPiGufaoMw9j3KNye7yXeZVOwiz/spsmGvF/1Kl3FpSdCVgf3BHroxs09rNSMc
Ym2lutloHo1RPAM823RSdry/c0srItFkkA+yO1qz08+4OCUdSiG9YaX6aUjfi+G7YuYHYHtk7NqK
ry68SijEUYmbYCqw/85uI4qwrS/6VAZiZr4TSv9RRZlGssInSqbw7xpRUKxc+0s7OCGZ4DXi/rsR
qilCow9VOdFdxazysxIp2smCUt6ENPb+Hi45OMqk3BeTzrIx9wrPodjXe0J2o94plUPQ1JW067U2
XYHALC/oj51ZstSOcmH7pOhuPvjxibmM5GSlmrkrQn2tAb24pN+SDYZpTw+Ra7eQmaZpIS0Mz0Gt
mg+KLYJt40HneX/jlpyPoh4zQtrkffNjS7V69M1Oi6jKfBLFwfHptxjdxnCC3X1DizsHqIbqD9WF
G/0OJRoqq1BlhxFQvwh3vaP4wSaxclHvOWX2Wv90ydcpqdF85mQx66Bd7140SgxaWrkJcYsXb5pe
pEfWj+ymTW0Y4Romr5TcyrdhhGjA/ZUuJRbORLEG7yxYizkVSV0y5B5VljjXVITPEmTPDK8bwQnZ
zhCWVJqgm7Aw1Q3HMXy0VSlZiSdLjkOZaNKdRfLnRhgj5sT1EM3FgMKcz7GDoM+YviETBO02ddxN
MpT57iZGHfQeFAEnq1Zl0qNYy8tT16m+eWyToUjfkLRcmptWfBEhUWIUXoD0q6tE0mkI813bqPsE
jWDenm5V1X//fkX9FPEwVZmAg/O4Xw76UALBoIOVFDvQK8+aL55Su2B63xlWmDim62qWhcKeygAQ
KGOFB/Ms+Ot+2kY9XMznATQ1DGSQ6YalHH9pNKvYaFpnIKhZFmszwQsuglUgR1RSHOSPZ7GlVyNz
MPxQd3vPgjCY4/FCmTN9uX8QFo48NJIKZDxQRsMpObtv6MJ3AxP54bnIh/Akw9vzPhKIRhLr1L8P
YxAbgtrj3KHNMgfOlnGU9T7KCKd4+JBbL5A2bHvlMaemfX9JyuLOQXvMmCP6fGAhr12xVJOmFUlg
uxDgmu/1LA2RWggjMzznjRUwa04HY5t1dv5eaSX/wWe4rti0RmZ+tfRRej8oRcl3hSu52sSe5K1V
lBZiD8Mvf37e7DnRiDKtKw0IYSehzoL3hEGwjeR/E2svpG4bhsM+tlZceOEKAQtDWAdFMjGmzzKy
ps5RDg8SEBdqsfWDaDN48davdgTHv4+sV5Zmt+9Qh5Wl+nbjRkGuHulpO0/FYH629Ih5esBB9J8k
tQn2KanwJoMHTV75/EsezWMa+jWYZnCB2Wm1mdkvwAcwfDBG+8g2d3ljvmS1uoIvWTMz7fhFvKNW
awSJ3UlMZYLrliqrOddSWaO2DSPxfYde8meFhN2igkDeNC9BSghQRZDd2Kek9PMPY51Ge2Fmyf6+
lcUFgS8Cqzm9tOf1uQKxeMMEd3bK+HhJqv1QMqo9VbbiH4ueeGFmtm+xnNS06aBPylX/5DvvypZg
oxXHHkz7/QUthW0Kt/9b0Mzngf6MtiUp4ylFmNzYFDlKa45cx6/5YOaPjaGGP7XcZO7mvtmlLp4F
/Z+G88EXeoPjHJBy6Lqo8dzQVKNhH2VlW2ykrsibEa3h3Kk/dOWgffOUPnqBQ65VD1o+ljAtN6Ws
MBtdO4GyshVLHkRWR7eDeAjL/mwrLLPPM8XgVUE2dNA9+bE3jU/3l72025cmZue+BclRazmQZQll
pe4FfeuNblIS/dHUwcpDYvpT8/t4AuKS1yB0fvNGqv0WgKRWAVKjcl2PD4K51TBwCxqlcnko9ZVE
aile8yLn8NFDASI52zxeXJUk5aF1GoH7fZzKAe8EA+0fClWCkaD3JfGB6qRx9J3M/BTUQERXPGrt
B8y2tlMTawCP5530oFa+etx5P5XR0F4LkcnJFlSFom0yyS8OwpCQlUbxbzjc/7iL/gOS0rY19LZB
v14HO630TBGN1OGgXz00ZfSpUNK/f8jTE/hjYvoJF/F0hG8m6ELmGCM/34KwP8aRfWZqfyWWLoWf
SzNTFLwwE/ZWiQYYQsiNJ4knL6+0rd8m9iFVy+w/plPXJqAXjwUhCH0CGFZvXoiBaQ9KJuGdSShD
xt9o/1lW99xH0kNu2q9wWqycjd+f4uZwcEtQLQdHfvOGA+Soh74NziZNKoaHHMM7+ZpCHdjJDLfs
7IKxOLpLufpVbYp4C7bDOrRp0uwT6IyOWWOZx7/3HaalkUWAvp60Z5aNpYJxlCpuIBIwkidRD9+M
qP5438RSQLg0oV5/VDlNVL9JFQYNi+J9bPrOxhogsXJ8vz5kXqV8t+PA3ulhEaykVYuGGemB/NmB
lWBe0sgtwexD7wdUatVd7jebuvkotMek0Dc+WjSx8+X+Qpe8ifkDSuHMZzHqPjuHEoVTS640w4U3
JTnA5WpuLCXSHjwH6BlVTnkTJ535hpM5tS4AhtEFvWHxLpqq1vAV+6SqR6tMIFY7N0a5u7+ypQgz
kQJPDNuTmMfMS3QkfKJIFapbp8YxV+HRM9cAiEsJDr1HlFcnFMhNgqOXmVW0A1z2Ocg9QFmCWjoa
Sf6pY45/ray+uB5ojidmZWzOS87y4OgiEh0Sh+gOlJp4Zsj8DQeLiDzN1kzFmnmp0AO9Xac6rc4o
k/apCFwjV1auviV/o2LuTLVz+km/NY0voqXeeJDRazSuRLLvy6cx05ud1ght2yXt18B03jCNACRD
m6BWADNvsAoWdPFek1ojyWHzTO6+KaowgYRsDdW1pKx5ZWj6fBcLIxRBkOP4YD7t2vd3uaOmPEdC
J045VpHu/5M4nkFbogeQddRpKg/nWiucYVu28EhtE1lCVDnLVfmXHYQgWO1YSjy4hx0oyVNUm9x2
4gbJYjvflOpQr7KzLPny5UbNrrE+HMewqGXbDZK6MvZSMjbDdiQWoNpkjJV0bkyv77ZF2gmCklyD
Mq+FkSnHzoA9mPI1NPlOIrWCstsQqhtRmNpnVHbDtcxz0YMAgVCapwp1MyPhybE2cCKZlrVafzfp
zG+qMrD2YCHzbTwG38EQrik9LZ094Og8YrhxoTKcftPFxw0jr00bM47PkdMbh86kk+b3Vfh8P2It
foILK7OsDCU3K3YyHYR/V7sm/Oy67k9FzN1bzFj8A5XHMM6sQOP5CIBzfUluFWX6cahEve1iP3yN
1T5cyfIWXy4T6cz/2ZrDadpwrNUsgNDMEQMDA1U8HAJZjndJGxt7q9V1BIkjZRv3A7rimT+eEXiQ
P/MKXpNcW8rSLn/I7DaQ7RLUZRDHbjcm20EK9lJ6jqUSMZq1suXSV5zIv5joBLJ0I3RowG6UtiqX
26gO3+qq+6wG6T9JqXy9/xWXFsTDHSZ0AwLsmyQIoqKgrUI4/auSB/CmGRPd2WWGUMNTXdNX2pWh
aRgr33PN6CwtyoCa6l7XBueka8cHPTejk9c20knEdrQbeusNfHhAe4CQcObgCJkjzfy8hiMSzLPL
vfFoR8lrXht7EKAPSTLGK2+ipbXRKYUYhEGlWyYe2U70LoM14STkfqtq4iWxjHdDLG9bS35Dh4y8
B840GILxynmzAKWprJcy9GiQSqj878XYmskPbkbxTo1rsRJWllJKSLJB6zFVM1FoXAevRk1CAVP2
6NYypOKNvAPvuTERLSuLfNf0wUZvft33zaXnJWwG08vOQiNpXgI2/HYsAj+UXWTxNoX2DE5rU2Xv
fFVF8G9D4h4J7Q1fj2YBedGktuvMZ0NTaIuRD4tSlybqC9XijWbn77LaOpSRc7q/uqUL6NLU5EgX
l0ExxCLXWqeD11Y9eOozSn8f4Cd9GAfxvpDHlefX4te7WNjs6on7ZoDqiul0Xze7Ux2bIyA3UdJF
s1Wg9pEx2tvSy4ZTb/Y/7i906dZDCJNhRNInU5vX76yk9xWNuO3Gqf6YZs1TlLcrz50FE/SmIb2n
RzihnOer8yCGt6mLu4HVHAIp29fF2lNu4VzT+IZRf0KG8wyYvXD0wTNgYup8Nyo/Ar2kTu0DfPnc
+mvEfUuza/CDThRoFJHIcGcXqx70vmBuz3P10Wt2baBZu6CFmT6r0mdJqOYWBcFxa/tCPcqeEj1U
o/cG5WJWSjecCDa912f7OSHJM60rU/pjw8BcpykMfV8xYV7yXB/NeNNaXent7/vJ0g5TAaEYSCmL
V8Nsh7skliCc0exT2Qe7IUz0bVim72M1/REW4u+BbyR3DBIwyUwHcu4wBZzaTtFakatJ+riTnGrj
NSKapvTOgZd/ub+whascLCtNckYnmJKdXz/xSF/BkVL/bDt1fYLrSH4Hf2FyUMCFrQTpZVNw/0+8
dresQ7Xc96VHEu6Wber66FjkdbIHtnH8+xVNpIfkC7y9b16slTF40lgyjqHE0VZvn6ya9qb5z98b
AWmCTBeVBQ73zB8MyZOTEjXys1Zb9UFpJFQVix7ArGWFK+6wtG0YmeZoKIfd4LDyvJSaVK5DN40n
2nZpp2gtc1/936fMDKMSqTDF83je7Aos3YOfDKlcuxWfqhrQjhX5dNrSt9iZAAzkOgrkzbMIUukD
2FG7GN0G0C8SkKbcb2Tn4xs+zx8jc0kLeC7Btqdy6472uMtbsVNi/ZQouXvfzFJUMEnOSP0njs35
vLIKOo52s+EzbvXeEsZOhuXfYrZDlceV+LPkBBN71u9BJ4oXs10bUc/pY6sPzh1ItJNIPbELEjM+
kduvIY4WF0XFinBHh5t6wvXdn4xe3iajqbuy1Gr+xqpHE/KOMjHkDSTlxsjgcBSsQcUW13dhdLpE
LxKO2hpNSDylyi0aeJJLRS+2bSm+B32sb+9/syVLVHjxdN7WoFhm10ckBbXmDL3p+ixjrxRd+EGW
q+p9lw7yG7wQcTeguLxCrZshKrPMnSQxh8iNs8eymZLRfwfxBh0SUvo/RmbvFTWRkqp3mBVPR/Ps
p/aPrA2PMO+tZITL2/bHzMwrej9jItgrvJNWyA91hikneU7lNST29J1nhfgpBlGDB+p2q1xb4ZGi
8Ymhad0rJ8Uo1YMFMcX+vg9M3/jGCk4wgQYV8wY1WiChJuSohFhjHOty0w9w6G/yVCQcqs6gMIVu
+JeRRFdeuZsW8ydeRRN4akJ6zpHmhdrKfqKG8RlWHHEogNBvEEb8Qhm3Pkl5KWD11IaHPPDSQ1TS
TR6sYGXSaGmH6XsDX+Zhdov9lButV+qqYDLfKmp1D3pOGNsskcRKZr20x4BLmY5mIhKg3+RQFyea
fnhuWiiAuGoVbou+3OXiUZ9ivaHsRL2SYy8ao6kJdaIJV+m8pRB7vRC0Ex1X1nL71XDyQmwjNQxP
odfWH5XO61xJLtYKLgtb6cg0ORnQgVWLgHm9xC6KctBbTkShbNhJjHyCIlmJVlNcn3kqJpAXYa4V
/fV5nmED/olRlg/PjhQY1smvfdl6B1IneixyqfoEjEf5ogZSLjaKKcn+pq/TYuWSWypw4bIygxEg
XhlwnT2uSySdO7vLC1eM2l6O5Qe03J7tPnilQ/7ZHAKUWgxlo/m1BqSrOAVoya0cm4XP6/C+QbKc
TIsyyWyjPXMsIrJyiFw8pGfiIEefXB52FqTskEo+N1KyhodZ/LQXFqdL8sJ769gOartt+bRGfTSY
bGw6/+8jKnVWEF0MnIAgnr9jqFB2mRawKFQBngJ9+NF4qFRb/d9n3VMdmUEajiGgtVngFqEw6pgw
ckYa8YupFeZzUHT+NpT9dgVduPiVLixNe3qxZ76pRQq6e9QnEum5DoujOTiunfQDNX9P2uRKvOKZ
ix/pwuDMLTLm1vq48qj6mAEFVSnYhkO4pmm+uCrw+DbFTqqJ81JypsP6EXHLnrI8GHnejq+1nH2W
PeMn4PqPVbamAbCQfk15kELjF+zZTXd0gMpB9w04gwdl2BV2t0nC7jmVmn1l+itXwULdBVMUzQAQ
wMc0v4z6IYgSObBUVyvKONkYgyjg12l0/V/4cKonZGJRrs7CvOrPWidLYiW2qUvfj5sIyRFm2m/x
xKFCZFPKXpwzSdK6nRxa9YsC+0e3DZzYsjaeVzUZLRg/d75lnt+9J0z1P+qs9lVeW7bUbtTYqZ77
qkWzzEBQ6KENtS5z4e61f5bVIB5GbdRf7Vb6WjPJeAr9sDmMqa+DUy5TurGmEMnwhlhFtjepcEB4
dwNSVivqNF3VJueuruMtfNYgtWqj3hlxPxUNZFoEubP2qFrcSeKiRupELXmeszdKIfV26ISulrbv
ejs5IKW84izTYZrfRAz08gZlCIb0eXYLZPZo9NBLBK7mhc9aMe4qRvZTWbwhKl6amaWzXLONsARD
m0HSIl8kbRlbK801ZcXl/fqzmFlQHOS+6QqdK810uj2V2neFqaz4wdp+TT/hIhoKW8rKrBM1siGV
1W08OU/QQxBllW4SJSuLlSqBOm3MzfehAi7Tn2CEfI4FUFo2bkyRcrba1sy3JeWlBwtq7n6bSm1c
7IVuDvVjHpb1jwb23XyXZkEP+blftOfR7+h1miqTWpHNfb9TYyvvTzAZOM17KjSOvKG7M/IYhJfH
2IeyUUdbHK7rPlT2mH8IIl/9cj9FX/xCvysRU+54W8WJQ5jbpALKUMn7kojhlYbh4b6JpUg7sVuw
aYir3qAN+toSPaKnDuGvkXlm2IxdWUHzc5DSJ7Ns19rPS6kcvVxKOTqo+Js2PXj1rLLAT517RUl2
SqRnp3SwgMWP9Gt2Y9gNJy1Mjc+DHlsEimxteH3pIvs9pKJoBon5HAbjCb3PbN+wT7k9PjlK/Msa
01NWVjRH0BzTCv8NB+DS3uwA6GEsQ6ljhm7S9G4P6iFUGY708s/3v+LSOWMYBsw/IF8m9KZtvzhn
mhQi9BsXsquFzt4a0icrK49D/IbRCdg/dYD4IG0m8sxrM0YCs4VtZr6b9cV/dVI/OPX4/0j7siY5
ca3bX0QE8/AKOZFVrvJctl8UbrsthECAQCD49d+i7o1zMkkiifKJfukOh3sn0pa0h7XX+g1xucQz
tpil1jYKfTPEszP4/IZdkooASpGycU6d8cMsnybn2aqqBPgsEOjEf7F4IMucqeBnjoHFPci1qjpB
VXHmmSPyeBh49I85TFNsWK258dyvHTfnwtbCHziGftuidViaW+JPi+OF0bI8zomTWmz6i8fqVQUL
YyDARi0vQ7AdE1+HvZPKSaS538W+zH9YaisAXdupSzOLx0qXVNdWVuQALY+tezAcoy8TxCBoumN0
VsonbZf0BePWnblxd62FbpeWFxtneVXOW0znpk4pjlF4Cpqja+td1JJd3u+0phubt3bKLu0tNk+o
QWCuEuoqjSsPyvmoijYBFcqGO665yKWV+VdcnGUF8tGKFR0I6ZHhtcQ4SWiUMvOXQ7Ziz7XnBfVa
AJTndsTNBOzoAxeiaJVBiRreDv2KD0UfbjzJWzYW3kHMjBB/gC4GeCDLRHDpp1KQ4PP9I7xGQIFY
87+fsnAFjiE44vvGkDa9dx71k99rsJF5sVF+AmB1F5o00bqMh/GPzsihzv3d/R+wumkWGqiYPQHF
1utg0cWmhQJkZlOIs9Uaj7W/VyE7Bs1vL2v29+2sujwKPGj7gfwHse61cwiX096jjZdWkCv4AAmX
9hmwBedUDrT+XLfSwsPqNmfiQFTgvuVV57+wPG/0xRe6wp5EC8rT1PK4d2A+rkbSNtmxLfF63ze1
eqNcmFqcgFZ1zAebWX7WHUGNOmg9h8RQNBcfwo6I5liaDmgny7qZNiZzVp0VU6XAP4fuLQI6xwx1
budWdHJGJABxqI16jHObhFsMUmtf6M2YbrB6oF53k6ogLC5DZqKdJVOS/+qy+jhk+1J/dfNp45Jc
27dLU4t9UxkUEkRnFmejcYfjZBfinRFEJU8oK4qNMsuad17aWmzcSLKIOW1IU+aEsa3DmNK5pDzG
Dhio2Y8hFBuesvpxmDyxcRiwkMt1NAqBWkvUdhjYDjAvg2OIOVyD7r2xLzaqq2snHHATEEODYh0C
aPOWXvi/Q90p6CQEvDr/H1entp8duulnr/KNR2ZtDeeOoAn5UQBclvXUfByBr6IAsk6FGyUjh0y1
K/InM+oS6UDX1SE/q3bLSdYcf8aGz4MxaLAtkfZh41LFhWLorNUdjas8K08Uwmt/8Rhcmlk8BpAi
YyCJsjzktdoF1Z0a9s40bA35rDnFpZXFHTmHjtyiMw3cpJ/NIgf2T53dZks57tYhUJSetfaAFJ3n
0Bcxd4jxU+4gwz3lublvKfnoYiqrV8CUBfXujRfi/DxbMwpwpgdEDe7a92owjNLICIxTNw5BHA5V
9MKJXz0TatWfZYjme9aD1vu+0ZvvWxhdOnyu3Xw0XXWyy7078LjsKr7vdPHDKpotVNfNfTjbQlV9
RvCjIbms8IM+LDIsg/jHGkSyJ7cpSGJBcmU3eYq+p16W/c5zam6c6Bs/mY2i6AcaPWS+oEe4XlXf
8JGi9gr8NR1Pahdo8eAbEVtH6+Y8L6ws3CTr+2CkU69OFi3ZS9cK56HGjOnOEJN4GjDEujOq1vqq
8kbs72/g2qJCBsRBXj/j85bfJ0mLMcISKnIZ5umD8huG32LSnz3+p9oUM137SgB1MDcUQa3phm6p
rZpOWjZgLWJ677vnIfvduCSuyVOGOU3xZs0mrCngfxZo9QB/ulFycSsfldBy0qnfizjsqlhBcLyI
3syHfm1mWe1DJCAyA2wIJ4C9/MNYVfbOjViF3r+/RfrurTgj+lT4FsDwAClblqErbnWuNYT0HIBR
/nnCoOk/Gd7LF8wP0vo4gtkFg+YK5GoHu3R0uy/D3LES3c6sLjkraysmRs5yIBXGLozB3xA82SLI
fwujLKFnhnpvH0P9hpYYTIfqDZxOh2Ycgsv332Lse/aAAfIag5dYVwwFtFP/1QKnNabMO0c9FZ0e
ffD6lj49yFAWaucZ3HtnCSf4SpBSZzvmZTpPQjlWAqQbFvvcsKh8Qi0NeG/GWfALeG/P3mfASIc4
Z3ldxZBwJ5Aqngj0z+oib7CLXSGCuG+n0MRfMorqQHSNGYsOcN0o1n0TiaQPs7GIK/TYeDy0snjn
UFNuhWc3VSoIul9uxuLMmqIjUpGyR6sN0gwJzywldh7znIeRM/IdN2NUxm4J6Os7xxc1iZvSfTup
40wc7CDgABEHhvKWl74XFopZo7RTSBolodU+BlH9WEuZ3r8lbrvxs535WZnHVEGAtrjn22kylRF4
ChzereenJVRkv7pa6z5pRs9OTRFG/2a8kP+gi8GfDYhGvrBqkzXWWnluLn/G8rARu+XaVdlwAiEG
+dYyd0C61hgRf9ZN0Zpxrlv3AQU660WZVvvZVUb3ovpBO0kBweavA2AYRZxBOfqDWcsA4jRWWLlx
nhfMfCtLEBYMHUv0NSK8WTejTQappBaFoVLfYs+d4517kK73Ed+YoFpxQsBlZgNAj0eYy7x+nqC1
qPNAS1QbdG8mFY9wOq3iCAIWM5ZROY8edR6eETOMuxqlgvtusbYdCDlwGQXIH1GvvbaeYazOqA0j
O2MmmD6D58nFMBDQC6GECl8zmlvUGyuPVTgXLoH0xJQdmG2u7Q0eryMHPe0zZNSms9W6nwVhYSJo
9svpTbAFAt1zuP+JN0Hv67wg8OtA0YJMZ3nAKkuZtUDhHRjJSQFzJeWxIr59um9l7XwBlAGqlFeo
3w1qlhvKbJCnj6cs/BgUwRF8jwkYshOQAMYB7SAG7UA/7sdYOBsB3IoDAZsPyADImFcouVupQZE1
oX2Paa1PTPSJP6gmhlhXAkqyPDalPFM7OhFnay9XfAftfKBB0FJY4c02VN+4GKjIU3RKkqA8jLWZ
ePaxib7fX9qVN3MuQ4PfAlPSaJ4ufAZk1gaVsrRwc7mniQZHqH7ssirYiKNW/eTCzBz7XGR+XiYE
wwmh567kprnvLeIbe8MatrKjrc9ZHDmDm43rCNdMoU+3Zyhecdc4GH30V58DdweBtAm1kMWqKRTB
e+IHYAKj4mix4J3MyJsZiHC00FhEOgn1NOBlFjZI67h5F9WQiMsnfQTTZn7okel9ub//axuD0B1S
p8iLABafF/RiY4q+yzEiX3cpdEKDnRzcMMnGaAtWtebNgC7OY9oYZAVS7tpKg4xbR60bnAqXxb0J
RsJ6R8BqXrgb+cgtxgirdmFpqSFcS+rWArDd1MT9+mibBMzUqvfdQ2f305+pJvkpZ7U+UI2MT+Gd
/C7ZQIvEzdx+S1Ju9avnsCMCdO02u23sPBuUDy5uu30k/LddD7E7PYG8YuOSWnP6V0VvZDogGVpm
fp0fDkDo5UA1mWATjCffrP+4oAQJY66IYhuv2ux3V/1hTIiAhxGoBKCNUOZYJNKe9ms6yZadtQmc
o4GAeEeCjMc1cI57OnjmPgNoe6PqcfOJr0ZD4ByBcrLALHXtQMi+8o6FAjzgDWQ1/JJ8H0Jn7+o3
63m/jr9g0nMW8FwJGKza66a+Dk619asKRcJVuQvsLSedl2ixhEjQARx2QGyGh3NxHLBfo9mPukuN
QO8Uf2AQQmkYi0nVfFIRcHG2BT09Mwnr/GEMGdx42rvZVnHidgwbrc6Ln/H66l6cfV+Bbs/sMGJm
ZJgHBz7IkhmG3jrzBDRZ9CRxA00xiCsaIE/s3v4Scdd9r3M91EnEDFKf6sYEdWtRVeQdBN6EtwNO
00Gq57Vll4xMUnlsA6sB4324JaB5c7YWv33hEHoY7WkcmyJ1Bp6U9rGl4mRg0quoPt6/IG+ychia
TzC4rGYOqOUQDTBbGISygiwVkd6btp0UUj563DwOrR8lflY8NwXqY/eN3p4x+AUSMgyGgHv7ZnKH
SVBphAYBAi6ajlzofcQHFXO72FtV+2hAye++vZtXAHHjpb3F80xGsHCjUVCejQjCCEmhuAXStqZx
thpzt+f42tDC87NRhg7IXpyU5p8a5id+WcaO2NLYnP8v1+fr0gruvuvbQpfStSuXkVPAy8Qevjvt
e8M4u/SLB1UVr/4J2YKNDbu/gGg9XluEDLXjsdJ20zA3jJcacf8QV52BYeP7G3XfMYChurbTkal2
JtsfwO+mTyX/17EkJhqH2M8+qnCLS+v+ZkGq49pYq3KwRzGBCRtP7SOP76TGMFSzpSl8m7bC+0Dt
GELaHSMwN5M8ghIOnvRAp5AMbN2UTkYOLHDbgirZrApDx1MNobl9z2sdQjV6mEIa93VDfUzI2pK+
9E5DzB2UKFr2Tnsks49VDmGiOCOdynfWEPXh8f42rG33xS9ejgWZExcuZMdAAOGL6t2IQk5cMb4l
8LfmxnP+iOwVOQBgKdfrD0AKOLCJDfWjAhCzBMLKROyDSTltnAdM96fBZ8o4TBjg+Ud1Ea0+93nQ
tW9N1V9357+/YnE3iEqO5VBn5mkSujowOvYffDz/kGA1QB73F+sKSBFKkgh7oTpw/cXMBwWGifn4
s13jIwWvg8ewHdqv/5uV+W25ePfcwC2MdqZmMqeCp7UPBe24yrK3a+nMK2e7qDwBgGMHywk1od2M
Uu2FacidL1DEDDCGRIOTYYP55P4XrZ1UlOExJYEsGYncYt1cwSrJOhmeoAsxxm6Gwb5CZHQfDSDw
/QtTSEqRlIAoGzyP14tHCXgGcPiAp7MmCIB/mNBNmcSbO+Xz0l1YWdxzUUB4R0nIzia68u5Oj0aU
HwYTxNI4aOOmSvzq+l2YW9x0Ja6UHDoLbVrY1mM2TA916x9t7m+Uo1bNYKB+pqxC7WsZxU6F5yKU
EFHaMkwSkilu8/p5JN2H+1u0ejvNVPY4tPjVy6JMY+vIHUXOU3coPk+N3tf+m8fs5v25MDH/hIsj
ZKgp8iiGyU5N8SfTEZrUeRx5W2jktfUCEREaS+AanlVVr600ridyEo7k5M9US49uGwh56I3Rpjs+
hn+R2aDPc2Fu4XT2ENhTQycPZNRq3GVtYz2PPRdJZVvDQU5+faIFiv/3N+s2kL02unA9zMW6FNi9
HLnAAJg3NIG6EdIImAgV8ZBv0easuQayfbwlGKXCmP8i/pKm3RpBgPgr96cdCfmZdmLjLlo1McM/
XhktbrJR8JXXYcU9jtYxYEQYSXGmN7eN4X2oyqHVCbArsB+LhxEtVaXcDrCuxv48Ot/wbzHY2OKo
+Of+3thr4dbciQOfCoTybtqbVe9Jxmo0jfuycNQDLYbhq6owognyJFMaGMQ0zQ++2aDxkskCAk4o
5snpocfJKGL4Ls1OuUWtbN97TfvZI1GgkR37DT+2xGLv6mlqT4XD60eIQQxPyAcyHXNPlNG5Krgh
HzIInr6TYFDQ76s+lE8A8LRdPFil3AqZV3cN44TguIUW6Q2axippl4dj06QZR3pXcTSLQvrj/nKu
2oBboE0CSze1xiECxIxRywbVSfiA3PgzsBu7+ybWQqYZ+IFCAT4FvAfXN0YIeJUoiwI9VOsPbaLT
oMmLj7KtBTIJIzdiMBsllX4zG/HsjxdWFwEFDSRnkC9B0amtmzhwAKeJHT5T4uSmmd7/wtX74sLW
wvcB/2BosE9OaoS0fIYviV3fSee5NqrqfeZ2zr//m71F+Ac2NegGjyI4de3nRteJA7ZulR018Lf3
Dd2W7uZVBD0BjhmmDsCTe713URZ1mWc10GgqopDtvSny9x0FZ/hOlfkYnbVX8UcrJMVjWWT86AwM
yCgQNzkPUc35FpfM2jrPROFzGArizGVRTQWYgDRcjD9jXAsEOVPMDStR3Qlj0hsfvnYsUFCzoRWA
uBfF2OvvtvshNzpleGkLVF2PSZ8JkuwuUL9bHNO31OxY4UtLiweuC1kvImcozh7Lh6/ZlPlfBVDP
NEGiKZ7qabDJJ99RA4tNUQ3RvgT9WHUyK7v+obkDZSBA47VOJyK7xwqDz1vUEagf4lsXmTuq6ZAp
cRw0bW+GfRt04tqaCyO1BhTvLVu+D83W/AxcAv86tapQCUP6+8lxC2nGU9hHmLEeO6NIPaGqpww0
Mt9CV1pF7EYcl0sdtFax8/twMpOpyiEhnQEr/lI1A3lfydyP4tIuJ3TBicnzHaWGV8SWlGa9N5UJ
djCvyIDqJZ1VfPBKJ2tPKojQOteFpEdhaz4cR8g3/+MZeevG/tSFUFynI8ZnBdAkbazoAPxZZ5jR
B4O5qkf7T4w2yNep1SfaGMGL4XtlO6GgOVB15IorGRfewB68LCzKXdHwQcZ+B41WKpSIgRUFsbru
6nyfKQrAHpeo+arWfoxEjyGxmuWSx/i7NoZnKfRW7DYfamTDE293xO+i5h2ttEXf9X4b/mjKrPkp
cqWeDa6AuULgCtwapiDQTIMMqHEekIKLXe7VNUN9nDHvCAFXt0gcNO+/KfAfA1ZQd9WfBrSnnzO/
65rdVGrTOmEKvj6PrlH2e19jRtumpVMlkxbkJde0lLFwXDYkBmvGccfzDvviF7XoYsJG096ZfRf8
NnEmUuyIVcVg8W29g9VoMCv1blBg3L0WFH2KNir3OKUTsOqTLX7WFNlY0uR+b8Y6NEoBpTeLpFoE
Q7UTdMAcZJQLXqCyhSJ87DExvljFvOa1gRWJwYNR8TgYqzFMGqnNP+bgTUcppHnMRc3+wbNjNTsV
TniDVa0xV5blHFP+zM+iL/cvw5XbB+cAyRwopSxUIBdRIUbqrU67Pp7KxoECsD8UMQ15MkFmaZq8
3/eNrUQ5MAauXNxBGPpaDjm0ZdiLmT0uJRkFzBRIefBTGt1jR0CfIJL7xla/DPcQRrHQErlJikmO
s9NqpdKZE0SObZxVJUYNfqDkuBELrNyrWD9EojZi3VuCAt7llSOtLETUrj/wMfoshdq4utdWDqwP
oMtCkoKSxeLqVn1QDrbtgTG11mdI1pw0xrDRf3wacy9pM7lFWbWSEIG557/2Fhe4kZGBSyD7TuhL
oFo2HrThPypzSzHRWbGDruZchIHyH0Kb+c8v0jur6WtaFmV+bkMNUF/uZ9WzBrQloRQe6NS5GdNA
c8jGj4Eo4lrVjpNgdqA8BwxKFye7keEICdra+oPbH0lH0pfZ6O5spQTmc0GaYc9XpJHFWmcYhK49
/tVvgu430670jmCt1hggrm0X0LSQAN1q1X1Rv8tKIK529Rjqr7koje9adiI1+75IxiIEpENF/pQl
EPRB2S8MxLiRV6/sNoCjwJW9NuQRJF+vCnCb+HWBNaWOD9JWvzEepMqPhRcc7Kw4h/2WWt/KUcFA
mj0LkmMTAFu9tid54/W2r9ncP2z9T5yrhKBf6WylUyu7DeVbcJKhzzy3HBbflVXuIDkoP1GnwvRb
c2yEcXIJ2RileiV+WrztUITBYQTtkHUrb57ryRs0ZmTTwJQVrnXw3JQfvGG0/CcjKlGSHyxW/2Gq
GOmORl2L2dMKAtKg0W1cBcF3prrYVJGN2HosXGwAqhBgSDT77KMpXHD90jbM7beXbAAhxx6AQB3T
7cvOdRg1XVFUuQFOZGL84xpDkJhlC+bexg638EIrF9YMVwetJgajUYlYnLqgZSpyEM2cOqdpHzDz
Q09YjC0+zRUvRpyJEUfAdl9FHK69yq6lOdodqsqB0yQtZlws8jBfV3Wn4sz6i+WDC6P8CXjQLYih
NbjTugbYfiiZ46yeeQo6hFNm/Vt7ngw3ailrjoxIHVByDOOClmaRQUwkq9raBCUYsfgB4+UJNu6k
1BY4fm0FUcCbX0pIzt+gyozJhRyE1SPotEQqSpEGrP1WQblX9vTQM+7/xWcBVoiSK5gAXDT4r3es
q2U/FKRr0sGfPo2B9bkxckiKmd6fNz/N4EwHZSCKNsByLZnbiLCoqOoS/Aakfd8R552yxRECTu+G
mmw8nCuuHoHcAAL3EdYQfdXrTwqCnHd1KQA7khZUmwOwfPcbJlZuzysTi8QVIF4TMnqjf+qbd716
CaMsFgxsN1sTgKt2nFnHG9zCuK0Xn1LoJiu8WltpZRUPpjX+bEv9ExxgSW8PG7NVC1OYTQaAZi7r
vk5X4b+uV82gFe1CvwxOLue7quaHqZO7cfpt9Rsv3YohmJjfAqS/mM1YGAojAtAbrAF79GOcqtgm
1Ymph75rN6LBxYmdv2jWMEY9DOMDtyh0WM8NL4RM3tg3z5xCcJfUSMpQo9wwtHC4/2fIR5g28w6B
JWTxRVMJ5ruWBGEKyWT+JO0xeJADKJnvn6ANK8u+4GB7Net4B3ExIC01VR/M6o2U2f//QyCwBRW3
mcxp8ViPmUnKsHP9U4h+Txwx/cfk/Xu7MDae6zUXAOwcI6VQ8pqDzmtfE2PBoI89jaltVA+UjOAl
zL7Z1Iy7afx0f9VWTWH7UdWCK6DYfW1qKvGA9CPQYRVvY3ucmczaGOhl6Hn8um/JnTv/FzHI6+qB
yN2LQKM7S5QtDmtu9JVCqxTqpIyAsz+grP4CZD4wJCMAVGXilqGGLIvosz99Hqm9NAdO9uZIZgim
4ZrfQ2/wh3cW9MccTEsUij5OjhORo+qhdLqTXYPUCSB/p4i5mblyB1nGwtqNbeUGzz5DaSHpaTB0
P7xSGWwnTZK5CccsiXVU9qCHR7eoW/PslNiXhJCC0V3AgdwuxuInEe1zNckRLGiD4b4z3AH1L99n
5YtdcucnenVmm7SunLZY7ta8GhEJEqlZggSl1ev9wU09ITDxsnTovQTAqR33t8rP8/G72RcoaaD7
D0KLW9JQ28yDyerys2/pKNgNliQWiBtJ6RwCjVJKIqHshuyqLz8hX5YQI8948PG+c6y6IWJ7oGDR
r73JuanhSBlZnKe8eOlLLx6if0krEq/ZKIOv3XmQPkX2DvjoLclyzS23U37FzrSKoqQAauTZAXlC
nIOK6PjmTwKTD/rCCIjA+bnM41xTZmAGqbIzqYbqWBIUOSC+0aRONfRPbWTzDeaulU8D0YQHIhTE
94B6Li4NEAlIwURRnqfa04+qYWFslUAr6ZxtJS0rTon7DzGYjesJyPCFU6rIy9xgVGDeYcyIeSae
yqjbuJiWJen5unCQroBpxYX73xQrpjoTZWOij+AHPZo7XdYkGZAo4IjegfYRqnZu9aMkU0KrnyMt
Dygu7u5v4GvutTgYl79g+aKgIakAnSUW1NYMd9yjU+1aCdUDUNr27LAJ5Dzs7EQQksYkQxUxzikf
RexVU4lhomIASh4jUUzsRlTpuo2fN8dQ937dYr8NpMRVFiL57cI8ewytqU6Azs2hAS5E9Vh7Tfds
FSDY40QZG7HQfFPfmEZlHkwBUBoBbe71pUQbGo5CgXEkawARAX7Dm77ItuK/ykgKneRTbbznYHrZ
CitX/Q63L2Kj2fuW76JFJSc2EyjBQBsh6Qb6tQp943B/29fOEc7Qf4ws6jwgV4pytHfCUzudVPZC
nV96+ovQC5Sa1ix1PoN5l3PfmPnmJGdoPDPbPza8RLE73AVkC2W6+inYH4CY1kajuAYDkZHX4anC
wyUkeDunMRno97cvGO5T1GYQhaPcN9/tFwUrl9Wm4qOB1MVxhwQvN2bzOR93bk43xwxXHO/S1CKE
cHnbepwDmjJARuGhRYqdQTLb7CAb69cvf/NZPiDzqM2g1b1wchMXSlv0U3lux0b+Ebk2nwyiu7g2
MbZ039TK6+fgiQAkYEZ3A/x8vYLV2Lue7BFXEuv7YP0wJeYjbSB6WZHcN7R2gDDZgqEoADMBH1+s
n61VITFnaZ9K6HKFYZ/tiqnzNlLm1Xvz0soi++NVBgniHCiErDtXQ/7JHI/C+gBg8vshk4e8eJly
iGq5Cgwn4dcBA5Kb4IE1x4ficgDsgOeBonexoExleFdkFJ3cbuJpA+baGCF1/WXUNtmosqztHUbM
4CBQGL1Fx1sVQxunKjJM00HMo03hoCDeeCnrDWjHsoH4+h7O+kTIy+aC+rJToFkvqypzizM40Z0P
ZtsbqN8H4Mtiufpt1pYJXkvi7+vJZAffmoZd2EFduevqcdeJcHoyqsCPbTca/sKnLn/X4r5sC8RZ
yjDBkEOk+RAK3GJ+NG3lkGtPDkDgoAa2bcRTy/pvSSQQMzlIksI6qECdDxGmLw2HsmzMqRDfRd5B
bNUhNeTa3n5kIFUBdB8KQEj5FkfGzcB+FuZapBmhjw5KkJ3aInVbc6FLE4vz4qraN1g9sXPRsrA+
0NZxPolBYDKmNIgdvQeW3926ctZuArQYUDnBU4nwyrm+cpihnIB1wPDLIYQi6JCqrtwYtVg5hEGA
vswcAEMsYpktUxMKehjZA2FiX8dOkYGs+t8e/dL7+7MSBs3SS6jLACmE+tkiDKp6yJRYo+0AKN0m
BuS1+Tx5Fok90WJfjn8ytH7vW1z7LtAtAGSFIHjl8R4KTLQKI0t7Ou5N1saTYX5AuHX4CzPQUkYk
YkUobS12KEe2CQhEHYHe0vN2yDXJY4Ckemejufb5zabwysG7wSmO5GsZzwWmURGIjjUpLT7RaHyS
lO4nMPHet7JyhK+szMfgIk5AFx3vbJsDH0Tft0W1F/1vL0K3OAdTovHGbt18W86zbiDfRbkBcxzz
Jl4YC3Wkh6EESLIN6mrv6MyJwcOOuUfhWBv+sOKBV6YW34XRXzJ24J0/915JDuiTlUj0io9AA4OU
LC/bZED5ayfCYYvSZ8URUfbE3AtUwMCrvawZQ4oIqkRmD5ZhqEE3kFqMxu4YlltzuFtmFteTbaHM
Lrthgnqa+gL4vdxHpoDsh+i2npKVixAfhMcU7XcM/SzPMh0jbXcBAgeQqex4YLwHOS8CyvLUReGG
M67cf1emFq+WIyM15Lrm6ZQ3aTsZO2bw/X1/3/qaxQGumkZEvvBpSlC2GcEoFRlgeB/lgY9b045r
R+ty4eavvfB2BsnNRiozS7F8sY2pjciZQOauISJlxNR5I2729XBh2BGQBSgboT+6eBNbSOVIkdlg
kWpYUk49aFmKR6Bp4x6sUvcXcdX5UMWDP6B8jHju+sukbCDS5rLpVPcdiDag4YLQQtYD+9bkY/Pn
vrHVZfyvsWXC7+cKtAgqgj4GzT9HKjiKrH4YAfBD7TLucv9039yqg8xszOjyBwgfF8tYyKrzHTb4
p2n4pLxPsgPpY3V0N8ltVn39ws7iAKMtB5wNHD4FIcKBlO3JjbZEdNa36T+f4i+Ok9Lg0hMjriJ3
LO3ENqkRd1nLd65bb0WCq6YQTM+vL9DBy2SJQQiCNqJF1DKNh6Zu39eEfhhqdyOuWN0cVEShoINu
3A37UEMcJutQDCmBwBWr2ANT9Juu+FfSmVsv4+onQXYXQ73IAHGorp08mgptMgCW0ybvHkuT7Jzc
/adF/eG+v62ZcfFOoHWKPjfa3ddmXFWRrPfs8uzQgLiQ1QpDumsnh6H9L9rO2t83t7aCl+YWbucR
a8j7CImBRNmMROZuAHDAsdhh5vm5b2qtWAj2e9xJM9sutHYXnxZphHmopRjp2Ds9JN9ZV0z7yRPs
m48a6JmDM6g/GRpFUqhucQF4YJmBBNsMc/ZVQqqm/ptvv/g9i2/XVVl6mHwvUCEFKhlcT786Oin0
PFpI2xnmx/ufv7qxaFHjCUCoeMMKHTa8b0QVsBT6mY8Dh/SogHi0F4BZ6r6h1S29MLR4Z3TbFZmA
hiSU35x48v5gHmQPQHLufLpvZ+3GApsaQKjI9EDDsNjOGtwxqMz64UnzMOGdd2qo2jjfqyYC4DBQ
SQTOannmDKKkAQQGaCS8LslAD5N3W+yO8yYvyqSg4UR3GuI5MyZ+kZr4Zjs1NoHeV+m06gSKve4Q
6sD90E8BOwVjZ2PIJANztyDF4S/W77XsB70LfODsMBfxAHQXwcrkEaiX+9m7EQqSZaDf3m54HRqd
6x4Q4FriPcCh15ajhZEZXv8L7neowH3G27zhb2uODTJ8wC9Q80DnePEdtNO112YTCE05+ZNH3Xsx
hp8q1/ny9uVCfGFiVQAjhbbD9XLVRGvCHSjLNbbDZkDqsZD5hr+tHZ1LG/a1jYzzytDQRwObTTOc
tNloAjoxJ6jA/xRl/glzJs2H+5+1unpgxQpBRA7swtILbDoWdUZh0vaLzyMDRpubj6Wr/9w3s/Zl
SPHnZgDKbTfz11NBm7kTmqc1tA21rw5jcKytlI7d/r6htfN0aWixhAqpqRYhdVPNzTgInRjVrzhS
U1yhItRXOul8ueGAa7fEpcnFy0w6HwNhHnD3hoYmsMyPQmxJy84R7PKWuDSxuFNDUU0CY0YA5QLk
P9jZU2ilECuCJCvG+oxhLya6Z9PWi7n1YYuTpYUjzJZI4xTSAIrVE+qjzsv97doyMfvNxSVEq0KE
kL+eUshRnKoW2FO1pZu35RGLd6JvAwbtTp6fJbX4r0pF4ggK/C6eqOt99vz2d+bPJEEoexz+t29b
vO9Aj8uubcYu7Vl+Qs/vAzO8rWbHalBz6RmL3Ie1E22INZZns3P61J/6LvEjnVSDIRtABkfwhnhd
/dtCQV8DYx8NoDu0cgBVdVPu7n/vkqD8NeW7+C1LvhLPH+y2jlqwxUbyEXSK6eD5O7fX7yzafFey
2OUldDMr0Oi30XR2xuHFEdHP+z9ifbcjF88X0EQ3mgq5VBQBrM/ONaOD2lWAa8RkEHkZh7yMYplF
n4TlVnHfqy06gNU7Dj0acFuAdcpdQlFZzZsx60s3bQkOavgD9C1nBlaGYPh2/xtnj725DUA6Aoni
WcnVXVw4BW/aKSMOOeXdGVRQpfqlrIeKk8Trt5ia154H5AH/MbW4eLSECnWmmHuCyt/HrGkTX3jf
W1ttHJXVXcNoL1IpgA5vwAIhxlLq0KcyhSJL1pwCu0KdvorH6X1oiFiFW2WX1c8CjATvOUjm0eW6
vnbKsWgE2NCmBxBdB+PXCMShZrsRn67u0oWNxUuEFKNvTNa7aBCLT3IyDi1GEZKaj88el1DY0f1G
9LB6l14YXLgFAwd70FdAcxhTfiDQdAc+dmOfttZt4Q6RtqoJj6mByNT+2QfNIzOMd5PcmqFcWzq0
5vDPq+TuMn3v/H4IbVDrpL55ZvbJKOmDUB9RikuQ2iX3D9Paqs2y2F4YmuCeXrbZIwlCki5HB6Ku
86Tyh48j0xvnde31Rvvh/0i70l45cab7i5BYzPaVXum75d5sN/MFZcVgA2axDfz69xDpTbpp1Cj3
UaRopNFMtU25XK46dQ4K1QRsmtA1vPQ2dKWGKrXCIgb2MbJkfWoMEbVGF5XSjOzgTgRPY7em+LIU
jc6Nzj4VAEC1oTMEQjNhL22joxSE07nLIcLSr2zhkleAYhIaqz4w5GgOXK5PeDVqsFrksduGe2Hy
j8gC9+hFrnQ3F75UCBl44CEm0uqrVDXokPzXmMqLXaN+wVjY3h/5yhFaWAmQlBOXgQv2hGu1kKYE
z0SVpXGTfrMqtpmGCaX69I8eh1X87qHgrkTneZ5yh6ljj15rd3HgqmNblS+icY63TVytY2Zico6z
tArkM4GhPeirCHfgR5tpjFpC3fTIWbF6619598zWLL/qzcLPgkk0QLNSuMe8NTWGh7zCLV4yFwWX
SOWOqQ+QS6DkU56j7rQvc28YHtLAdt7ROg94hFli9q6EVpvGqI6oMQHIE3afSAEAnp2kqPAnoNKp
wX3rDv1Kc/4q2Ey/H6B9uC+weNDpvNwrwbIwHAOaHInZHXxuoc6158oHa7OPf/xXH56MoYQXYCwB
MJh5KGBpk5rhiM2yCgsd6rzlW8c0xMrnvzopsIIuJ3iVTcQ1hJzLJaky6z2MwoQxVBX8dusSJcmh
tjr+87abLW2djWEVSGWhqA7x2ks7lQk0LK9BgwYgHpB3nrIjlLAwBWTSAx+sQ1L1K9jMxZWdWZw5
NisUTSTOaKy0lA+pl/VbHhr2SkBbsIIEbhqEQksfE3azdeW2tBtlyjwu6/wxN90PRZqkKzZ+f4SL
LG6KNGdGZksBfYvn9Sb4tNzBGSyMC1jGcCrxUGl3FaCf3q6sAyoiEL6p+m6o88KIWkeHzaZzqtLZ
2BJdgYiNVR1uBzcd96kty3HXmkp8SnuLusfM7Jl3BEuX/a5D6eRl9KgevkrJQv1kVx4InLSWZbaZ
sLBkA7/1jY2gAmKJmNxPv5UkSx9KJ+y9/Wh2vto6tjTbqPaV+dHzGkq3t51padMxcI5cEzMugJrP
crLB88TA26rA8LsrXoM6revthJZegzIvxEZw6YKBYlJFwDjtzA7jaWlR8AnF+DjWFg+JDsPTmPHu
qnDt6bkQGi9MzVLANh1HDD6aYZyW5JhB2xUMbUG9AdZIPEmg94+CJ9/koJLPaep+vr2dy8vELAqY
XlD1ntcuxwyjfs2kr6m68DHN+7gJwjjMjcMbzGAEATbADIFq32UIcAogEomTmzFIXLdVC1oe37sf
Amd/28w1sgkOgQP5/3bcGWUg6FYyUxkF3nUATUbcdDG/K8LviU303vMpEMZD029TUfWQgsjDY2Pb
EnMBmGXnudVvAGpUj7bf0ZXLY3GXAWkESgasaFcJAwQlE6fnXRU7rRU14Qgl03eopK1UmKZQMA8V
ULjAx0QXH3JKs3jem1A/lsOQQmHROGT+feb+xPtvY1hrQWkhoOP+/WtoOqNneQOklYGZyocMcDhF
0SB2d6QzN05lv3StuaXFmgjs75LA1coAPcW5D3ElziEYWqjEKuoyPSVhYUeDa7F3KofERt97xa7O
WXqfmSg81WYoMOjP7Q0myUuxsr2LHxG1bg8AcmD+5nO8FtNlmOmOQ084gWQUQ3f8qz0mK1aWPiJe
t/BMdAwRU2dxRw8FajCplcdhBdAHzQ2weJh17NOwiXx0GlbMLS0K0HvMxbowas0PJvFbgMq14KfB
7vm9adXmc5kH70Uo1iTUFy1BqsT9rRcAYMal09Stl3OrITQGR9JrFTSnpHHvcx2u5ObXpS6EAIwG
TQo6GH27YpVSZIBCw5Czk5dAEHyjnJCBlaAIXrTmzqGXaJ9jRzFtjEEBB1QSBRnuCrsB5D2s2Rqn
89JtBSZrgIcgyYXuw3SSzk4KhD1sVionP2nlWZ+7TImdgGBcfDvsLW7tmZWpbnJmpTAxkdTUWsV+
wr+ooToWirx0ab2SL66ZmQVx2lAvFGlvxB1pyk3glcEONSYSF7299sJaPAV/VxTM4njDRpAmj8kk
SBQijEM+MIxI/h+40Fbyq8U1AXgCx/TQ7ZynE6ZVkTYzcM2Tod7VUNrFXACgVmsRc9EPJpIzXPSg
XJy3hVpwkzuVBcI2PvTFe2rzatwoXeOOeoMnnNmxLz0h9VPSyBr8X4lT9ZHEiyvCzOQQDRUocW6b
WroEEAX/LGl2nlMMJQizh/IQ018tlN/weLMw/uSOp4mb5batRXc4szW7cNLBQ8kFva1TVsjso41h
Hh41mUPDTTp1PCJ/TPSv2yaXHAPtfwzx48EH75id3M41uAhSZ4wD0yh3IyHGtjQBbCh1obe3TS3l
f+emZsc37+uqCRskR07m8i1klmLZQoxCVP+1hG2VC927jJoHMMP+a+MVofLc8OxAe0J4Y5cNIsYM
96NjF4dW93uHdYfb61vcShS0gKHHvMBVYWucpO66nIexYabuXUs75xi0CqzRRr0mZLLkKBg8/GNq
5ii+UpZyWJ6d2DihJYbC8+6A9s5erLH/5ITV2mDX4tKg7kDwvjW9K0wZyJZNOYDD8AiVaQJ8oeUd
COUsciTm7W/v4uQF8xwIsLX/NzVHlBWqFTZr8zAuGMGgal5bkZKeFyUMsSSv0vD9kEm5BYNdvr9t
eXmRPhoWmOucHvKXQQWtI1ZOFFqxPbBnz6t2Td68L9x+d9vM4gKB1AAj5PQcmpdzTU9XpIIgWGwG
mNIz8WTFufbcPen4d54COqUbDnBlN64F58X1TXy7wJbj7TAvTOapp0WB2tKxHsInvC9fh8J8Cqs1
eanF9Z2ZmXz37JYOmUjtTlfpqWWIYDvaCdbuSDo0n83Mw8EDM70DJjyzyp+bqs+/vmF3z6zP4lma
Ki8fecnjoTg4/c9R/vITEWvzrrcxj9jXKxWs5cWSAIwhLlg35wyOiZsWfWL3wbHw6te+a9A+BVEU
uMbwbu92mBf6wsw11ZDl74hHAmpZEEuf15ms1tLc7EpAPAx50IA0R9LpdyosvtzeysUgAzDO/9uZ
fUjP7geTGpjjGCT5zqwqrsHwxfz60UCkWbn5lm5ZJKJ/bM0+W52nmVeGfnoyRygBR1mYk0fZp0FU
gobzpQDafWO0w1q34/eRvgo2Z2anz3vmqyPab5atOD+NGNb+gknnLtZyEpdgpdVFfZUa7wYQLcvI
oqm0N9IfOx2hcZI/lHVK7lJUFPzIBzPDL5eBFCByhAB1JwNX1CFPMvE952Dyem09r3YjL/eTk5fW
zvfbn2nRHYBcQjHAhZLxHPllpJ2dDzYg4BDTexbmmEZtS3911Zq4vHPFRoBrFEWiSRsM3C54e19u
VuancrQcPEcHsIhnD7Su7Wzjtan3EVDFkUYu5DwVSEUH1p4gn1OZgC4GHTQ5Gqv+4eWY29h4KMWB
JKvvsi5y+1r+V4FL+H3npLKKWOeBZU8GrWFuTRTpzYhmNAgg80THfFtQw023JeRXXfh9MEIJsci7
RzVML7h6kN3zWAmv3NbeKNJtAiDPr3/fZoxvT2PiKDeihTNbfVaWdVMUYdwF456R7ATivqgL+UpA
WSztYNoe1SNMyqD+Pss3E9zlGYL0EHfQ/aGabj3W7bRVgjwj3zhgaiiH+t7UKpIu3dLGe2mN57yr
D5S/u73gpVx+ErBB8ovnG1Z+uWDElFqEhI0xSFBPZk+PnbBXTv2S6wILh8YPHsumOy81cDmU2tFW
H1uMRCH4+RObAuz5lloqwbMHw3DQRgMw/nIlLiqPPZB2kAf2xb0tvPdidfRocbNQPUUMwx+kZpcm
+gTVutDVPijZS+ulr9Mu24oa/HGH2x9lKSZjZAnoNBBGAXk3s0O6PjW4YYVHQD13ds2OuCBS8G2k
sd9AMv22saXL7dzYLMvEw81s/EbkJzwL+JalQkWCWMVuyCjbZFUp7gphU8jtYGro4/9mevbJKqOe
KDMgJ2Y7r21rHagovlo+umqlfgqF+wLYxPG2xcWdxYZOG4uoP68Qh6DJagO8T+Le6B8lHZJIloG3
ZzQVUTKil3Pb3NKFBxUzHHCQx+Kwz06XCvohA112GFud3ULfPnPTTcdAFR9glnHDcotsQNWyhgdc
ctMpacCo0ER6MQ8uShiW9EtDxKPb3Ykk+NLwboXpYOlMo+yI5z/K03hYzuMkmA9NPVQF8Bb2J9p2
GIurwJs17G7v37IZHDfLsjGBN09meaK0nWeg0i2T/2qvBoF1G/F0TShnySlA9QTkAIIHBuNmxy3x
S8+GurwPafT6iKTrEUzxT2GWgVZ17Ym1aAqzE1gKeMauRDFaojqg/ps0Dhr3K7LNQ92JY6GdrWuZ
K0Fkae/w4gdz8cQ6DtDPZbCybeZwxUDpknOnPXAGQiDQRWPSb1zt+SyaAioKNIF4NV6RtWY9HZwK
l8yxG5PiULSiOzAu9A6T/d72tkdMJ2aey+Ez/TFlX64qUC3E0ERQnMpiBPmwlRQpJpAMkB6Xwj+Z
lug2HYjutw2SkF1nA/x62/7iBzyzP/OVgpKcBjUIwVXfsrvWKGvAX3sbvXrGdmOCgcbb9paiMxzF
B0gMgHm8Jy/XOxrQzPBBFHYiJYi+CQePSYFa8ZYzj4Ci1iseMm8c8FBGOfi25eWP+tfy7F7AiwQj
IxBwjjF0cKzATKAwRUlXlZaWP+hfM9PPOEvOm7IbJYilybFkw720MAoIldEPXS4erKY6KD882Mp5
8gLjnzH0SHTPd3b60meGC4cUXtWZWZyb/bDryEAi4XBzA0zjGkpyeSsn0lrbnWYeZtdAAjbots/x
XDXEQ12yiHKyaZq1sYpF1wRQCIRlmA3BdPTlggaQgVoM8eBIoQzXym+mdQfmMDAZrrELLvrkmaH5
GUy9PsGEhn/URh+nifxltUZUEVCMu1m6I+ACoKr99gZvxFAKWN+xPhTTLxcHIaSWCJWacV7YO8tB
zah0y4ijwPI/2ZkXpgwDcqa21+Qxd74VyU/Tf8msaiWGLLmDj2ICRJ0wYHMlKqAhzaGJaWSxUDqi
8tcou4j13/99IRCOnIraeDb6c2QuNBhsw+pbNKlbtquqZh+G7zqxBo5ccoUzK3NpUzwIUVE2GxmH
7aHuv9riZRI+oeprUD500l3ZuMXW6W+9AN8EizYGoi+9wDJ4KAvHpycZiGojXJHuEoNaUa4t64An
k7N1MktuDeIKKBe0Ajyyjfn+9sYu5XSYqcOzDQkJMhPn8jcwmlioag/h0SXfGvLLUeaOjeWODHSn
jTe02vHQwDMcRScHYrWXtmxjFFXtT20JYHE0TeOR9DHxxBvMgCwBYl142mCmeBY5AoHoKmnix044
ih1IsY2JKjAY8ii3QcJ0e/+sJfc/tzYLH5iP8pogtzCVV3NZH4ibag0es8rZe2kVhX3Z6G2pwdC9
053Rfx1boo/arymKB4UzQhPA4WDqcRsGBv0WFetvQdXrNTjU4o/Eq3hiOAJaZZ552qPIAqv12Cnv
K34P9Rb/YHlaH9CKSlcu2iWHQiX4j6nZRdToqa0hIPE0+Gl+1wQGfahobe1H6WV7ZphfQmnolZO0
dG5DNP7xyCRgcJmPLVCpnUZx4h470m878yXpThZqYYb16Nps7zFvd/ujL6xxIqvDjAL4gq8Z9suG
5DzNkgTlBXPnw1JR2vsC9QzybIg1GPCiMeCpQHAxTV7PM99ao2bkTsh61t570t91/UuBglQlX2Wy
JpSycOlOKBi0wxHOwVQ8i0gaHCFt1pTeEe+kU9LHGZCdhQJbZLN26y54JKAUYMECqxJS7PkNKKgD
KtIchf2xtzY+6R+IL98htV/xjIXH47mZ+QVIKiMbsiRXR5X46dGCctIurJJuxcrStp0tJpxFHKcZ
Qsx2YzbOxVM/scJ7wkAWqFi20454vu17yxuHb+MA7AIoyixg1yO4JUgvvThDLXIL8E2+4WbNdjlo
/VeWtWZqljO3OXSeXG1AmCjj4zYsxz0e0WxjGvzjG9YEdpMQdS78fZXrFaNoOy+HACaQvPcid/Nq
owdpfk5Gf43DYK7JjEckuFTOjM0CduZDodzrSRCD2jn/WoVFDo0E5pXfmrrT91Bicl8RFT3MyoFm
4xsSa5U9d6bpvXfTHDcJUC3msyat8RWiLeGRWVQdRQMZ+c0gk/Gok8R9H0I2+eX2Fi068gQEhoIA
qo/zGVkjm2QiqOInwy2Td17X0zvXGj69wcgkUIK6NqLA/FBWmL2Vg6uANOyaU17qvQuS7dsmFkI1
wosNrBGqSGDhn6Ld2TsFvOc5SEvdBq1Sa+cEWeQy+yBN84BddXK5D8d0ZeeWDue5xekXnVkUeYAc
eGjqOHOMYgNM0UtbqmIzhjrbtZ3hryzweoYO/nVubxZDq6wbmtweIA2EKdkgqnWWfyh64v2HYi95
hQhE8JULBoHdrODtr7G0ahoh7DI7AlKPeHtdq2GlQL+yBb85m8+2wBs6sJRmYJ4YacmNjVOzMYxy
QLSqQ9+0nEboBtlrE1rXBIG/NwKYUlwWKEfNL66Oo5UqW5kcVVXedUTs7Jzt2FDt69Z+YNR6aLh/
b5bBo0fb2OzGfU7dOx+x+i0e9/dnzM57xRR+Q9UMSEgSzP+DBzoJk51nGJvONzcAvbYRmJVWTtLy
jv81OovSg6WgJAVmDIxv5FGgSDSY3SYrn0W1EjoXDUHKCx8LA5OojF16t4HcJ08NyU4Jr3gaVaJt
GeSjNP/Y9LX/QXcOBIBub+hSKEK34I/J2YYSX7sUMhM65n63s8QQG2317+9WIARdO8AdB6rMeR4y
6jyvfODm4tKhm8J58Iu7pChWTurS9XZmZP7aG1HJTsHEFxwTSPiClCrK5AEBb2W3Fj/Q36X4sw9E
E0+ADqKgsWGQTwGDYrAvnnkLkZNef/33D4PJFBBDgxoF6eIs8vByCBOuR3m0jOC+KQhm/PjhfzLx
u996FkkKqHQNDkVtVI8Y/MWog/WdWIzvbltZSnnPFuLM9oy3YFUWDJhsr4UKB8+3PX8yiYHGBgSR
9cqS1ozN3LkHKYWTdzQ9AbVNt92gnSPIcl6aZPIF7dXtsfBLtSaksuQW50ucBYgg60HX5DLI+4a2
vXez5mfoJC4aira9JSZaEbd3dMnXz83NUrlR++0AnFBwtEO5FZ6IOfQtaVb9+9MbffQ/Hvhb9erM
PVxWY00kT44hD9LvPZnSiJRSb1sr4Q3b22taSiXOjU1bfGasDawhJ6XlHP1yjKl6bZ0wqtJH4U7s
P8/9P9NS4zrDsA/+9sB/jHb6pTnVDqNXCGDMSV3+KEIvQhL+4faKliIrWkzo5rmTrNr8mV651BSD
NYDKAzI33DOfodT+hvsCEhCg0cTTAePak6OcbVrvEqMidsdOCt3fT06t+EtqAbeJ+3hTk2wN9Lp4
uM7Mzb5RjUxctR2DkI9Rk6NXmXRXuUZ6tFMXxPyelLu0x4z47W1cPFtnRqcfdbbGwMyMluocvELB
U+DfGeO3JP9vTH/dtrL8sf7u5Cyv7FpncLOkH2NMcR3coNn2xZrLLe8edDQ8+Bum82Zx0EPCiqRf
QyTOCNsHpiiYEMoal1XpDk9DUeXxkKs1SOjkx7OeFGSk0Pqa+nr+VZUuC32aJLqVaCqjsMGayKa/
RqBmQoB5W/eXUcuoTdfgDosrPTM68xMF9F9vQDn5iNftLvM1KC9eeQbxsSEZt5lrvb7h252Zm3lI
lUIdrbIKDpkGuq0651S48uW2icWIe2Zi5h6EkxKLqtEb5bzbq9aS93WRDA8VEWvMwmumZpFJKNsq
pOWwWDCi7kq/sR4JxK3v/XSVD2rxaKHRC6k2BKkrDqWqH4K0KV12MpLK3NAawMEqJD9Cu6z2MgiL
z7c3cfGMnZmb3c26zzAuMZHLZHXg72Wlkl3HqrdU2LCcifUDCSf4Li/jhcMQglRJGbqgOmrLfVt8
Mvpua5L70ZArUOHFFf21NU+gZE3Q1LI8hteI9dGpmwPRJL69aYvfCCA+vLigcHcFAOig0FhBw8hA
GpOPkbQAfAQJ4HHgBtugWb/i50vWJqVxYA3AhAfO7svNa0sjSaWHYj6zrCcoqr9vFMQoKw6ITzuI
tUL2kjWUllF1JYC0XUH/ywbAXNTyoc1UOeDAU7HmwTfudp9q1155NC+dKhSV8XiFBgZm9mYZmm4t
S2YDlfE4Nvd20N4Djv/JNewVF19YEToikxItmkDAVs9i/OD0qP1bXYi3eZYcMJb7A0UyvR2arN6n
ZOyj286x4H+wAQJB1A5RpJ9PPdVWM3CzzQBS4iImjoFGWrhiYmHjLkzMIp8C6HHQvFUx2IS3hTY/
ZJrukez8uL2SNTMzx2MhQ6nacDM0h43HtiF3RdY8hlmywm++9H2mySAwm6Pmf8XameTwMqt1oegt
nSEaRZHdCyP/CZ5Ye2c27poS1KI5KPei0A+tO2gXXR6nUTAtiw7daMcqh6gtSrotvKE+yQb3rkI/
fH97F6ddmt32k2I5+gsAMsMhpl0+y5VA4e/oWnbQoXN+CnUqxCbhkAI1Hwl7oNmzSrsV71haINis
0crw0M24okuEMOVYchOVU4fKk5uS/3pzP+agDm0yvWJqydcx+mFNzIyY15z3NnnS22NqJmNcB9Yp
0802sOsvt7dvyQnPTUw/4Wz7Mj7ptac6jWuImjUmA+K1jdJhDWo+HZn5V0IGOD1AoE55RQdBi8wd
ZFqymBOUq8pSxIlPd40B2STbeaAQybRXyX4Xbf4WKwnBn3BF1oJPCG1PYqF8B7HxDdfgaTDkN1nK
x8akH/pC7xNWrn2ypf0Ekvi3bvWELpkdajwbfdZ1Kjtlfu1gJDxjw/vO5eRDn6MsffvbLbkHCP5x
ieCORFN6Zsswc9ShDa+Lwy7YFIPao+p0/J9MzNtPTuuTBiiuNs6d4N6h9kto0RUTC5kzegJ/VjHv
PQmrZa7RQ1YiAd4VTdZ3QMXh/oWW+UGCyGUvi2QNkbn0kTBQBSUBkN9cY5Pb2km6ZKz94zSWPKqN
TxGp2pW4u2gEo+xQM7YBbHIm9zw7WYGGrkWrMFdo8Mp8CEPDu6OOoJE3lPbu9ldaCklATAK3jiwQ
cWnmCEQhjW9Abhn7wQMEGSH+VW0T42u2Rhu0uCTgV3DdA38O0O7lkqBDJyzOhBkXYI2JQIW0tUbz
NaX82+31rNmZbZ1XGTrBoGlx6gC9vgdNkvHkJST7TmzoNd02tbh1QPMBaAGF0ato7mYONxoHzQ6R
kbvGzbz3eDVCnaDAFMwQtCsP+8WFwdvhDmhRXQV0AbxiVTg9OabVuOusErBWBRUBvgIHXgoMOFF/
zMyCutFnrFOVQOTj4a4HK5YlrJXkcunUToQbALZhWsebY+jQf2nyJORmTCQJAExx2myHCO/9lEH5
xNrR3Nl9xt/f/liL2/fX6JyBo5QJht5zb4ytviR7TEaNezGJXYaGDFb8YnKx+YWF2R7Qj2NQAvTt
szRmaEuvsRUtToCT84MuA+M9/OSTrgrvZHmAvZjKJ1FfAK1+e42L3+7MsH15xkTpGT0qnSYKTvmr
Jt2dV65Vp5e38e/aZg+DrHMLYYBb6DSJuz20jW9HVKO/N6R1fri9minyXG8jmCZ+d2Od+fiSLjzF
TYyTncxBJ5GZFvXeKUD6TaX1vi8x0iWYgkChpY1Hg9CVY7Doo2g3QxI5QAY1/4YdCxXFCAxm6Mof
4PDrmRX1/Yg60CdprLHDLO7pma3ZZwszVhXhkFZxVwUPeQC5vDzZ4MLcvGE/AwdE/yGkdpAaXnpH
HYw5GvQg7wqyltgnFMBNDHAjwf/RFaFAI9YIuYpsf+LJ1E1bWyfXK6u1bG5xsQGoYGz0RpHQzRwo
dXsMW6LedfQpjn0xuPY9QzN428pGvyXOnJmahbIxRCXZCFRxShxlb4bRhWIlpLT30knDnWslCeh6
6/bl9i4vXgoYOsPcEpTGoHRwucsgPzfAW0vSOJM8aqvvvq6OHdMbRO7otqXFncS9Y0/j68AUznay
yCzfRW9mYpuxkg0gfvQBg44O9NDybCWiLQUWNOjRZ8U4OZ5msyTB5NThPnjYoS9Q3mGo8kgo3d1e
zdJp9zEbAlW9iYpxXv53ALBVjkwxmOurMsKzIpaB+ZT0zpPjD8eyDJ5tluEdqlfsLkEWIJQLrjnQ
P1rgEZ+tjVQe19RAyZck98qrgebm+24sHjs73BTSv8t6iG1l3qlPkhMkvjfUaFb8dOlDnv2CeaJs
Uqh+jpmbxHXXgFansrOfXR+odwZ10pUbYsk7z03NYoDKg6GVIq/A91HHZnZUTba3cBnV2Rvi57mh
WUxDHs59ORYyZlWzKZ2tat67SQ1Ruw+0WlnT0nV7bmp2DgxltrlKwIDoSr5r0yezfvVqYGuco86G
nT+stc4XDwOmaYFBAwfiVWNizLTwOyizxoF2VRiDACkXBzk40Am+fSSW7iAEymneEqzzqMNchhJk
5dINlemgGWFBWXloVNTX/D3DAObJhYpPZGDqbuXSXbM5i5m2XXQGk4rE4WDW/FB7iaHiLE3EfVpk
Y70D9y9Ru84FZ8zm9mqtRd+c+i64cJHjzmuOaGa6rWmlYQwElQSiFNPjGFoZN8MAeJCRjvWG8IFt
apUz1GnCfjdiJgJkHaLcpJ07bP0aFLi68exHoxDqWDayWfmJi1/+7BfONoeXodlaimanokzbH8kQ
uvvKaulKOFhiippGvf5sxBQvzl5/JjNVkuL6gFii7Lduws2trdqvYJT5rE0hvteBtg9t6QfvwBET
3LPBea0rSK/c/h6LUensV0yf6+xX9D34yXMO8qZWYJLHrDGXVSkHU8xrVF9LE9QX651dmWnuKD+3
VHLokEVCYbpHm2UTErM8SUt3xzCRId1QKcQJ73Lz2S+CcUNTSl48R5F7TNIPu14lmEWHyEQY396F
ZacMAC7CZOT0TL7cBYYEgbYaNZnWRWd1I0AU/IVV9fA42prd1xLzGm869X8szh8qoqi4YfvcP1YO
JB/SIqrJ5xLSailY8/JPb1gdiG/AJAlCySv+v5Jnni1azzhKlpCTrAxz77iGOJCiae8KYx1/urid
IJqaCAkA4p1fth0kXVXlmjymrIE6rg9lS3dr1UkzIF7nQb4pEjp8x2Ot9+Ixqxrx4nv18LEgWWjt
NLVEvsdcf/DBTEuzRnqF/2QbDPYYRF4zemvvqcWc5O+vnV/M0FXkDPcHUA++3oVGsEdVyNh4VvNM
ZXHf8KqMciN55pW9Riy1ePjw+piEgaZC0ywENAEzm6Ststjt7AE6Y72IAM59HXPn+xs8wEMvxEMH
C7Kzs4Sg6XpA9VLEmkTyQUwcD8U+bap6C+h/+okCqn78d4MYTsG1hrojZhZmK+sNzQ0ICqt4dFy5
ZSjVRKMfjF8GpQxwIhTh59v2lmL2ub1ZGOPowyjMJUI/w27SO8b9aqfxmnu5bWUxiwyA/QFrAHCq
IGS/jBOtCy4LyXx+Sj2RQQtWTaNMKAs5VVjvc68dnkYMnUSqoP6manoZO07Bok63yIl6e23UdMl9
zn/N7KJypMA8RQCyRqTthyC9C0HOobtft9e8aASziZgyAjrsqkfY1TIrvGAMQLTm24dS+v5moA3U
13kYPN82tZSVBAHerJhSh8rPfFgswQuor9DriOXo2HviAwpn4xYEWMzNd1ZgG+DALcPdbaNLGF7I
Cv2xOp+sYVZDW1HaGdiIsiTiRbY3GyjWGKz86WFUNyqTYQt5i01JukPVZu9q5u9CK41l3600zt1F
Lwa7P4iSkHhi8ObSvUjflL0vpmFQkViPGAfUwQaXYy92httTAv4VCqKbhhH2oykyFCuCflSQpSFN
8VKHdfkTZN7cixSpAxC5yDb/lmnLrDdot5CPZar7R2pCmLHVJsb/RYhaACivULiX36DJsjezYmND
4RgczfUng9t+Hllj3adb11GFjVBB8ievC70sslJqfC5oTu9M4Vh3ozOQcDtqM0gPfVsglcXImA/+
s1C2/2lXg9OdhkWX7z3c35+EDJ1vbBgS/K5AgtjOCRoltgXvQLJVZikaZbzoK33nDpYrH/1WVq8J
a5phyz3Wph8rs8G1cdsJljY+dAI0P8GnDE6V2bmWnGEUCt3DmPphAsrpLms/cEg57G+bWXJwVLrI
hFvAzXgVhlmGeZNywlNxtq0KkMaUDWS/i4iA12K1MLJ0C6M0galL38afuTeVoBx3kNc4sSqBl5VW
REh9wHj6nRuGK+/ARVMAcUENY/p7nj9RpbqSmmUSl8TSJCoaUrmbAS56DJLB+oEJ0eAtXywMMTMG
tj0bOInLo4JokCs2IHkcTJXdBehQ3ocVFMBvf7Dldf21Mv37s+y4TUnvVdI2jkXml9tAC2vT4pQ+
ZRr+WfXNWrFnzd4sR9YKz0vTkWUMYaAHgxMM9imJZituaqXeEG4xng1O0GnIHWj3mTHmtx32LTDj
Mis/Z5Agqrz+EYK0+yB4cdovt3dyCl2zMu+Fsel5f7aT0iVMDiIFLYJbpNW2YK7MI956NaD8DbHz
Y8WrBHVJKvtfGWZJukgUKvhx+0csbC9+BBQDp5l0VIJmKx4h48VBieEfTfrcFa/c+uCNe2qqlTfV
wjG/MDNbK5ZJWoHR0BOYlBXoCXJ1aLRnfyisRL0UJcqgfpCtPSim/+n1Bv9d2/QBzja4B9uq9Iu2
OIWytjfWAHEIy5bW0XeqYdMkUCotpep2Zuu8oQOMjiKoeXBjg19zDuEkYa2AE+a4EQPnMPjDIy/E
Cq3yQhICE2hj46M5UDmbfbhqbJTTAloLYtkvBiTWw/E/ar+hMX9hZPbZZI76fGKyNLYx37yReZrG
vY0nge3RtRLD2npmHwsU0iMZK4qyUsU7cJgb/g+DgJ8xsovyDTSr0AWdSBjg9QGi86VjjM3IhmTK
EnsOsUHrOx4cEQ3z7e2jteh+uCEJSMPRKp1nxhrq1tANAQygYW25qQTaJ9xnZBcmTXgotGb7krv+
HhxVaxKr9nQ5X3n+menpcj/z/KBrU15ShclvQ9R602WVdeI9wDCRBm37ntbc24WBnz1RS/U4FZAP
zn9muqTvO4s6264dySH/P9K+rDlymwnyFzGC9/FKdkvNlkYjae55YcwJXgAIHgCBX7/J2V27RTGa
4fkcDj94HK4GWCigqrIyoW/+toscXmYTbQDKpXMt7qbC7tAn91Rz7FXbHwIzyengBbQMIHZKAe4J
O7mXjm76BgoKMbq/gAase1KNgASDoQQaSFJm/cA+CypyYUd/c6QuzKxKtzGxFZQ9MPkKkNKhGsih
nZpjOezR72yuBlR1LvqkDvSKVi+rwLS1mqcAFLV18lAFqDG1sRQpcoCduYxNB7wwtPICHlAOGkQ0
zg04u2V4FMTNuP/s1Y+6vWdTft3dt64z9HwBJsN3WlKjlz7XG6KbYijBcxVb92XvPYcuP05MnsdG
fCg99mWQzk0iktP/ZPbVPBdobyucXUxahc4NmdUtR1XfmsV76UOE1R7OgzEfHTp8uG52a28vVrse
8LJLptqmQQFpcAfyG6J03TtnqJV1O9bBAGbq1i5V5tat5R1syzXBTql0z/zKVfsIo8gCQI8cwTkd
ut/u5KfGfUuAzBbd55J/u77aLZd1/kD3IgBH8DB6+W2NC9kYh9rJidoSfSoofvND0+6JFm4vagEI
/l8ra39tRS36AUIBAAiMXlaXlQ2wTFxYKm2LxIeY9wAKhEljTDBF/cAMN9dXufVIuVzlsgsXUdP0
FXRIIhDrQQvlJiHj17hoPjH907cmfQAy4+t1c1tPL0CdkIUsWkVguXlpbiKm6bnu23PFFRR7BsKP
TguYewkdyqyr2N488ObyADFFXQ8IlFcNWjlKYYoGL3cZB+3zVJoJeGM93YlmCFKRJPKmioy9kwZt
flMYA+FkiLHOtXh708TNwC1wS5QUiqZmvg3JkJpJZS0IxyLtpVUf3f7Fvl6YXH7SxWe0Bm+eKxQD
8rLmN8opDqwB4NnEn/AY2LkxNrf0wtTqE7plP8BJq/gU6PIePJeW/S123ZT39rEfv1xf1o6tcCG9
vVgWVJ56EQQSLzD1qbeKFJIk2QxEWYsLPCr3+J02nRMAWgAm8AJ0189Lz277Muj6+ISc6EPrd098
ThRgeOoO8IE9RsFlm9bPFcjX/GNs9cUo6+q2sIr2rCwXvKcSGRCbAueDU1flDQc7wqnBIymlgacz
CDbTncbDEldemYeKNmD/gBcCKvVyZ8PWixn6GRrtPnpQA1KTUp+uf7zNAHphYtnui49Hw3lmeEVF
GM7VD1UD0byBPIUiyq+b2VwJAjQ0l2yQLazjNO0pqKToJPJBRVXGnfkXtPl2SpKbH+vCxipKg1yM
u7YO9Kmv6vIgwqF8DFphjh4BWLP1SXvsCgmVi7geHqapL47Xl7i5kxfmVx9LVJVfRBSzhdPgpb38
3bdVavTeVbS9kSAfRaUIBCVrUAaS1VKrXrNcgn6U9U7mO2KvtLnldSAs/v8mVi4xQ83MkaFdneeo
rm4LW/WfitpF/dCz2mnHwzdP84WtJbZcuF+B/iXHiG5yQro6nDpCotSYhmAMSbkL3djeidr+SP+u
bXWgMYke0jEgDaQyaVbh1M7tuZG/rnvCZkAEwB+QLgCSX3VwgknoOoqG9sy9mT1YZCKZrHR0FytQ
0ikvhiwUCirXbW5tpLvQE6JJDZnb9dzOlDitcAnKlZTrVNExHbs2G8b3xN15cW054KWh1QPPBC0x
U1G4eTw5t5MSd463pza51X5ecKGOH6O9gL7U6lVH66gLGqCGc6tvSlwivUv7X8rGBON7YJHiImv7
QqCyQIdR3Fjz5LkYdABzCUSG2PjOS0Yfci+F11kpodBGTgcwn+yh5jY3/OI3rqKNMAwSW5RVZ0WF
k9nUcw+11SOP7UsbDQm1J62xaS/0lzdSAPzJek+qCGL2XQt0i6XAcDsPBT2Czx0MJSNY9QnggrfX
HWrrpLhoboDbxwa98joZRPLcad6Dq5FpJGhtjSlb7zvULz79b2ZW2wipUmjlQIV1Ye34nbgFS0tq
jWe3cszzdUvL0V5fppjzgRokCLldCL+sQk3Na5xMblBiBwApDtu72J8O1PEe0bQhKcAu4J9j2XWj
W7u4UAuCBQ7cvXhrvjTK3FLxOK7CnKmmeTcAzPPY267+COj9XtjeOpiXplY7WbManheWdg4NyMxp
kzPKOf99CAJjqf+uZlntRbRmUgfM9ql38uscFcAUau5pM+2pu2x5OigNwL4F7muwD6z2jHdxP002
lydvVKj2BGhSJP4MgkJw6R8gYbNXyN/cODg5Kh4YUQVf/8tVhbwph8RAvwlkSLeUsFNp8R3f21xS
gL7UQoS9MEG+NAFgqmx7YPxPkxXfAlJ49JTH03qc3gJYsxOgt2yBqh+tfOTFoG9YnkkXH2kmngCz
JZ5aIWqhh8rUEmU0M2RBCTgc092Oh2+aA0UECAExbwu4z0tzLV5d0oFuRB53ZXk7+PWYFTUHKUDj
80wW8Z4E6tbXwgH+x97q/gFNmOPLtqRoASfHwsTZWO/NdWzd35cmVg4xua4GY7lMToNOEBiq6sky
7KQ6lidxewCn5fF6kHC2SOCWqPTPotZnV/GAcBlbeV1oKW6lKoZfDaZmScbn0U6ysJdUpX4Vh+YJ
o8/9TVhSfodeURS/ryxGm1uuB59m9dyYOzca/ABMUiARTj0ugymroh5Ifd2Hjyx2oXvBW9aIw1iW
84MqR/C38QKZPfr54XvtudOjX3fRk8vt0ALLt2PhzYzM/EPte3GRqsBynjQlVZn29lxbh3ac2F3U
iEBCqzQxaERDQ/i9HGbrN5hx+0/Cd2o/BaVCMqUd9HN/Mj9ibobEKVapM5aKpbqSNTniQvW+Tbzt
oqMzzORbbHr+JgHNfkpkBUWSPqxFmIqibaHbjU57mNKE00dMl6PsAl0R6xNaxuaZCFIOGYk6NzxA
OtObM878eThakdfz1HdGCmwCdUFnW7v93GQTWAV12soJI+IR58k7MYYuaKQBgRfow9h0zr0uYvQe
izX90W54E52Tbh5B1GUS0PBWg+MCZtC1oH6fAc8r3pRswt63fc/JsWzjwT5xd+iaLHD48B5TeONj
WPffTTg/odLaRujBNsFXa46cKu3j0QawGaLIGS8wn3XunYFNWRHXBiJFbjVyqNN6IfYs6TChGrLa
/eKUiffYkUDdu6SzfRCXxVqgxw9C+dQdkyHGY5CDT8BTPdSqsGiZdR1qDima7PG9CMbusZfQD89o
M0A9pC8T53fkMPDnSwHqw5oa/+d1j98MGpjSTwBxA4x23dyzRrzDoXTb5yMbDtSeQKfFDtyeD3iI
3Fw3tQVi9f0LW+snP5BipaVJeNIQigQeAlLsmHDCcNh0Q57BE94D5x1koq9TryRZPXXkA7Rwm+ZO
K+NZB5A/OSr1IglGLpeR/rtVqvDD9d+4GdOShSgLM7VAAaxiqKCj1F2dWJhgTI6uxQ9aTDsFoa2H
CCgO/zGxCpudkXyeIS6ZG/0w9SjN8i6tAGT73xayipw482EVixBUX6SMD6xDExPquIfrRvaWsgqW
CvrIONBgY+ug3pIarzlU0EQLyfz+b+wAv4o3SBjiHy9vNi+cKPO72dwJixXMQGKOcvHVKqXbf2hV
tQfe2joTIDIBpBXySBhWWZZ9cW+joRXMSdX5J10FZ2ilo3hRnZhl3fHB23mObOGZ8c7BhQ0QrYux
5tV36nomm9kk7GxZCS0zga7BY/jH+Qbm/UCeCkHhpDQIBtNs91+tBNIE2aB6Hyh+40prL+PzF/db
P84XBigI6UK1CeDXl4sHVq/FDFCAWUDcNOo4SJDcp+BBA7YgGGIF9TB/IFbakdj9WXAdAlncoEOV
2azxP4ExH3eLRGJUHl3MGJVZWMm5SOOB0rez75Rp1EG1l7egNesVHwClxOy4lTqsVQNgDGhjp24x
gsS2gYBaks5hTaaUTl4lDlrL+m7g6EamjVfWKo0A1VJpXEZjl04tQHhHTKUzBlmfyYnTQfltpsDH
6aTQ56j6NOhl8eQJLcvM7Xj8GFZjKSHW3BBv5+xt+s8y94rmMdga1s/mDlJ2wI0IlHxnMHhGSI/9
KXPIDXH0TjFv6wDCZwAxRHIIvZXVwYDAqQDpHtoRnP9sIytzA3OzK2K5FRMvjazCdjsobwD9Kzs7
ePt4hwbsU0BnQoJqD1W/lRcu5EGYpMLfIKp56Xp2ExrM9vM5T9ryhkT6NgauJi3QdZAEz7+wCd54
qtwjM95a3qXV1fLGoe5IT9Hp7wIn86zkqZ2dj9fj1+bCcLyBJwObC0AfLxfWtFNvZkK8PBqdNIi+
2oBADeD/jMxXv3nrRHsc2ptLurC3WhIFV1zpTCGKE337rib9bZv8BT0IEnhoumE4DNwn61TNrhqv
n+wuyqOhPtjRgBqeM4wZaRxxaGf+UPTjkFWE3TWQ+Dr+zXb+a3tZ/kV8dozRSRMn0H+uS+Dk24Fk
FguQFsRQjZHOO8uOzyzZUyvbOmsIihjTB3kSSNBWT4NQtbQEW6HIqQ9RBitIfnYuVHlMNO00brfC
B1pvmCVE9RA9v/WVUEckLFgx5DHOiAsviQYGnlhQV7tAXBgIEjKHjPZOKNnymdhDRrwAwpEAr6zy
Mah8KHb3ubLkqYDEO+Qhdxp9eybW3w29FVBQWci9pzlG/UDSWwkvPlz3jj0rqwsMF3fkqjkp8mZy
3INVK/FW4XG+s11bR/pyu5aPeOGDpcR8iBdbLrhu668OiX8pbj8ZzX/Uy+Sgcu4SNu9EkS0HjDHx
jZLyn6LCKop4ragmU2NGuajkYQIZj3S/6srZuby2raALCyZIoHfXdbLGlWHLq4nnoG47gmz1DVFe
NnjuDvBk8ythPNeOF74QzIa83L9ATZ5UluPnqsHIZTbHXfG1dmK189jeOkvxhZnVZyq0J3pu9XMe
NnjQq4jQ+w6guAMaUUHmQxP503Xn27a3KJGBRhM99FXJR8wqFDYD6CKKv8n5F4ahMHj1ro1/Xzez
vXugZrKBpgFb+soVmrmBGGtHCzTY9NFvJTTWxY6DO5seDm3QOMJ8Jeys4h2bVZ8Az9WcozIo6gMk
1KcPciz8z5g5nn74lkHdobV79H7RDwCwRtuV/Wm2B45HXlg1A4aFUT4/hjquvo5Nr79MhFTov2ga
4fnoyoqlwNj65Y7//mnFrh+wy9A3eKJdP8bT+qVn4R2qrTKEA3tiOmEkM50w4GGPbzChl9nTfRR/
cSH2LbsvdtNnpH4wYOin7Jvr3Ws9p3UnDlz9aqoFVauPHcPdUv+IwaDNUJqu9krhm/5y8WOXD30R
RhpTuv7kAjM5WI919Jb7n0CED6rBnY+5+MPrPYGngJAP5Hjr9nWrJ11KMxdQ2kRxgSVu+0ZBnv5o
k1kAs4kRsYLOyc49thlJIPiCsI4BwVczqzEPlYXRDIhfJH4G4CbmIvht39xePwqbO4juFJAjeG0j
Y3u5g6FoVdAXYXwK60/t8AV1l4x4z1b5FwV3yHGhDoNSCXj8V141kLkcW5sGeeF2zU9BB9NlcyEl
OdC4qNnh+qI2z/eFtZVbeHPfOUaXUG9nzSEBY/E0qp0AvLlvkMYBcx22Dk+al/vWu8SGyp47nTCe
RemNa/kY1LZi/hmNm1YfB9/HhMX1VW1GlAuTy0+6cPaRQppymFl9HrU25bHruHwSfqflaQzn5o7E
HomPpBdzl40d3eNd3bO+ipmYoqm58gqw0iPmkOiRFCUoUSHg7H/UpXUolDpdX+6WjNei0AvmUAzC
Y45wtcXGcic8wD0CKas7Uv9YJrKRvQRdfSdABKfku1G+RUTNrpvdOnYJ3ggo5gE6+gqI50yjHVY1
BA0VSLHG6r0VxmlPmp1vuW0FmTMwW+A/XOdqtdMOtZBoSgJf/osRkZex+8XQ+cv1xWwFLhCG/GNm
+agXLqOSqtXK5kXeKrtIHYf+mEf3e1EG8WGskyhFN0f8xdm7NLm6wsNkiELMdpDcs/xMAjEZKP0X
uA4UXJd+OpJd+MjLVfnjpKC2HoQ5MK/OjZwC/UbyaMriQulvf7GB/5paj+mCh7p0Z6aSfEos+c4y
HAX5kX8QLLYPwHhHZ68a94YqNn0D1UQ8f4KFr2Tl98DkhxgYmXGpCZNZLqbk/fpGkL0Jig3fwEQY
BHZQK8As1HpSq3K9YmbRBARJb3SKNgCifnTAYOJTwOazo6Pj9a3ciJiwh0oItnOZtFx9NTlh9qAj
yskFcbwsQOx451Ba34M9f4amJlfP/5O99bA7uL4CAXrAJcX+TPWUgeMzRydKvhVNx97/hS28Wpcp
ZwSs9aOp72iDM8HL8yDqXz4ZBnR3rCZnwYyrW5TNTmjciMWBfWFudb+FLeN+osCkEaEkOIbP89gf
5fC7pM4NKL3j7tP11S3/u9XzB+YALcV0wAJ6W4X+QYWk5aGs8yEun3mn3jJh70SNzRWFC/k1aJvA
9rPy+T7SzWgxzvIhEkCvotwOitOnBrApFgdni3ffpAM51Ovr2vRITI3geYXk/5UCnLYxNgqtb7RH
PZpJ5xHEHxkfkkNv7xGQbO5gvGQ0qJhiLGa1vCl0kwpPMJ2PlfmK6dbyGPqsv7m+nOUArT8TwNUY
ugQAGVfm6o1FvBAaWxxoZ+1U4xEIlOmAZHg8FiMrfsXtUB681kA+ySP6tvac6um6+a1PCCIZZxG9
9AB5Wp1ve/JE4HeDygPRpeiZ5xNmTUXyMyzcE/Pt24rvcS5vfT/Au9EbtlEbxKDWy3tA8ySwYoHa
BPTEPFOkg/dgy/pYW2wndG2FSlR1IJmDqUzUIFePZLdSA1cdac6Vze/KoIlGlPGj+GA4ao+yivV3
3Qd7dONbPgPAroP69NK5eZV0lO0wJi2untCi/NQmgz5Vo8f/e4YPHallNhh3AO6BldNElsJgRWlM
jvrqeCeZ1WAEGiApRxrephwC3Tsvn829vDC4LPviScJDtI1DDG5h3PxjM36AjmU2qXcJR6I5m53v
trmFmGiHNLwNYpD1FYfa/pSMsHcSqriP6vimYXuusWNiPcivy3pOQtTLTpp0T1r29waQxesHawkO
r871v6v40wO72LHe2ExXySDyKBI/7GL8wTqoQzeq/3jdzuYBvrDjvvwyLi+40UGBUUSME9x5tI6B
KehL57nslBRHTqGudnT6ObzDzD06zdetb0YvxEegdRcB0PUNIBo6OCSImnMTCHY/JRqj90QH2dDw
j1HliTN1C5JapW0OpnfY6br1rWQjAEAe5DHoMoAufhWh47LzdQjvP3ukK89RsGASqnH2HvXCATR4
k3PkpKhPYVE1KRetkzqoIf33lP/Fj1gC3sWXBnshHWy7Dk417vUK+UeJi4nscRduhk1on8RLLRT0
LKsjb8RYEA2qzZOA/uSnqanEA5/r6Z2WsToHLp5K1/d288Rf2Fud+Aj0q24dBZBmAIxDFAlNE3v+
3XreAJIelfXM/e/5AS4DqC8DCLdoCq0WyK3YliOeMadasfeh7HN/FHfc3yPT2lzXhZnVumZIxsiJ
gCl3qIcqbdwCen9izEUEmOnQ3II768P1jdw8IhcGVz46CwsHYtYV2PW6D9MIsFBcOh+8aGxS35OP
duw/NCa+i3SxY3gzyF0YXvll4bt+4fcROUfS7r5NIfcBaS/cnato+fmv4hyqzUvm4+GiXT0gKssq
ajGh4CWdMOPifrQw9srNTjTd9P5/rawzusBmXQwJ1CSX3cgpQAC+3ZwBoh2nI3ODOkLTvOrFjtHN
DbwwunpAaLfqUQ/SxSkWomlTCDcWKUu6cg8BurOFySqEeybyGacDAda54mhlg4y0MX4EKI7SO6d6
2xRkx73lrIGP9GWscoEV82VSg1nSDuezEaX7AGkNerJ8vSctu3nQ8PD6f6bWmVwyWI3nK+rkhVOW
EDRo4rPbuuHbSZXJTwqKxlzTOd6pWG76CRBMgCFgJBqjUy/Xlxha92oekfTo5ls7mVMVYe6mYTdj
GO809jbPNXJ9OwDJk4+m0UtT0jKmiEEpntvRAw1taK7R747ofjYheRi9ENzsZP7al97OCr3FG14d
OIzeLOIHC+Z1ZdfmotEQDQcBHVrOVWY5Jn5GYdZK0n4C+DYDKziAm01jtx8xGxdNx24g6kPhxGP4
MRRJAMEqm5AfIOZx55sSKTA9JTZwnoiFA5DpElLe8Q1rZPCTRjxgmfSDMUyNhbEICGpOVQJl1hL/
YREGrMuSIWjGNK5aeY8EenSOxgnGh6F2afLURF4bZIn2MLeDkc5qj+x/05kvdmJ1bihVNLAQCPKY
gRQSEG0kqlknhuP1AL75wrows/KpyW/xhAAB43kqIDreRq55H5SIck3xR/UBDRMd0TqVHv0LPnnQ
h/37qVd31cAM1TN1MGzYiuA+hnwHIKWNm9fOFN04eOndXl/pVsAD9cMCBUZKGK1TM6+kKpxIWedu
HcynutL0DKTbXi6xtZ9IpkFYjzoOalkrBxa+HEzRT8lJ1iYfLZ3Hw/Qu6IcxVW19h6fPcXL9PU7J
LV+5NLrylcoMjsUh+JvzsnyPNizUutr3tqVu/mYH/13byld6iDY7QUybfA799yjWvgOR8M5H2lvJ
yik0yDGkaiOasx6T9ofBM/oZgmckTCejQRL1vy1o+TUXj9t6LKB274k2d0d2CLk6ymoP777tD6g+
JAuA/9UAxNy1/hQVUZ/XnKe6/wqtTNVD/DO8Ga2fdbQ3E7N1L+GCcMFTZ8dAPK6vwN5q+spT4Qk9
8uMYfpu8TwK1j8BtD+W0c0dsHijAKZGegHUkeMX90PcdOG90nTvW9CGZOrA3yh132DGx5nkA52zo
CopXXgMmcz+tRMGcbIwEWo/XPWHzM/27ljWzQ9VNpkNWnpxmH8J3YJ+s+ncaZG30rh164h2hoSqK
NGIMCR/GdHyxE4a37lv3wv76BFuhpYbGgbiphdQ9JUTRg3DK6mDaltxQl7W3FVGgY2EUQDNtovfX
17957jBCjF5eAIjsurJj6poGAXOjnMx2+0aDoenWQ2n1gczRHgxhc6kuJpAA4vAWtYGXh27gMVFj
WeFp0fWZSkYMXgMOmDgZ6MiBE4+gUiF18yZSZOdxsfmNkc3b0JTDK2pdVwIcCkVxDEvnmO8z97Vy
+X3ZCn5sK8AXmCEsCz0iMyOb/i+YsALcPCiCgrcJ9epV5JxROMMkvZUgL/PFD+CTAWq14mpR4IpF
1gK8eu81dMz+4qNeWF0FU3ChAJs7oFspWfLR7fknMGyAa2/0dxrPm85zYWcVRpOmK4EqGXUOqROT
kkJ8t8HGSJq94Lb1/r3cxeXPL8I12BDDzg0YGMJpX2R+rW8K8COmbdXdOVN7+IvNCxZaEkxrYKZx
ibQXxkYfbz8yS5mDDyETU3KEjughtvZYEDb3DqVx5JhLiWldD6yNHosOZJWngLj+cUxYlSYT6hEC
WgfH6yvaQqaDW/cfW+vCYOkHM3TExjiPlC5uY7egqd2VTerqgB6heFBkPZ+CZy9SVhoXRt7WABam
9r4w3OYtFfoeUjT0p7w1FZfVIoyF3IO0qC/cFGmNzjg6CAdGoz4LBq/Lw0QFOyF+I+4sbTD8tQSf
V81FDEW6tGpdeZo7nna4FGlYH6zGydAbvi2KKsUQVQaSzo87u75QdKxSmku7612fjYjjwtVtHha0
/KJjCFf0RdxlrR5CbPNcvwHNX4fxrbhM/cJBd7pNnO/Xf8SGl734DauYm9SYEINuBhDRgICAgebI
oDphil/XrWwEWFTwlvDmQMIYEPaXR4ZXXm8D/I+ZrggDZl9n75sTfqkpmmdAykd79AZ71lbRreli
k1RqIe4x/k3bvm0hpckx2SCm4zKWENT/XZHqxeqWPb4ICAD2dhPvXJOHc/lQtxC2NvzAw78oBr0w
swpylsJQm5khqelY9htrnJ5A8/6NVOrDEKg9YoM/987aNwEIXeoJUArH9f9yTXVSS49MfXMm1HFZ
2ra2z9BCklykDp/x3oa4q/NdM2r/KJdpt1THhqad7Zc/Q4+pn9Kz7BHPskrukZpseSxKOAhXmLR1
XnUOLY8QqqoCml9FcjeObp5I/kZWe4iejUiEaoq/lLh9VGfXXXI7mINWmgAii/CefvwELqa00Gcb
s4sxMFPXz8dGBELaCSkgYMDRI1wXVYgoQM2tmM4VqAgXcYvqbpJtcXRrnEqkVjoH6wEB2X8YpSPY
FXYC4MaWApcYQaYHTPQ2OocvP3ZnrD80LnVuApJK9TEaDXCJe3xaG5f0H24OpDygb0S8fWnFJUXh
QdFvQstmeBjJ3QCa6LnVKWn3lEm2GiQLU1GE0XJkO69M2cUcDoxDGROUbCM9zGwOqgMYrvVHVsku
TMdxqr9WPq/em5HhoGrI4UBkoO1qe+fLLrFmdY6WsgIm2TBltajJvVw0R+7XYTyY5aDI+9EjR07l
YN9c956NePfCxirehV3bI+TOyIWmyhx7UrDfM5SKvhklJ5ZSb0SZho5x+aNOmujnddtbHxUT1MAl
2IDhAgn9cn2QK6ajqn0L6Ql1b3VB/Pe+GTGFaHP7MDTx3lzBlquiqY25QDzUg3h9Uma3K0fL4Kle
4218ayumTn6XDEeOeJT/xdIuTK0yrxZzjlzNpXVS+kMVYe6snHMamcM8kv+ezGI5kH/GOP/C3bp6
UTrzFCVAMTsnGwPemGMogwBU5kyAreD6kjaC2gtDiydd3FRtFFEMTEQKGFPSPqEw5NxiqFO9J7Nn
Q3u6SVKQKVQ7q9tyEaRVPj4WFgiU4kujpZI2nyYBeVy4YkY4A3N9a895FTrsVltem11f5IaLLFh5
bBnyOVBLrK6uiACbI3xOQPjjvnORd0hvzokpd07djpl1od9ppBuJsvdPqOOcSSIycOTcoFW8s3t7
ZlYPNNScpQXZjwajSGoZanhDwG5UN/5/7+ZeblqwcnY+kGECNtjOMUoZnTo2/bJGNh/LDuoCf/N5
ANnHdBwoptcRo5LUgJI/Que+waBf0/BHq0a+gZO8Nx6wcasuMqsOmKwXYsU17TImDGtIIQlUW6mK
j3U/Bw9hIJ0kbY2pfug46OkxQst+Sj2/F2+MK4qd/Hcj+kO6BKERA464AdZgNG/sJFemI+cgmkKT
dSN685kxNdoO1zd144y9MLQ62N2kGuOOkE6khqXM89LCD9NhuK/0Tt9z62oFT+1C6eMiM331/BJR
T6nxeAsFg/Km8eI2VZ04h6WV1WP0lejkQUzeCcQG98we9vp4W/uJgSiQI2EyD6wVy2G5iF8+A4C9
9kyTV7O+scLoVE713gK3Dhyihgs5dBB7AY7z0oa0HMdAITU5uVSqZwYvTYGirA6TLcNnXuo5q52K
o+4410ehQucgA/w7e2biNlbiI8jn2jPQ7iZHD2HYuZK21//vb1t95hEHpU+kW+fUcm9s6+vc7ulh
b64e+oO4WjGs9eq9gmJqEZAaRI8oBNxLG9RagLicDbE+XnfYPTvLSi++JAcnlN2xuc17OEllzafO
ZaekCU/XzWydCxw+rAMYZQy5rT4mdGeLGZwdxcl1UWSnJ5AppZF4aPcotv/0iFbvPIxTYqAZAy5A
0617SMR4REHoW52E1ZNjHXimA0eL4+TEUUOGd5h5Q2TffpvRFT7UieumzPenu3kyLEohaKyhZBd3
oGOxLDerFdhuOhGX37qxsXay1cVHrv3SlQ8lc+lVKpLWiUWdOMoykkfWq8xp7FsTY6AL6MD5SAax
l2RsRWPoHGOocVEEfTUuB6kT27cKlpxq+jXQnxtPH2TyfRbvRvC4TKzOur0UDgCa12sNoKT5Tzlp
+fMLL1MjSbA3tZU3djM/hcJZ6AB7DY0P9sm3gPmHEEGfURFUtyXrXJANgKZgaupvEKPSb+nQV8+t
X6IsBpQhvDQYjyAGVVUmaDCdh6T72SYTf9Zydh5Gy9IZeHui5zFAetxbY31AoZNmw0ATH3X7sDtK
e6gy5EEG2XPdgmWo7W+N5bGbCdp+aRKpOmtLECnMvvZv/KEP0ZrxfxOMa0FMqI4OQaXCG59ZvwpV
mnNTu9bBYVqfGnfERyw4aH/A6XNQBaQ0wfBdk3vpSy9Tkxve2IL5WQBC5ScHF9Ix5PQHG20Gq3QC
dgvFPxDijNXBn5h4dBLLf6c63z5UyBcB/5hdzLPQ2Ea3nYZ+Oor4p45kmLptWB0aRMwsDFEwn0L/
M4oBFTgabJNJOX20+mI8WaaxQU0t+DmuhLhtxkWqp6os3FFupAkoYNwilwb4Km0wwVIzOdxwIqpb
36v1PekKnN1ohvyG63QfOFiUwIzsdWfIUEmk56I+dlUij81cYfqlmsUP4jrf+sGvTtCBxRTibMVH
rUkLeRKwg84xWGRLWdqHjjPw3zS0yxzpN284SPvzEqv8MovGQOq4BG8ks42TdtKaoHtUfgy8wT7b
LX4AtcQ5Mmw8lJaTHAVUl56RsTf4z3pf33ZCPsVRUR3AxBWmRdeqswCC4YvuMY1XdqF74rNk91El
yKcQVcYMpMLNQampSkUP8TmZGJXFALk+IU7yzzVHjgu+AitKA9+djwOQj6lWtch5AGLL2u7o2cPQ
2pNIwu5RS+OliSucNxVuUHyL0PwsnCq4DcvAfyTgaYJCRBFmiRre2NRE53HWOuVRNB/bUgYpSoI/
2hZQh9ZrH3pMwn1GruWkYqDT28KHvqLhyVse0+GNqbvvYyHYAG3K0Zyd0TdHW5G3SQQXiFQABJ1x
PjrAX0LUZEzuKZ++26LybgoqBpDYmUWMQJrhoQolue/J+NmWmEDu0b1EDbYT2Szt4I4UzvexYiG+
98AzHpT6Q4x/4n5N/g9p57VbN7as6yciwBxuSc6kLFmybN8Q7rbNnDOffn9snLN6Top7Ekt7LcB9
IUClwRGr6g+vvdc3+7a1wp8SSEwQWEP3UOh15/QdPPqqHctjpGnRz0CywHpDvHFLLxSdGGIfAsJh
n95A9UAiKrF6R9WDBhhn3zgs6tDl5OBEBNP8YwLhcaf6huxOfv5XbUivld4G+460uGSYeWOnU5nO
S6LhVFei+2GolJug7AVaRtTJI39Kd5LajQlOpcVA7UPFZ8KqXxA56pj6oTnoYgNnMpWVnQ/oyqlN
bXB7ZXov6si0ByP9nVaCxjZFIfZxLFT/rqYyVNjqEIxPnjlqv+umwtps6Lu/J7H+WiZN7Lb9+Kc2
cuF32xYVMpl56iKbGrhyRr8iLhp/P4hK5AKkMfZNGDTIe2FPkkmJ9uC1/fDVy/vEDU0h5vSSBKiq
vBiC2BENz3tOfUU8tmMotE4teyb+f3qaotIcIw82TOL7ZIhUA+M0tFVjlF2k0ar7uJjap1nG1EWR
Lbul8ohARlt2rpBJuBR5cv4YxXXqIoZIkVYPygMvFNzpp1SxUcSSkU/yQ3yIq7JMnXgS8u+s9t8T
Z1Vj68ZQumGkoHJMc8vpcir4YZvWglN1uLWqURI4/YR+fE+PkUwt4aymG/7iS4NyizhteAB+iZoN
kjb7WDbSvdIl0l1ZiPWxFhXdCSdBf9Iozj3WLThUuWk1V6W99JzjyfPatp50U+J15wi6KuyTOEph
uiSIeqmkOHktTrtSybqXQopqNzCmeF/X5nDTe+3EnE3+czB0/c6Tw+A5arEz6sER3bT05o74QuZu
NS+sFGD8YSCTOWZapN71VpDBpA+YP1Jouw3VGsG0hnaJoIUOZ3DsSjArHEPw1VPq6/XjVHfNz9LT
qxu9jnVHlHL1LlWV8UXMQ9UdU71x4g5RVVnm/ocR1DlmPpWux/UMpTqS3nU0LJ40LRWdlq7/O1SA
whEQfHa8MazvKpD4R7FXpVtEYvu/W0uM9haYg1NQJOUXs+vERyUWWQ9pFlh2k4bDQ4k0kStIYr9D
ab57arhMXcvgHSJklARVXx05OhFqkSawh8pY/ojN6iGoef4HiiIc6Iiktld5nCttnSFUiStTJymq
gzesfwBUOByDRmIq2zbcZRFHGHJ4xW2RgFX2i8zc6QOfeUxrZI00/0+etdXORPAIA10p/6bEqg/9
HZ+7uB5a108686VsfOk+UwR5hzcAuIkqK+6UxvT2mVZpJyUU9bcBeAUq0bKKl1gVHRPuzJ2gGX8i
cKL3mccCFePGnImh2m4a8i8W+AI3t+KIXS6Fbp3k0YuiK9VBq0rpQadOaRcTjtwV7WG74UVplzlK
FIWZ6ief3uFu0JWHrq/TFyru2N1Fvvndin2eMlro7ZIYu5ZEiq2dGYXtsVQ510pkdXbS6HfwfnvZ
TtNEuJOHXLjVqOg/6JNQ7rQx+hUFRcdLoi5sM63K3+MUS24V4ztch1K0R+cwfU+KZtr37BYYm7K3
m/mxrlrO7nRqpf4xg7be019gTi1B/w2csDq0eZbvMJIdd1I3Wgezg5M7CVJwP3QCZEXygacyS94s
sHuujnH2TVCl5W0Y9jJ6TyV+xzyPdacXlRSn26a0cfRDLGrqsztYX/6x4425m8bhFx8r36eepu5K
umwvg4iQVlxbyjtFDgHCTyg0LxX6b3YaSFjqSn238wVNelVYG4eirgLXkprckZCgckZhUp4JluyL
kKs+k3tSCM0TfzRAFHYmfkTHSY1KV4fMbBtKMMS2rkbDAZi6v2sLkYui5bHhBZm3x2+KzNHwv9RC
Vn3JzYZTKc5m5pGe7vss1GIgHHGBzs0oPpVa8FZIjeAOiap8hVhkHmpB/ul76Q+/CeJ9PqX1Ton6
iV4BVj5lpk0ODVPNxS/vTQg5jxszCZ6CFPUFaJoapp9F4Da6kbqhpmboUyqVW8aleW9k4fh3KFc/
jCiga0Ny/KrILRd05RWQOUMO1ETIjmTLvwpg+gc9TLIHQ2fj5IManPxmiB9MuRkfLSEI9lwQwq6N
oN2ZamQ4ep2YrhIgBTYEonmrCkb9/b9O8lD8NqmfGnD+PihkQC6Ew9lo1tEQA8cf7lv1qTbf5H4j
cVpJvtHdoqpozm2hD2TrsgQ7NxX1dFIQvpv66TVJ0i/XR7KSFVMfRcQcjQOdvGWRrna6UQe9nCQn
tB1QwewdIXgeDXN/PcpaVqTM1EUa7KLKo/0yK/K1tOFasdLTOP2g8uUqxm3jVZiq/PfJN32B/8RZ
9rd9lNu6KZqSU2do8CgsZEtBQKqKLZVJ+yzWcvaJhQAzkUFBmABmuaiV1oKiIxeKTHLnxW5acwZL
ZBiC24RfP/EF8WgxQAvARltm+3mDK7yIeCX8icIeghQhU90mCTn0euV+IhQVN+aJVJZGy+VkKUmE
FXxUqycTeb2Z+UxXewicoguP/iZJcXWJk6PDRaFcikPAZTCeeSWJmwhcVCe9isz7wE9318ezUn5A
A5G7QOKfWffqMsSUws1t+6Q74iPexIe+FsLInWr+HtuK8Ay26dyHxV5WMj8k06BdsvEHrO0xSLQ6
nxTIEF/08g9Ier0MvSKMb6amN8nthNL/ImehMtlaHhXmRmF2PZoBIxmWCKD5xfSpaZTGptBySEp4
ew8FovlAz3+aylRvRFrb1XMUOJjIS36gdVsCNhtCyW4LTeOV1tGLAIqu9gIeefIGvnMVL3Qea1G9
i1ql8Kykzk+FQXocxiNiyQmEgAiBxx1+etV9b+DVp+MoYIe6qN+3gh+Bv1CUjTN59fOiDknFEvIU
MoyXkwlnPR4lAXOfTJgcBIaOVa88FL61QdJaW7R0x/9/mCXatOnLXEqCUTh6rfYYTPFt2iTfK6Nx
+zg4aln+LBjWxr5fG5nGJQAVn5XzgVEbQ4YWcmomiGZNTjUMu0HM76U+PF3fjvOOXlQDNaAH8FXo
z9F9XOz4SEBtO6oxVA4yo39JgxoH60mpd5LAO26APHwwPEnY6NCtBp2XKTke7ZklRdkcBiQBfDp0
3gS2BDLzowLAtdDEOysZKnvIpy1O++qKZU/8J+SivxXoMuWZNKxOvnBXieXJr1onKWHlVLemp7iA
yu3ASB2hMBwy+o2PvLY1z4MvDoEx1EszrAXzhD5247Zj8wvmhO+WiL1SDFOV3fU5XTvF6X4iDDNP
KdCFy00RKD0diSDOTphB7yzBf+cFtoGYXR/Rf0IsiWlk7dVkjUB1Y7kHMCvdNfMNOEaiMxjZ2/Xh
zH/uhyX673Csxa1u1rluZpkhnbTwzvBO41A7OUQQEFBOlXwVpcQRlK2e9drus0SUAXTR4K21RP9g
wVZ2cgqCXdXGWxl7JceX4sRt8kDbWBtbkRZHaTp4YiORX58GHq9DdwgswVbiLfWBtSVhgeL6B1c9
Az0vl4QCUyKVYw+lX+DUidfvkGrZX5+m1YGchZiXzFmt3QjGrEbItzqNElpgtlJ7lLTU1vcOyRDg
tXs92toCPB/Q4tzqzQwUOinWSRRHcOLhAWX7zsZK864vp+/XY60dV+exFh2THJOueFShvAEW0WxJ
GEMXHcNg34e9d68kiXn0xWGrEbc6Y7OqDrI6PKKXj/SokZC+GOnvJaXlGmP6arHbro9rrZerc7rO
FFZDg0m++IhUdb1cALhz8gbqttJOMCsg519VykuIVukKuu2hTzVqqxW0slQu4i4+qIJuYmB6XXIq
Z9nO0ShpETS94QL78TbWyVao+XA5W5U0xTWpHAvh1Mu15vTUTt1SF7LHIu6sT6BroF4CS8T+A521
5ecsqFWkdYwlX0TRN858u+IRTXFOyX6XW7CQlfV/EWvxCdukGLIskATY9/pOrKjbesEPFGSdxJL/
ur5MVj/hTLrkvUzmu8TTtBVsAUuvjJPptfq3DHVN+C6jQb0G4uHPT8TCDQY1XBOIwTIBQc3br4Ko
9I5wD52wEsgGNFsJ/1yPsrKhwapBwgNgzgZbXpCd2utpYaAUKmOGACjShukFgLW9K8V3CbuK69FW
djLvce4QQwYgByTpcgkOWhrShsTsHCnG3tzLEg4bdzEpz5YPwNqaoA5Cc5UMDu+jxTPDx19WiTQj
PGn5c2ABIdfu0Ch1Q+pS10e0FWhxZ0k66hdi3erHLMFIYryxOstRpsd2y9JtbeWdD2j++dnmzc1h
anyZ/qtaUrZW8Qb5kudZ44SZujVJa2YwCBuBUENMz8JTZRELDHegNHWC6GPijfuqbNqHquiK45hY
6VOuShItMrmSnlM2vuSEYZkc6iqKRcfQk/i5BAmjO2aYybsEK5W3rM2F2k40pXtWxqQ7WZ5c3Y8B
QrTXZ2J1JZ/91fNMnX0hUxBRPJ2b6jVkc58+jC++JmN2VK2TRkfnerDVaT8LtrguIEnkWVrp1rGM
6lvKlDfWZB3R43EHDAT/b6EWx1si0NKMRwA+GpeQNb03w19ShxZBt5HYra0wyukoGwInh5S7mHWl
lbuu90f1iHL5sVHEO9FqD5ZZbaDr1qbpPMximjSvm6RCkKqTRNEawgftk1hKXSG9IfVzr3+6teOG
ItgswsQyVpcpsYqfT5SVvIz80XT1vr2Vxi1NQ2ntswGqQw0Sgqf8QT5LD3k1i2LfnMQ23CvwV6Ns
2uvxbZzSkYnHfR7Uu8BE5jbjYLB2Siq6ZXMjpt8s5POuD3dtUQI7FnWE+qivLC9d3+zSDlE+82hI
g61Pz1WrupL2atK1uh5o7buqM/RsdvdCjnmxVAI1CZDBhJVehNr77FmXJ9VGXWX1s5LyU72EogtU
5nI3RyqsMkFIwlMTD8cx022hbw41Mo7XR7IaBukiJOVxeuPfyzCVXBoGgp7jSYHI0DcpZbbGnWJ5
YyGuhqEerxvcRRYa45dh/Cn0dLT7+WCmfpuP1p0whPsoHw/XR7O6AM7CyJdhzAhPoVJK0PCMqq9S
0rvNiLe0GYoHCDPZxiKYz51FLkrRAkSnopEXshoug0ljTkFPU2LwxAAIyqq7adVxlj/y/gwjSeIQ
HYwOG5LrQ1z7kpSZZVBHlOzREr2MWuCUoQl12NJLnZ67oHxqOmXXj9m3T4SR6XFQDCL3XR6GU4kp
R6fVWFZF4rEfJDfPTNtstwqVq6M5C7M4DAsPq/OEhXHsI2hEVWuLcunQK/jMRzsLs1jlo5nKtWGW
HO06vmL+m06nL6vePvHJMDiDu6OQqC0P20GSY21sovYkwqiFo+wZgat2ev9cS/UWcHrtEoGrh50U
NH7rQ3FezjRUmwqyTavTXuXCfIwL3xHDel8L057+wSdOCVJPheWm8N9lob6vkTyYwDGe4tQ6JJ20
z9UG6tMnxDcw4OLZxbNJ5OxbPFpVXqfpWOfhzWhlWGyYoHosF5UWb9oYz9o5wa+fa1YaGfXSodHw
OHGjMUhvdLSpUDExUoQfeTUVk0Y5cOA7Xl8aa/Ew9gB3yv/p2yzWXy/EmdTEsBB1f4xuR90KHLPE
tcRsq9+DUvy4Hm3NcE0/D7d4ManiOIZpkwY36FJJwyGmP/4zTaL0seh0P8CRzsylh0Szul+1OFbf
Q20qn9pJi24jMc/4OfCi3PGK1ozcsuYFGwxhhidVoOsb+3LtHoXvDtl9ZmfpH76LLo1Kjm/OMclx
1dOEIy/ljcLG2inNfQORBuXej6ZMnZJpJSRB4VjxvHtq6D2ouDOXnnf0urq4H7t233emboNlSZKN
aV873dBYZ5OiNTUvt8uzWvMToRcCVP3pUrqZEexyuf2iDMrGrbd2GJyFWXYkLDMAfIYn2wlriLvE
i3dKWR+iLDhNffIiZO3GF10rFSHvD8QZMWRuouXFJ2i9zgWHkIwk/+pbf6fWP03jGxm8q/LuylPA
Pe9V4G+slZVRwspDyRQIN6/NZaLuW0qs4YqBJmbyBaCJk/xdTU4i5juvkzdCrawZREVBoeDGg43B
8riru3HUlEinWa38nQj3M7VdlY7qcKPE/d6UXq5v15VVwtEKNJljnDWqzz+/yNuSFDMUA+8QZXJR
lTgoqWx32ChdD7Oy1wgzEybml8MHyELfNUPe9nC7WjRKfN+8p9S88WZdOeY4TelRQbck3Vi+WY1U
zaPEGnUqNk9psy+y6VgZpjN2X68PZXV+zuLIl1+MjnVRaolhHs0h/uMJ4a3g67delX9LovC26cNb
KdtSrl6dJOyRgBJwXFHCuQxZWnWutD2qRplkHHIxclo52ZvlJ7x1wa4o0ONYD+B1F2sBjT+lERCd
PHmqqo/UoRrpZ9P7zSdKoRdx5pk8W3NpH3mDFmBV3WeyPXjVrcfLlazpeH2i5gNu8UQ2WQhgdHHo
IDFbDGeYhrRp8snjqzXNY1TAjAMyl75XUA1u/TAr3AmsskO9ZEQwR+4/s+TPwi9GGY+JEE1dY1IC
6QE0l0W+r42o2F0f5Op5eD7KxdpAjEqos9TSjnjXPqZB9BhXws1YOp02+7ZXey6GxIbunNpwHw/X
g69uubMhzlvlbCJnZRB/0CRiIy07JYVTF7KbF4BwTX3jnNqazMVtxuswjABczlpzsm14/hs2FF8S
Ld5bVX+kCPyO0vVzGXUbh8rqufXvCJfIIdyHqS5MdXCyavMYWfUTTi0b2el6CFh5fCjS+eUJbPj4
TfdTnt6EnlYcGiGpntKwUTemavUImVW4/1+UxWpMSsOszaQxjuThhyiqXoErPw2xumXR8b+sx38D
LdZjicpq3wfeeGTDvekxMg15qB+LuHgRtOkm1Lq/1aZzano9NME/oeTJlv83+GJBdr3VAtDHrWxQ
jMdYTp91XeE220qA1qaMx8f8hJ+vs+UVnYAzUYUG5tI0yCfwlA9wVTYKdWtbS0XwQhTBP0FyXGTa
GNRouO6hMmlhwF3vUNj4Rr+5BkczfBmRaok2VuFqPLwVYRrSQ0H84XIrN92A87js8+WgYUmFm02Z
C0lJMTZYjatxQJHgWgBcDa2fyzh4RYGhrYLypFF27FrhrpGVt1rJXTyUttbi2k39j0w7cmGzHdTy
zDAHv/ZUJGUSuX0Y8/It7oubTqh22mS8VBZoVLMV/r5+JK7tM0Y1K4KAzOTGvhxfo0VWmcb0qKrI
yxUb1Yc6dnTRK8H0h/IWhGzta4I4pcRJl4puwWLWEqWGZ5IMSOwbuediJD3ZQ5Q2KExEwl2fDFs2
h2vxcD4hacKScs4sLkcXCqXVWIUQnvSysRN8hbJu2uUhmMrNqsnagc9hSCN73mEf2Nltk5YqJa3u
NGZAc4S4/yqNyW2W4+HY1Th45wcF5mmxVcVdmz+KAGi+AbP6mLEVQ+DJmEw0J2kM36nHf9Ny784S
hD/Xl8nah8RABjAJ7xM6mYsP6amcvAaUppOScyDGw9+Flb92TXVXpM3r9VDzgbt8Bp2Hmg+z80ua
901YmXF70mFkK0XhTLFm+8FLBoGqzLbeI1sDW+zvrgxGz7TU8dQND0PzPFS3AzyXQd7Shl6dp7MP
OP8dZ6NKdFxI/EiObkw5qh+QbU+dSJXLA77yW8a2a8fI+Qdc3GhZV6ahp5rZKRimaTqg967Ke21M
M8Hp9KwydnEpY58HewmfYg1E89frE7h6pc7dVECbiHOQpV2O1QyaCmWlCQ8gyzxY0MmwVnL96bkV
oXRl6jHvs12uJ/YwfrseefUj/xt4qSyRcQcVuQDBo4mq77pSineQvRonGo3gE9cCbFw8BABPmojE
XA4RdkWSTj5vLK9BmAYe34RRSCeyQrcw56vb4SzSYjuESeOXWj+kJyOPT2r26s8+lhZY2JY29fP1
7zf/rg9bDyG32Vx6bnEsNkPYVKXcGUAnjQrrg8Ybv47xsKHssLrhzmIsNoKZKkluWY1wypRZ9qNI
rR0ee491bil/8ET3P1E0R2T+3zEtdgNO6qNaTvggSxJFc3+0BaDSSPt+ogpCh9fQITjQw1MXLzlW
SZ5xxTJFoW4PWbeviurVqIp7r04RyEBX0S839tnaPj8PudhmqjjVou4XDXZDRW83mvg194Yb2ejf
IzWCzpff1Za/++9XyFnM5Q6L/UpqqYImNzpKKiezH+q3IQz84/Uoa3cpJwclTrSfIAssdtcUtwBz
JhKlEY/d92iso1ezh4JbaJO30+VJfBTyKnJGM9HsUhHzjdxt7Rg5D7/YcrEPOU8cleCkJ8n9lKn7
vha/1rp1uD7KtZ1wHmax2+RMGcIu7/RjLMjCQ4B3j93gwvVYIaDkBMWm5/MalJcz69/Puth6mUZV
qy7IbvKs2KMputOi6Mkf6+NQly++0PzQy2HP8/0mS4djmn8CvDYritEEtPgfhZvLM3PSMn/SmFeA
eZELYO22qEdbQjj8E5/1LMxi9mA/NtFUWQEVQl866llh3IdCHu39LmKkAVyQ6/FWV8tZvMU0amo1
SVj7UlAefTenM6f3GPk1G3iLf56qy7MZU1WkRSzIFx8AF74p6BVLxjsG1mH4Uk6+E/lPcGlsf/zV
DG9vM5S/vDcntyg3OiSrAzyLvFg26VA1Vhc37SnJontpMB1cUOE9FxvI6NUwyIDMNDGZ6u7ioNaT
UPdbT21PWloEux4tz7thdugcRmlTDWf16DyLNf/87DWWGpgDZj49nyxT+8EROsEId1iiK5UN+gdn
ACEMwpe+ELunQVSbFxh/EcR8JUljp6gq4ZuQSOEfH5b8awM5vrUboxkmx5SSbk8pvPxelmL1uxDN
/JQ1hfic9oae2moGxAk1DBD1TqM2QncYM8+TnaT1/PwXz3jRcGsM/zpXaXB/dxoJEUg7goZ40ydF
/avsp+lb6xtvUi5Vv8PBEGoXlQmJpkyoIfOqFLrXOALU3xJJikE1HGx3EelDwGKw7BGr1a9x7Df7
sQ6MxA5HobnNBjHeqjasTyT9VnqTtF2XkOkyVvVhMrPuaJk1RNFk/Bvp79bGk/QTNQcWyn8CLRZm
qeJ3EM+mAKH1QD8Z1Vsoefr7tgT8+snJG4IO/0wrWWKKeeRxrKAnfsprHr7gssvshyp1xSPFHfm5
kRAYP/ZS2mrwvyX49gP2H8n8rpFfMnCU4caOXHsTUvQg7zN0SttLut7UN7qcF8l0GspTp95JU2Rn
smKb9WvQbznlrr0Jz2PJl1ultfAjGmQVykkva66ZCr6D8EL9ifc060WZ6V7zv4tD1JP7BO/5gvd0
PHoQAuujGlRvXey/dd0nOElMIgtz7i+jtL8oQsRjFUYTkjrHrC/KLyRGmtuGnpc6TK33RldXOHEw
1/gooo9w/a5YmbiL0IuP6Te+kDRjKZ5G9ba5S6unSP/hZY/DFk535QEFtAJg19wqFuk/Xk5amBaI
3RhUnxNsju02ywRupCDaD+OUfzFTrXZFP8htvfK+iqNcv14f5cqSOY+uiJfRI3kskClpEFnxxKcm
aPaDSY39eoyVE/wixmISdbGNex0uwalp1N1QIwsCI34+1pIhsz1P2EfxRuKycqxxmOILz5PUBFC0
uJ8mWesUXHG6U6Xqvi0Fw6FEJjEx4417cC19nr0gSSMgFiAGsQhkjcMoz6ynY6GUbYp6UJC8KnWD
vguPN1OGHIhUjpt7cqk5cj1lki3jnNTsxaoM243PvDZoSpH8JeCvRfB7l1NpTUYpGJ1vHgNdeUTs
8ti30nuZphtjXg+DNz0cAPp4yyEbUSSOKCfFN0FeNeAiKQ5k/tg/+2YbbEzj+uclh6EzCfH9Qwe5
7sy4QZk9PE0jhod20xkonoAAOcSyHIDIzTKn0LPvYj0UYC/72JH6dsuJaO0cAHVpyThBAedYrqW6
GsRp9JXupI5cjOY9JhyOWfe2lX+ZrC2N/7WtQmFemXspGO8us3pFFPHbCFXj2NSZ+VcSDepz3hXC
nzQOhM41hE6hcKhQXS4qIZGd6/t0daRUozQR3Ap92sUCwsCbjpQoFye/7wzXAG4aCggB6FKBOVT9
s4g/kaFawNFRIWSjYgy42D3pLHKdVPNNEg7+oVVF3TVinNCvD2ttwTIgBiUZyOp8eBC0hjlKPlbQ
EZzIu0LR0oCmpRW4JUJmX67HWskT//EQUUGD0lFfAnUjoVOTXkHINIc/IhSBI8OSKaO91EYbk7Ua
iQXCsaNTo19WtVrYun4P+fyoyvnglr2M2E/W73ND5YFRBy/Xx7W2NLABpZ4Mp2RWobg8W7y6Jk3D
D+YUxXd6qDuCdj9EP63O25fyFsNj7UqiEomQKBc+Z/ci95Q7HRpflOWnKTGk7+EAzF/AYPvwiRFB
v7EU4DAkuvOqOUsrRkPs00lDciBq0tpRZlhKlA39Y5Tmqo0fzF9Fk3wGYARV9d+gi1dwn9ZU8mrV
OHVt2z33UfiXJA/9ky+b9DLpWGmmbXSFvI9Ew4JdiIjqocjE5P360Fc/MGBiMjccwT68kGWpzCql
qJGlFOJ413aG/+hpVr+RBa9FUVkptI8ou8LXWXzgKCriofThv6lmv1eLvHaTWNlCDa8dmLycZMQk
CQKX9TJKJ/c8r2MtvhkFwdTcXgOAAdY2UdSDMhjhbYyBUmd7glS8C0mBAtH1T7m2CwFaKoCloXN9
YJanXj9ObT35N4WlhQ85hebMzaTW+BIHXvjDl/VC2Yi4dppBfOBNrCBJjsTE5YDBLlswnmk8dqrk
aM3giqVqG+IW+2Ftw5+FWXKfB5/6nQCf5JiIWAxrwh612EdFDne9FtDqsT5j/U5TbAZ30tyc/QEu
x9VaStoDv4pPHcZIkNWGuHvxu9kRJRa4nVFW0dE0vT57kswvvSzU8HjT/9kDGO+qy55jPZV9qvMe
O0WT4pqBtxdDYZfok9tb2qGQimfA4nsj8HfYX7htLd4nSfbX9b/h4wpCsRWVaGrRFvZIyxt/EHuU
nb2uBL2WvGhx9SwnIaaLZvmgDtNGEv5x7XD7zSsVlt5sS784xWWrSLs4a9LToOJKYhgORr+5tpHw
rgZBoRFKIaATzrrLiRSnrjOMvkhOhobwpwoQFRGy/u/rX+3jtqfBP0OTZq8VmYr9ZRDDS9sqKftu
r9Vzo3P0dSdKBKcUMkec0nvBN466EB6vB10Z2UXQ+cQ7uzJkM43oD5OpBWWww7sRO7LancKNSfp4
bjI0OrfIRqjM0nKSosEs5aqpslPf1qc2lG6FDN3U6yNZWXRgmDg353c1/iKLOTIanYdugmh4nj8p
/g8kLW09+wGvfSPOSjGGwYCZQaQB6W4wC5efDPv1gPffiDY4TF4VwcMhGDieIXfaJlJiia1NWTUc
O6Sev9XFVN/5sC1bW46stNhnue5Hh+sjX51DE2IBqx9U6jJJ6sq2kBFb9I5SUr/j14X2q/deKMPr
9TCrk0iRBAIul9IHDe/SK7uavkh1ytJA2ZWhhXRalGw5Uq7g4ZGE4UmOugzcow8WIL4eWJUfWcMp
aEE9InZapd8LL9B+qWHALkja+A5gVvKkhKb2il6dku3SMW0GXohtwWNRD2NMnacsOrZ12E9uK5gN
Fs+WGkkbr4GP98n8l9KDBf4JFHiZW3TgyDsjzaJTUz4X053ZlQc5Fx2PtELbONXXFvccRDZZbx+d
TpHBb8SwDVoUCpHfQzF12imgdd8EH/2TsfCy/fW5Xo0376TZznU2Rb5c47mXJbE44Yxk1eWpzpLn
LIqpSvP4GIf2+/VYa+ce/I7/xFocQaMiZr0Xamg958AeQiP4VUzKV+AKo12WxhcNRomtQSvfSsTX
1vPcL+XtynHxIenX4yEbCx/kPaBX4Z4bNXcNsx3tSUMz2lfaYBf5sblvJ6+YYdgAmHsVw3VTeOz0
objzjKRx0djZag6s7ebZUGR++CHUv3w00Gu3/K70lROS0DvQCxh8JXspVT5x8HNWQDglffyoWBeo
UtWHYRGekgHSZZk/mUhXh5648RRYGw2UTVhpvIRAJy3esslQV5NZ9ePJatR7oxAxRTOcQcg39se8
71iSl+8eDINIiMk+SX8+JI9yHqlx6OfJDXlPcTciTHYyNSHcd32Z7rVUGSF5JRMNPxqbfj6FpzGM
tZNomT/ZWe/djKkerOinOtMwwhFEhQr5FXWcvcxj2Y6b8UEyx4cI0V7UOcMUh40QNV6Ut2+1cFSc
OKi0OymS7jRZ/VMqabFTJ+/Zn7zoYFYqmkVDo6DRYQU7s/eKH1HvfTW06Q920G8wJfD5UYIfFcUR
O2kzwtWoefqNZu4G1A4SzS8db1ByqtKd9QNHoPEvozZuqkGD7JBwlTZtCEspTEdbHLoXNS9zN5PB
mlW9VfLLwsoxB6NxCqUC7DblD2M8Pkej2Du1BEc7k+WDL+mnLs+/dkii2X4uSCe0njwbgcr8njvL
cgrTHG10ZtEmyxAXKUTpaAb6qyG301MIzs2OvXbEloNqTo/QaEIXfUf2dxyi9i0xQtmu0/JrGEOO
1QIppm0Y5vy68C+z87UDmnZ0LZrksRLMV2QWXrw4CXZBDq5s1vj1PRWBbbyJbRLNx1bSSH8iPXRU
ENvUr8yHLvJuvEx7D0M0K5vIjG4bOYUDSTJhe3n73jb19xF61U9fkzAU18fiMeOBdepDIUMAuNoL
HQ90P5sMG5PIeB95gXlAamQ8gApsnTgbE5dSTnkSJuQ1AxXLViVHgd4QmxJTXg6Bbgyw4EMcVjT7
3gm11HPGsHuV/aF4EBrpXhXRnJEHdH/Hqn8WQMylnmjauZD9CONct/NRzfcgPWdh7Y6ScsIUi7F+
QJwY1VjR7FwwrqODFn++s1DddWIlQoS0VQtXCibUEmMpP6La+GworWAPwiC66A5ON3o2hfY4KqmT
523lwB4W7arvxV3XVZkb56EGvLPUfzcFuVeEuu0+GgzNiZMwP8gFgs6ZheI8WusYDKjZo9KjU1qY
1eF/SDuTJTmVbWk/EWYQ9FOa7LvqVTXBJJUKCCBaiACe/vf8J/ccbdmWXbszmXZDJgkRsXz58g+A
9CvR423t2AdGmYIiSscoAzOlLzttf8yJ8xHAM5ohuPphqCIHh5PpqdaI5e0j7wawO0bXrL/lqw0u
SMBfcjGN5oiHpcPaO8cHEiGFCC1RpLVHzVlbgdP9VIP4gp5sNgBlnoVO8zoEguVDfxekgup7OCGl
b43p41DVzclrXIonttPjZgQQtqwYXDfIvq8LnKUQf4E591MMnSD2eIdupN2wQe/EUh2Z5786DaFX
tkY2Z0nqbBHffM80lpgRaB3vh+3r9NbG0s3Snh8iR32NTV9t2ymZ8/oerGBANc5i5GjvpiT5iu5Q
8rZr/ZwNzs1Dbm+FwNUM2QKo0oA+3jSJBq5TR8il49PP2sEofHjPpJ9relYaLFvOl0+OrkqhWB2W
AcNaolNMZYMQ/jC1yQ+EgrJcdg4G5Srsn8l8XqveL8wdPuqmLc/H2XuKNOh0ijiQWxXb+Mvof01e
d+nSwOTEAqlGkKSdINc4M2oJslUhuGGFqTrHoUscoZHrBxIs/t5DmH7ug9MIoApmp52kX8s77Zes
4gd6jknh9t6VjvTcTHy5emxit7h2rxhVPeiaDyUF0+ECyfYVUOIHL1AKrdMxGRA6pft6i+3XyVPj
46fWQu1AJyNlpccmwxirk3eKfFWV6tlmEFKdJHLNAYcINkaCOFrTuNo0A7j2oksQy66Cb54PlZJw
Lt9qjUcYtwDHmMlaPC/RLz/prnrWw0tLUY07Y/WFzzIjwDpdimYc7akeHb/w8AdT+eC5IkU2o03F
snZgyDCOkbQHrRd1E+qOMfNG0JCq1rObaNWIwYYl+OJWGH5DznFXwJ1OyyisHwwYTQVfxzecHN+j
TgYLGvPuXFRzhecKKb69ks7BMLXkg1DIXKWwJVuY1pDrRDejb2E2T3R/DGqbZpODFUfabtrOCt8d
J8SmMEt1XefluRsUYCRJDfVmtgJLVf+iI3/dNolAT762zbWJ1VIMfjcVw4TYFNeJfhhcIBuQ8oQU
W2AcOBLbF9KdrQL5iFDTbgnj3nYJFrIV0+zfJrg97/ednKceTvGExl624C8PUKjPDmW/4O9+BQUb
Jyo3Wa9hYwysP64q3dCCWRrbZWNRN2YKrzoGlTXy0o26x0v1D5Q0iARXvoMXyXtwg+5pGdablvGv
UHi71cPa5DeTV7QI+84RCQq4POF98lixei4XRJzk6KU1+WDFXYJfd7SRFMmIa1NMKYGPYXLR0MJr
imYhe2qihG9TSUS2dPUDtJxHzFBXJw6sR+YjNB9h3j72oHQc1+swuR2yoej6zFg0QaOesOWSfsRu
q2AoN5gmgqv8vXWUBMV0MpvIccJtMokLoovmrWvji1kjF/6Kqi7aroHVHXlemRCIaedRh4UxsnG2
cngR1zZ49030wdvElMBiIQLbjDCdOSDA2F5+G5mJ9t4MpzJgsAli6KYHi4NcZoPFywNGH3nlXBvS
ySxh0XBNo9pFmxkroL/ifTXzPnSc+lTzsM/dGj7ntPZzAoJw4c9hXYACqIvFqX5RYnTuOvW5C5j/
OTX2/s/QPop14p27NFnywEUKXlUbZEV4pjS2QR5s6sjC9cJffY9opqF2lyOSW6+6Ht/AUPgAsXvY
Iq1e5CkVttSzX+dSay9zJyQhoQka4AXuf2nVdxmT7CXiyFBYut7JwDUVOY62iAWoBnqtJnfNUEz2
5eAKgMlgD9/WClHgkOHDLKCr2PA0FsWA9QKrWQUkb3TqoNJnbhN0m7ChYeF7dr1vi+0JuEexHbyh
2fIlVA94ndN80sN4A1FQFLS9s8w9zLsLXn2ko2cPNnRotgBVUTH9I0rqbmssd8qFL1MeB8tQpuAl
5Z1wEQgPclAG+VMdYj6lOTp8CCE2PHzoJKMbpYBeQMDtD68XNsf25GLdC4I8AAElQ7t1RgotZjIG
oxHfxB9loMacp8E3p7FTxt3wsLrAyerAAAhD6ReUhj6PxXhmUdAXsUgBK3Hlg0umK6AXr4lu/Nyw
WWGzdOAtMrS7xYK3ZWMHPEhpNZ4R2LyWCNP4LoQOMHxiH9266vO+W2zem8Zi70+BQFA0fRZmeY9V
5z7rGqYUxj+15adeUfGg8M9vApF0haNWvkkaSzadmp1NMiIOg3pIPccbbQXWAN1ZjfnGdu/2vN1h
/DrNQVmuTpXrg7YBhAx4XnR5ZyTimSXJTk9kC6d1t2GrVRvswEm+MitxZHbEWdTmW9X6XmE9hLVX
vLK5CKmE/amKM+JbWhJf+vii2kfNGYnM1ADFdixIH5jjkZ2ovAI4wjswxnWPVR19usF0SSv7js9c
bx2Bx1W3iCGYFm4yjWnJYiHeQ2Xtp0+QhA9vB8LbXfM6ix75hlXwpWeObzCHYdH4Hmb+YNc+dhoZ
PHYgPK/VXCGGxJInAwttZgIQXbnyQHsZ8fMq13ZIpRpZDisViD5UHgd3PMq4f+4cpyvcoAUvx5nj
/bAgp5s46i1Kly0H9CKb2/nmS+x7WLBVbnRVju5wjiYK+lkDryQOI4360TnLmk+UxG+idiogQyCJ
s9mBK6Xygu0ES3GRjKH34CDkrZQc+LjeT6ZSTUSfSLBGZTCzvWSVl6+LjB8pm0aAYSrg++JmQvGw
fKgVe0hi3JNOqjsRQx6GWjzEbX3sJnlttANOiCJjPlJg5tuU60PYuG8zjc1uwBjNQ70M9lXOXvez
s+EBikD7NQ8JDvhJQuci9WWXqShoDtFUkY0OfDjP6ikcoGw6l9mdQSuS4MuEQrVZNXjuHuWfeEZd
OGYhAE6HmqTtZvb8Pksc+a6p96JSC97BygHZGEWU+62a4WtjpoxJ3bzP0TjiTC5BchhbJxOk03uG
UCPEKAcKBxocxcd0db5PokLSR+qBPZQQJS6Ysp1eEM0X7LnTJxvl+mC1wW4HogiAKbe49YF7peNr
tWC/iWgc4/CpYAlckBpos0D1SdaO3Zr5SANFLeYDNgP4BALKSGg9QLqj6Xts1CMqjbmcRvsKYIeX
uw25RAla+4A9HwY77IHaCLLWcVEVz63NK0unrAnv5JNwHXEeHU+eO8tcjyt8dB25zrP81iGFA/CU
6UNjiCQLBR7EtusIWFzIM/Gjpb15NNAHM474zAIHFoGwA4zOWLx1CAXHbcZDtEw4u3ZeA7tgPxdj
Gn5UjQFdJAlfVMhOgsHB6jjedGAAjwHBIr68SO0RWZXgNV/PAxHqdVyX58rwOkPE4Vk5oCbKefzO
0uGDMHOOOT0FPn1ocVMzDbtH2bqz99M1FcZOuJ+2r1Za4By5mhv82HGASqWpg6+GJfY7qFERy0Jl
5hPcCN1yMFFv8H4tAktBrWT8YyYpJVnP4Sb57gYKmcMtCJhjOVJG7ycSbOLdMjRvFYe184C4Vrh1
5p449+RApD0sut5VdohPrA/slazs19iFgPYBW4gXfeO0yd2i4OIgrjVWANM2gJv1nxgBfOXO+sla
/QlZpOBgmKD0R7XLBAYK9KT1VqHsyetlWu/tHp3DWSHwc0rYMOv62ifOsHONRhk3xlfYe5B7HyRP
LsP5Hq/DO/XxNEVk7N5BXL1vHuzB66q0RB0xlRBrFV6a6EHCh7p1zPigfJRnnQDNsSPOnQfy5JDu
2KOTgJLIQYhYF+9qREPkU42R0igFigOIYWSSTlLnkd/0GzRSf9DWIHbcEl76LJGFN9irGmKQyifZ
ojLCX+lBk4ttzJjPYE2B18R2Q7Q2OQ27Jfe0dvaUB+CAzS2oSAk1uePQh7mJL67EKoJUcwv4EMgh
QPj5GzaGH/GKPRiniPZ19O5HI/2ArezKPJyE76NsBUAEYIoYibe/fepdIffRgrOXhp/UJsltQibL
ZfCj22KboxqIKTDpXIOz41e5SodkP3T12QQIwOyrPi3req2PgeeaLFgJSEH++CGXZQV1KQyPDYJt
rhrHpy04Y0MBcR2fDA/Irm7lifGpyteexzg06RRdrfpTT1jdeG8gEbTqm+8Ow7EiVeFpF885Drnp
qh6sQnniTRWUhWVatitPUDNJSbcd6JtAosRNVrmhLgmR+5agWJ9C75fw/Gazts7eSdyL51djNlvn
mXOBrsUQ659KYuJHoaAsl4aAgdPQdpPgwUEDU9YbJH8/z8hyz4iLEbmaGKwybLkxH6a7yO2TEpSS
92A1UCC6ZS7t4PibUYXXwXc+mN+JLYGk3Zr+AITQk9DdszbqoAZ4PoJAPvK0HnYRnasyHKMmw3/s
loqkgByF9fQL6KWrbONviP0SOFTX/ncctMayVambOawb4DeYpl0lF3sSqCJ2Ph2vkvZ7u3DvpkZ9
Q0TXsKk7PWdqGdRep+xxJIAYzR0QbmLRN2M9bzNYoDbiJuYgvgRT/Apmns0J6H07oc26Sy1UmB5p
U48BHRw8cOtLmNYHKfCoaXU3r1TO2yCBWBHtumaTSG/Ed56VE7EyrJDGP6z2QB1pd6Juj/WQXpp+
vlqedFAh2x5YyXUpeISFZPFGsqlEtRZI4tJF3fhBAfoUL9tq7iXKW3YTE7CABDvNmjkBKv7VjcfM
zOun1xFvR239GAicX8lsooymENkbZNygbY6pbChSGZUEc9qtdCCVBv1j6nMKRaof0WVAhQ7on9xC
L0nejIsxVupW3RYnqCTvFmEeZh0PT4FvA0DtKNIlG8hkyDF5IiMKnVAkP+tIipym/pyzVJ77kQOU
yGqDihHHExSb5KQZiDiTg6b8GDRRDnCc2GgSvhrX4CeaqkuCDTMPOqUzeJLqLMbw8Faxee/XhIFk
C/LFQp5XI77R2HoXneDkyhlk1QivXNliarpEV97Bb9BeWML78zL3Hlrg9IMMWm9UNSG4P+4JViVg
jVcDio8EYznDm3iDYP41OvE5MLAnQJY4LwQnJSJSsRdTKKE8oGeQzkCHpp7YByPgQeFdHvBBoNII
MEZcnwG8DgLvJYp6u11q8bhW8jVk1VpG69jlivo7nFQfO9cMO+oaN/NrARpi5NyZah27OBwZpn3A
IihJ9uxCviuFIF8L8+g2QJoQKiI8Jc3i31IPLf7IIP8Ee89tQvs6QxT7NYkxkBhQChGGjEe8ouGb
nU0KHqTstsRXXy6PnhKq6b5CsmbReLrLAtsccFg1+P8CMxnil20ajBD0MXm0Ph0KilKo8QiQ9VVn
3qehY9vRRUpXo6AKEw/PWUq6yMUuKPYjukrYBNyXe0hZblXrZsh1xdAKvCGg+Wm7WSYYeHoB9Joy
8kdMzJVXKN4rdvQavsN29OS04HQi9Qp6ZQTFgkm1WfzxeU10fAknwCohg+ob1DSnbDuLFiJiYCCX
zkc1J/PWd8xycGPaZViJp7xdhhO3MNG4pGtE5kTpkdfAOQWWy/u6zjYAcNLcl9Qvk5m+hDpm2/+v
O2svfUZ3Um6WUXaflHvVpiaTPddk/opAGUfa6rxfBxQGzsD2wMFAHtXYxdMZP3TAlq/YCbwyaiGl
DHpWhR6HHrgz02ROQ19GGphy6ua+bLQMb3ir4NSYu2Ma4N+i43qruu7TCZcaUnHyqLrGbPS9+Wx9
r93A/9FvUGheMId7MoP8ATTqXkSYURiouiaBetURAtUG5fMcFriq9OvmCoz4s4mNV9SAEBRVLzeg
bT8wDSYeaqChICM2nZD9msYe/e7QGqzevsQ8Co/B0fTQEVniJdOoEz9Mm46nGQMwUEiSSWZk9X2U
vygKN25MGnw+IdDuwz40keErEGQCT2Y8z57od024lA6UXES7RUm2NOvVTN0PnOS3fMZLhkyjvEl9
FPvIpcMC1r64kBtzTKi3xz5GkR1jnC2To/KP1HO9LQ7VOFTg5Lqz7uyXQTLUl9AZvk1pv24GABo9
IfsykfIN9Ayaqa7/QEQMzWy3YN7PPkBBjSEBQg1RAty9vndzWLGxqYbuSoveBs1zNJB90LjneR2+
ObCXHlYN+phEv2X2q/UDnaWg7K3dWkDVNtwd9/ic9XPrYBmK2yYu0zAwGKhVbz2GuTKPUXaUbruD
+2u6gZo9H71wMhdPkrNcBcVxPPYQ4zWMOzUZvE0D9ykWyvbk+PqhDto3hB4fzaRwPB5Qv9EuxEl8
lWlpRvpK6FgXGObCLrSIhxnaWYayDg728GOZQcxetP8eDWg6crw4wrE3DlpShvbz+jOeZs0zTKvj
kFVX9TaaphsZ0wH9D/0J8AISc/yxh9CDgHVoleinASf8I8ISgt9kMChkA1LMXQ3Rfyb0uUnWBtUl
h7IUdEm08RP+Ot7f0hSdsDSu0z0ixfnFC+otwrhQ+bT+rWWgkmIoo2Xpt2REOl4dCrnrWrvHMeU9
qdp8GBp2ChlQv6AH7p2md268Tx9W6UKed3HSnnyvKljXfrlNt3Pp+tqx8CBV22bofqnSAVA3S5Oh
B5Ns6nEi9c6ySZ947FcIC43rPOjXxxbwcrskArKCuE1a8kwR/kHp+ET8eUF/CifVFbS4EwJbb/j+
4pAkPAaIViW4MTE9zIZUGTxRn747JoWsXX6w4G+AAjhdxyp6d0aFu9fKbzpRVYnoFFl2YfQQD/qk
3fCCbhDq1XiOszSy0YlG5id1I8iIPW0K7KfRpqaueCTx3GBQQLwPTveNKqMPiSJPbYoQGxXRl3lU
XxL5jTAxz1uBWiKnfjXlE0Mp2vk+/rf+d1S1Tw2OMigZr5XSm3kyaYlwW5rBL4RNBLs4dNhXG3qP
sO6OuV7a7wNPIbn3HfAb/mvUppswSsC7Q2QtineQNtX8q3KQR1Ez93tr1daJtNjOMvhLf/+fnWf0
gzEfDzM2vHT/MN+lshso7E3ODsUYCK1LSVu1NTgy/Lt74Y9t5/+4zN1J8R8GKmi4bTuOMFDx8UfV
H4fqS8jPOXqryP7/dqH7B/mPC4U9BhTHwasBwglzHeHkCjVF1/nE94jd+cu3+qf/437z/mec/H5z
/+NimO6nfSSAUUH72eeZBEM5gfdb6+g0oF0uinow/C9IqL9d87c72UVQHs1E+H4ZwXqoM2fAcKlE
9kb1v3bz/feX++1OOgkq3NBn8W5iuFLSmiCPx7HPK2d0Nv/+o/3JjQmDOea84KFBpJr/m5EmqWUz
elKTPYCwa2AhmgHgh0LIq+sTfIALOnM1nkmFTxRAU04Zvcze6jy0MWizR8idlm1oEiZP//65/vnU
Iiwf45FwTSIzMf59gq930lnGjY+QE7d+G2Kv/hFjkD0zi512qOX8ojGD+GtU//3L/rdF437VBHk/
8T2Q+/dJAs/lVkW2ogdXY/Q6gVx91QoaeMhbrxBTjc42OiE7Vo1y17Qhqs8qkJDO9S+XoBNGEE/0
l+f8Tx4gUBuRz4Bk0+gf2eDeBMEYCT1yD1Ee/ezZJce1hzj773f7bj387XuTe9olvjaCnP5haQtm
cIHXYXX3lfs+xdjr1+8aXvhqeCfK5F78Fgd/eZf+ufh5BBM3EfxzYAb9w5qGfsLQ4CjDD8IE4BI1
pB2BWWs7LIV3y7j4yxf8w21ESwzjTPD1IoPo9yREieDuca46f19RX24Fn+czClzvLyv6n6+C3CbM
aOHL/T4e4s9CAxtbAebWDsUQDGcq6r/cN7i9//BbEQBRU4JhArAFfjMsgbfK6p6BUq7C9MBqp6gZ
8qGVhMjmgbO9BaA779vl4vbpefWXWyPjDbqhqHZifyjUul5FzF5rzAbgwMNzEfPT6CUfCnttxW8p
rxocTqsTABmlrZeXesUyHqaA8VW834yrV8CjXjRufUE8+TkxqNpCdg8Z/R6qTxfFbDyzx4U5h2YN
3w01FxsL5GUtZYhWB6vJc2Oq87I0F0xZ/iRcPWHH3owp2y4L/eWyZyLqEsl2Bw7DQVWj30QlDofm
nU/1KbDLuAHgDLJzXxcTiok7FJsM/F378FEhnKFv2lcI6GWqMcQRmPdw4DdJTJZwv1Aaw2zzLzYi
kcYP9DNbVZg1U/UOZnwA0Sn5OTv2BRzEA0HNvumd5EyWaCuxwIHZlXNvOQpkP0B2niAcu23WC5jx
ghYquGDzZqLdA+bO3y0UXtp538MQ/YOW7cA/R8CPSR9oK6/3Cmpq2SXBaXdh805FSVHJ7qVNI1Cn
wYzvqqLntoywg61O+kwW801Xbj6gKdLpAdw1+ews4HWHi8YUsD3WMUoBBvtMrqf0OOFvpsTNusb7
CG23bUW3BXI6Q0fofWwaDWoW2zA/OclIHuNA7VUT7EeLTiaEzj3wugmkjTHYpXLZGpA0e88FbRmM
Mr+JtnFtdp6hTzMcSVz+4ihvkRZfpGN38xf3gLt48JP+B7gTd3BjcIKh8iCDYe+1gUYrtwnRNq43
FXO+V42Os2mOH1EF6axJkz13zWEFIkXb/oUnA0DnFejSQc79AeMAzm1J7I0peBp0V32yDqO5Pp1J
hi5tKtFTbMcF0o/nfQ3GBrlCF6Ce2c5JKStqP/wUc7BJuChCNdK8cR3MU8BCBlEGBYFT1hYiMMJD
gx6xZyErofyc1oWfhxE8EqZ/Jq3/hio/Qw7WnjF0Kqv4hBjEp5H2qN4UJrLSl1rccyXq+ABs8ecM
eS7xLbpF63iqWIruWurdfSQmo8R7Qrv1ganax4VsvJnt7MI0Mu7WePo5oslfNAJbSTwbsLP6Y+P+
ikffZF63oj+ELtpmroJDCKOVhEkoQ8TNsQI3PhMeFIKxQ/C1bBfs0/058FdIVPDD4jif6uYgHRxV
3Ml+qshTkDTreCsaPRXwpUBbsPVWk/QDNpEoUx5u6dDCjFWtgJx78Gh19hNV+F21O/bh8tajVV0m
6fwtlKm/1TJlO9g+WG4N87+3ThdA5vEOyI8omlXsaY3QBb+TBfouaIsomDnsJ0wP4K9H6afu4Vwz
LMkJcURhRnZYJu8HMEp9bmuGKJblRDT2In++ON691e28SFFBKRN4LBNxSsCeWwec1MPmu2L9sasC
nA46txwUvHc9J5A6w89YTnvYvTATCFGHNYcwCa5tHf8ikSkchgYBdX+qzn+G8liGYGLCj7vjBvaA
GL2fGCPatm+GkoXTBo5ylTWJpJCesQh0AAhuUCC8LONyBmMdbli6g+v5Y0TrqpLNo5LJV8oT3MM+
94Nqg7Gop5jZY8JRHlrPnqC/5r6eMIrpuBm6clsAT2doU8vD6mBtiWmMAcPqZUpXW9aa3ibE2Btf
FJUwzzMNljyy5m3240sk3E88N1ut9QWOl6N1yWbyo00/OB92SOEN8LaO05R6pQEiFJPHsOp+SeXp
QveyANjlUMPZaWUEZUZ+I9VyhLdxn7YwFfWd90IIxJbZXoi/vEVdXLRjc3KiuM5ahh3P48OOOf4e
vpbtMMElZTCxtPIfGHB8SV2IEklQX1bUo5l20ONJl+ATNqvvFYDH9zV0yxhHBx82T2lQyKplzNO5
P09YR/CkPqAzJjKP80vMgwPopVGGN76E1fs0D0KXSSd2ZIWJxKzLkfP6isP/nVAz4gV3v/sd3l6X
+YdKsYPy/UPYf6ahucWJ+qVp+xhHHfxIPbYXSLmy8vOmNyDf241Hu4uMXlEuc5gTISusA1ykJnrs
Q8ayrsbh2AuAYetWAjsVYt/RaoJvzw2foJ4OOUnTp2blNqstjFeBTGFVjPdQvV4nf9iams95Z4PP
hoxrNvbey+AmMlPQVJ1mhUdAf4bG+6Htim2uovs47XbctcHe16xAKN0jZ+ikOO785AbwXxA1HmEE
iPGmBa9jVR3NnJ5CGsIE0IVb1tIvg74pQl0e69SU3GUbdFunjGH0AD6iW5dWBdwQOU+83Tz3n7Jd
X+uVPxgvuBqIaHHavHpEbmoEFGUVM9DnHYWAfQ8gtckvJnuBgeMU1wsiJOGpdRy9ZXDnJhItvsVp
n/jqleCPP5A5LnCI3aWEbl30IrFGoifpTAeivH08fZMMEtiEo0mTnkm6lpN15sxZKgIvDHo6Fosb
VPuzMz2FoeX4EBr9wK5rM8WdDo32eCliCrLTiI4F1sP5Aykw6PyFVUml/nAdicyMuYz7/lm2yALy
IOEi5QkL44InBtbTV2/QGy9kPzmB4ll17qsY4o2Z6RWa3EVMwQVWUJGlwmRG1LuhRyNAxXwtkYcF
VxGqARZh34zMCSa5Ppd9/enx9T3iGOqLnGcPS3TG6BDnEPLvauvVdPEZ3uijDuo80uGuR7CoEBGs
Oa6XebbasFqi6dqfaRPtlrop+5WeVKQuce8/oaj70TXkDaPxTwTj1hlaBKeFpoBO0W/CCUDa/gpX
Hyn6bimn+RkNpwqluffstqwv03r9iaoA55jmsfe8ZBN5axk34U9/5k6BnJbD0KSvIUyKg4vmgel2
6OAXMJPJHReoCRuHHqOhPiqzYr3nLiRptovMAPthE56rCsBdFobnXsEGyQOMwlRQj7VAmMC47PxI
Q3CEgXxDBM3dRPFc4Rg68xgJkDE2o7/lBP5higNp8gCwuUEUYNL+N8VgiEm32hDTIjyCf2BGVIu8
JTBhES2LNFwwJ/vj34uqP1QDPiARuBySKlBY/1ZZYz7F7Ya+7varFu5e9zg6aMT1/qXm+NPXwowI
6mQXUArUU/8thNAGPVfOpmC/IhZ8xAkJmdRFVLMMxmFj3ayJ/jZf9odiEZ6EOEIuj5tgePS3K8KV
G4u+qZx9mgpSRg5nOWIN+Anb7I/IihAJ/aIrx74yuTu5bf7vd/UPhSMCThPXvYNWQkw5//f3nVcD
OaIh856HFAYgx3MPCYecGcopLv/3l4IaQCIM/OOa6W+XchJLfGjj04ZRflJx/eUhMLON//Zg/qGg
C/CaAf6EWSYEm/x2P/kkx1G7sIsBxXRmdfqIUeYz0JLw2wiydfv2byXkPwtI/HpBFGF0BJOiv88h
okvrpuAHIv68OjfxNmGwIUEhpvbh32+fl9xv0G+yAsZRMSaOcA0Esv3+BlTKDoOEX+5QN6xCgn2g
3Y1hdHpoaEc+03t2bazMeEj0hFjZgfmFi6TxHJj39UwtlteuhoN55dwWMG02PyFUk72nTY+PPuF+
odN9cquwRdCMa8oZi+s2ZvNSIqczPeEAzk4rwyFfwkDRFQyuNyRPwvs/gH6W8p/pKvRbpz3nABKD
9zLLTraFO8TsHPmTyDDsGt67vWgJOm2Kfn+PQT45+rBoTX6HIQACNZUEZN7IXrtvQzW7F5f1YUnF
GMPqZrsP5XF9HtHhzdH5mlE00vCKeYslnydd75M2NgcmBoE/dehpWkt2ulpTgSrNaa/o7fcYOkDU
ypuK59HL1hRRuJlb3VtafYJQpBTHpX5J++1KgGeFQD1TZKMnXlsgvmnAoT4Yk8sQjMv9prPcDyFi
UacdbT6tlGqoAkgGgCl8PoTCNPkKW399iDHhV1CjMbMDe5m7g7U4/n+knddy3FgSpp8IEfDmtjyK
FElRlL1BiJIa3tuDp98P2t3pKhBRCKkn5o4dysKxeTJ/A3hZfZX9VON1GHqfVUcGFKhLYjiEuVqE
O/5rcYzqvHxv8nUK0jQRxAbcXFHKHqXA1SQv2sveWO0MtZZRCvfbe6O324cgA9qdgfPbAH7SHxpy
HaAGek3p3TdOIBd4lNIUCnckqe2pNkytRnkuyv/RaHX/aDxQ9gikGLRGmso+DEXUTAeeaiY4QWCu
iYKMvhXgdk9pC5Ih7sfgzks17SlRR3UH0FLZlmVrbsahjJ6MyvbRsUd3Zhv0yMdZZcDvbSUw4SNP
+dIc8ruxzy06aMAAlCoQO1APYjiDd3E+horX7nzEJU6ZydDimaR/pa9tvFMVRC7y3pMcWuXt9xZx
zvukUdrPnmEBtdBML682MlCsLfWkMSbJ1cLwCCDbf3TCpHwooxAUbd0ZezNu6eHA6joEEVhuayyA
DCZQoo2N4Jza84xpn8FnZh+KqB3vMhmW6sYf4QW0XVE/KMBNvtuJJT17Wtcd1cGBgWJpQAryyD8a
WqUc6rjQv9vSkP5z+yRYOLNBUvE/ilYmQOvZ1Yu7L/ywpvYQm4xeo1b9kDc0fhBtXyHZLdyF1EkR
9ELVS1bfCGgmIzKWeRvAq0tRji41wTNHqZVdYo8N+MdG2xU4mrkDTOxwpcCoLNz2qLSo6uTOhPjG
vCxnCzqNPBHDc2U3vfRxKCTnqKktOSbEEftH5Vfdi9cm3hkGYPqAa/bEC4rUwt4ESZ3eST185kOH
GCDgMo3zZ/fnU0BF0jEYfwq880NfKArY8RSLN0+PrBN0yhzaTdYCaRrjlWtz4T4zTTjAAK+hn78Z
iRE4NzKcPgdcE4L2+9KHX5rupyk+c+D9xVdhMo5Qvoz4wRtDAASVSvQaDRsdXC99pqOmQCyza1Sy
fH8l1NJXketMMg4sYvKt67zDtKnKFBKCRkFHRlW2rTXRAqgpGcXPhFtkX2HZtRJzad9cxtSvY4I7
VO26sWGM+pXqNl7YnBw9yB6pkHkrbNu3vS2aaWh+/e584Iw826KKbHughlTn1OnPwKP0MKO0dW54
Hd5eh8txHPt3P4MkfDaMKRj10odX7+YAX+jbi8Gut3aQy6+Vl8O69DIZRtjtmIvDqMIjpt+ActM8
jwtl/CdHxUvPFeJqPoLIuvGhaZ2eR6OqN2turmvRZpOWqh6VGmGMpyz6mA7JDjlmoHFrKgSLy5Gc
Hwq2raEmNBtHH4nGQIfecGr75ociwOIPVXSXDAMkW+VrrCi/bo/hYjyM5RBwMKZO1KzrwIWOLGQD
6FUBdt+WDxqjR09lK4J7G1zA7WCLiwRfeI5SPu2NXkRbyYpvdqPhtnIdvkhKToTCt6Atqn0afKPm
WKYr63Jx1pCCsQ2dVxT9+OutFuVwluHKBq7h+++QTX1JB/2fRh4+3/6yafLnGTEGxv8/zNxcDzNI
M4OvAGG29x79kse4ru3/JgQ3ESVKFaWt2cqoQ1DReYgzuKR6DSg65PqsJDTc21GWxwt1gqljyAKc
rwdnAG3NwXxSh0dgt7pp7UTXrUzK4joAWEfmw6xwxl9PyqCXXaJEHS/ofDi1wSdfMzdWQ47UrTxV
Fr8GZSckejjh39gjd52dy7UvKy7v2nNdlkdvCPbkjIe/GDQ0DSwEOZBAm7/0qqAtSLyxDxBttguD
+AC4Zi/GZmXYFr8GDBP9QaT33rgwJxCvSkene1FFAOEooTpwjjV31IE83v6gheWMhiDSIrplmjzx
ZrvGi1C7zgDkniy99r9UXhPxZAuH/e0oC2kdYrQaRtzkjuiuzNYacAgZdrfhu9icl+kPI5ShL34w
Ox4aoDAG7c/3qM1jFWdpdPemDOZ61UVakOZNmCRuztMf1uI3te2/3/6ihXG7CqFeh4C7r6SW3oVn
Ly+d70ZKoZg3ubcmlLawEKgnyBQVuCTe2gwaKKKbWdl6JyE3xyTUD6CejwHAtT/+GsJgbsXdYGJQ
OlsFulNCDcZSwYVwdS8871NtrBlIL5wElyHmtgoZL+406yquu6oxnwaoK26bQp7M4kFHHtzwV+SW
F0dOUajQG2gta3P4CbClHlEQz3djNTxIQn2XWvl28Nu/GTkFSefp1gEIMRs5Cqi93CDuCqK7A1ca
Uo+JVkIsfonKV6DAP0FbZteBVZa2PRi4FtolDLymC6HcNPXZx6/t9ipYDERlbtI45EyYS2hl2Esn
4bTYNL+svK0kGmNAT3lqlPtARv/cAx78CGU5FFV0C+Wu2S615bJOQO6ap7JJTqbX/sMufaaK9/X2
V73NewijWuCRedxx3c2GryFX8ERmI0hdto9ceCfIqHcKBl389x8xvft1O9zbQZxQMZNpIINowwm+
Phj0ofFiKcNtyaYwALRilEp/LyUeLXWLKqSzvx1u+ueu0xFQMZhWg7PinOBtcx0u0KnUdDaD2JE1
QzpVH9BbcvUofzcmEzkvBM1ZnWA7rJ1Mbw/A68DT3y/ge9rgDw7aV9ap0moULPD33Y11vrZGlqJM
VtAKl4bMeT5N7kWUoJC6WuIp4layjyeohXSEtDMCiZTo9jguB2IdIopEbXw+bZLe1EbR4Nw0NWuR
rblPlGqltrGwMhSH/Pv/hXiTORYBZtNofrjA07b07RtAHSklOu3PZepUlPC4zVGoM2RzLu/UipZI
bSxcpfCOPp2qAgisrpQota5ZTS+AD69jTcf+xQTBEpW73lMd18iGGuRQmTwi9ufvtALaANa/3PCW
kb0kiAjv8NVs97YlZTtMHBDzJplamcWFITZ0vh2EP/8nfbr+NTnGuI3aBjbsovRnoQgAMc6nQhu/
3F4si2HQSlNoQiH8PO9g+BWOMqGkWSfNbrah0j71UotGib0i/vY2a2JsTV4ayrT83xyQYR2PYWek
yRmDAPsRzYXowQ4TZR8WjbzHrOcraV3kBkolrQzj27uawNb0bTJtBrzwrocxLWwzETqGCE3rfZDD
8F7NbIS7vR120s1KrIWNh52gSo/md3I4l4HT8iYSiRIrLgXTjxA9fggMy/98ui5DzI4qJxNpHZu1
c8JoAq0ELc3PU8sPKTJo47dDKUtLg0n7LQcuk0lNf7/YD7UEwROSJ6rZQzbY+zgW5klD6k4/dhbV
Hzojk4J/FxRQXrDtouGrm9H4HHBHwTDJyjLbjhLETTi1ebdFB7JHQSkWYb+7/UMXbkXKAFQduIIt
i6fm9e+UM8sTsJU7NxifDKve2ACVEjzb26O6+ghcmGI2CenyJJ/q2PND3I47r/KVEhATjWfup1R5
0TAc/+P6l3oVZdpNFyNPYw6BghqoumS5fv65zL43IcAD2V+Z4oUZ5gHI0crDDN+J+U2Bg4euiTgK
XPrlYie16ZMxiJOeGsNKoIXtfxlofl8kXRSEKFaFrplGX9WEsjSMbbk9yq13FJ6rWl9vL4nFafr3
w6zZkqgsWrFoZo1ukUh7q013XtQd/yYEmc90cAKAnV3nOXZmUSBQK066/NB7+X0rm3/8MGMZTFMz
HZrUC2cbMK7CfCgzCwH+DgK42e3VMF05lxeOR0LggTodjzRYtOuV5rUR2dygJGdJVjd+FKrv4QfW
hxjNvPd1ueYUt+DmMH2RTfVTRrGe1sh1uDxqylxB9MWtRPRFCxGiAVm7TRWYv2mRnYPQ2cZOstXH
/J3aSl9uz9jCOXEVfHa/2zkDjchNelYqU30QQ2lvYQfapBJoOWqBon8KLPX1dszFhcjXkrVPmvnz
h0EuoytR1LbhlmLsPlW9FIA7jJyVL1vcx1MXfTKnVt+0A5AgSRE31HxXk1GKKZtDhMcy/dPn2x+z
Fmb62ItjaVDAlKKDA9g79Y7w/A8oyL8oY7K7HWZxTaJ/iQUwGpjavMLiZwoVwkxUyIhGG8+P95l6
Yhg3qEEebkdanJ2LSLPKBw9UWcuqmr5yVwJYaU3KYGcAZnq4ss0WFz4OODisIphJ2jw7kIwCt4hO
o+moerDoveA+FO1dqDYfTMk5mBREe2FBCDe+ZlK1grBYmDWbcgvnlMk58kYfX7PyPDE8DOegNle7
BgEzwMkZcFrZtze3x3PhBcc9ghQxXBwa2/PtHRtqW47BaLmyWkCbG9XKMTciyVABGrLmpwm94lsq
Rd63sjKln5CX0rWOzsIev/oFsz0OcK6LweCObo8vcNS80GfFxPaXqg8b/c/FWinIXXzt7AaAZ6x6
fgMIpA3o9Isig3DZf2zg2d4e1YX9QBwKm45CydGZ39KmX+sC7yf7VPTZM+fIq64G/aayHRf2waf/
FOvNRW3nyIPFZeTGPjOXf/cRwcn9OyVaMzFY+iiFBx0ObVOJZr5UWjkK0Y1Fx8USKB+W5gseEWcq
4hNIWqyg0pZ2n43OLcQvktkJcHd9cHUQWxVlVOwTJdbqlznwNgYy2O9aA7kGX9FH+MkS8v5Zlx68
JJCOKjKCKymQ8puvNatv2DyzwP2BPaAIOnuK+L5ph748eC5aboVxQDCntUiI7W7cpILj+yGJRPMp
j8bB2I6lnedoP8i5hahFpvaHSqBBtpUFIKCNaiVg6kQCRncXOWiGbSQf7OymabF7VBX7RSDUFW3L
yBPPBlPKy1WMikrBrRrB/qLw8N6wuvZdqsvSt67XHHCPLdJUyPsEokdGz4qQwI3rzDViDdFcKobl
uJObyn/SIASUu8zrh1cdLOUHxLgmPYQYtdVdBuQidVs6KON9N9C6wkNb/Bp7D41cDOs9/0BS68Et
CWv7cyoS+6nVhnov91KCgF8VSsam0yIUKKUgRDi3Mwpxim30AiDGDPJXE4WeF4DgXrxziiRrkMgN
7e9M+DBZwLUjGnSJIxDdzFAubJDIDcCAWsL8EvYmgJuoshPzMLa68VxIpfxLQWGe8shg6zv0RdV6
XyFYWezyHNfVTRFFweQ0GZT9Lhal9myEBXp1gZF9G8cM4ace4QV+YhtVKgLjODeeilar8n0cCp8P
qEGfbwrNiRE4F4VyPxqOiRCUVb2vDCSH3pVR2ejbBmHhF4jT40ecp4AWq4kKlLiw+s7tUlz80HCt
zRfk1ih7xUXyhNRWB6c8Cgx149Vq9AsxKgnvj1JE9R62KRKXfdYqH2LqUCn6gl7+QchlAM87BFH4
0sPEVja1V8v6VlUk8YqoME2s2yfI0nXD4maVgbJBpHS2yisT6U5Fyn1Xre1dqBsI+uHeE63hPlfC
zF3rFL0rnFiMMbkxygEmMpjbYYy8E7U88ef5CDVJqpKonnNizbvbeqknmVSbviujtVd+hPEIo3/b
6tVfxaERJ4OLoS07y8W7LEzrUEsRtIpQ2/6lUQuJgf6pSHPenqKFtGcqsv4v0PT3izwOmhVgOEWC
ZasZe3/o6MTUp/8WYnbixp5pUwVw0MbJ1HA7GMA6W+uf2zGW7vrLz5iumMvPgDIHiBHdAk9+cbT7
ABSXAzk5088Rlom3Yy1eV+CM0X4HPv3mpRzi8OezD4uTJkcHywmPQSQ9+XZ2Tx1wpba6+Fm88Mk9
wdnSTbj+rFjEvWYMcuLqUglkHVUpB3YJTmIuIm7n3KrWWL1LWwnCLXV+ssTJOvA6IBDU1EQ0zXPL
0bBcoZTSRu8MRLKcylxxNlkaRpUS+IQutnmpzJZ4kHDmguhL6Tl/RwlgkyDWqFvvpGzl5bwYR5XZ
reAO7DeOfU6slfWYJLhKDwdvzDeB0uwSYcGSWQN9Lc2WehFpqnxcLMIctCvHP6TBWjW9LYoe6XDW
vK55SZMeZQPOa+WgJkhG316PS1v4MuxszirhaRLalfFZ6WX9yfEQ/c5qxViJsrQydI4JXWfhw/ue
ZbjlINV5NtrWKVfqB9ju20LVfzpju5KfLY3hZZjZGFIHQH1CIKLU5IgdlimdptfK+CJDrAw69/bA
rX3SbODUIUcetaiAFrdj+VoUw4dWkdtnB6DKypGxNEWwAkC2U3UGEzjbxyLFtQolM9/VvWSXqPEh
HF9vf8vSKr+MoF6vvTCq/ZgibISUbZXuQLC1oIqdZl9W+CkMaimvvGIX52nCd0Fahyk3r0cpoaLE
A7KesDtGyK9w5TdBlt77dvETt4D7AaHhlWRicQxpPWL7C3zy/9LPL3eXI3q5znvrVIcoG0Q5fM/o
8+1BXPyoixCzxWdFvEIR7g9o4UM2nSgr3hO530YLYddVa2nL0pRRv5+QMDp4snm9DRWJGsMK23Y1
vRRPI+8FkD25c24ird4jNZl8vP11S8vdmFhGk0eKQTvpeonIXdRqjUx9zymhHMdB08I7hI1ca/1w
vB1qaSCnlT4JDgD4mpe6vHGq2uRjfJYEvPFcgzqf1H6NL4fjb6K2/FYVw4/bIae5mb+oLkPONkAl
Wbiz17DGPZU23Xifx9beML+09dcsDKnrrQzm0uSZGg1q26FUqM+/UOQtIMPMCV2pdHYjsvEFvmbe
995ZUVxZizP7LKkrgx72gHeSOD5gE/TPepaO6EOl91jQf7g9hsvBqEvRYOWhN38bj1Ny26sNZ7wh
75LxtalQpQw6TE2Glc281GCljUTyxIt/agdo14uxrXvN9ivHo4dv9MEO6oT1M5hoObxgRgjKyEYO
3abHLPqBnsoQ4mtQBu+bCHg3ruk8/+5bKVGClQFYWkRgLHVNRwSdJ8u0hS7OGG/IKw310sBVRtKj
b2VeZsHTAP+7ActjFe0OveIa1YpGy/7hkDLM/e0JWNqiYIwpCpCRc87NbiSjNSm0F1qAyp4U3nWF
XT2K2jSPsaWumTgtzvW/oX7XSS4+tev8qjWaPnEjD4ZSqh96EfxsQ/lcyvbLf/qq37ZwF6F0jD/a
wEmEayLO7436Y29KW2Vwnv88zISK4z2DQM8bEGPrI2zd1yo6kDWSgBaCF0jv5VW8krcuzRG3EB0S
EmSAS7NjtK0HjZYIx3aKDgaaN7RIhDBMRE31NRTj0hxdhpptfiOThlrRUMfWPM17yFXxwQjHY6f6
7zFoXctel+5XsJnsfowAdUbweu1LcVr3dR9NAtflHgryqYDpfHuGlq4FXhb8++Dr0byZbS8zxQnP
KtleBYWg8ZQPlfbPmAhTPiCQZVonkSGddAfHwVdeb0deamDbmErj9MetZOnzo61ClCnxZLt3VZuC
UDUgZpE+G9Lw3g+9nSSyx1AU2Jc0ULPFS60X7yQb0+tG+lrJ8t6kJ3X79ywsIkembYwlM0P9po6g
pkEPloPaapj7By1TLXQ1jEMuwi+34yxM6uTsBXbYscCkzRNPqwjQBoulyG010e7NMsvO0lisvUAW
1ulVlNk6RcbY853cCOkchgNa0X7+LAdW86AmVKuaoX5/+6PeLiOaaMwhhtxgVd6c0r5IjAF52hE/
zHjXWndyihCBFh8V5cu4BoR8O1GAtNjnKv7rQBXnhdoxDVLRAas4KXGxVSPvQHttmw9rTJCFT+K0
5yms8hKGRjX9/eKI7GKQqmqOahxKN/JdFKP1o5TKcI/iqQVVbhCfvEZ+vD2Mby+7CRj9b8zp7xcx
I3vsy9pUqWXFH+Jup2mPknkskCBVTlW4hiBZGkdq/LTHuVbf4gc9DzPC2iZfslFvqZ2S89/ahLW6
sq+WvkmZ/GwRZ8OHed5KML3E1kPMSdxBew7q4E4tv+m5g4LyA70MTGHDw+0xXJq3y3jTzrgYQ7mM
qPJbY+YOQfOPJxeflTj8lrb6O0NUH/CJWFn5i6N48XmzZeJp9eiJQQ/PemnUz03VNcfCUvV7IxVr
tLK1ULPVoTR6y3ktgjOuGOihQkl1BQy001AHw8qb/+0hBabv4qtmWQ+aZVKVeZEMplk/D6O+wyVh
5dJ+e0JdhZhnO549ig71kMRVc1xO9GSLfaMyOntHiXb/aUXMkx3Q+1Zv5M4k/YNFTQYnO3kwBfqf
+S+zXEujFz8L4TgoSRxSrPnr5ZeWadobVpW4shJtx+GHlI9bpEhQU1orDC4u9ItI0xxeLHQtqVU5
V7rSteTq3lSDJ/yEt0nVH0PfP+b+yqtnLdq0OC+iGWmWChtNIjeT4h6xkwidpsCMDlGRqGiz58Ed
Ejr+r9szt7jiLz5xtpcT3t2KWvuh2+fw/6pfaSBvDWcFv7+41i+CzHawzH0fq1GJRrPiDXsEI8zn
qlD0/xhltnlxiigkbcxit/Nqt2qUQ1LbKxnV2ofMNm1rK5GoRT+6wpceNDN1J/O+/zIhKGtcr4I0
ygqtTRLeiL2N8w+aO1K/JXFcuTNuz/ubHMksRgtRMJRQSszGtn4R4TjYqeq+0dZ0Whdvp/9NPkiM
6w8yTeyRMkWYbqPIA7rmWrbDZko7BE0h7ivHqQ6yZ3XvRCkL9/ZQ3t5QaEBeR+4EAqllpQGC03/k
9VPqxFuNFmvoQ1nR97djrY3n7KjAZ3BErygJXW3Q7jovdRvNdGXf+KvVQQtmeoPJyhzqidSqF/VZ
OLq1ZZ7C3n6vKM3HNomPf/M1/4aZzVnhM2plQ6buc8RWdbiN/YfW9FY+Ztot19Ur7icdwrgBzxOo
0Ww3qTmwbwTRbVdumz7cNZI6/qoQ4wo3Y5eY5xrMzsnXSrgCni8Brx/Af6krr7NpXm78hvkdiYFX
WMZYKLr0tvRNE0bRZsDB9W+G838fOr8eIxEXgZY1pRsgLKFKwwkdm53I4/8YZjZrKCQqldGO0gnt
YBk19/7F7OU7bpOVOAtwkquJm9exLD+s0VE0gnNvq+XWRPr5oDhtgWT2i4V8IAbg+3TwH0NJ6hCt
Mz/eHs3lbf3vaM62WiIiM/cSqFl9mW8NgYab9suTP9fdT+TdVo7JteUxbfuLO3kyykLywxanIDFw
D5A2kjecbn/OYggWP87iKoSt3wqzFyE0J1cBiKD/bUSmsjO70vrq67W18u5ZizK7HNUsk72s8J2T
UtbyRwR6svu4r/qVpHZxagxKm1N3RHvjkd5jt+HnQey7htrsB7Td/Q/uGCg7XazRGhZvlYtIs+8p
elmEUmPqJ4rr2iYasAQyPYCtzXEI2udIce6zeA1luhZzdl6VRgR4EMfpUwLgZIsNLjr92bgtGoPG
O07IxaBSOc53t9eHNm3b2RHFA3nSg6ZCSv1tdo0lI+4JSqx5p0igAbSVegQ9jkYkjzYXaR/WR/xI
StRXVS1DVdIew2MbVvVR5hR4jGuQMJvKKlJ8gmTpQUbxAXdIoOHVsWk6edxFcpN/ROou/yLDb3jI
PaOpdpoX98quRJnmXgZG9EvJRoXqZSepr5YWygnOM4l1bwib5F5BNbPeBtSQ7U3fIBuBO12qBysb
cSHpvxqEaX1f7BIRdxLqbirkcyT7Kv21H6V90T2jynS4PdwLk4xsDOptPM4s6kfTEr8IlEdtmiuD
IcFijE+IMGFJXYmNpPovfeXgeds85ZL4ejvmwuac+kWaDXmD4sRcDM9Dw5PauPB5Bxb5izb5wW2h
tkhrQJ6F7QlvEiEHms1szjkXKG9jEEKmZZ2cqMPVQokxP6TYh1RbY9UyZouWe/vDFrIi8L5w3gHW
8ySfV3jCPAgtOTCzs2YYUo6oaT0cDT33cKJufHOt4by0Ri6jzc4Eoxxyu1JD7Cdyvz2NZq6c9QDD
jDRtqg2rp/90++uW7sGrz5sdCDyZ+myAfON2oXeHwBPyxohbj8b7MijuZYpznWQ/wlvY6an5x6Bm
ysn/jqw+eybkDv5qFkqcJ62w3qPa8djgcwLNaCU9WpnAeftUNQuclKaOnzykuStnGFJCYMC0cdTj
ldFcnD1twsSQXKBVNBvMSKde0SsoZQTViyz90+oYuiFBgz7v7VlTp6GZn6fGv4HmKd/ALrSHqhJu
xitO2npdG6pPPYo0+Tu7xgjni5cDO90GqlX1lJBr2durmtN+VJqx/JngsIBKpdXgSGB5Km7WhtZ2
SKR5HExnVO6M54G3AKKbTpfhSV3XwxOsSble2VkrozVPKRvYXfGIKosbN/FHfbQfU5Vnohl9k7Rk
pYz0+9+6NWCzvLL2LBzJMTJ0w0J/hSy5S039Q67ymkKeNrGbHb5B7xwvedInm6+0W+sILR1blxM2
uwBplfhB0aPPUAGqPxr+mJwwGOl38qTbl+bhsa78euW+WVz4F4tkdt+0mHgNRUHKnmfJu7jLPiBx
WO7YcWsX29LZj1oWfsQQusFXzjLMcfQR4Csc4aaDtIkjbQ8r4Xh7xS+O30WIaS1dXGlwnFDLrfTR
rTCFtof3vYfg8p3qf6zDfmXYlm7Py6+ZfspFqNLSqtYusMeVtPK1x53s4OWpdk6xD9nLReXdJ4Pe
75Us+Yssmg7+v8M4O/vpIasgEe0I7XqMCMba+Yzt2O72OC5/nKP9ZguiQzo/oVpLsrpUsVwnkpGT
L33n3lTS4eRIhQTjyHPwQgev0FiguG5HXlyNHPeTORF39xyHVhh5mwfwyk6Qau/DwPuWy7Yb1vrK
Qlk8VKYkk66PA+ZtttFCBzM+hwb8SbE9FDeNrWF9zZGMpmq3sk5+FyrenCkXoWb7y/Z1VS5TOnOB
KXk4fumdL+GNGCify5HLEsP58JvWy3656eEGfsBQus+3ulTYT1ZcSfmWplsLXg7WAMLmcYfhumid
SjniAlGcR2Gikt7GrXhGskEFiF6oo7+l3OCnh9szs4DpQD4IZaeJrAXBe5679brZZJaZG6eIB7Cu
5w9FFmCkqOwayz+0DobGPpmqmh/lNNiPELoUQ6ysjqUjZGIUIo6rsQjmAA781dFl8pPWbUw6Cpuh
YBnuAz9EdP72xy5tgMtA84ME97RkrO3EHXLno1Gad+hRPMS1vh+04l1r6C9NUf/4byFnBwrC7UZV
D5JAZx1xUt8wU9DhfvWu6DQsJaSw2mitj6aW0aefb0eedvN8hQIGhrWI8ALd+9lmAC4jq82knl7l
zT92kaMjLpoR4Sv/Sag1TpBOK6PwzYusNhOM7G5HXxrqy+iz/WHk0PQHtJVchLKPitych7a6lxzt
HNnmUY+tVyQuvt4OuXTIXIac3UQ6j4/aQVvdbbEP131rYwxfKwwNbkeZJuzNsKK+j44YcGtnfsao
GNQ2FZKJbjSY1UZU4w8zas9N6bzv2uZrOaypli1sDiihdLKBFsEknldMoa3AH1D61rWHMtiaIBqP
HZXN0+2vWo4CxENRDNR25kWcEF5tKRmkC4Xq9HgainutNVdy8aXnBk0v1BxQ2nZQWJiBVZD5Tckh
MB9Iy+KpG6x3ylCcHQjeKkQ1+viPLV6ZiWK+YDjz/fb3LdwMV6HV63vd7uOKmpE3uJivJl8qPW6G
rRKWCsY8djiIo1CUdg0XtrAFoIGgiw1+E/2POXqld6K+smqec2hyt7uiiaOtSErssMpW3vld/COJ
+4mcR2Xk9scuTaYFUdQGLwp2fj7OyBiltW2T7+KHs7NweW1xUL8dYmk8KS+AqGIHaFhhXY9nyD0b
2lEg4e3zLgI+4pXva/wQy/jL7TgLe9pCb4SLCQLlxAW4jqM3dI7AVVSu5LQZHM0kz6qdn6S52GbC
wdnhdriFkbsKN7sgtMT2c4Ek2clu8ak0rDOiByt30ML5cRViNnKqUJrMiNTwHIgMPet2h6HGgcIv
hLd+33TeyuNnLdy0SC8S2qJPIq/3yJ2FUHd5j19IswkM7IfUvbL2Ml24cfg0Z0IVgSA25rilolWG
IY6yBAqK/9vRIzqMJsxaq6ptrF9L7WDEwXgX9CzNhFH4dHvylt55bDNWCjZwyEjOy0NJUKeJUeIv
HsiYi41GZn+Kcjza9YAWQtYN9WaEXLkZ4CmCFguwTNLDHnddpM9Xbr/FZfvvL5kLzCFNgBenkmhu
p1iPuta8c2Lcx4Ef3v7itTCzAxW8X6CICg5uXuBeEJTpoxEX7thHf7MtSCLATQNbeCNlNIZhnuj0
wN3G1s4B1h6NUqzU9xc/ZcIWQyUGDDoHMgppGLK8dQZXGod7oeAd3UY7Lx9Xdt/CmczPB87IY4s4
cxq/YjZCy7IeiefsAaHyjQTvQtTGxhnPDkYsPZLpfz5FJPiooiEEKlMFv95/YZ8LP61y5B/VDC82
itLmeCi9tVbk0t2KIxk1chJoDSTVLNuLG0yXfMORXDnAPU2Nm3KvpLg4W11WPcGVRtoSxXJ9F4RZ
Tp/QzsdTZ3Xyr9tfu/SauPoZ0wF7cdwI1e6R1aeEIxpsJYeiK7/qcpIevWbUPhZpCy2DRfAda3Me
aDjF3Gk5ug0ROjab3F5VQFq4pbijKIabqP8CPZkW3cWvcfook8xysnduknFjOU37Hup0tisc8imB
sffKZC/OwmXA2f0hoREiIUo9npKh6Y5Vk2MD1ONIHewzvLphqSs9CalUhwHVaj3RsIjDY5DSHF6B
Kzf00sGPtLjpqOrvTGC2IOSWv1hVBHW3ENB6zMLPvxhmlP5E3PO90YhtoqMWf3v6lzbxZczZ7DdZ
5nWGNUAdbkP843wcKNL0qxxAErwdaHFiSWyAl4B8Rv7oemJVbv7Ay1r6dKYZdGgBYIutSQJ+b5uY
OroASWStbbHFjzMnGhMpDwn57LC1WkzhB6WX3L6LtYfON7HqNcP2Q2hYawKAa6HU689TGrtqc59G
uBcO+qa1QVwmLeaRttxIa8tk+tmz9wxPmX8/azaUsEfKzHCC5Nxi8Z5jPsbu3fAWbjCcMDDrlDqY
9Hs5jsoYptNgfCw8MwYtWaLA5gfah6TXah+CQFqcpUKz+3sHk470mMqqh5+c0LDagj380mIr9qmp
lfyHUThVxzGQ1w9xYxjfU6eXjnI1hM8pTCpc8SqY+ViD99rJAAHDiTG23c8UJSWs0TzT5PTSm8xV
MGSJNqXWe7+wu0DeoikHY1+mVvyrDU1YUnmTBZshCdVhZ/EzUCu1K+fMNTOmd5k39BxA+uCXu9GJ
1Kckz8UnC3mHV6UP6DhKtSQ+IoAW1Ju8cbrPbW8l38sRObIqj206kpqVKBucIIZvAW4c/WYwKqk8
mLGX1lsBOCnYWLw5vhbSqLhl7w+vWLLRccSD+DiETvxD9QIMraIkacyNZ9Rryp9L99zlrM52otUF
ftfrfnAGbSrru6QabZTeNLBZW8MWw33SUz/bwIiOXGnolfywsj8XVxVXHpBv9EHeqIMwiGhT44nr
xnok9Yc8RlkF8m5gaJsAOz6Xdzz2OVlfaw9VluFlSC9XdNseU61PdqNJDzoS2q9aF8mfoswP7R16
xo2xc/RUmNTBVDhOYzR43sZs/PEBN2t8S1EpEWczrJRT7ljSx7HvxYvdZcmTQ7e42VhClg+D1HAH
eTnZGRL3FS6XdhEPNOArr/hWJHnwFAlLwf/OLtNqY2eN92QpjbXza9SwtlZeUUDx5egFgM/QbGXY
wdE+9R3lRyPG6lELHPOrmkWysUUCVQF2lKlSuunyRvkVdIr+7HdGbGKUa8ZiOxn/tvuq0spwWyCH
fz/qdmxvMr3RHxOjlSkqKinWMI5KczxhkNYO0YUbAsYNZC4VJtzk/3t9yrAM2qqlZHqm7TFseqNK
9pntdG6KwPs7gybng5yn1crKWDjaLoP+vkEvrmRPMwQXEGzNfCzZrc2jJqE+qDZxt3JFLDxGIKjT
jwBgOwnXz95ZIXbv8YDxqts5uIF6QfK5i8SnrGTVSfpB1fzX/0Paey1JinNdw1dEBMJzCmnLdVV1
VbsTRVshkABJ+Kv/Fs8f8XYWRSTR8x+N6YnZKSGztfcyjLUMDLUtadWVu+lN4MWLC/1GJZyYj+c4
quWXui1N6nsFxLnHOvtYePBTvr7X1mbUQbsfDBtUpOAz/vYzjk3nRKw0gJeDmXMsBwjfDBBxOk9W
/x9qUUguocQJbZzZ/XoRqvXKyTYltDiLrD4r2j36Mj9eH818MC2uIzhQzJpCqJu8V03VQQ/vSC3h
nBBBDiKwRZWomH26HsRdOR7ndHDGIAJPgNra2zlTsKSwiBEozfTW9AiZhCZLYV+aF4nIYGnkZSZ/
6vAK+VRV2if3XPHCfWpsrbvnwfaQS0JyPf9D1eC2O90Apb7rwmnsT2PPgy+4y3r4Og7RiOuJMmfP
xrgfU8/uoBBTN3T8Xristj90sovrjwEsMO7RHGj5Pq4C+Qd0i/iscuE5D7YzZB6EIwzKtvnUEgJB
rDL7IuHFS6G5N7EfhRnF59xhrcAVHDC+dY6v5fOXE7V8yHIazrm5Z5+ZT3GrFwresQm8tbGKO4uJ
CUW0xtdwMXXa6mCcCWpHjClYytZQ9XxACmrFOygT6I3X4trmxvsecqE2jGbeid6aYWSFyFtUuGD2
5blPhfQPrQMHFpge8cch9AF42VD1WFuYHiEwtYGMDLjfi/NERnlYRgUrbvpG6cQviu5pzN3m+frK
XDuTgeQgIGFjVt91Uxs85nGU2eXZZC/G+cXQjisUHOSq1BmbjRNyxWTKhfDl32DzSXZxFke+Y0EP
IPfPVQ/X9TvqxxoqG1UBIzPX6iXdS9RxzO/aJ8URsk79U8sci6oE/mHy5LjNJD/LjNvVaYCZypA0
jp5erk/H2lnqQd8PbBIQAN+VGZvOB+ordBjo9Va9r0RZ7ZnnmtnKedoTtSlXsHaW4p0+I31Qt32n
Ol+ZMIQsNqRbxt58Dbz6i66wn1n36/qw1tYSCrMBtNnBhEPbfDHx0PKiDYfdTl0AlgkTGu9IrWCr
G7o2GMhWoBcK5QUkVItDjgMhb5dTDFHJMnNSpK2w4TZKPFZgmG1QF1aWLUoPuGpn6WRYaC03h4GV
XkECfsOrrlfQpqrNTUBM1h+HXJU6aZsg+Ex5tmXksDKRsYe2MhRcIf35TmA1yHk4qQneJPBU/hCL
qMd7uu03LtjVICCWe8CBwa9r2UjjpqZR7Gj37ObWqQ2HYwUhlX9dEB7BMTbDyNFSekd0VZLiwVeW
HI711V6E3p5QunGyvF8NkOyBmgmoTOjAvBNAaibuAkSL7ljV84OR1pFU9YF6cqPA9n6yIB0BNX54
w6Ghi6f526UtJDSORtZqTFYwwaJ8GG29g8liuJW9rgaCEBHEOH1ntuJ6GygSUsb16Bc3KpbBmWri
fNTANu2vf5j3CxvDuYjivI3iAQoq49xYJycqTko/uCCv+sV9LwHirA///2ItXuIjjO15nQN8DAG6
Gi9qGNJ3/AEg558mdL51lru7Hu/94TqPbe4Pz0Y47/RtHJ0TCJrC0JHqCL7F4Su3xE3p+NkXODfK
n9eDrX+uv8EWE1kaBysh6imCTXDzcG5MNG4kBSvJytsBLSYQAuaSFa4LpX0yaAFaCXVBMq7oEAc7
r8zBBxd1PX6ksDTKElW72sW39HWWNI0zoZTkwddR+lGwWWPBInmb0779XfPcXNyzkx7szB5CgPFE
nFL3ye0/QRMR0oW7WaPm+jy/z2wRC1oULoT6UaRansSFwn6Z8EQ997ILvhYW6kdR35ZP+Nd0D2J7
mLado88Vc+xP1yO/z8neRl68e8Cq5VNZQcNYF+UDStQP6LWg40myH6XUYWI8chzH6LY09p/rgde/
+8WYF2cOtCu9ohqLCooL8R9fDj9oaD6IYLyFzlvK8+Le76JjW9Unuy6+TnF30hBjuf4bVk7Xy2kP
FnDWsinb3AmgyOeT/DEK1UEM2TPkKF6uh1ndRX9Hujz0YLdoeb6Ary6HlCbEtyHxyVMCWr21ce5t
zWmw2K/cI1nQQwcI7hX9V8d0XWJ8bzfBgdizPyNvhZDpZyYApczlk6+sneq37sTllM6HEhq/wApA
+RjAh/nPL3ZNL6dRw428OZd+q+8tWpd7NPj8D3Rqxen6tG6Fmk/Ki1C51UHopOvzMwEvwuvivQlh
oDuOG4tkeZn8b0RQBYzhuoLkbylLYE12FlELfGbXSeEdzPp4DwWGGwX52qjiGwDr5en+v2BzKobX
LYRxlo0nzUVrh8JmuBrvMhEltP0mwjoxldzIXdYCIVvGcxoK6RAKWOw+SKlUyI6q6MTs8TRQmIr2
7fPEgyNhzcYJv/adLkItxY1zyGLQ0qtzCHl6qbZeI0jNimbaGNBqFKR6+Eagq7zzF25HB2PKS/uE
y+IuA40ihT7BF1juHv591YXAiUOZ1CVQqVhmMHbjw3sGsPQmbwyqRWNzU0QFQLQ08F+vh1pbeZeh
FrvZo0AyRSWPTyCEn7uKpkSaL03RfqhzfnDaZuOtvLokLka2uIgnGIz7bgWnxT7MU995zAANLs1P
aTaSzdUvhbc4FJEgNI9E8O2+JUpxP69BA8l7Pj0bY/JbOF17u0YH2e76DC7v1Xk7QYn4/0LNQ744
IqqcZrBEYN6Z2fcgy+6G6dkHWaL20Z9BAbOKtkQqnHmSLrOG/y8iDA/mdxUu88XyEJ0t3SZg1nkw
3P/tjEPzm2ZQ69gHk92qfTWNwxcoQw+Pk/C7j6GlC29XTE41HEbNPMhwe0TK1IYm/YtoY0gxKkIY
2fdB5ZGEO1R+nMqoA+NrtMYoyVlHjnldl3+KrIrR1an1llzK+qr4O6DFIoyDYYJTdp7deDW30sFC
9YhlbXMbw4Q8Be5mK58m69/sb8DFMuSVzkGV4GhGZ+V0P9BRh3BItcG8alkNozBtqPfNNo3CTVpM
QiUchnaHiKO8lUD50TtYto7zE8wIuzCpB8xqoi27QRN9dCqTyKpvckgAEe/r9bW2vOWXX37+84u1
lltWaSZ3gHk9d6cED2h1UgyS0v8eJfLBVZkBM++tPKKhKIOWUetUC89Oisiu962fTRv4o7Utehll
sW/A0A9BQyD01Ecue6Kq6VKmoHjqUL2FzFybNtRT4Dtn+6jQLS+iWHsQP4f55Rld+PwwDAZtSihX
bahcrEaZYU7ITAC4WLaBFYexH0q75XmMmkMUl/dNHB6uf5m1dRuhwA7tbVgtosj59vvDya4wU5Tx
mwkw8we3hJdRUsVW6BxmG5tfaHPXd04sxP04KYjCXw+++sEugs8/7mLx9RyQ4gnGHdAInXnsP/3p
qMmWb9HaUXA5wkXOwKjTTlzVqOvJMDhOouMn261+SkndXV551e/rY1r/ZmiRQE0MKslLM8ms7wH8
RnHg3DdjYoS50arfSLfWbthZIslGBWcGey5G1GooyNMxj0+9rlXSZs4nbuvPFh+eqlafuvJf8VLz
GXERb1mY94LMsiuUviCcnyVysJM++NEBdXd94lYXAzoxBPkBlLuWjo5O34Wh107i3DXdJz6EX0uI
9AOvb2/EWf1AF3HmP79cdMJFr72H5nwnzBEqMjwJA/nl+ljegXPmKcMoZh9rFMGAjHkbJCYN8UYW
ZzdFCRF+R+QmqaHcsBfQH7zphw5O3drqvtX20N/rqQpSittjYyWuTejc10K+DKgzaKVvfwOk3eAh
YHfiDBZpioZNCqk5pLD/YT4BOvPAtkEIKFPMP+NiPjPeWJbWaALixfS5yQcITJvP16dzZQu/CbE4
2IPC9yD0WcanQEUSFouM3U1S0PsBWhgvjiv/VdIDXw9ogtnKFF8OEJzFoaimqeknHYJnlmcPcWw9
sGp66oGI2ViK8ypYpF1v4izOPyPyKuuiSAPmE2Rp38c/oeP5I+wzgO+d/gaQlyNl5Us0OhvJ7MoJ
Mncj0fYEUh3PqUW+hw851BmUxk/xdCvCKWGws7JOY3jDmo2zamW3QR4PjazZihigxEUkkAn8RloQ
GipV9BD0A/B34nh9daxcYQgBfz0CZjTYpYuvVXW+pWrL9GfuAlOkn4dGJ5C6yiRLguzOr4uNKxOl
rbXvdhFx8d0KRwhGyZDf9Dzrs6OpG2NS02TwVjFZe+N7WZjtrY75dSJIpKedIjTiN8xM+qWrtbGP
Q826B5lNrkxzrszvsW7qOplEDEHzUODXl8AV/8zGtt31tBdW2oFY+mKxDGrF7Wgjn8yANdhptxiy
QyXLKEoDPoA8btEKbi/cBEWG/m8pX6qx4yoJ/LJpEk1gKKVM7jRJHTRNn0B4WvlpBk2hAn4wPoXo
fYgS9E55AE9lga+/WlZDsmSKAt4fx3KEhX2tAbJMPKn6KhnjUau0rMMKTF63DNMKtiZfee2PeISV
RpaJllaVpV4VVSx1ha9BA6KoR8hctT8Zwasq8SygwR4UKyuU8EPm3XfgMUVpiQ4D3AziGvrQxoS+
eSx7mRc7Vde9nwCA2pDboVQceItWwHYyB0EuiUI8XRKD/tZjzqYwOpJ8ph9W1WyA2dmd+9OFAANN
q0aAs9NJ130y2SgY3Hyq8LO2Sg4YV6bzl/nfHoGZ8UlaZhV5Be6m8BPlOMOLaWX+LcvziaSeqkWb
qphk35QP93jMDeWAnzOvoHMubYc7SwainCFewdfSt/BENb0uf02Q/L7HDQL7DtgZ3XbwwrzJVBS8
cAUC+U4YEj0MympfuS4HP5Hch1LFUAbAyFUsmkJUGiMgCjTpmiEJhIhOXkx9kYa9Rb6XLQile1Y1
Ad8X8Ui++LTH8RIGXVQcB0hZJRN4preo1yuVKnzSYlcxVd8gd68JGuuZ/buyWvMp0BoSbkFfwXuh
dqgfJJHM46cA4rz5TVRATQaWOXrMTp1DyiKtzUTwfjGmTvzJZSJRhcfEcTA5KFKolosvkd1NHxo/
bL856Kc8e0Tktw1C302up38XMFf7ADxvxRJgiDpcWfD/vM20HXaATlcw9mliN79D5y14bGMz9Lsw
zDw4CveiuXXiaeSpBT+ZRzb65dc4ZMO9Bo2JY6V65nXCcR6mA4XoyZ4Oxi4PJqh9kRChZZ7YWgXf
LWiC3NrORMvEI5bxkiyPKIM2eeGCdhWBiViiuvKpraeyT5tG9tNOwy4CUku2Gr80ecHtZ5o58PvV
xg/OIi57fepRmvupNJx5EtW3+o9xZFns8qwoy9tKVX2elB3WdjKMefiLw/DwmQvbEUcfSKUiZVAy
LlJiUValNkQM8ICOa0JOEbiLzk6QkvwaBJ1ehYqB5hrDArp0tZNHf0hWyOwOTi3ZjzHk2Us/6BCI
qxpXQRpz5XytJcV5U4fKeww7QEGe3TzOQhix1iTYg5YMDEmtdSgTGjPo3F4/sFev84vjc5kcNT4b
8Kkg58t0wtoPgwCbp/noQz/keqDVmwFFDWd+3uAWWlw+Va8JRhu4p8iu7tFwf5ABbohQJ07+DRbG
z24hN+6i1ZvhIqLzNhkicPqsDNPwEinLx2jIQYH8T/kWcArwKQZT712xtYGeVDD59XRmTrHH1gdx
dquasZYeIDGJ4TwApVQ4OLwdRQ9PGVFmEZpbSIHsb4p97MdHFTzn2UaKuvaBQCAAV2HWc3lX/owj
HoUEr/MzDmtr7xbkwdPRK2pUD35hCchmm+Yg4nDLw30lMyZIfeaSPzxZ302hoBbAQhWFQ7HBHdjR
fSPOPY6w66uPrISZdWbDWT4GSsTLoqs7TAN+Bbx4LFzQqIkxS5l9KRte3ZmRFABdud1k39SjgkGy
I2uURqjpKD11yM2AZQ7KVh9VCf2wtOM+McCAOri8wGWonaeN3zpvhUUq+ua3Lhau58uawz/WP3Xs
ObPzve2M6ahfpQZHGlcyNLHRgt/ZfZa43ZYP48oqgJQ94LtzKWVm+b1dbiDTtkPTmvYsnDu7QIpY
KZCUu2TonyHp6Y1bPJl35C3k928CLvK3ASr2TY+D9xw4FdoVFRKng+yhsdOwrklxKrN0CDp9xz3P
O8REhHsWjuo4IMV6vj7va0vkcuiLo9AHRgZoFpTfHAonpSIyuJ1rGg9pZcXe1oK8HixcymWawvIU
FJEH6Pf9NLY69nF7JJm/vz6kldMdk4tsn+Bzola+eHYCd89g2+6FJ6d8HK2PZeDuB5elst/AAa3H
gVISgDLzQbg43D3IO+LKLaGIXT9BQi1pxhY4+L2pPl8fz8qRjmqEPze5gfyA3sPb1ZmbGqpiMLk/
l6aKjjF3ccPHsQm22qBrXweCPiGY3vgLeIVv43Q264cyjqbzYNkiMTZeFCE7WTC1uD6e1dXvQPId
CiBonr6rTYCUnxndT8MpCh9E/TWSbeo/HH+GtZNoaG4XAWy25FbQuSm9PF/wlWAsA6owvEnn0V9U
CSqPl7npBLxlGPVh3ehPXRI33b0Bn/mgx+BWZMR8yWKnPhFtITPTYJhtrExUTDd+xbymLn6FUmFv
jKLxqSusKT65E3PjPTC/U9qG3ZAqu0de3EJ5YjeigfmTWqH40rbVtIt8Xt1E3CLpWLbZHwtOKBDA
DO27XE2AukVxvrNENf1us9LdKa7rY5ZxIP5dNsA0FGjpb8EQFCVq/y2/BSzAOUGXsdhRoiSSvyBq
U5ioNa9+y5sbK+T00HW5c5hKNj5FgNV9AO7I+R1UU3YCY6EFbD7gqUurAkpaHfsNqzS9ixyg4XCs
QfQEdNmvsNoEWBJN25NghVUmfUHDowcG2A8XPZv7oHSR9hvRw0kEiyXRRWV+jsA33dKAsFNclbVI
YAkAoYzYhvQN9IEZys8luXMt1u3yqeRwPHE/52SM7mIDMKdf6Sgdog75+wz2TBpLx0kZtj2eqaXv
3cHrVx8j9Dj1LoPf96Ho9HgvjdvjH8fwCD2aAG8Iy37WORwBEjcr8IS1q87+AlKbsxs1Byk7a6oC
OAALMHtt4NPWVeFwR0URfuDCs/CI1aQ8FV5Q35huig6AuSGF96aguMts3GEm180znl3iru4LAiZG
xXctMvyHVhAHL7mm1/fFwPJdG5fI2Cn55ndes8fOfPK4Vx5R7GrRR9fsI0WL5zwwYBXsabRecDVU
xyosMpqEhTftRxaIVDZhKRMxdPjhPWuquzGwJHY1/57RIjhKOuRHN4MPZ41jeR+qwEsLS0/7AtyO
80gDvHsoHEqa3rHAFs0bOGPm7gMDneeToiCU8rFpXg2Fdbcl7N8T8xq8dngmiwPpy9HdwxCnCncN
3qhA/wC/AV5AORwaSJDuJ4vuIQcDRriLFCuIJ90/2tToD043jM+ubXVBwpqI37V+Le+LQCk0BLz/
ddD8bux2FS37L4Gk+ZcQWkzfnc4S32lmxDkrg+iPx0GmuweXPz47SgWfiMVRhQmCHMeLKKyRparO
gyENu758CJsClYgST45THHRyR4FXz05BXIkPlQgjK1WtL777U2sfxDhU9+jomOmYh6hJg4aMNDVB
hpe5aeYP3kPgjln8Wg1FdY+ulg9BXmvWWtw4QdcSFicApRfQJx/LZXH1aI/B42XGzg8EecuxjmL2
i0+m+AJCsax2jmpdmjJTWZ+1gwflEbwbq0VxY2J8D54khxAERDzAyLLtX4Xs0aHqJPtpHOCIUo6D
4xNWl/h6/Uev/2b0q1ALjmJ3eS0TDhJ6brX5TTMq9EJYA7oZnD2HnaipAw2Tmvm/TFsXiXFQd7ke
e60cDqHIv8Hnc/ni3O2GqvTswgrOfU+R1+XMTjyNvZhUmaiPLo2qHW9mzzGh87tOEbUjdFObbfXw
h+s9SMuwOMcl+/ZHhHkYFmIK3LPwUOOB8U+VYcPZ1C43HoErzyeM9m+gZS7tGIgYe5l9NhpiZfsq
ivWtDa1m69G2O8Ju6BTidm+4XWx849UUAgML0RcMAqhYvB2h41e1LTzPOqN17NyOfiVv2gn1GENy
svG42QgVz/f9xRdlpCrchmXTmUJxf3xxqZNl9/kg/R8NTJk3+qDz736XPEDSFU0A3wZiefFA0A4U
bDOvhM7oYOXmlOUqoh+gPOigV6nRx8uBi8Apl9ilA4PaogF1KUHdcPA3yuare+jidyzeDW4Venmo
0MYufdv6UMehPPSGkD1pHPaYSZjAzJT3M4RanMP1HbS6dudt6yF1mi2Y3k43aAJIqUcZnef38h7k
CfvZ9rN/hdbP7yIkhmg3o3UJpstinllOAZKINAzdCWwiaWJJlXqz3+BvQbOtZGzeBcuPehlsOZlQ
pFH1aEXnvGVFGg1NvOe9BIhydN0d0GvdcezDMlGRTVFuK6FjCHSl11b7SIZ8AznwPwfodz8GPVvg
1iEKAL+lt/MrkFrJQrryph7kdzAzkN6BgAtCcePX+HtKgOi9bUq3btLawn5OoIvE2G3Isvwh74X8
IXPhvA5IdMxBTG2hsBZD2H1ZLovddOyt2E/cATqJiR0b+bHzPfPIqqK3d2ocw+9SQT1Hw1HlpEbC
s72jpX6BWHDQ7QtGzE+CouwTtGej//CG8mbQCtrIAby9Fm8bX8eVO9qmOIdjk/rTQXSfisxLnOr8
78v3Ms7i/J8GVdgkm9WYpIOsy90zoTYOJOKtPQgvgyz2iAEtVgR9i57rGKtbwl3FdlAbHL/xbCyQ
rlt+9sgsM/q7mrXQ4dAluiu67uWzELE5U9g5PPnwOBfpKAVETWVs4zGGE/xJjb5/F012/91w8LsT
2yrtGgV+O3oUUuCxTqLwrkG16lNU5bze8aIDp0/aBtBvq4heRt42z7Ct7SC0O45nUUvhJcoba+jV
ZEX3u6eieo6mKL6hVi4OnV27cBaBlVuH/yojn6RhqBwZayp+4CyUf4gty1unlsB2AqlWhyma8s2p
jfF/SOBob9+C3wzF/NEOR4CyBuj0+2PcHNC0CNTO70LV7QVze5ynLamjlKOFTHZS+dAJtbxIldDs
kAPg47pgMcr4bX5bwT2d72VXZ3jO4Kb/YpjVeQmUVPwvVeRaR8eGOcAORvcQ24gAgvjEonHkidvU
6o6j4zPgv8UVmODRbn0EQBzSQJXR9sdIU1R7dFHYHAX3Uf1oZAs8g2Hxsyyd8nesefS718bzUsZ1
nDJIGpF9PLLI2kHGS8u0I23VpYRa4wOEAdwPDIXLe62jDpJHoplp25byy5PG3oQeXkG7KHWnSUJo
vYsCdMaKmZMN2eMGdgNuBB/1oaDc4EYZ++g4VRX7QMAAA6A8ppgZURK3TlAdq//0fdN/75COPg25
l93GQRE8NUzQlxzg/m8QJ4mPsu2ol0Yg/+OxAdeOLCkFsX9HY6f1vuxp+yseGP3aRrF3T+3JvtM2
qc6hloQcvHqqxlteW/2rZj1WWiRocAOWXBzA5h2GApkMUKBXgxLZAUfo6O9tYKbBgBk8dKoJbV0Q
OjWxKnSIqowlJdPdx27qynJjd6/lAsiDPVwZKI8AWvH28Kzg+BM3VQl9WZiQj2xEX6HfSRgAXD9E
1tKqizBLOjeesoAz2PAyCrLAHFhl8+81SIUH8N7DXWFLlbi5TTaE5DbG9r9iykWeY5pysiYJuHZd
3/sNS1vrU8GajdvdWbsLL4e2yBg5tFKbmih6nqCK/FFTwlD9GVv/dXApHkd0sAZonPQ+c3bTwHBd
AitQsV3c+RJHDCPRD0z99AKLCfbHixi9BzPc+tDymnQpVZ0t9jAqLcYDk37VRYmf1fYnqlmxr4jl
iY2bfWvKlpcKEVk74R15blEjs0eyA0Ur4WrYCLO+HFwY7xHYLuE59nbVZY0dNVIP6syGetfb35v4
CP/nXZNBECTY4lysBoO4DzhtQJ6/E5WFNNtgKduyTnrypx0Oz3xf5V7zyeVtvQtdBq6Rq/7Vr3RO
xwDQwINtRhy/Yxzi/KQRswILsHrpnBQKMfucKGcXQB9md31vreWXfoBHA8gPs6btIvOzayQAFqS3
ziDs3KmpPrb9dLweYnVZXIRY5Ht910JJn7TYvt0gHtvKr9LBs/qjF7fFxtJYHQ0g2i4+FEBYy2wu
a/pwRGbDzw3vDk7pPaEJuJExrj0FAHiamztgMkXLCcN3F95ko22fK2K1ifIVP8M1+4fMKkgBAyh+
mDKZnaq+dX5en8fVpQj5WohvARb6DhTaOSa3YS9Lzzl3w/3Qc51KTzYPJSqaacuAsh6l/a+uPPNS
xPsdS2T2Jngn8DrEI9rlo4pOfduVycjrMo04GsYxd9TGUlxbJ1jstmvP5NR3HrC2h1yxZRD55qLP
xK73J/O97HThJtTu9Ja48mppAii5mfkdQ6Z6CaaswPuZWqD5b2it8mnHB3sCqbjGFZy2eZ+ZncTT
E9pmkLJhZwvinncNRZFnr3IpNqgMayOPIYEAYQ083t+daIE3qFp2E+iBqEk+qtKZHgHqhEAQzHT+
w5WNzQGi8fycfcczHmRMVI8y3dn1jLmFX6q4QV/ZpEqO9Zfr63UlLXfBZ5h5wCGM5ZeFJ+D+gWMe
ZHE24DD0zYGz4bnMs8TPrY0TZmVPvok0HwsXd3WofZPlBezg4Db3BEjUyaNwdg9R3k+cLt+Fov/W
u+Hp+vBWzpo3QeePehHU7aKBdAwvUhvmMB+aqKGfaAn+3/UoK5v+TZR5ki+iZLS3CuNP4Ulkr1X3
I3TiFEyGne7GXR++XI+19cHm33IRyw5pJnnmRGiPFCkXITQ4BjzDTUJ5/O8pHWpxXgD+09waWhZS
A5uDLFx2DLy0OksLiGIlDqX1HueLvSvr6XsJ58+Nh+LKLnsTc5FriWyqAxO2wQnY84cRUtU6mw7G
3uLErS5GSAVAYhyN9XcgbQhE18T09XCWEG35OMGJWKFu42dfSZN36mjhFfWhbYF9S6OgLfn++jdc
XS9/oy8h222DOmBFQZTrHPp5ACUnQe03dcrwI5w57qEAs1EZW10zLsE5CgYgilSLnK91tcLtAHvi
KY5fyg7UV8ZesW7u/JBu7PLV7+d6yMRm9Ea4LHLW0A8fQmbcs6ThvrQdGCZYaR1ugZRWv9/fMMsC
Z1hMuoNBcHWe+CuTP4IG4MbhpQtvId+W4kW7sRNWj5GLcItsVpO+F4qXwxmNyQZtQrfZw5Sn3pi7
1WUBKUM0zAla80u2R1QrDvQkCCVu4R8J3uC5fO0Bg58GcH/M9+trcHVI8OqALAigHcGy3l5xCoXe
GNVSVDpOTh4DIxf/uh5i7eEEAWCIK81ZMl6ei3XHDFL9wYqhKEj6Su40B4wlGfOi/hU4hfyMsumk
0ZT06tdubNHxsDwA8iGBxqPoHoTfFnC42kTDXQgvBLbP1FgBV5cTSR8L4Pe9BLUSg5Y4DG+GBOLZ
vsRDhlhBUtSl5ycUdeAf10e0+oVg9+5AxxVlkCX0PJugepTZAJCxUpT7Ac5Wh7Fs3C+j3Q6P1EDu
E5JxcuN2Wd1SF0HnvXBx4ntdj06mxdtzXg3+HUHC8+SaOtKnwG3rbONFvbqxLoItqgVuh2ShgvbQ
mcNIIO3KGADdoHWbGziFNLswJ+SohETGBXXNjdCrp9Tf0NGiaVEBn1DKHICsKjzwXCQDufHJsdH/
qliObBmr8v8+4vJa01nWhjIHPhz2I30x9yi+tcKuP6Hx335UjbWxC1Y/H5hAyOSgfvjuLRKNU2wi
HkdnIRt/L8Bq2Le1DJ6AWQj+y+V5EWqxUlrAFaBnTwUKxr89zCCBLqYvgo31uLpELqIslkhumUKQ
AYh+C3WQLviVoZJIIvSL2+9wjkl6d4PrvXpS4VWPVwfeAe8QMXrwhYTMPDtPom/uZrDszlal3LiT
Vz8TvAhQRZh1d5ZEmaJndmlB/+TEXeu21YAOACB/33Dn5foRMs/OopcBVSWkVaBCgEy1FOmz/KAQ
gJwUN2HEFKqmnnpqLenvPAtuhbE92He90+h9OGbdWcPY7t+fFm/CL1JVqKY2Ux01BdjLA5YgiRI5
OaCXOltrcW03X45zPkovTi0G5Zpc6RA9sbEA3DxWPhgJsqZ4jmsZh5/KKs+j3fW5XVuZlzEX61/x
kIzch60laLPAT4/xq1t6+86NHl27TsN8/IoK7salvbY6AaiDCwhSK5gAz+vqYpxT6465Bxm6M3Rf
E1d5x4yIjQ2wPpV/Qyy+mQdOQQTKsTlDr+wRKI/UleGZFLAGz6qNXbA+Ggh3AwUGXbJlsbiteRNI
ISCjxJ3OTvLG1l99a1SH6x9qbbMRKA3POvLYA8tNUKFs7jhygAlHZN+jC/Qz9PrHSHQ/r4dZu64v
wywmzgjQjYuso1CrD9SJxfZvHnqffOrfwL2yT93GMRsDW12BFwNbrHqQbAIKTqt15o3g6Dz75Vnn
QwG/ezWlQcamPwxJDjBnYfUfbk9C3DgKAXyBqsgi16r7oSlMAaqwT8fmGExRtytyx/pc6XLvj7b3
en1qVxfKRbj5zy+WPd4oUHsOlTqTGpK3Mr5Fv3Tj1bI+l39HtNhZdtHDFc9DVcvHilc76CBqHQB1
95ln/i7aWPirx/IMzYAQIp4uyxa+x2SH2poEaMiA/Q9YoJ2TG5q9Tl6cMP2UmzgBEm/jvl5fn3+D
Ltan8kCDqkXUnihtXj2Q/jxQp0ILggKloCDqQLyhTluXBf/hOQO2//8NdrFK29jJa/Ra3XMsusP/
4+y8duQ2trZ9RQSYwyk7smc0kkYapRNCsmWGYs7k1f8PDfzf7mYTTVgn28AeG6urWGHVWm/Ileyj
HIwbzML1Hf6/EIujOEsiM9YSB50Rc3T2TG11KOYqoVaqW07ya0h+egxozIH1QsR1mdDxyOn1ZIiE
1+F2+5r0mYS0FWzDPAKq3TPFu6ZutJ0z0Qs26hPtfX0ngXo+C3OoD8PQ1DsAQRJ0oxyVsMf7ZHUR
z/ReeMZwVZfPrGgSYaok1NWtIDtpmfyt0uJXc6xeoljy6LmftLLQ949j/rvX73KMq6Dq7eYEehJb
cpBximuZwHletyrNjXK1m/ZKj3wjV2HkX8pOKY+GX07K3mqD4dPQUZB8b4eYM7hCKPnnVERmcqwn
UaKGRnNx2odKg9idMAyhenmd+/bX3C9T7c32Te0HuIxARc1Dxhq+jvMiKdxAOC1620Kk6qkH/rTP
JeF8EplIlbM+IoH0FOs6mt9+Z85GwUYpvpYNShSw6SABfqwKoON71CML+zAUBpw+TkCBpLaZWcXP
SUUt/VhLdfW3HkaqtdN6JOu8SDYS8lJtKN/l06R0x1JkTbC39YnEoIfPa81GL8hEuq3k+/xDVwoN
MfQYMe4tCvHqLkBYg9qqZlBtWhxhMA3VSe8UEhL1Qw2AVDL2otnSYl5dYhqmfcjBOpBmFkHGqs+b
tqgcDKX7IDjnsWz9jgpU0l0pQqH4OAaT/x2Epv9dkUuMvTcWG2vpbq1dRV+cYbEF/btSItMbw0C8
KmR7nqZoEsRZsAaPQ611A/hv/zfSxbkFZ0hFbhd36Sl2zPdqobQ7EPjVR18Zp13cOcjG01pNdnKG
cpcdaL/zZCg3fsQ8nkfjXRxselqMeYzztafEfkuFJvpW5HB3cbF0YkoSj0e8estqNmQvimlody3q
TpFQdCi+Ec1aIIK13v4zTfEfMNYoDSI6iroQjaslvwfw0lhVPaW0LpY+TDLm75p2fjyM1RV6FWIx
Z1aVhIaZq/p5CFOe9sYPKzReFKd+B7LmaI7Ss6FMWxbaq1MH4xwqmTFL0S6mTpkm+KWzymll5XtJ
Lp+roPz2eFiru5tbn8xfRbF16XKldgm9pqCJvSTOXpxxes2ayYZ1q290nlbTBFpYwIJhpN3B31Re
pmWjYxQmEhWGeW7gWGc7wz5V+vICnzZ2ISGEf7KvwTJaCkBwKseL+csxNJBCIevnetL3KJp8Kcvh
bDX+2+M5XB/b/8Isrir8BYMw70rtXA/vI9wzhPaUFz86nbzHyTZ20+r3wulJx5cbT4Vl9W4c/bRo
9DC+VJz8Jwv9uHPWR92lFqa+8cxeXX1XoRYrPrd4ixZ6GXjhkJ2CAjp5UBwez9x6CGfGmzo8QJcf
KMjKXEwdq8+WlPddkJyFv9WMWfs4sMXYQpy68p2Er9FouBREkFlN+XtlBS4UyX1hfe7L7DB2Xx4P
Z+1chVmFAB5yEbPG923OYmcdXgn+UHnCBrmmcsk3r2n7odeiP1jYgLCp38pgKkHb3wbSYm0kCYWZ
hvbDV8i6O07YU1iWG+DNtc9zFWbZoagqGNuxrgkv1mFJoqdb9s0fPPng5mLjjAgV6h3zer96g/FC
Ny1eSAg7KrV1LOVuCFxFt2vw+a018dZV/wBXjuHR/yIuLvvAT227q3SJMrc6uk2uDoe4Nf1dnQr/
+Hg9rG1W+lWzcSWYBnWptQ1RPoFfT89qkAdXjf4Ck7tr/HhjE60pw838xP8LM3/GqzksrVoqplY3
YHxV+7otz6ocHXo5c9UBvpJV7w3nfZpLT2gpPCVT9KSoWAsFr22Z7xtYwEGIJGq8F+rbH4x+1p83
UWQjq1ssUjUqfRGYdGf8zk/2gTSBdZZjc++rgJcfh1rdeP8LtZTStNNgyiwskjxFS3JYxfZznFkz
4+y7EW5hAFY3BVRyxjVv9CWiuSt7x8xk5CDrKH0aigp615ZO93oIhM1tRPXvLU/TWpWaIdAUL54t
himFFJvONWvpDFLzGmpKiMthEHS7ZhrdhzanhPY5ZQTDaGq7Ph1gX7tG4792qMvseqc/Pf5Ka/WJ
65iLe3LEZUJrDTO5IMpGz0LGzDLGlWvnj2oLp6L191YeX9QIJWtRiq19v7pGbPJDNPUY8rLIiSlR
P2JmJHtmH/8KpeF3NqL3BCLfPMS5Lf/B5cm5jHo83GFNXrary05y6P314QVXKBmLFDQwXKQPzS0g
2ur1hksdjoyyCal3cX5KdVN0KSgHr5/eGSMCjtroqg48c/NF6bqND7gVbHF0pl3iiKQRpRe2p3SW
V2+Tt1RG1T1rDtK0VVla2wXgKFDImslGkHpvl2go6ZGMrMl0TuNprF19Cvx8F2pFtOWFtxpIlcH7
EwyqgnYbqEvzQuB9lnpA55HGrLNzZxYbBKOtGPPfr85o7P3gdcd5dCmktLVRj4rRN8UbLt84Cf9d
WMu3Hb3d/xvMYtb6EM5AaTq6l3evffg+732KRl+xTDvKbXcS7Qwwl3ZR3u79yjwoWn7JO2vjUl8j
gMP4oFyAjLhMt2s5o6VRY3FS+56GotPHMMvxc7WSep8DNnynSkn2ZAaJ/jGPpxSFJxyInEka9wYQ
0f3jI2d12jXEqUkAyWSWD8MwANaflLLqRblyzPP4JXOmjSrh2kmKFgG9PVvFCXwJ75um3C/kIgov
VhMem9SIPDPPpcM48JKGqpq7lhEOTy01n42xre1GMiasXQDVzuJ4t0sqD+JWHnTAfGkpXYJRBnvd
TK4Zod9rOod4Ur8+nsu1AxQtN5nWIg1eqlS38doqGSdV6KlXo797sUyeISgTmealjzsJobcqi/uN
1Twv1uVivg652DXok5i1zu3umVzlftc8G1p/yVBH+4N8+jrOYtPgx0MBQ4AgtOvnvi92GA25WKue
H0/g6ge7msDF8RkOKUxpVZs8B+PCWAN+866HXtLav9ToT1II3oiGpvG/+p0yDMYsrd1aZeshRvAu
tIuPtiT9fDyctYV/HWJxnUcDfqx4LCHgAwN0xwvPd7Mpb46lJCnPYdb9aM2Zme+PwcbCX9vU14EX
C7Exez+QcmhYgaRoX5hWMRzhW0nRRvNmK85i9UWaWmLOnpC+W0a/b0ZdPoZ6rR8fT+OdOcGM5dDJ
8ziUUUKAIHi7r/Rw6qxGNztPCkf/1CGe8JtnkFXtymEYHcy5Qs7tEnDGTm2w2j10ti+cD5oWKtUu
lHpLd6epzsONBGbzZy0+b5ZDx0m0LL0AtrMx+K182hFgoCzTtZqECmVLVhO7iBTWbzbCFSagbSSv
gByYseHWeM6n7mT07UYhaS2JBLRNvjOrCeMGdTtbkx3JRTj2waXnNYUWS6i9gPMNDoOcyR+HAsUq
BOKso9wH0HWgIm1JCa2egjNPeBbHUu5wiLGfUNevQXIkQ3yMRty7kp96xC5WtpT7V48L3oeUxDG8
uke36VpeIcQknSVzdPEm3I3hGx7UhxrBr67e6M+vnbS0yhXcM0mR8dG8ndZ+UrBUatCgwWdRO2tW
Lwt0FDv9rdEpBG0c66v5wVW05XvNaYq6cuQ4uiR60HoO1+cZXmJ0VFTkssq4GA5mmLTnVovefCX7
FVrGDC1N+o2tt7bBDWACM2QG/Z0lXqb0Q0dkk8E7q5po+PBESKddOJj6r8dbfHVyr+IsDn6sF+0k
SqXpjDRN8U/X9da3rrPLb1oFPuxxqNX+AqbOiNrAHcFJavEhExFFtc3zEapc8C0sv0+T9ZxO3UnT
mg+t9FYj5ZZFgetIW2UIde0+mA064KrAYTKW+cgQQD21+0Y65xnnw0EzRescxkhNfzVKMUS037K6
3/uh0RmvmiZyccZ4yy6eKlNon/UeiUOnyvUfjsQCPTqWM0j7Al39xJUQjVBOQ4qCxC4tguFjUVn1
p6AYnJA0Z3Tac+zTublQL1VNd1JninSvD/r3Xq+14aDEgXjXVlZnHR7P9dpRYHIM4DYFHB6Sw+2e
UYbKL1Uq9F5oB0+Kkh2CwfzL0hDyTYyNStzaqXcdap77q+dDjMK/VLV4hThyuR+U/lTLzfdQNp9T
PXmPduqzFDjtPg4G7/EQ11buddzFatKSyEgh5JReJDXNzkE/0wkF1FUTTcvHkTYmU10gJ1OryBKn
R0EGIg2dTnuo34Ql/+UjgHMu6AafHodb2/omxyp8O0OfqyC3EyqFBY3ZeEwvA1DKbocvOGqVnRyL
r4/jrE7gVZzF1hdFDUzGavWzYfdnBVq01VQnpAA2hrM6e1dhFkvR52DPQwjB5z4IFSQVBCVvFzRn
V3wOwyEOT1izxFul9a05XCzKxghDVcaax2ssu9rhIfu5tjdLe6tB8CqkDIZTPQ6ptx/KKigR9HLo
n8cwD9p9gUpTchq7tNQ2dvM8Rcu3BikYi4JSKsTuxRTi2axpbZdY58x5M4Lvmn/s/b+6HEWmLWzD
2seC1TdD0/RZiX6xqfxM83srp3qvtvEpqL+kXeYF2gej+/h47a3FodNGZX3uR0DxvJ26sqLraoQ6
KmR9jOvv+FXP1YOsDUi2iI1rZ+18si0gArRYZgu+xVcK8CwzlV7IHjKVn7U0Pid9+wbV60V2psOE
BauS9Dsprc+PR7iyOEA6kbGQ/SIssgwbdbreRsiQebIOabCLmwPE47fHMVZmUQeZQ2ZOFRto7eK1
oZUTgjcBWrKWFr/4jXjtpvo5tbsDmJiN4awcFjeh5uFenfIYM1Fv9gvnXOltsg8TM5nLJsYuj7st
pca1mSPZAw0DhgqJ9sVqz9ByRn0kRZI9G/PzXMTY4ePcfX48d+sDQtyBepQNi3Wx0gHPxmFEJcRD
I8tFf9QdzX9EvsWwXB/L/0VZ0vY54NS+lQvdi9LOcIcGaeRafHk8kpXTgZkyLAAqQBjoWN5+mqgW
OpIInHWSUMqD3JjFKfJr2S1DSdrTpVL/0eUiOD0OujYwVcawk+IOxeTl2ddBj6ttLaJVpfrmYQor
/xmfG+P4OMp8TC8OPnr/MIOoXZG93R0T+hCBJzSDi6pAHkAFLnhCQU5u97ncOIDvqS+Prl9Mf6dW
Ehwex17bXCRQmqWgrwmFc15AVys+c3K/ixqRQMW9OGHmWcWH2vpSBOpGRXJ1Jq/izL/jKg4lgj4c
MynyKPOeEz36C/G/jTrgagh6NvSEsLm4Uwt1sglR/nSENW0jVBHXY/dUYN21KS07nzd3n4vCKvAI
MM53nH3IJT0EZlVcBr+ojpibhnu1HeOTLpn13qlsw40kCa3uxqqOIbLdiN0iJKiqIH1yPKt2To2U
3eOvuPbo4MGBIc3cEmOvL/a534VK2lD38fLIsl3EydLjhGzMOcP64RwiPLqLK1izoYX4icCsfmci
Wr/xgl3bofpMAJ5VYSk+L3YoSpKm38lDeMHXXpulXvL8d41qu37ITFqRWNBq4gmaOafQ49GvBv6X
4M0ekpVlK00J8kFPAB6doVdXDb4aUZTtIkC3064y8dkCqlekI/qKODJsbN217aM70FppMqn3/sRG
h5t9g9yTp0uf8vFDYlpuH7/6zhbZc62rgNgBTRhQGiTLyzp6i9BbPIUgAay4Es47lQrQGz8Jt4Em
qPJ/2qQM3yH1LiNV4Tf5d2EgbrorMsd/MbKyxlmuMFGOt61kqxy0dsMY5owto/qOF/Qi8VCxSpip
39wwg/K1gI2UOuZxqOuN/GatYqGbbDn0mNFFv8vZDF7UzoRS07kVkeImdjk7EaTtUbLxfLP0SLhK
HAVvUo9YUzz0yqkQgQaHKebie7zc1s4ZEJLsN+A/ULEW+YhvIBgF8ze+JNGEcHUbl/qnJkTyYmNT
r60tkmHSK963trFc1rIfJoo/1ZNXtKW6kyzNdQJQxk1S/dDQLXo8qLXPiJ4hxwemysD/FweII3wS
haocvI7PJw31p6zz91yoGxXdlTRVnw3iaARxWt2JrChNYwllJhgUveE/0eIv9t2oNS8iba1Xu26s
l7GSih8BhN+jn6FM/niUazct8kXcQ5gZIX2//HQCZ4dyHFqol8iSpOiuHbTCyM8BBh/n0Yn9fSjV
lBKDQfnyOPLax7yOPC+qq/tPss0RmVkp9sZmriuLz1JXHTVFvPhD+Aefkm9Iix1PBPMOya43rZ2V
mIB4gJVdudf+NiP/hBPFRq68eiQBsbJRvp+lppepQ2kmPOyDsvFkpQjyw1QHreJWjtZ8x6eBEimE
00HZOaYf6ofY7HrzgPN9Fx6K3nQ+KdEQpDsjN6rOC6dp+Pp4ulf2qEFaA8oIFRW6oIvlnGQUnmrT
ERdkcyPDE0Ex8vyhR7clFLuybxDuASFq6Kgq3kHzsfkVZRLg8pJ12QGnKZx43w3Dxhe17jOOmyDq
7eIh8w3jpmxHLx6nczsVZ7jKr61qPk2gbKHkbyE1VrYJKFFamjP/nu7mIiks6jTn/y8iD5lE4weS
c/LO6o3hYo/R5w72w1GUgXNA7ND2/vtnY9GQW9GOAbC1uEyMPDEAbYyth+JG+NrRyQDLaWWvj6Os
fTODCjuaFKBQkNy8nU7yEEWpfFtc0iDU94pUofufCOXdJGMo/t9DgZ5AEp2OBeWGRSgkBXRRIpfv
FV0BNORbbjzjjrBxqq0tdu4JDYCtzEN5mXiRghiBGbE8qt7aY4BzDuUt4MnalOHawDOEtxCuh4sP
U3ZTj+87bwQe/P2pxerzNYnHN8SEpI0sfm2t88jHoxYlVATf5r9fHZS2b6cNDwUTHk43feq6orsE
Rt1+QdTPP3Hc4ZvWiXr/+DOtzCDYHR5AJNAcacvjwjdrrKlSgW6jnr5WurnXzHpjD6/M4HWIf+VJ
r8clah9lwlh4EhqW8RFDwkDszcTXo1M2RfnPxwNauW5uoi2+F0z/PoMHL6Mr1v9D4ANOiE+h7D9b
TbkxsI250xaHE8QaEkxBF1prLQRI0Os2xLEosF/ZCLQ6JtYyRBgHKdPl4ZD0Fo1Nx8GF0GlcBOhc
rfimmQMFgY27el5iiwceNk/AlVUTWQsAULdLsDGnEqhJaHt5mwQnHZ+ffVCa6uBOceX8sp0WcfwB
ddDHn2zl0DV5NKnYcCJ1cbfwlcgR+FPZKaU064BVweQaBoC8Ztw7xYC4f0IWj/b+loHS2qyCXUUr
ZK5zUOK9HSxqV0mUF5V0VntRPJdove/ryP7BzRyQcxrZxk5b2wbX4eZZuNoG9Rg1BhSXydOmGOij
SvqMS0WdbeTOytqqRHGIE8Qx8JJfDgvQhQ8LktJripzzv7ZmUbPva619F4D1qI+RGkio5rTofSL8
63PPmEn1Ikd5hA1OFZkBCoNDgeo0zpsNUMzKCDeuhpVUmGSbpiTHqcFVt5j4ybFRBlIxqtC09Gce
lmc+cLkfDfNDVMg4P/Sv6myc1VQbcde+wHXcxReYJEmX+8JAylO2TyRHRytpTg7OB4+X8/rwMIHh
0iM9XFKJ83qskkCtZa/IjCncNaMdRC5+aYp0GpswifaBTyOmNbWp26lak8puDaxka3Wvbao5Ff7/
v2JeJlfLDcX+3BzDJL9MkdlIO1UalU9WEjofy75CKsGUnH7wYnlEY5OGsPb2eA7WDhLYNlwsbGqL
IsFt9DCn8FAi4nUxZfhmRjAWNFR9cfKBSeyEk7/hm6dvrPy1hT/TnWdCPCS35byDDx1by0rw2J2m
8S0m+m60gi0f7rVTAxCI4vA0Rc9uWVduHOQfal9YZ1t67oIvcm4dKowx/HKrtLy2WtnE1Fjg29Bf
WCRQSjxJWtFi3kX6g2NSvIsbc9+IrTf92jrhTYoDEEBCwi3uS9gvKI1a9njG2fkTtNWPePD9TsPx
mxVNL7naeE63pSCzFpKXPUwI2jbanQwQOjFarGhh60VVNL2X+8r/kfnYbiZ4Hj7ZjnB+JGYW7jXH
l/9gidjgTCjazKITy2WJEqLhJxK9oqqtyoNiJdYlqx17I8rq+OjZ/Gv5Re9r8eWcNMH2uyh0TKKM
ix5+qfNDIcnH0Yf6+62ECPR4r60tFMhtyuwVhRb3soBhqpVQ5akTlxqJ2JeCV9Gu10XrjklqfH4c
amWLUb2gAgQDgXjLUCKNuEwdcEH4qet7HwbXybJlc+MttDKguUZCxwscr6YscSSZmqBvHSjRRROV
/WUys8iV4yb6ICXG+N/n7jrUEg00KekkND+VPLsPrZM8atYeS77+OZjarRfexqisxUZrU45+bYoC
D9LRTtex58Y7NUj/QIn2ZkSLpFTtxyaxoS97uQiy9z0sxI8osKv7Qs+3qGBrqwGhE8D/PIaB5i6y
xS6akgrzUJSFaDXI2DdhH7p/vODWSi2zQPu/GEWE0+/2UlWUYAFj3+sR3KvPQ676fwd45iRuqo80
hyZbmZrnAZpJeA6UTNJcNNuoxcaD1JcI5pT6VyUoDdx8sS/dmuuVW84CFsDTEwQ2pZD5k1/dsUk7
6FnZwYhsNSRHT1pixh+lmMfupET2tFPKWGkPDm6l/ca0rKQYvBOp5c247/vHNXumq8EqpRRIh3cR
9hWaI57TyjzrRf9Z+BhwJeU+tbTj46+xcvfBYZnBj2QV1DIXS3gSelHaFdaCAi3XU9qI6WNdttPO
Vnt9XzdVvFH6XtsyVGZxwUO7isL34iAdu7b2Fa0NvBbDxCb7VsLd8bNv/31Q1EVpdHKyocu7yEbp
2Kh6XNFkFwly4/LkJh2GzemO19zGYbPWq5opwRQOgUVQSliOJ4h63e9L/5yNav6zlaHcu6mDWwNO
A41nmr51ltWgfh8ZoTiWWeM8W22z+e5Z27aoAUPTAAZCOXjxKxzRjuwzRfHwgDiIqXnKdOX74zld
DUGVCQi+jWnLslEwdH1nZV1ReF1gw9+VL6Ok/PdqCchJitnc56A+lk9VRLEirAj4bA7GA2AWqPf+
qngtOt3Povrn8XBW1iGOj9BKgP45ICYX+7zE3AHvGARqU65xM81PwlBeeEBvbK+VWbOpYsGgARfB
S3gRZhoxzEP5PSPl6n+1ffoWONbGElzZwTch5r9fnVhYZyi8pGvn3JEJfQmqBncLDndfx1ue9uYh
S0JpSxpufVhQk7GlAk68TBpKKVULuaxKjzK56Sp1gUIQ8lH//RPRhTNpkc3P+WUaq1ahLuUqjn6m
UZ6S1nonG+U7WS2/Pg6jrhz5c7OT5gKH0n2rHe31Um46hwJxb8a9V5V7pwlwf9em8smJ6n2iCuWL
r0A1fBrLxI3Df/KpgDdS63iYwNxGzVWWrK9iKDXkXHwFo1x9yP3wSbbAQpxkofuqq+LRgrSMpUp7
qyp7addMdakfkxptrK+VnwrMi8wmcSE5qO358QjXVsiskQ+oCY3Huz5VUBm2aJEV8AweplJWuu34
wam++Hy6x4HUtUjgn+dQ3J13iuCVlvplGJXdOW/9V0sRri4Q3QqzI69khpa6zdQdbCt6Yuy7Kfpe
On9L+d+9HJ3KMj9m8V9YikK0jaE3S4cgw9zNH9ymbN7aKHwap69BnRzlMNhYaCurGVTbTMGFYnmv
jZ80vek7jcRJzeFdDNNn7AR/Pp6ZtY7vfLnDsp97THdvTHxSQQtapePJGMW5YYKBotRTwpzyLnDr
0qx3qjLg4Z4N9QUDxurgK1H8tarQ3Xr8S1ZWO/c8DUPIwBigLGtJkpbrg8VyPw9I0uipcozLX1iB
7aZecyWxQa9YOWURuZ0VlhG7pXKyzC76NiuDvOu9zKqeESe+aBh/ln/Cy8NijEXHyKilLi+ObGpa
HLAa2L6Jlr9TKkP+2CpbN8bKExDAN71BrkAkfJcT15hxFkVla51D85UGCVpa7a4of/XVezqhh9jZ
egOufSgk6FFkACgIjXRxp/dSiTlOWE1eKwqoOQVG2xf2Xt+6kQhNOA1WKX0rsNo5PV4gK3vYYXRz
rx4q4J1MTDFO0OxzmudG2j7RRhDHrrLEWYxZucuLYeuGXFsis1EJ7RjKFXf2CU4t2eioD845L774
0FgztUDBqtlILVajgBokO/qX3LxYiOMgWsyHsD0JTK04DHrdnkYumAsKi1sqJGvzhz4RrVqWy9xP
vr2Px6Qcuqis8ZOuvgTpb6X4NiWBS+NsYyOvDQniHX0eCgW4a8zr5+reL8Mgn6pSR7c0HrHt+m30
rwJf3v++GBz4ZKwIGgjWMn9B+hJxxhngq2qt8mFwYDPWkoXGRTP6v4ZYtIfH8dYGRfed/h9XMnng
4v0pWVGhSx36q044Pk+JvIta+Rx10cYaXw3DZmH6cEQlm72dO79rQyQTAfD5deKCnoCsMx149D0e
zArpDe1Vzgq6L2DIgDzdhkHRu+4snEu9GFWsHQZZuy7M93Ic/5UV6edAa8IddrqHomjPRlA+B5L1
EbPefx7/ivv1yI8AxkY7kTLPHaq5E7002KWGKk7sC3dIMbKIAN8EB8yUN6rx66EoxXG/IFOwfHdZ
Hd41dm9GXiywzrA+JGWzs4Mv4ZQeH4/p/vsxJjIM0Dcg3+9eXVLURGaR9aVX1c03RUrfyj7/FoXZ
2+Mw94kBhQDQpAjQAwu4gzWP2mBZcYOZVp2L9NABEN/rvr5FF7bXpg0AD9B6LIbvn1bqKJxRqoL0
UicBAtKBnEvRKYYu9yXOKtJGuYLBSSdtKqmadSP+jqFR2ZYrY+6UwZBs+wBRx+QDUMbhXSwJdA3K
AInQbNDFeyPIsOgOM2FDSMmnYIdMrhhco4Yj74oG36tdpKDCiElk8ckHX/BrsCstOUpS2r3X4Tnp
aBYiAeNKplD3ovezY9r3YbyH6JJouyI2imGvizFRXEhkw1+GXcvfklRqDLd3ZNww+nCKy10YtcZ3
qTOCv0vkiEk3VB9A1ATO+m/kzyoM5JVCLVyHi0d6wXk3tfcKltL4ayRVDS4waXV8y7MKOTEbPHvg
Ju2UfDTahg3cWAoGcrIctppbwU4Ij/EAUHwfpBARd73o+/cSlrLDgTNb8nHW83Ukl2thJTt9HEtA
ybZvCK7V0Z6ODcKJoNTUVH0e+7C3djpEqfqpduCuln2cJ26rN2SvSHSRiDZ48za7Tm764FxjeqZ4
yElKv8KqiAYU4XUD3GJdWr+NQmlxQG+1Ta/ita2A1BrSIDIISQAgt2cMBasowu8NAX5QoYlU7XVs
zU15C2y2tkYBc/ACnvOsO0yu6PqsllGb8MZa7p/CQe9otcWerub9abbG2th498kWqi1UAbBKw1Hs
DgUyORps5SEA1WLMVoCq4cev/NvKSxyoRePaAom8Riq076oW2x+rqajPLM024TwN9c61O7PBSrIB
Ze82Sce7qh+7Bjt7ytt/FXWnla4CKbV3sdsujnGuYZbXxXK271RIjo3O89YdLDGOroaQzVPTVoa2
d5xuimfnBYQJQK+wU7NG7zrXGqM6cgvwnD8roUiOa2fJ/GIxu6c2mFifMXWBb0EBanUXl5n8qbUL
69kMnexC3j9JJzCyVnfkeWDHLj8cOdigtnp2R2DxVoiHatrqZ65ML80Seu+KAcgaGsjtokEvhEdh
ivVvEb/hQ5dPyd4OKcbnO3o29VbytXKMzoZ3IKHm1imKD7fRoigy8Kq1Q6+Qh2dS5136B4w15SbE
POCrZCgcxrKMMzX2yqx2Q+ihVv2PUP6yOSger8y1mTMBJ/GUthVMh+fteBUIIB7ehzZK9HjrHtok
zN1Bo1eI1+0PXdTveeHhwDXUW/DZeYpuURxUF0HN2jo7HVrAYgoltbXZgk0HE8Bwrf5DikaCsEYX
RacybQ6Px7hypPAatuD9zjYld6T4PhTDVGeVdfZxuoPm8FphIYx+bLelqLiyMFgTJGDkJaSyy5pi
XeGJ2QWqcQ56+dkYrBdd+u88PNYFGR4g6zn5WVZG625Ma5AZlRdgFc/raVdrR9r0J6v+UmGy+3ji
1sbDFU6pijoS5kiLr4R1QRComQP/RHfem3X+vqC/8TjE2rehVM8RzAtjrrTcrr/JbJC2LY3Rc9o0
2GGlGRx6B539OHXSjUN4LZQx98SJZ8+69LehIl2OTDv1/bMTdRA9qFwBTi33lly/PR7TyuJGrRrg
yIzbsakx3wZCLrlHJj4Fdmqqv7tcPSfpdKBS9ppE2Mr2/sfH4VbGpVEOk/+V07LvsjozDo0sshsQ
UdqUHZK2858yY1D2WJBuvdFWbk2NlxPzB8YL3ORiZHIZOhEOuPbZqu0dRKEXpbT3aobEa9z9ejyq
tVCsOHSJVPRd8T68nURrEjZu84M5O64H+xKWupfl0rRPTTvcTY6+pXawEm/mLmjgu+AOsHlv4+Fz
PMpjXYFYqzTfSxvuZmChzVEJg3DfS/EWznVlb83oDBjWpDr3z2rZ1GT0sk24R31z8jNxFPF/J8ix
c2WDBgc1F1QWFy93OxWzMc2gepKOoYrI9nprbxTEVvpFtzHU22krg2xIKhpGXt+YGkD2lszBCH+T
3wwk/mP5XMZx8q53MMhMG135QY1GbIEZVvYb1M+5xsMegGG7GGdjYM5kSIrjFQgpnIrEGly4fIDe
Cwyb9bxDRqyAQL1BmpuPi8UVBuKFwhmW9SQ098dJQkWTzOo85oPmyf1oWgUPECNsjq1I+xHh6qRy
XM7wrnYTWTTxO2y++i1HlLVHOaZvKHaybPncSxnkDJtOY0xq04u0ofcPNVqPkLr0oDjls+dcEPij
fvExnOwOlbCHsynkUYNtPAyt24tGs91WdI6ycXUoK6cSdztnOtuX7uhy/9ZthWmoFYmLY9bBWeqz
L75t/RwHYzj7Dkx/G7XBXdVmBY877a3upe65StAwGeg7uXJpGrtUTX8ji1lv/LKtHzZvzKuMRxp7
mRwcaz55+Cnzfsyqn9L47fHhtRVjcU4GuCdpkm/joZrV70YVWWW5PJShtn8cZu3Mup7j+e9XQ6lE
VI+DGuB92U/+e5EINUUrTkdqOUzFvlKsdINFuBZw1hokX+Rlfye6QyuukAJtpBFdy7/DFGi+bxyQ
p+5cNSg3LoC1OaTURMZG2kZZa3EgUy8wk2lEt9l0mik46hHlpYtS9EO0CzPTSjYqqmvnMZVpmuzk
OvfdOTR3hCF3du9ZUnWaHHFMOn8jAVkNwTsFbQOKtih13H6uUG+1UAo7lLl8w/iORNX0vlGdLfmg
tXmjQPD/oyytJ7XICiq56mA1gMTbWVlUPflFZDxrajJsJG9rywHpXmo9vHIQ3F58IsyHe7UPRtvT
x1h+cszcerEb62enxVQPCi30Hi/3tRMXArE803mAjS6PFL8MylBpw+TSGInf73O43logUrfqnKd6
sqTE1eHlvdmVUj8bhjRt0bFXZxaXNyCVFMKpf95+P+yZS1ULUYEarCL8EiqSCnI/Vp57X//6eKSr
K+Uq0mJjgyYSQZuYrSel2UuWp7Rkso3rayvE4ttZSj8rsKKeH0n1XvXBfA/WH4wCUgpdFx4spDmL
9T7YrRC6hKm57YTvAsM+SDwmH0/U2pIgz1ZRJXEoriybSjEKAJZWiPSSyuaMpW3G0zRlH5rm/3H2
ZTuS4ly3T4SEmbkFYsw5s4asurGyJoNtMGCDMU//r+gjHXVFhjLU3111lVoOwN7ewxom9xY24Vva
+/52AYQPojxrc+UVXtr+J+rnCWx4yojPni9iS6DJmolD3QaTqYZcKl7KuluzXb6yDtSYRPT//YEx
FkR+Cn1lZHXn9R+xLSwCzEwOaAnVpkgMLEvbjK+bpoaUNaNw1Gwgv7Ebch93aXM167nwzDFaWSDT
ofOB7ulZWs6oNZAAAzojFurZSv4mGL2pk/xpzABs+/jjXjhvMa4a8M1OpHVop/x93nqMVZoAXt+H
Lh/ybZxPFjK3A6obNOV3Hy914TTEKGzAXz6N7d7BxmACuIaL1G4fz9CBdTJ/BZG73n68yOlInWWM
CPxoboKRjQh9nqeioZm0q29gQOjBGrJwS4OhiU5VuDPDkDZl3OJ/LW3WrtfmQxeOyV8rB3+/yUW2
oeyjrjnOs+42Hu2C3SiH6CacG7VVAxxHmG/CsKgbCeuycLpm1XHpS+LKA38Grxgj4PNdYwLm6iCp
j2s4p7cdgIMc/gIqNYVDenol+br0LYF8AIGQ4HxArv3vhx2Rlk4NG/iBp+SXaOqsoDG5ssalY/AP
RxG7EkCb86RbicW3qaDsgJShSr0qavVmCDhc6T/99z1zEidCJzyFcdl5f8Rkro1hFNkd5xQGdx4J
CKJcnm37Dux25uuonCfog3+86KXtggUxKUI79aQg9PcbnNZ8tNyFqL1n444zDdZH+DyNG1L7/g4D
sbd4CuQtuPUG0mBuePl49UvvFhwyTKlOvMx30JKJEduxZpDHaAzrL5zm9rWDy2PhJ/CbEjP776QM
1I7I+tDRBVb1HYthJDOIoBLmYsgldhnL7731mhLFhf0P5yJYOECqBlP7c1SqhhXb4riCEkXsqkZW
UR8VY2avxMsLGx8WURjMgikGWNT5xl/BmG01quEDBYHmabb5es+mNbkyFL0QxbAKmgpgsACccn4D
9aQdlz6Fjx4P/E9e60YU/HGZNzCC63kF+9Hq4+2QvY+a2IMAMEMEB2DN86NmFFocUQctpjT1btM2
AoYqOEwL30+op9aVVbK5VlNf2IHgGGJm76N0RWfgrKGQ6LintYthN2deF9qUKtKFTX5BdeFKRXBp
X0DCFDKm4NAALX2WQfRq0BqOvtkeRx/OE/CXKrXw+91qAe34+DVe+mygB6P9DSAHjvTp3/9VK3IC
/UkqnX+ARiTsXhbSPIlQuULD1hE7X4Wls9M1LbeLz/evRU/f9l+LEgakzAyd4KMZ9e82haVbJK0E
f65NrpRvlz7ZCbEMZGoI9Pf5LhFWCJuOUDqxGFDJCaDhvgiSn9ny5ePXGPuX9iPw3gHw/jhlyE7+
fia1aHJysQ4P8HWcN8RmYYVymbYF7j72yodUbqYmcFUH4FFfdAb63JIEL0DrqJeQpum4wVmZd1SB
X10YQE62M3NB2bYS47SafjWAKcU6GveLMctTDrTgl3YNbZEsU1LOTtyHzM1FDSQ/burkhx7W9mfn
h/2towYKN7JbDBrbcv4ScPKnh+o5LGPqk8d3HNKiDUe3zRf2Cv9c9ZVZjhKUJOb74MKfvY3HzWAz
8ghrKLPzCP22Dsi0nJ3Zr3UEjsnjbtnGp0QTSUpyo2fdv7nG/70YSY8s6sQDcrlxi4ZUh25HAMzE
GI6vE8tqUYQhnb+OvvcpiD3vJiBc30XwUy9mmJGXswJrXHes22OAqMDonOqNasitIaDz+mCkzkUc
KXOgYI2UxkAGF+0+VcSKxZs8gTc8oKp5XwyADBfgMd1HuTRlsEL3SdeSesUCjvxxsemtYKt5asG1
5UUo4fgpSO32KOR6KOOkcCUiXrqLUM1WRo/6JhxFdB+nM6B+LdtRdCO+ZcFEPhuW+cUqfPK5Z8z7
HYkaCjs9nbYLgx+l7r0Uv2UKuspf/QcVavjOkDYuuJd8BR7gERYDZMcCPhQ56THcJizdemvjPUcq
dwWXfEOZVJVd4FY4USZecjP7YP9CR7mdPKBIodMIaek6vFmwaTiIxwoY36mJNmFqwqJn5nfdhF2F
Qe53mi4wK6nB6Ir0ctsrR58GY6AEaNcIcrF58iSj+esyozqLa5dso3aoP7t5XMvQI+0GsmBDaV1f
b1YvmX4ktIF2lF6+dvGsn5EC5QX19dDiqA3iF1sJ22Y89ysvyIbCwj92R+PGL2I8IQwnmQfChxBl
MxNUKV6/r1f0IOcJvYllpc/G79d4O8aJxjf0sgeioZoNKOdaRl3/K9GJ/GKg/A3yQzg8944EMC1r
fzqVdlXjWoLW10DqEuzg/NZr0/gU1H51nX5euyAt4mn8nAsIcQ4IeNU8hlM5e21fdXNij4s0p+i7
TGU0ELlL6xrzdLB5isAkXz2A8GAhL2wVks74pfFa7C0l5FGAQ3czcvECRFK66weQWsi4wHAeP2ZL
VDNWKoncawP4BxLDNG+w3dLhp425rfom+LNMQ386yPMesEleaSTolfQnAwy/phXP8GC4eb6LJOAl
HLX7vaMgtqfdCsBM3zQlzOl+TWs83seLIjerm++EMvM9FONUNVqdHzpfh6XgfVcsq9eWEJH9ISBT
cVtLvr7MXRhsbWzukTJ8s20WlPEiPjM+wpp8SZJN7py+XaByV9ZaoVppQMMVLMYeBJwXZNIw3Qil
X2ECC6wKcBNHoOjrMo5rXlgV7/M1zrc57es9wsfbnEevNTbmdk6m1yYefojEPogkteUku34T9Brm
nmPUb5Qn32DQ4YEkkT0E9UxKNaqs4tO0wM0zEoUFXSPTfbeZLZurvKbfZxBecdLGYNuzpEbbE8RC
6HUv2xatq1uZqqZAOJ1uatk/SDemRTBQsx9dOmL2p/S+XwkteqmeZjHzrWrbvGja6G4Ku98pMPtQ
iBNrUUOsP2w4Nm9f31G//mLQmH3Ca4XuywS8fWGaKC4EJQhwEc0e2qZfdiFr4/txssmuETi86yKi
by63Y4O6PbvPVMeQV/gmr0YZpVuNdsImXgZ17Kcp3FPX3yndiC3m1OozQuCwgRrg8rB2vd2OnbJF
poEhmjWOWpck/p3Tav3cwYD9Bji15GeU9f4+EmH/IIIp+cHiDsLBoRkf44HLh0W45MnT/rDPZPed
NZ7bCrQU4q2zmr95c66+z8mSbOAbLI5R2JrnUJ8COhO6FE1a34+rxyoUYKYYMrAfm4SIW4Rac+u3
Pdn66aqAvOjW4Z6kS1TVThNcXumy0ysOX8Fk/huqYWmxymbAbBSNa9V4aTEtyEFapWM46Q491OJU
V7VN+zQlTb3x1DL+InU9vgWUPtipX/YuiL5Ry/jDLDsnIbcWT5C4JKQggI+uZGRFtjZZaZamK4DE
ysowEPO+JlQ+RyNumrqvhzKVa/zQDwY6joMwXxpNHieRuW275C3Mg/WTI24sPe7HX9fcTKV20yv8
BQAZE635Usu0e8oD6xUWl9IRNAhhYDLk/zDM4Cg1qX/0ewJ+rQwgC71GHcwSjGR/LIBCS0EtWARd
GwYVY+CiBzyCvIAhz6DxQK9JB2M1Gi/fDHncVKRlzS4Sub6JdB98Gl0N9Vg8WtHpBWqGddf8dsHa
IvdxadVNCM6pPwa/7D+gt9Gjwze0hvmX1Cy4G3xCNjB1Tao1zOBWUDNaLaDGAMLme8d4ZN02Dz0N
pfkmPNAAzpCkJ/RrlOjgbeTDvumm6UQCacqVZcsusiarBDX+dkohTQQ+Pw6uEmiHDf0jZeRtEcP4
aRnVXE7QGqCFqjnwlGZ4CcNu+RJ3iz8UXkrQRaPt4Bf+EqrSq3Em1zwvVNo8jr57WTXXxZC6/UgW
spliMz2wWHQHNYQRIlQmp1sv6u4zPEM5E+HKZLD4vGz9WofhSx79D2Rt6J2AIo5AgjHXO7VJiCfA
dSnJ173sOvlIecgekBRdc2C6lLqj/QUQMbonQI+dleNeaE/6pKjr3PzW0lvomQ/xLy+8if+HLhj4
HCD/Qe4fU/7zGbhPlygbdEMRNthnAV1zf56vVDwXalQM2QH0OPXQ35OTgDZpuj7x1sOwnMIAzV5h
53ZlSnWh6oD4wUlmFJotEOk7K3WyvhNhZBLkZOlvCa7BiHPLr2FjLk2+0ZhBNX8SfIQk9vlXCSCP
xq2eDj4KK3uvBa0fMxRYQCckZEirGRSZR2pRAN2AMhe1d9rzcFXOASydrpTIl14qiH8YSgCTgS7m
WRmZs5aBUk+nfRLKZ8glbfr4GkL5QksIEBO4KAImBtbIeUsoAAACJonQkl7q8BHv4xHNtW0ee597
i3EjwoMx8f463OlCsXWSjMVADsN9TJPPii0hJ9bSTkNYODT0dWgg4l6A5og8z8BaBQIC84IcqoHD
0gOgPVd5qBeqSnTd4NQFNiye+fzF1mbJwO4N4/1Ee9i1QKOTehUOBhKEa35VlzYtxEhA1sZ+ei9y
4dSYoO0sMI/h7gHaydUcuZuW59uP69dLWwUNDXS7ADh/L2yBoTTACR6Qrnw15SASGEeEV8YiF5fA
uOfklIJG0flW0SpKgGV26hD7dNdEsCef2ZVmxsWXhREEBksp9CTOe1DQ/kSxsOAmj1JZTck3zuGu
NF1TXri0+SAt/f9XOT3ov7oXtR9A1iyR8gjsLq/4kH+KR99uRmiEFYuvAlF0anxdfbr+/PgjXQj4
YLKeAjBkXE6Qlr8XhvhIAthKCA5RJLZR6jaOeU/Amx3S1T9k6/D88XKXdjmQd7DtwhwN0f/skGlN
ghZiEnDeEm0HEjtk8Oz0c6mBAl7ItfH0pZcK4g2gs+jUYHR2tliUKzWQiYiDS9e3EPLgXjKnxTDo
G0qiG9utfRXS8dqnvLRhIOUEoRrI/YXvdCCQg5uuHtL8sEhVf4qGvD8Ce8A3UTr9+Phlvl8JmpY4
XpD3QQsd5gJ/f7spFl6UeHBkAMunctEjbCBK37+yyPsvhgQSTVHgjkCDeTfiYGPgtZnw+NGbPYWG
qIGB7pTl21FCQ3OeVu9K1Hj/0eBADfg6AGvAJSNC/f1Q0RD2NWeKHPqx2zSwAWrzG0r/tMv6UFtZ
gB+2+fgtXrhdTyvCMeH/RZFzKK3IGmDk08E/eBAbCLjZzdCfLFheV7Ft9xOIFxUGswe4IG9DAzLu
x8u/P4Do7IHvhowOqVByPtlVCsxq6vvtIV3uqfvGm0+0+TYLVvDGXFnqwn7JTz6eSFfwNYHg+vvV
ruDxpfGi3YH44qGGuWvkD09xHl3JiS4QdtGqx/eLT3gaoJPPkqK1jdHVrpPmmHtEPEjj5n28cG/T
D54obZOJTUJWtWUQJbmfu45WdI0iNMlMf2Uvvb8e8EOQOKG/jiQNG+rvB6ZsgmlEncExIkALOmF3
kPC7ssSlzweBSrRdgQY8Dcr/XqKbF6cxJDGHrgvLSPnVmqI6ieeN7z8n9hoM4P0XDPEoJ2LHP0O6
dyPxbIZaBfPiAxq2ULpexMKfgtr5eL+Yll/ZLu/zsNNiQB0G0A+OUaX9/WhNBuU2f5i8feP6kKGL
yNgDFX37GLep/c4jRqMyTJ33NiEdSos8mPlw5e0mWOLvMfaJaQHtI8AecUjOq4TONLDUjCgYOt5c
tnWCbvPwULOOgc807T4+iBfXgg4fxA9PQlznUGo3gtkdxCI+9G3zNnmxPKp4jna9m5Mttct/n9DD
5gylCWDioAq8Y0Nkwi5T3DoHccmpTOf7fPqtx1coNMcivfIh3x8DnEZgmCBLdOKHnpcPQ9BGwL5n
6kjXwW18KV9xdWRXwuj7g4D5N0aoELcG3uwdXjuDMEPaZKyGdpTadEhYnKFlbH4AI1rw+UpSduGJ
QLOIoKaCpOlUFv29NeGSopMZCRuaoHw7ed42Ydd8Oy/sfhQf2A4n5040Fc92P5Kx00xyyPYkoweI
VGyhYYhu60uily26HvCIVFXmBf+5ZoW8HWoPjFVxCSIx+/vBHO2yoY8lxoGdQJ4pq5b014R3LgQR
rAFkCJBtMFo+j4rwgFdEYgB9hB6U27WDEbdDtMptAyjYFcz2paX+UVgPwFRJ0/N4JaF6l05R1B0b
lS4HwyFOw5aoPdJhTa8c30tLQXMKOezJAe7daH2KtBQqyORhXe8TBUQ4Ol4TmGD/OUic5IiBwUJn
AUCzs12hMThiXjSCvRfFD00WfzaZPhIWblTWXNnjFw4UljoBUpEHgal7Vml7sJKqlxWTYWN21t/E
0Vsgfgh9Z+w1HcD3KReUKU+4ciRBiPPnd1hcI/omtjfopeWHNB6OUIt0ZS1X8DrSivdkZ6NYXQnt
lxaFogp8LCCIBNz22RGewMhlsUSSEGv7a+4BZPORbm2HhIVblZAFsUNj7MbV74+/4IXXijAI1j80
K8HoPgeSpsvSeXLRQEal0yaMd2ucli391rERBO/1ynYhFy4VVACnPpcPScJ3TQVYseQYxqYNrKFX
ASFfsvX6Bmj5Zi89/yaQcwWAGZrBkfvukfgOI6wvLs62bnSIocFuGeMSrLlfH7+CC0cFYhEnbxbI
9rxXqpMxQqeUGCs3Mt9B2HI7haZ03jV9tIvLJCCaYxGUKefFeQwM7cAoj/eDq9F9XtcAfM/4aWjI
lShz4TaAYQUOPbRVT3iDs6BJIEjg+1Muj5jKh5WFIMEeeor0y8dv7cKnRBqCFBl3AhqK50d/zSDF
y62X7GHCS46UTH3BbGRfMZkK95FOr4lhXJAuRj8IyfopeUUZe47HAvZq9CO3uj38zEFvXdDomEs7
et8kwH2l9CSo4JjXbKeMh09rzfz92J48sKB78WBC6BtOtRjvwqX9H7Iy9IgzNMsAnAreySKkHmCf
dgxScPtbq4pA8Wgsu3qiIHjnUf9k2fjfjVuhagEBX3QMMDVEOvr3vYgL2ji0Yeh+7pcj5qpfIshy
Y8h65Rtf2LInxgE6StC3f9+Vjk0nVu2J+hgAdABEg2oqFYfrI12W7/99NwE2GJy8B3yIS5xFd0S4
2OUpl0cPo4jvKZAyvxqiOcdkeWb1Zom97sqpv7R/ceyxICCh0Jc6OyV46NYLYweer/do89ucpZg+
s8KJcfPfHw0AFED6gCNEzn62kIPS1ImOKw6xu5/Wtwhj3dU9ZcHh42UunHogkyEtgV9+4mOdbwlG
MPPElHuf5i0G2u7Fueb14yUuvDIcFoDtsRfgFnP+kcgkVyK9lR9k05fOn0uJIZnOxson13r8l5YC
vBPSQVAiQKvl7GkmmmA6HZt8T5a4ypWEOoQt1qYuObnGYbu0FGCkQMjiTnrfYbEd2vrg79RgcfXl
LGgZuL7ow7kYVld+/ALffyOg6YBGxHQEclnYfX8fW1B6TdZEhMINFVIXGqT/t3yETubHq7x/oAhd
DZCV/ykV37WMIETUeiJp4HnpE1VgFgiuBFr1Ilh2gCdewSReeiQUpfC5AisJqr+n/OJfndrVH6HF
xFN2iLT+yWD0InV2pYHyPkVBiDthUn0MlXDRnB2grhU8hVcsGlIkKCh9WfKptCYvelEX3F55eadP
8HeJfWIp/yNoBhjBOy0k0wIZM1KEPCHgnMYSx8pJ+d3tqEf/SjZ06Tsh9pyCAjxE3qXo8CzQxJPs
9J2S8ZiJUBdjX9fbTI2uhNfHlYB36cnA1YDHFGoPNILOvhQJLWTThijZJ9NYsgAIuPXzhBH2x5vv
0sf69yqnPPdf+2EeJkgIsVkew3kUB90vWYFS+Fsg/SNzQ7NZHbsGU0Wmf+GjoeeEVAQpI4CWZ2WI
FwLaKClIaqZRbNOavHmoY8tL33L6dRpT6NJ5IS9hmPIC3fAEcwS+3sT1rArepe42iqe+TEUSlTL2
O3THcgP9Wm5vWn/6SWgz7QzJu93cNf7LmCi9iyGacABFgh55yKGEuAxBt+stxt7zaobtjA4c8Bq1
3nTYq1vaROmdimi6sUgjlk0Kkddb24J+BvvMicK0bcL3RtuqWgwa/xnU8SvlifAAZazg9wo90C2z
HSl5HrADznZ8azUde0iThM+Tg/+QdFZ+ivpUAII42apu6A+moCCpk5rsJjomOy7Eehv3fXo0XhTd
BdDYuckGs2z9Pmz3YvUBvEl9WbiOpwUVGd2AP1M/jT1otM0SfWkQjAvb+XERWIvImICsp8Nmu07e
F3Sq6o3fwnCusIPHTIFO2Xw0wPKV/RiGxwUCTxPUn/12G1gJ2eXISV5BEScog1TTHXJFer9Mqt3a
BbTJ1UjyNvXa34AHSZ8EMG5bfKW+zEYdf8bnH3871QD9MNg22c1j1mziYRoxpgxy6BR1+jg05rsJ
RrbLY/pNDynfjI1OdmhrAET08W6/FP1Q+uJUQacN6oRnG2+CwPUKU3t2nMYe+bb0zTbiLr2yyoWT
C8spH6ppgAiAs36WHCVBx+nqEX3gHoXqpiw7iDZcVQlEFX2KpH8HP9CboA4CHVv8I/oGfx9eNw5x
blwQHAYlJTBVpsG8AWi6R9H7Cigxx4vGOohytdBrmh03L1J2otLpMFSwAp4KE7r12NewsgTsJ9iu
EewB1CTGqmFrjrEBf0EQkEVqLasQaMXDnMsTMInc1BMMKWdYoPzo1HK/eC2rWLzmxdwF9E/ggudx
TqO2SFbsIKpoB/fOmBSY5p4qZihd2sxXVd7CzowSG5XT5AEFlfVgSvmElp5X21+L1fZRRHCcEqMi
ZdjVTZWp5nGZ5Y+TOhgufT84KTvzkmg1/VjC0bwkIX3rkzkoTK97IPPQRmkcJFPYNIR3QF5BUxY9
RmAO++YJqML0U9B5NzUu9UJM9Y43ub0LkvUO+KRhV/uDB1khEK+hBtYdxrX5Gioot3ka+ErCww2D
1gIwqnMGaWT44a0LvFohmwjFFCDMeJlk4082IxEfTF3l2Wz/rBy8cxcCGjoC413NIDdBlcsHliju
7TEWYccL9PL6bdrMLzpq5t2qlwNopROUW7tpYzh5wagn/ObGAADQhBiIhNeIlEyuvwE4IkcEK/YZ
/0UeWk5/oyB03/NeAXSXw5Vl6SQQV2mop7uRJWkJY8Twq+rD9I/gglQi0a892HE3jW7lUfJgfjJg
DZZiEgaIX7OqApCJ/luizEMctlBtX+IFPe213uYmGbYyImIzjI2qQDodS9p0P1OVf5Wp3z/ygQeV
37svLSZTxTombwmUcjc8tfQ2B97xoIDpfO3tau9zaMFv8NqTAhfjnaezBr9ANzcDr++CGbpINuT9
RnSd9+CRddwC1Xi/uiasPKg4lKLzdsoD0cj3DXmYmMnuolY9ggHeVXpyASkY17oI4/nnPCyvbaJm
yDDB0x68yGzLpFdvKWXmGPjzTzbM/k/EKIeCXA3fYK3SIXJEQ7txdRM/iSEaf81e9kVgkn8Quu73
KPSHImm7rwvpo3uqFNsJEOluB2JCmAQtzX4cumwv63lnosbf14OKjpGwr7EO3J+aJ4+pb8VvYVKJ
XpKj+6zNIDOmc+nfmGDAHB0wvC0Z4uHZZtH4ue5GeCqlGv6duAoLG8TLF5tg0ikNcGVjvX7JWv1V
TZjClglbbqlNeihNJe029cCH9FMIEvrxCwJEdxt4wd0yteNjMFjyEszU7qAP3xZAmcFWJjE5RGot
/2RHQGsnudRFyBg7Zd6DRvhYfzFt1wIJWFCM6NTjcABoDIGXCGhZQDptC6iw5Mw9raMM91PrbsZ8
IglUBTh9kwBO7l0LWGwCz21guYX7PXRtfJvNvn6SNQvvhj6fjoDU159rNH43KmgYL9BjJGVn+7xE
soI/+SKuOr7cOKuwW6F7ON763H7mDZ2rlsovHix8j8my2BJtWIl9OKfPpI6eF5OrMutMdhS9Wz4b
vsIEN4GlAxQfqiHKv2VOzPcAGqd4E/yPHTtW+pD7kR3/EajluyJ1UiSd4F8iX9ttLZT/CK+lbDMn
gwYc2glgFTO/IjBYYEuNWE0iU/FwlX9IbdrHZew8eNyL6QZ4XLnLfdaEEI0mwe2J2nqzKis3aaQH
U7AaXjVcDCtGrCOyw8icRJaJ+u28ZXnp2qGpAP41r2NNgm3GkIfAQW3acTY1rlii2YiiV61/r1PG
N5OngyrxGIgY4bQ8m3Cea2CShQbon0EwEq5acSVYpl/brjV3bp7VLZ2GWd8sc36UktRgR0IuhSQo
+TrSQZHPBy66ABrXK9um8Y75FCdPTTDIH2M3JM9sZQBHh5BMK+JVR3Wlh37oSvCkot/QkJ6GIpYM
qn9oADRbLTUerQ26cgmnuqrbLoO0eYfAYzHQ2nhIYmgRAdsJVctBDoBtG4YWbBen90kjg1KDZ1wa
0c6bjgXycXQ0LFxO6cZqjOHbxW9vmnkwyKfYWsyqiTdw2SS389wyiHxbXYY5sNRpsvi4VTV4AS2i
Mk+DupgYD9F+WIaSLT77rGzUlktc+8Wkp+53FwF03UwKPIYxn8veKr+MIgm/gxiNJyjL9TWpzIwD
2nQ2eIks8MF8nrJvsiPyiDAyTmUwmK9eHbl9HtQRQkqA8SVgsz4HTpdQdbMm0PA0ckElD5/lFCh8
2ecPbdziUQbCopdc8brMgkbcJ4LlGgVKf1KLbYWPPZkB3znXZt0GU+5VQQ8WKIJtTqsZA+3KKdu/
uARpkpbzCmJCYnd9jn56kwgQYOsI9sVubuwWfaF636wjCBIuDfpPaCV6L7hYEg8X2siqFGjtuwx3
al+OXcNKsLukAjQhV3du4R1yWDtvZ9Wmt7Me868MwOGt7dNmC6nNZIvaIPs8A7HxgK4Z3QDcvVac
hsERgtp2j74MODih9sturb1uO3g+TBVroBWqSMbp54FF8rFP6+xJyxCUFp7SradkXiT5TCq8MbEF
EG+pmpb3j0PDk8oPFb3t8BvuBBQwKzX43r6OVlzWKlhTsKr160C0LsEvhTPISTESd9nt4J+S2TaO
v+cNDQH8T1VfTmQWSAfkHzvl/N7Nvfzkw5nphnZNPW5MDIi8a3GkT/DmY1r33ktqRYPUhCM767AF
gTQ+ihkgVoe8Lqf1Hwhxqu+07eoX9JAJ4uwso3tw90k1oT5+hb5JeKccZxUIIQIkH/BGVqNWBO7W
/QyVZz6NkMDcQMuxLb0A2NgO/tp7iO6uN52mcuNQsVTgAgHW32hxoPMJhY5ECFoW3n3dkHHXZ763
mZ1kW+QkElotQu5bytVOe3BuXUWcPy0mpZtxdqqEXZErPEv5dx2FqhjzACSDlPJijCndGTAuP/Uz
8jC3Bv6mA3Qe2kBcoqJAByRQ47zjvgdxuGXUt9LvmCvSERVULcPu0YfY5m6a87ouIEARr4VqRbBF
au+BTpGm38F4SB85XMO+KRq0z0A3f8bp+cOiJAZyXkxVWPe4k8gIuzgd9lA8ymj65IyiVbDmtlxO
FQgRxJSMOFjTWB6lP3yOag0D4miP2fA9HPUwDmGhyh6GADyiMIVFjx6JqmrgEe7yHhD3dQn7T4RG
eg/Yljo2a2CPkDWNdjWy75euTwO58y1Rd2Hk/TQKRg4o5AJZ2XZu7hf8ZeHrFqqzGnwLmGnRJt0s
kYUpqo3kjrQCNLAompZdBq5ASXsGW7EORGRkN+CzSSYRQWrYYOtxOLo6FX/CsfeSEtIw+lmncXPP
aTyPIKNaXcC/q/8+Ca9+cZb6N9yN9GeAJPXQDIJZyBzmrAzMshRkourOuhD3bqNNvaFA6O5Wntdh
QRaNeoInDOy0CHSxvJc+OnKeP1btyKFTRJtnsrQtivHFM8c+bn5Mjqe3aFnrw5yB5B/N2j1NzvUb
5Ae4KfggNm4Zo6KfRHfXJZ190GBG7XvqR9W4tusBlIQvQZ0GJWwA1YOmLv/B8xDXHEyZ5NbApfT0
vPSwcjOBAVf3DyntzfNCXIu7ldMytfInlK/UAaM8u5Oj8HnVrlDkBPGjPXhQZrq3JgDGnpnpFTMy
qMQ1RkJfVq4RKVLTD7f5EIOG4WiKU+Vnm0j0uIjjEFUHiae3/+PsvHrjxtJ1/VcGfc/ZzGFj91yQ
rKRsJVu+IWRbYs6Zv/48i+6zT6skqM4MMGjAY0u1ilzhW+/3Bj0uy5tci4g2CMIZRcwSPyZdyQnI
VHguW1u7DXto+12kIyCZrWgLF27aa/Ew3sZqFtzH6Ncux6n7brEiw109ZirJq/3cHLBtcdyiCXo/
rc3gnKRN6Soo+vRG7/FT15s6YITVqPhc0HmGVjugmbS+OmGBLhDaz5e0t+rHBkqmP0EpdiFEjeeA
Nb2X2Wbnd42NAHbghFaQSG+kVisOUo2XnRMvnAtQhLYZ5haqG2tyvhtzqX6S5gi3+qhUdqUcLudR
0dZXBjZ4T7KZmGdyOi8+LI+GE03cPKNIdfGZNz29jyrEJnF8h8duubFHTv7OcOKtqrMkpUD/UWKE
6qezU11RF74WY577TDRMhKN4KQ/s2qXkNT2s6hJbgMPSBdILQoTJ08rIuJj7lFKtgS4mzUA4I5aG
Xlqav0bcevdJn6C3W1JzOWCbNiCfo2DEtpgoHdmYz5qqis9HU3mIxjjZabFxmSZLv4sLLaf6C6R9
pnTRl7ocI8+harm06+HSKbv8OZhJO4iHzuAqzP3QDcOh2sI9am7KUO+8bGnRiqFiuTIaS4UoXmC8
FlPoXwAHSm6rGY1XDY1y5WhLuDfnVL3VJL3cI0/hzUidzX09bH/hL9C8RHKa4k1NcNOi9g+KhGye
5mH8VY6GxzEYU38oZYUFqyf1F6eJsH5WlLK+WOhK3BemHLhmNCH2WaaR2+UYfe/hb11VFYE8bjmj
sGuKxrjUI6W+krp+2aDMNu/bZnrKCym4LSQkYOZQWJvODlVv7lQcjsIy2pWqMvitFpQpgkfC2Jym
kW9DI5h8YmokT05q3QuiQdrMy6B7FEz1ecF82pS0SHdNxfGb4wNO3bbMFDiKUh1y4jJ2SssOh+1p
+p2guXprs0Q2S8IF1LUSo37gdfSHIs9/kAkaLl6jzcZuXKgTyjRGElss/RbBQ7mDTVD7pRM0bpup
KAypXbbcrn4ovcHzwGB8w7Ekc0Rj4a87C059upqZ9CfN8B6AON4N2az8bPCBfoCBG1wFSzBsMUzQ
Lpp8Vg9juqg+uiBp8SJptN1KZ0JNWrZs2XTG/YJAbddHmMNXSR7sJtqcHHrR2FJvg8d6pZrdjlVQ
X9b9PPp6FMkXlZzmTxKd+pgzarR2YHztWTRM1SYS0iEpowkfF9ijWD1NkBCzj3MjVZqreDb0fW+o
g9dGyvy9zaLIF4cq1uGt5FrYgu9TbvdeHyO7qnNenNbIziGPkWonRAv5i2wVF4Y5aWcJuwKlYNrs
0WHWbtdzf+6nzpUCNfxehSqwaoTDFcElVqX5s1kMhxbm2DadOPqTMpwuo76e77uwqS5rtsAdrk3R
Wa2m80aZe/mOQHbnDH9C4ylM5/y7pcXNFcEN465zKFH1qHlVTJ5l1ChYG6jKt1FB2439j7QpYjP3
IWhSWCVpdpN0jXZXW3l9ps7l8FNIbK5m6NV+HHTjNi/MxF+4LF7pmjimy9Sstnqp2yC68jax5HY7
WXWGNbrcttcygIunYl2uOhFFLiwB+aqTa7JilMk6V9us8VVnDLyMzpA29YQAUeJ6UaphRE5Gqwf/
Q6CACO1nOblPplj+mtZTdk5DllZppV/HSNOY5cSn1hpRVFUeDcBLOu06iA2IfpTYQ4YwbIyy0f2Q
r4YuzlAmf1apqYchqPCCn5t8Gy5jfhmOqeTmkYHQxoqamyyTy8dY7Stflevwtoj76saJjMwPdeMu
1abrcgmMC2eSLc822UO0xNnjyPQraoZf+WAr25k7n1vlmUoBXFr4Q3K/o/eRb7FtkzxzpPBFO2f+
jIPsW66wubiaPGez8KaNr7U51Ld9oWm3ThZd8SB6j+Vjuk6hJDskFXCOjPxZ5V4QuU1oLfuuVZqf
8pJnwwEte7LFlG3ge8Xpfe8sT2TgmXdDUBotAHdlZkBsU/klU5LkaoJEC4uuTl8QHnyplPnZbKuH
3rBKt7PT+sYJo/i6GspnvW+jQz9aykVtY/o4GIVxaSySdcvHyxsqSO5Hqgl2oHEjDcKvhTS9lPlk
XVulbd7FskSLYqym7NDZQHSl1pynRqJ6Y2ZaX6S0XbZY/AO2y6KmlPXmAmmV5GamlOJNHVjACGHu
99NUuk7bq5SdU4C4GfwiqSxMCzT7tUnn8HwydSJUJ1l2k3apduPAzkzxO10QFNFt8rovmLRV5EqN
HjHxRum80+pwY9cFARNL3QsYvfKkwFT2TplG22iYX4Km5CupUc9NGofd3KrbjZ3amgsP7LGV1BrF
bpoTD66NB5IICj/SKntTDAIJLsmOSCUuBsOYhbfLbNwXMtsnrFrrBpE7N7YcDU5mNfaXUTOR8k4Z
1W9qzmdMr3arSYV9MDtdeZRo3dCNvpCjKj2rrEzbqA3R1E5afUmKmXLbbL+3C5VrFqQPQRdEV32L
04BmDrGXlEG+g0BPz6KVY48rirFVCl3fSvOQbiRL3Gf7OXwuzQbv0EJyq0R1No7dMBSbWITSobE1
cDPlyhWlnmEFN7UpJb7aK0CG43xtR6SMVYkJLNBqfpUHt0ON1Sc5ceAs4PdybzWcko5waB9tb8hB
R0J7eU2y8LuUBtwKq77m0J5b4hFsy22kqL0sC7BZpdMBeU3h4enooRuEaP3nlv51H7JiFLwhYboQ
KqlplM1As0igoXAwO7WvJF1gSxAYbrwQ7T3RRdp0BXfM0lG+NXrYbwL2Fs4LO78yzZirC/IyT82t
Ym8bdPOsurwEp1S9MpJ+NJN+p0XT5A9YclxkjlGw0fTxRskz+zwhRtebTFoFpRDEEUiOMVuUzDvu
sZQ6SVzcI3m/kNr5Ca3uS9hPCAuse0KBSn8a1Z9VbsRekcXDQRvUl67SJj8b9FuJasabE47wuAUD
CcJ48mDXj1+mLJxv2tH4OskxeKST3hscs1QJc+8FdBVcSRsk1yxzyQ1yY/oOk+gcsJ5MEROAyirG
3gOhL38CvcdPmRTrW77Z5Csql8Zekm02s0L2wqQ8Qdp43wJ+23BR3zZc6pzIvSgkqrOMnZ2DpA8x
Nu9jxgTg321U8UFEWGJ+hs6NdvPbD9JoZbQl3htnkaEuG61oIk8zsu7E13nfDnv7KUfN3zypax2G
A1RxYvCu5DBKz5TALk/wAT54aFDgsW+GEmDBCDtqhyUKV2TMzJJDKoEAh+cplmZVjtA0PdHL/uDr
EDAKeZbOMiDIMTdykqmMgyg3uKhU2SEJO85SxZZPvJr3zE/MgaA32KjNYOwd0/WiTFV7cusWEXXj
lZZQYF8SXHuzdA91xuXh36cHErQInwo2BYXuO86uUamBxpUaJ9nSyHYpmSp+hgnwicSi99+KT0EU
C7MGGvw7sZnWN4FR9nV+ZuMd/mhNQ3DtdEZ7PauxpbgtbYNLepAUqg7Imbr9fLa/b5jy4TDXUIHB
bIS89na2l2WlRk3j4M5rROFXuZ31X7U6DZgDKOZ08flnidn2tmf69rOOljBkxBYlgAU7xXzQOtpO
wzYFPo2J22sTkBagbxSFPz7/0I++IBpPvpmG8bZ9zMTClsc2y8ZJDhqFk1XlfoOzxWzkJxbAezKH
CDFElYFkR5PfKeqwOyqTKsA8LSzOAfasWncL2dpnJCbHxqnwoo++E2x1yOQw2NDzHC1r0dQZQ1kO
z4h0VkECY+E7F6mboKtPMYo+/Cj0Cgg8xTZyzMMitL4Hw9Ws/UxaYto8lhAbTLU58fQ+8AdHu4zc
ijIAOz1Q87fTsCWspHBwbj70g5xbOyBMbf6hJITYu+RCN9cAyaPi0nAd1K0zdGrikkUd4Fw9A9ta
eSvqxySVhxPjer9/vh3W0S6t912Ep7oCymzNLi4uzZL6WkoB2Z/KYHu/gWIMpmINRh/egFFwxNzq
EpxQiDslAjuvhm4Dgm4YG83O41Majg8WIbR5zGRJfUBuc8zDSDFN5FqIHXdhyDEyGKvIriUYPeVO
pllgn1dJSN8bAkdBio9BFqLbl6ZxKmb2owf791Gob9+3YhRqncupfQiHurrP4OZc14si3RVWO15P
Irj0813gg+VJuLpwXYMVTQklpvnfuFbLOOp12qrxAReSLS5D0vAShRAgkoeqOrHLfbBi+CiUYOK/
yGyP3mRulzhv4UB+KNvxwmqKHSgetk/9v58UwnRBigAj1wLfOLblC1IjpFGuJISSSF6qJX4sLa4y
OJvPn9wHX0elRQ0PCxtFzA2PnlxHUVpq6IVxUuz0w2h207m5RJarJ/pfsTH/9XP67/ClvPl9FLT/
+h/+/LOs5iYOo+7oj/+6eh66l/p/xM/87795+xP/2r2UV8/5S3v8j978DL/3r8/1n7vnN3/YIP7r
wLNfmvn2pe2zbv39jFD8y//fv/zHy/pb7ufq5c8/fpZ90YnfFsZl8cdff3X49ecfFqvvv/7+6//6
OzH+P/84tNlz+4/L52yIi+f2+Odentvuzz8kw/onvtTifyYRSMwolsr4sv6VqfwTrxUd6S+WF4hw
BN0TMX8XiR9T/okbJVQc8S9Y5+LHYOL8/jv1n6AzBooEE2aygSz0j/87xjcv6f+9tH8UfX5TxkXX
/vmHely/iBB26iPC+mDZi3rp7drSaStlmNBl+3mR6P3VjTurZuqVUuQvsWO740RjsIycSzl+VJzU
QpOErc9MmkgSRQEO6cp50DgptmubgQvb1gQxdzGlYmNX6DEaVv5zWdh40b442GtJ3+Y0/0IPzYZh
b9H1o6Y4IQtZCZ5/r1T4SjBbEeUKFrrKY3/7ldS6cmIoPimwdrVsE0dP/SUpaK1ZuQtv0ZWVXt1Q
7tIybOtdpZWq59TlnuAB2+1lxBZ0JQc37h2A155QvRqELKvjPSGDF0oqDVuJGz3GDIbs6lJj+1ph
33OJfYX4QAhKRv5GkI7PiVpplCw8DRCF1E9lhlEjtlkm2jBDw8f0hraRS2PZ/W0a/vWK37zS40Uv
vr/Qj2DCoWjslkd7mDYOVoT9Qbqfmij3jKDEsG9eHheMz7zYUn8uae1q0lz6ijR9GeX+LlUqDbuJ
XCPtLYDXqF0lHQwAbGClDZEjJbQb+ZHMb8210h3Svss2Vy6SuK3dyeYnE1vbn/gKYtYdvULMcoVk
gfuIYOi9fYWtQ6IKEckpz7y9wmjLPssqE2yYvrlnDsiua2X41k/QV+SE401vu4y27VlOV7fDfQ4P
SWdATwsxPHDZaEMXTcxA3KCUuwsWUtd5atx/PuT1kvRuyKxVFOfcclTteMiRFRdZWaf70G4EgiCf
sY89rq9AxqTSXfB4aYvkNZkSSIDk6+EmNrphFXKOdao3jRKsswA2CI6JVCvVifHpx4c2s4KywYT9
iaOQjjXG20fqTJlCRM6YYPpp4wmHrZ1r3RUtLdtGL5j3FGHrdJ/V4kGt6XYHtd376+qhuswFe9eD
nBV4CT7iacHCwO5jcSmoIIiYsJ9ZlD5aZudeP++IQnOzudoWtXreBPN5oWoXRGK1LnjO69KmpjvS
LdvEjrbJFZq3ph4uPv76e5LPLwCRbNcqk9dWzR5Ia7TdJiJ4PaSbGcNWw93z1DG5alOOXh6KJpnC
CtkewpyjUjHsG4ne0lju1VThcprTvq5t+XvPxgcrreq9Zqm3VmGzH4qVW09Oy2bGP+36pENAWCDl
C5Mt5KQbo4+/2aaE+Ugx76AWsvSn5CwMo11N5wdDSVxFs5ImQjY0OI3l2fW6SaSWsWNLms7Genlh
f9lqFdgyxp3bTKszr7Gam8VKl22c31RU0ETBszmngOZqNxtkEPJsk57xWUlxkc5E2kCWMPzsLlTj
3JUWqotZ/HjWjOpGm8ddPqHTFjuXM8JSG4eGJn++DPRpO4SR4Pj0/Ru/m2d/GV0rstq9eHWl49yX
AoAItfE5Kws8DyTjzkwnUF0s3fuUbAxE5v7na2st8I5fD9ZTGqoILHG5DB7NXSD2Kne0ch9U+o9g
0rBbbAC0+wDsWL/UVXxQkiG4j+xs2YQPppbPO7ULH6Yoes2l6GmciCPqSutSoXPsGxh/uIMNM4c3
GSH19gk29udKYTU64ulY7NkTzcytLCeZZywXkaJhQ2DASonkZc/L5TY/9V+jSsYOAQ/JCUv9rs/c
qkFUCT17X2HYJm6QZxJZBlAm9bOwMwdX0LSEGGIzIcPZ2/ROlBjMzSxNdVNC47UGnc+Zr+IlQ+wH
E2ypsu95Zvm5/jXpS2tj4w2yvqU0i7FGwaw6rTDKlOJXpWMyDkqDUjCuA0/pBRRruyjZvqutAWFP
nMFpFLeQX1MeX7l3soz2dBMZeDRhtGBW8y5Kr8rZkrYydHaPHvtjccpV6Z24kV2IWzzYHFUph/Sx
CJ2cRpoSkAz3dZ+cDebY0FTJ+00ezGeaegHUgewZ3qoy2vcq843qIPW7YPahjkBT/HxaqcdyCjEY
1Gpcw0Fu9HfqwkItnaVS6A9Pg6pulmHKvKCFr5YYDWyJrL9RxnobBxQupqT+cCCmj5Z9WLcBSU92
BPT+nPArJb0Uaq4djHQLiQWBDkkZZFFMfD7cd6LidbggN+JsFwvhaBXUKnSqiEHvdYAtwlbZH0RE
4xRb2qZXOsO32vmClbpt7eG6yBaYdYq0Loygku7HXmGVFMZZSJbH7YmhHV+AGZpj4MrA8YJMlovT
2wU6Sj2dmlDK9hyzGt3Fgv8EotxIbnSSLuhgIgKpl0f4tD94EZupbJ+IK1vcXuFvTP7m8wGtN+6j
HYPHREomRTcw8PE8s/qiTLtu5DQWS5ru4pljl/uuRsERMKVmdTavaaoZmidWT2hiz5rqP6a0cjF/
GDiEq6eou0pKWfxw9EqVTO+3sl8ksbvNMTtHIQraWezCKG+pdjmvKCTzWfqRFdk5iGoIjSd6peLe
4tZ8yuPqndmOeOLcA7jaCT07T/7tEzebPtVrCu/9aECRiFF2e+ZCVW0lFJ0T5zIkKx9u0Wsb69Bt
g9Qjje2Ui73y/vZArCv4JcponOWQ474dBRamiaWRz7efU2Qv7Th5QdlvWAX1re7w3Vtl17aMqlZo
8Ena9yrOoutalP2l6ba4UR50XQqv625RN44TPxYykMXnU0EVy+LtVGB5WwyOecneLYtd4G/owWCl
yGIKmTESYHyweioZZmAcmxdOszyi/MUhHBIPrmRa6rUB5OsypGAPU2u6mQx8+RUck2k6z7/aXnY2
3G3IBDDOJ4x3kgQzrNaZC8i90KW69JQvyDvFl7AxozmO5wT4skh0eTt4hVSmcoK3sRfHDxwhjb5O
+9fiEjO3SygZ7TCvIZ3E2o1VPXz+9Naj9fjpMdfI3xIa7HcIbDwaZUf5UICiz18TKfZ12JlQNWsY
wY2gRO/DmDtQtZSLF5iUiVwVdMeXeuWUMP4YBRKPQsS7ALfjCYQC+O2jsILCafVBo0cnmaROZK5W
DglMXWZMEz7VWvMfPXxLMxTgfXF/P0bbKhD/wZSMYr9o+qVpyFAVqdQ1E5EpONE1akZuQHPvl2qQ
cxWyTgQOfLDh841R4Vk6EngctY5efo3re24NKt8YPaobzNEVbWevg84ORZT/UKXntHSlF6B5aBnR
a1/xKsqcOxl76+NYMl3WDTYWd7XPJ4a6OlMezQyQA9Bedh/uFvrRuuordBEwSMo9/ctdO8znYQKD
PeiGaGdDMT+IGbsWsTXiSKr2qPUaQ3/MG3bLynIw2Bf84lJAAYZZ/eirJfMwqDknXaDZ4Pj7uy62
E7brGK8JzPZ3TKozqVK+rr9W/P7fNTi0oU0SwyxUmnJxxWHHzQHSEKw5/ImnKwqAZd/AwNZ6e94k
lAKH9dcqoB2ljsuyHqWOi+yF6skcYSCSJ76iAev/1dQbLcp+ENHJpiBOk7Vep72/ITt28Gw2/hna
6dZIs9/XJUOc/euv7Awt9bm92nR/4n3paMU2UEt89xFo9ppCaCfpk5vIwhrbUNJio6rFNiz6m36o
bPhGHD52J9FMl6brjotVQBIj/vFPdVyNbqAS4FDOZoR0HLnpEv1GKwY1v7B6y4aWbrMiZVuCISNz
ZhXpvBMH0lj5IxQQN5bQFwzJt2Dq1E3Pr3YLxfj2G9DI+uJCayyciMz2PMmTZVstQePJKU3kZs6e
FJUSetQE0pH11/CR8r2lh09mg+bMrH4WurTsQ6HzzS1evYHJtKslO92msdhEbL6Fo3rD2JrcW4L7
dQbAlw/wjYtfQcq8LHb8KYBlMbfQhdO0wgA32spLNXhyQHNdbHzrsNcqfR0y+uIzguFj1xyzJyCP
QynK38kqKL/b73lRU9u/Quu+m0rs6KXriPfjoh1KfUkmXkHHdB5AiTDyYgTUcdu6460LXCeJVH4N
nKKkrJqzGExHDavLucQmkJtS6qvwEEcV7qyNgH9oSg/1UUcmIu+8TpMHpbA361CqQl/2iu5gZXjW
sxTWf8FN6hVhIDWGuDmYcQNJR5ejO6k9m+evsdTEm2zhglLbUuo7nXql09v2HMISuDTILm/oMuqK
63RovRzz9E0aat8IY4hsg9QVvIXcyhjUjZwuv7QZckkjLk0WIIpLP7Fxf1cwlAjVwrWGHL3Or7L2
mb/rtoyTlIJEOW8j6a4anwsZhtQ4+MU4SHvVKNBp1Fd9pCCdRSzpSOatXOg09EU9hGOe7dozi+D3
HSQzN0PoNLeF0p8n07zXBmTgsjqN2wKJhYsiKG/jxpuk0CGDgyvQ+lsg3Oc+AWYn9q0PKhYMY2xY
moaOlfFxR7GY1abHzuk3phWaJbtonb0acYpVtED71tlk9Mnr59uldty54fTCNQDzKKzf2CyPcVY7
Rik2WezlgWm8REovakeqSAdS2gbb5a2EtDRKM4JVUDP5ScplAtr6ZUaZR7XKzlTaQQOOmeyjCtPP
ctmu00oshfU9rquoWuoE8c2NqPtg+bD+xKyI0jE4Q3c47xqrvwjn+d6GCbgRUA23hsso7QzQv2DZ
RwE0EBMCN87sAtP9/BEI0Pq4EOMhCHIG2J6OF8jbA3zQsN83CRLeJ2wPqOc5nODXr/jkJI6qgFQM
dgw+WK7YCIz+e1SkXpNyyiriqI1Qam00jdLDEhXAyP2iUJNXQIfXVuPnCffYhW10osH/AbAHAA+m
91ce7XpK/61+nLHICu0e/Beedu4phXqXDw2ESnGnUWOBg4lqqLeCnb0M+P13ZrcR61yAfX1JVWLk
uNzbTrnhiDP2CiyfE3Na+eDJriYieOIJi4Xj/qMaVR3KGSjPc2jfJ8QSiWHNot4nZ+0wTBD6sS+z
UZb1F042+01lKlz7eaafv+KP7gOcKwBo3AowUzyutXs9CxoLLtp+hcEB02q8k9vbeGQoK+K+noj9
0vudwzUfWhhqFyP9EqRfWse44UZQuQokv00c4Koukc5SWlAcT4zy/W2VZhiBbJBC6K7QHX87EWNi
9NQQI+y9VteQr8PpcUXAGzn9WcjTZrRblWQAAPJM+ZKqlenOkVFDoSqcq3gKLyK0FadG9MElRYSY
4o4MmYRq7mhIi9ItyVLq8Z46YNhrubptOKvXyilSzJtq0K4tk4N6rkWYUUL+x+/NdRabZm8Wfjqa
s8sqmWG6cHgL8DDUAgfhJFp2oj28PllgYaZojMZyyL1mSm7wchLnH1xDOXwx1PKC6fOjcpavv5HO
WFXcVCdeqN0u5vBURniElDMHeuGIc0QccZZwx4F8sgC1X1cVdD4zxL/czKPZU2rzcoyNQxw2aDfb
2jcTzm5z6eufUx7kG+IF/bq1ZviI1c8lMXFRMH6s25hl17f0d2p80DXTr3dWCHLZmzAKl7n6VQvc
rjGX1Euryy5kPDJvk91DuQ/HEqxGFGqO5NQi3WGXN/LXpezkK6Mz79NsXLaKjmkHpCGAkwnQWfRr
RGbk7Wxcds0Y8LJb+O1h1x0aZ0aWJcnhpotvCFkytkaH3EjT4mnjhE3m4U+xXx+1OU8pN8PRR3pJ
gUjypY/IEa2mQhH0G3MVNRU6NcdFRo+2UaXwKwFS1VD7Ca11dNf6EqecfCtFHcTC8yK1SX0IRoKe
GiRP6bjsc9FEKh2UY014KU91cGZ9L+CE+13MG5nMu1CG+Ewq2Lxb4agxll8ra3hZ39UKHFqinM7R
66IBg6uYs10IsDh3ZOmA9vYnN7BhZwxFcGKGrzZpR7cF7F8sWC+EWaAJOWrKaYppz0bQpHux50eo
Zv3CdO7CFEle2fbUKKPqmTJ1WrAMjyhgX8duvqyDBOIu0EYvmlM1oc+eIofMYqDtamTXNQTkkSvp
jzBSv5xYk+/RQfYv0Fq8eMjNU/Sj21csj3NEJkq6j1v5SqHsmUWzSxy4sbiHq059Hjr7XuMYGsSO
8fnHf9CvEf0IbGJp4/Hgji+fiHGSwIK/uI+z7qHtoQjUwJVeYdi3GsLU3+tvLVmIEd8R2UQPYlHS
26bnUrLWFlEEpJ07zdkYIm7V0msyN5A+RWhXVEoxnMCIOhGLqcK73LNvSF5oy59Vh8GJwLymbHE2
etCcJR3Xid/w5pzOD+GQZPuQXCUKjParjbSMHVOhog1ebSli5fIjo/jZgEfrKVLkWQ3u4ZLOGfD5
M/oATeYZwb0DgEISQZTi2408VPDGq1qO5ijinNUASDkzpKscrb8LGQ7NHy8HFo5NKhtLMtPLV4LC
KreZinhnT85TYrY/TozpfeuSCo9cR0EHxEfjneuulSTqYue8N9p/AqpQKGYUJXztkN+7dle7aY6r
SxVMuHokiqvpxokG8Ae4AUPA3ALgiFbWO8s3J52zNFXiaL/2aM1Ljl/ZMwvR5zZwFkuNh1qig1SC
1AAMeEUqXcTNYOzTmeNQiOdddi40SSem9AeYJeMi71W1oJviRywOwb9VUlPejnWl2eF+hTBktD+0
ordplr7mqT5tlGx+FJW3U03cotInS2wHJ97OexCJFa3jrLja1GGy+nYIRdQiUtGUcD9k3ICYoTmI
+XJbB459sW4mSTRuzKX8mbTBIbGV3YRbgQf/2vZGpb/A48DcEYZyULvaPDPFNfjzAZrv27RigCb3
E+oSSKtHA+T+9FcFFcVq43VCGT0KEDKoODXAHQEcKmBte1lQ1UjTDjk5LQAVSqShFa9qzsVAthvA
hsTck/PYnOnh2TIWuJeoxbxdu4aWpHP2WMONZGMJoIlmAvYdbjXSmbQXCHLJku1X1EIahIbBUbFC
ke6lgbky681uxT96J0CPDbyhZT3H8YRUStdrCpQVGwfv6XNkJOIf0HhgnxEIL1ArbqshDANsHDfS
oJ8l4XCx4PwE2sooakd/rmPKlJUf0pntbpzt7lCNao/uy3lQJ4m2uU5EIq3sTaxWB70Ir9HvP3/+
Ej4gxfASLEg2LD7MttSjlzAlQx6oWhbupVrf4HQgb6XJEM9lK0AnWotso/9bA63PVBwLpZJ8VzJ9
vx7GHSaPF3g53CItoc9rCO0bls7rXtp05bwjcfYhIF+2q8qvlcIxho363bTozuHzL/PB/YUvQweE
hhGtf4gxb6d8EiFFK6f6r5rcDKz79ePouw8veN3QKa7DwpWH3jNbbdlEVWVsgH1fZ1Mm/cwK71Sz
2pE1yP0LWFwKmYcnRvj+Ts5OqTkwE8i5ZsqLu/Pf9gWAB0qxTA33jYDt7GIESzMXVyolHV0sOIKT
gwqIDm/Y2uXz75tthUwXFwo3mUHP1ulVzOZ92KS7QEt/VVhq/iejdAQKvu6tx1w6q2uxGMPiYj9z
u45dS+tbP8u/iGGtBSjzSDtEhNZ4UD3wcUSb5IT1bVLq1PEouVcGEH3WBwNhkS5AwRMDXI+WtzUW
LuI8RpFMJdhcxxVL20FUbBuJBLfwYYUWVbKNoPBkGJuKagkwyORz1zY4bS669+ow3RR1/EMazSuE
VfsJOwPoWzGKUuyIBZqzXhJaJZLocde7dgJAdZrAX+8UZldxs0waWh8VLBxYE5itBWeBvMzAdqRE
y7QIxrw5hHAWNiSY4W0JTDiwTyBcZi+AdLIWJZgPuQqZkmUgq1sFtS249UupLxuMni57u36RzOXO
GOdtm9BHj+3vuXQtB1jd1XJx3+Wkva1bTSy6+fTn7wpbhise/qCKKv0EeqRPgkDuKqTWKRLPJtbv
a4mE7Ejqd2tdvI4CDWqLl9blnOsF5gqCsJVJYMVVv8d6Q3GzlELIyjryVevIw3Gt36wIZBObT20z
3YhNYJLm+wgldiVTkS+Ws8sj/XntGuq1Pt0M9EZdOe++ESYMj0T8+pUx1w4AsJIcXyOyfya9NPHA
PuT9SvnA/zjyUIr6Qc6Grz0Ni7y3EudbLLqT9YrwCcQNzy4Z63jZ8NYrSTOAslioANtOe8AvD6y2
rUsXg7+YNvUCGmin52nFkoYcOdA0DH1U8qjVqoKQUhsbeqlQQuyoOYTTutS2DvF4BiYyezz/vSll
pYZjfdvYAcmwqN79Jb+Wc0XakWj0mA9c5NdFeWKOf3A8YvskbJGx/eQMP7pGFPUcB04twZ6gssq1
+HoYemnn5Ik/pXkAyjxscYWKr7qmRXVrHUoe1G6aSP1bzQezBN/Bxb4QANLnI9Pes+7g2lHVwPbE
8xSZy9tNTBlqI0wnK4Jlxg4556FQg3FkY7TAnxZvfVGI854qObQxb8pmONvyblrqH2s9r2OW4Oud
dZXXyq5gUm5LHHP8pNFQdSUIAq0m/NrN6Vdsvs6I8V626xG09BgTlUFwsx7BQUul3cT36xLD9wPR
pr+SMceGpfz5N/6ozEQvAd0d2QRyoGNn7Gh0FHKSi2gvRdG5nVcvY69dWBGeVQJSVWb7u2bune7K
AI4ieXF+dLqxBLvM2GHus8A5NKN2f2JMH7wFkjyIvDCF1/C7eI2kDyVrifBZF/NDLq/stDA2g0AX
2dl2yNstzHOWndN1pqsKJE4x8AeSg3JfkV3uia1dr2EvnBiWqGyPdmaGhbqKQASiK44r30zFjaSp
ezikrf21Sm3MfbJXglQBnUX3NA57HMTSjeygNhElsD10V1Hys7Ok/X8wErqKBkR6UKZ35FgsLzNj
mbp4/38IO48lx5FlTT8RzKDFlqBIZjK1KLGBlUporfH084Xz2p053We6N7WoykqCQCDC/fdfYNFQ
hpPqXmNsYurUJhgexJLMwZs+yk+QWHZZm+50JmNxoOc7Q2GK/3wx/+2dwQcblrNqVP4eSdHN+BTE
WZDetOZUHpqc4UNRvJHm+g6OzNhPwYaZ3dzHTfQd2Lvo4WFZOsQGQcRlzBRMv7E+IChUoYaNY36z
u/U7fjPrEWo1r5/i+jZacM4WQx2LFG4N9rNb80fNXjbtu29u7o2WUX2OafDm/xyy5AGXmn+pKP9L
hQO2R22Dwhsr3L9iyFo3JVbP8XBjk116WkugY9uFVlLGnwmYO354/j4gpfSf7+9/wYVFKgJxAN4D
XbL5n3vSuiFm2CLM80ZLT49pGwpojdEGti6YC0tvo7B2XALgCP+x7OyzrP4toeP/cxUET6meSwX6
/OdVwMbGUTV3WHIbiMMa4DChB96DOi2zZtmVZqsEUEf1AuCzdq/YQILy/8vN+HtjDvakOBQUmHCC
PHW0/D9VptmBrVX4JN3MXRucUs9beN/Yblde95TZnlNtIaHEHzDxsDspYUzilXL4l4v4O6hk64GS
fQH2giv9FQYrSxeeve9XQqnuypi9kjWNOM0Lqxj9O8PrR3U4Ff760GOl8m+fD5WFr/mfWxEULZOg
S5ATXFH+iivNGHQazKurm9mAHKQaNFPVos0cffYzJjxq1iQnl5toF3xjOhjT4LZ6GoRlRZ417jQ7
PDIq+LzNfoB9fuHdPrW98Tx6b7Zr4/o1F59LyQS7MbAEIgtPdZjVlOAFPFyQoIFUopL0G2iTRocJ
U280N/NmPox604RkA5fPk0lghk9KuSrIojH+ZcywJs0F3ESqtdnWpz1/9V2z4L3SgVaXyYTVTFf+
UhFhjr05yLbazPNx/DIX60s/5RiGDPOhSHFWUlOiVdswSGgDSKuAwm1hUNo1q7ezWo1mWfH2Kz14
p9u5U5BoiVUJbw/Flak1T5hK5PsKT6ywdtxLtviMrLLut68kdg2XDEoO4dsuKLRKBAQDHqGRy9gd
M84NMrqA6BOEmpPwG2cdaU6FsQVILmB+ZTCnM62dr/A5JqN4w2quhRVC8SnsaIvTdBpHbwcj0jwl
1u8xJkNXNkOcZm4wKCnDpmXKrnrVHqPMsBgxEDOG1TxmjvdbHsdQgBJGkWdD0SPWO/8sWgpQCn+1
+X+metue0gHvMiC2i7ktWD4p0KA0CXrH+QNDxAE42iyTp8rOlj2+crs2RSRluePK1qLNhzRxEemv
jCEEuTC2TD9APWXci4PUCXoInlH2efXHQ57E5kmaOwOHgcn0LjYlU7ymRzjpPP6Ionv1qHLatNwL
RTbNVwX638Yb/BcYcv3ONqOD6dzOefUd5cJFwZfumN5qFfuL1NBWYq+7Mav3aup5HU41wVMWkzcD
bCK1mfDTm+q30mbi6sQpo34Wd8EF64ADirdvWvuQjumnlPbSC9jJ1CH2gE2Bn8R6Q1k8dckj5pM4
QyQ3W8DgxoINkC/0HgBL/XMJyi33I1eEbfX7Jzt5zPNnmfT4Mk3R6rugJgMHFOtRrlSmBgICGZyh
rB7M7sn2Opuj9pC3+UBc4tIe+sn6FhfRvdFFxm3aVcF+Rl2JqXxOX+Fb5xn3Ny7PAQjmFBQOnGVU
0RErCcQ56/tg9vmLWjIxBPA2atY7DWEp4hVqgDj/mNIszPCzdpNxffer4j6aSoytM+ysU21+bovA
vMxuae623n6J2H/CpJ59XCySKPxfBr1hg64VQJD0zJax55PiN2t9EFaNQa27Zf291RfGPjFQg5a6
lT2uRXeKIbf43Ty+poETX5kTmmUfO9/+rDAA3jX4IflpdLe07afM74lV+NX0eGQME23AmGw9FAqT
AYc1/Gi26q2x2ujR1MvHoU3f17Wwz3Av4r2OF2nmLq95l8QyHk+X3L0rbfykVL2t9+dy3EqSKdnC
ihIq+ZpXR2uzD8lmQnPRLCMsx/hWOmbhuXT+yeiCY1mweq2BPXPCcyGccLOI4/lW3o6uru8rKEZX
xD6vOZnhLanGU9/1TGn7zFyepKHLG178rZkPbcruUzTQeeMOtvLscf2zXX/YcfzFcDnNyhSW0oZ9
Fl6WC2aAC4smby6Ex8NQrnCvxDnypuomOB4+PlRG3KE+trDLmHPTOszaomGS4s57ssKMcqpuzDG1
wg1xwlkLim/2FO0pN4gKUOPD0fw2dPspdnm9O7ZtN2mL/WYOzglW4qmowHG8dnbPrpPCUEJXmepP
llY3uwyDppBB4CWxs+I8Ln21A72cD32Bj6W+mCccPk5GU6hxo0W7UHxiFU+OWP8S6fjIC2VTLzvY
QIrAJL1Qj0StZDy3Ef6Ok9/+Su7fYpg1G1otr36KEqgQAA3MkqL1GHCLik4HB9ZzxfOmXEx5I7yu
fkxzHOqZcOOVRp8RWl6zhWaTHEbVKyvK1zw0n9EwHmIjuMizMwLNQVo83y+q1dJ6DsMl+9Rn7I+3
e4E3hQmbNu1pMqOffrq+WROIsjoPba3/Y0frRaafTOsZ0NjVn75FvqZISFYfDlpzt3TGqwzRpQT2
eOedrLgv0hK3TCBWY4o/i8a/VTWUFmtv27eZaelMVbv4h6wOfmCGz7pNaExxcWoJSee8ZCtQ/6+P
b+aGGiQ2QSWEfab+n8UX0Gxnt/rtl7i8V6wSC+Vbs2Jv1I6Tv7ukAz8vX5+AMRYXG9pSFt2vroVR
FBmgDINx51jNVzkxNzWnrbJfrTl+yFlX2ZDV1Bx5sJcIIo73Oy07uLaW/TtXI25is/m3YHkssuas
iuU2VgWBQhv8+EWndbEQeKWw/dAp4utVYFxoZs8ycLWL+sekjY+rvXEp1JqikZHywfSaP5ndHhdV
JWio+XYpqCeuUUqiuKbtXpXj7tJtxwGLbiTfTTj0eznZ5TRS6oQisDvMf97kYuQhdmV5QWPAjmUU
x0zPaTPiBktx1pfZRJ9dZOHV5C6PqZfCk6+RFS+6c+TnQIaLYx43PgHT44dhYuDdFvPHNma/C2b5
6EQc0MabMoMJZJXP9tKUh8nsn3EYDZAJIZVtpzk0DA2ztFA9TbzfAOCL+RdUYRg1aEXUil16c8EB
Z0IRwNkjN8JSaqfS3YhXr79XateQNdpo3Yw9jR2qSm5iIThalKCsAwbPVaNyQS8FfWwOuHw/jvfS
aWl5+dtoI+YI0fK1a70fcpqp0sJQq0w2i+ugnmehChkziPHRNyNKJ9aVupIGCfNOQ0smt3o16yOC
ScaH4OJKjrMW1isLewmvHC3dWhnYLwdt5H2XKcSoyAArSdP3Wdm9l507hhTBbCCaf4jb+Y2hvnMw
sSHWVV0CsRe6l1tsZ39doEvq0a2GE/1pDv2ZCWg+bucuFVoeZtE9s3325GwfVz1GTDp11tesDst5
hl85W/7uMKl6ESceY7yVc33H2/1RjA4+6Am5AtiKqSPfVAqk3PiYFnh6MjCR+QtbzgmQTUMGyBf1
jPQp7drvg0ZNWzrDEOqj9p4XLcVXMoTEJ6D1gXRxlKIAOEm5I/0WBHRyVzafLf9UK56EAH4wYRch
qe4QTBqbBHl0eygtsENKCGF9tg9cpz0iK2nQvgAelbG17ms3/qzR+6khjzni2OeY92p5q6UkhU+G
rR8PD6utdDjFWJpnGyNXv9UVlUABnxq8tZ09b6zDtS/22AQfsti8t2YLu3+1DYxB/MPxmpsOpWDT
6/V9r2bL28yoizzH14LoOExHvxT5fCurQabVmlLSWiNyTr+FDKJ+WL6juuHp5v+hZuUby3wg0ctP
Vcqaw9AgadYaDiU+dlKztE4doJnX7LwSItd1YjVGj1G0fVeiI1Vpj4Z5j6ELIKYakGNQbSX6r6Jh
1IA2EpNv7BApSrmNAPFfS72qrvP4wWzfthG7srJEPOliKwz12r2UlvWEAPuTbD/SOrLyqQetfKgc
BDlO3Dw0eDM3xnuNJeKtlY8nb+nMZ+o2mnt3VxR06rjNsjrXFyLb54PfBGWY9d6L7kYfVOSI3RC5
WWbTnAeHibLuwZJjmTae9VHk63CDjx6xIlbd8w4X+x5QfD+byxdZMI09P7u8sfilfopucMpY/QEv
+m4cZuN2AExNA+PNjvkcXztPaZud5NUZ1AokaSBGSENVm+bFsYjK3zCUzmN9WyntNezxBMnxu9xw
mSgmUw+k5HdX2B+Hwj/tOlUXRUwejD0h9ITD6MUFaxBeUMUY6IyUhr16Jqr7Tc6EyTWHsKLtgo/0
3Pg6xKwOoqjaT93OeSwimx3hoOXxi5Bq5WgUpFwt4EFpNXqreJ7GvmTEsTyD9fd7qcQMh7rU224r
Y30lnpt7hAYvpO999idoO5t62vDGdrEdPyda+yR91DQNP4xiWXdBkBzlVb6OedSorBZY7Zc1GTiV
QboYCnjYjY1BV+vOkGqLT6aB5S5KB+2ozlZ7XiZcyJjgesEdxsTNbZWNJwc44iZHygjddxqPk7ea
B9OgI5eDs88Wfmcw/Na/YrkNnzRhqiMknyTJdkzL9FOuph7rsnxe2UcDUTRLtUH33gyKJ5YlMtKp
OMDMfIxNJPnbypNuIv77Buq7T3HhDXngNQTdjJeYYgta0U9Ph9ghxHo3SZsjaQ4PcqQLlJauqhnP
ggNcN3+XBeWyIwHqtm941GIEEADS4j/5nXnVemKAlO00bQGGw0FJygFeXOn9g2X6OizWWd5yeYGF
UqwKEyZpEForrCipOO4Yg5d7G9uK3crhLNzn2Cjedb1A0rq95A7kB9mOMDZGzoHYEmMO7zarL8ij
UF728W9SkuSXDwQfeWX8SzZXudq5pA6MTeMcWLtoVpMNlqvaYNVT+6R8TTjh81e1wGJPe4WVYpza
MjB2PtLGoIlu7IRdVzeLnO11bc7XQ7ZEhgDlkPKYc2HLO/3YNEzRJt34c32pS+Md64D7fiTcRZWd
m+GeirGNw2axvuWo7s/20r2k9abjetmXe2vbvCvjt3d946zp+mVQEqv/vaVSTqn47s1r01O5WXeT
vcTh1P4aGL8+2dp8N6eczKOx93MQVB+jGdJa39iXAIhUoYrV83u7RWMos+C8mp9W8gJ8vG9eo5px
mHsOauWdoGZXZuE/NyXu1+nQ96e03WE9/VGU8Z2jdADqaBE8Fjs6DglVIgzEw+CTehCqkbq9geI8
yIoWid02GgdEB8OOgzSFZ7vuk8jQwj4PDbUJUseluyptbp0MzFfL4ufIab7JDHPw272XtOsOmQG7
uTkz3es4NDFeZuf4gGl+UWhYrvBl2eRbBuo7nZUkJGul7ZMWTPYRvdG+Yy6W74T/r84ZrGQpqEIp
/L2ygu/UB2HSGF2oqCbY1XBiRJVDZPvyNdCmZ1m6BAjc1W15btmTQ3UFfpCo+mC6SK08rsGv2ByT
nSrlRZ/amb/jttF2fv5lwJIyHAvAmEYzoH0qHYNsUo1X3gemOe9WezB3PcyMmkjjnaxiUxE1Rpcp
qz3ARVaMQcdof2jNdSdpOg9fda8ibovdTo69zPKevcB5kBm8wxpjEGXc5gsSElXXWWb8OhMwcRDw
Yq2cJy+2HxW2rc8bo3H2frn7GqNOIC3ngn0RYHygRJEafsAqubTJHkxzuhUAZkqB5jHzRWYC71fJ
KzfMMcjAOrs8JB7mkcRiHCIXUDIBzlofJu7ghks0vm56/wHemaN70MKqDs69Zj/gFrD5CA7c7ASw
yhPtissAkgHF8l70N1VbvBX+8s77vx01KLJHKFN4RAzbt67qGTYogbyxQtqcW2TYSnGk3kTiEazb
0rF3skmVTK0BxJh+K1xDCmvMYWtSioLbMooDeBXHrvz0UcnyAuFzLAXNdQpO8UqYGWdX3mA5jgF8
u5dR3eTD9FG4huxCowH/WLFZ1ZIUbDK20s+uiUgiJDVG2S/UbR3d9lm/7hlLh7nmBbusse8UcUf6
OSGlzG57x3lL+qdt/9lmigEROAYo/cs4osVRDgD66LxxR+Fg9zVWAtS2G5zg0MJ19UoznZCHkLIx
xK/w8eHPVGS+s9/PAmhyw9IYIN+HqykFkhSxGjBMEE2YR+iLd8BvNEOpvjppdRwS4hTGug5No3vF
1/x+VVWdHymET1Fzsyq70ZzHOE4f6zzCQLRNPhvVvKu9d7kdYGhejWq4Y9HtUtSXOZ/W0HeKO4J9
sAcYJvbhbrqhrYJ+k6K0UHU/78fBKucHvGVfZS0xQnkr1nba50UUztRrU16FzoNaMVsSsVOr9k2a
8YWXB3n3nqT4R7e3v0uF4QdIFbbgAe0MRYIPWcbEDjQnGEnD9DlQGKYcX1LT5BNbv3oyHmY4Byqr
54CwlRPyERJNN7ARe4UuLW1TtI51mFWkBRB791QTC4TotPsajNSf6mqWKXlJxjTFoCL51NTHkAVG
A8L+IF1SZCQbmXzBRxCQLFUqGsBauW8aDrO7SnGQOTju3Br6xcQGWK04pa3peJbNHsP6IyzYb/6M
vSn76hY1D1KCRcH0gkMJFAilvFMPYqAAF98E0Y3IMSpqLz/C0d9vXmX31FaKtWEO1TmZqNFembHf
moX92jSleRJkQs3s+EyTFKTxpTe4LOj/8NWzUxVzyTjGHuS3NwR40Bh9Lwr7xefRqTdviAlTI0rr
iyCsEEF/5mnxINicaxEdpOX1F6n/h22DUrQl+75lj44SOCJz3ocAXNbduhKjRoTCR6ly3cbEPK/O
eJGqaya8PsmM+mgbNIxlFHXnzlphbDRs+apsqTzzvgAWvYU212GaoV0wrfkffESgHdU/DVkLv7m4
W5R3s0xb5GYryNo2FuOQ8vybiVI1YWtos+psZhbTV/N+6n8nI9ChanZ6ThnXTnTaUVb12i73OvwU
V+tfNxwKlmglAkKhPbpG2GEEjQp3QApS9Xovjf4zKqeHRd5Z4znjtb2qFVW3L/iG217qqi9A5xji
GMgEl42IEIUxIVRGqK2WmdR59dZl5wV7ku2K6VZqLjJhZ3Vo/Bds6k16EVMcCIqaGUmQR2+zU16W
hIS7NsnTI9BQgoWP14ZKfiANSY8aiRkqyeGGDleCh2635Wly7RfXz4qdZtLhxNEQH8em3Yu+ac5z
INTJuSots/WAMdUPVV9cMaSouJRJ8CbVqbfM7yBwY6jMTFSJoThj2G8wP1H3hnDD+2w2QIEdyl8A
pxfTj8rbaHm8lhGqe7h20L3Lk/ZfZsd/66al281n2baldJGLWnR2uIlUFmkvXacA9zWoWODGAu7N
jLGrKpQvLNt3a68lDlXUwOpBCaUw07UfG4ZbS2oRMze8CcQhN2RhUAKhIqlDISmZ6WVqOH0GqmY5
Wsp2PsMtyDjtZ56HY30MpRUzMCMjBGtcKSblj0KLD2Mwgan7wwPmIS++m9g7EwOjjtQywjl1zlL0
F6UetoYZIrbIKZqyY5Sk8XENfsTlaIEhoyzSivyXkzWnrEeiWZnUovROkNXYOKiZh/JIPAd8FAcy
CybkdwrLq/1DQuR17Y6vAUcU9jXuveryBEBo7HV5Ql0MHTBqvsV19KSWPfkg7DdkJyXB8EN+rneQ
tYp4bXKAybj8j0RBLnTuk33oFEItq566hxi5mNBTF/uBQsvJ5zTAjTyjaQ74w4WyF71vxPZRVSb7
dEChYLYYxbQF/t4eKUdaydKpgVBM7ax787ITEy85jSM1hnS05iWf+5PwbUTl7I7u0c3S9eBno32s
hoL5Nt2dbGB5TSptBG8pAilu0/bJjU18Yyht5M3S6GG30XsnScEEnSvfpB5i1IQMjnwyWWxqw7Sj
+Uua9C+F3j/Yc/ZS1cRfZcsLCT0QO3va1U1bfpMMhKRli8p9nSbx3mn9P3idiKr0airUGm6okyJ7
VOWsEuXK8vBI1HH9+UUdBF6q/CQUOrWAQZEolF82tT1kVDZEOoEnrUsf2iXa2ehTNjtBE4gcRB9H
UoL8lWUkKWYL8+3c5wWs5QAxLe1s5DZ33I+jo9zUurHx9kSwH1E/XOS4lPtljRY+/qBC1xaexUDk
xddFzSRM82fWaOh2oyaCrWzcDaWGtob6UbZX0VFXwXZuS0RvOIaABHV0AEP9xcpmJMOys612/KkO
VLsdyr1e6XdRwOFU9qREGOb03CvgWQpzTFvr47hgzIRknmNcNdxqN2n7qjtgGPPNINsuZIj13LTN
OZpT0mPnfiDulvJ+tqHTlKX95vX27ZCTvyEno6/4rWLRo04IS00SCLi9r2LwJnVRDltsG5c/hc1C
LJB91nzOSNfJL2oRFHVT3Y9GGCul9srcfM4wEqc9ebXW6SiPeVqbbq+Zy89/4TP8nW8FmwB1iu8r
EtjfmNIz9CUDD6vqxrGIW6oQkzFobhhew2FY8ulCMg02Tfq5JcivLZAKi5yzaIv0kK1LOOCsEaXF
9i98K/PvNAtHD3DxRFNnWhjf/oXA3SyT1RVdUN6IrijWAVfqCSZo1z1h3Y3L2Hw/+eY9AUc3oHyg
iBwF6UJuoc7gVSX2USu4VKH+S2xVuJdln4qUIW53/3wD/04McpQK0fGxjla0/7+aKGALCRvUyv6H
D2J8GF37PiTRl86AK7ctb7kR/Yut+N+VyDhaQGznE4VE+RceTAvFuXOR7UDxj1/LPHm5MsGUwmq0
jWk3m+YxIiYvzLHy+Odv6/6dB8fHwntRmfAOEoe/PJelcXTaSzeH6U04DKq50NGzr7mDNl60DZ12
j4Yd76wZ1IFnIvombWJICZyCcM2ESz/NWEesfhU2wym1GPNlClgXQkPbTNtuJskR71UsIdQIaaw5
3IVsizh/N3bGL6NK/fuiPJEsUIUyvpG+riT4umf+gHE/I44ZsUFlUUNPh3FxiTahuWLPibfqAlTD
tCmmoMfhZ0p++0qw3dKq9ZPxK8AwgJXNe2vUJGOlqHxisyW4CGKyKkliBQyKE9tiXKqmdkIvjb/D
1fsXnt9/kTDgyKGohiJ1RRv1n2ynWXNJn3bH7CbWWPjWiO4Ist1zljZhD4SyDPH96hNIugYpoXVj
aBU5/QENbuCxEDQLIw0zhsahASYUDq2zoomp/Vlkw6Jr1nNo2NTGCcGQymlSEdhKjDa3ru7/TSIg
7i7/SVty0GLgY2tDoTP/JpCFs+AsS4l+kNERiVD9PTJP9DFqQoK9ElaeFECTXrwnNMYuGyjpDk6Y
2BGzKy4aNRTeAtF4ou24xVe/w58AbClSp6QgIVJx9WS8GrX/R3UzvpqWDH2HQGvavl0hNPVhLQki
3mwZR/nowd7ukCDiBGQi1lQrVsAtOswGHDUi4j77lAJwZHnlVEpXnvoUECQ1e3/woiIsxuBMV26k
4kwlBR5TFYCvSD929vDb2yov9Iob0dqK5x5RU4zsuEjinuk6iGOKYsysoraboGZpN25qPKuICqlN
kmp53BwGVzZvCVaPPURxJpJaTlC48i5TMxtPYwgJJjpsDIUxyIQba5Qf3QaglpcWiAKziLzSjzaB
pwtxj/gQwB0zhnSXFUTtdbwo+vKndzWiMby3SE9+TWX50GIZMri09q0qw+QoT6kWSJ9miDMA3OZm
dvfPG8x/4SRjIYdi08LZTTedv+Y/xKuz2EM5ZTekee96o025ApYmsTh1m76KNU7tbqfB7Z+8GYW3
G0ENTvWBrth/UHu8S/BTj3nOP18X3PS/8+4cx1aiLifwGdz89cpcHmcxZml2Q4hqcmv7X7xBp8Sl
tFInPFJQIFYyUOL6RZjcpIyf2owuV+gNLlQWTF1vKvRyFqy+HZPU977RrTORemwttLcUEN0Z1LC/
VcPVq0aG1xmJEc7y7ieuHncNyPSe2CM4QFrKPrjht7NZ58KNmgNexB5r4Eo4E9aZepOkiqrG7bP2
/DtRjMj6FLaFquG7qHlfWpKh3I69ZI7Sk0n4zhF3d0xaFqTmyiPG6KFPjbhMKtCwtG2yx7NhPxF3
HTByvBaV0peTlEXn6BFA65S/0sDb+8PXiYwuBuXMEnTIU/teJ75sRsvqO8NBoFq1ZyXxiktgAwvI
cla1yGFsKJYTdJU17GwMDz4TBSq0RcaUiBc+9Ex2hb5bLaLOCYeeITnHc7vr5hIiBpuCPY8fVdW/
W1PwslqQUuOSl6KMMHpTnT4xSHAjgz/ybqv73RFaurPS4kmAU0Jeb0gALm9yaCOxcd+YPyMNKxpv
JF5+moj4FP8hdT8ECJGPlN66CMg89LvuUQgsMl/BQM/YVwSJqtG+AGPyGSmWVXsjIxHQ6ZkyxoSR
iG+qYi7q+rDbulk/QDy+dM3YMZTvYbKwUqQNZrYPERcjs4TgyicIODc12+SBKhrdD1mKyjBkKNav
TBGrk0y1pN5shuQpLjw6TUUbhVq/6yD6y8cGioQjxfzQeI91CuFN3RZcYN70EdzZ6pdTrpP4JV9V
qukRJA9hl7ebje4oC02UMI1l/aSLOUkHooZkajf+v18Ndu4Pc5we1b2TqYD8k/A9NXvi6mFElZ77
JkPygrBmVNH6q/SK8kXuYocJuYwG2+K1TYrgKBM7YVsSsvFroY2UDbaNLLUxcw5Wqhd0IxyB1NIg
zCnqYcNVGxxLfcoTOC4ceK46UCaW5pXwKDdEgKhkva0JBsZf0v8elyZGrKSYwRzo7roqeU85omQV
TU55xouVxn5a3J23AhZHyhrIWcmBq20yXhXynDfWWxbgHtMro+qsBUMvIdH08RTd2ppzMjv92VFj
d89aqWXS5moEIKOJyZ8qxkunaGMoJ3j4bM+/YwwbdnbRv8nPZPpAc1vdCE1X5og4RvcgS9l8iuGW
qqaqRURhXFtQ2XdoU2qOUvc0zPNNapbLlZ4/pfGL73XplfBIZBWrgdsnww9ZG2rO4HS0lTEJhV1g
oZZmjj6QY75fu+Q4+9uzqkVtO7pOBWUcJDOjK29lBM4ofO9bVrUkvQ/FvfqtbYlNHcnY7TQ85o77
Cvi1XNG5HlTErYjsjRVJIKEE3pN7D9saPYoMd5taw2ZPz8+ZkT+uln5OS/cQ9T6iNfuLnKXyUsqs
gkT52veXg+ILqGNf6ofFg3cjRZLLgFJuoTJq1ZX36ph6uwyui+N+W1KdvPGl2ruDPWBXAbi2YkJW
+LhTVy2WlIHyTpLpktXV7muBLhYsDnUcZuuyVqRcmNbu5HTtrSjxxMpK8ZJk31MvhyweqZ8FE1LI
iuoV1cWKCJU4lG6njQ3xwmT7mtDN1ShZgE60U5BmkvkF7U+7F451rmOMVlgf8j0nw39q1oqbJeUi
7Lt1eIlWeFSjmgEIdrNsURXmPTmW0uHWY3koJvDc3NPexBWszgiKIw0yrhKXhUwed1znF/EystQA
jzqaYAt9L5uC1G+1kYPwbNWXWBVbBFDsimgp9rjMoD1OsMmlqZ8o+dW3lyGRfM/aaX8YTX4z5b+C
rZ52XYbliNd6v+w1/0j09rr1qFGL0MHk44r5UDK3rjGnSDpKMdkQlb3QRB6gXi63uA6qfF9zDZuq
PojjSM7FkbKNjxUfL/MTVaHJ6ExKxWsxptSsnQ5Yro4nYWlrGiqbrO1vNfCOq1+XmohW7mTvOOSI
aFdT0EKrb2EGpDvLTPSbXhGdrPRHu+mMcdC0yfeWFTMSRbIbOMpIj0ZUMfpOL1RWWbVXKGxEqjf9
mo314E0rpkDusfBv3bl+WhBLhVq7lOG2QFPSqgEXF89CSKcuoQVLVCTwHBhF9hs1mSQE/CNw599q
G8sVAUFmfOoJNMpULPLmmj10epBhBnALHu4klalfR5Q97EZU9+6T0ZWvQWTe9y1kXjUdkNkbZhTP
rVY9rm7W7ONZ/6q1Z1UuTZjYnAixwnx7CA7JvFHjxSg25u15HH/0UJUUqOsEdGWy9AS6rdb1HRHM
XSoPQPmgdUN2Cebyq5U0PxnnvKmnImCYnMPGeNMnJqmrCq+VwidwuoNTVveZU0RQk5s3paQ2GnuB
8eydvaAHsQ5YrsrxhWBo5mjUyOuEN3fs0o0kvX2IyIY1nTsgE7L6jPYMGs34nxZBarhSzab71l/2
Yw3HTfFtskz740cxdJzmQ0HACHocpJfaTWWwiOXMFEaeHEVMMBYFvWIHwiVDNCwNdFxyaiirlQoK
FGl+N1LAiW1Q4s5PmaMLG1vGjPILxfPcqLO3KPPeXfUmyj1TA5aZTxfNiox6pAiUSqAYty85Wd29
msziFHhAw/8pn5N22X3n1XeNGgyUMJUpvOwb6ZgzjLXCoSrfdOVjI3tybhEqbIDkyUWLnroLyJuf
SpQiKAtOspO1cDb+bMbin5IN2xHSiQk3HAr/mGbD+tAt7SWhS9e1dn1fnGrdUYM+qwXpFD9J6Rle
g55kCCzXcFJVBxA2K8e+6c5pALQQQ1BhKLdryyS+awpCEyAvhI43zwcPouh1wKscK9XtKJryKerJ
+YNZt5zkTpj1cCwnvgFy432ieJbqTBLeRcv6aohYBKYnAElNOrfWel7zlDkpjCc1fJHCX1s508c6
rd83XZHgnf5hsBUjvp+P3YL7ECeOeKw7hNiHCRGSio1iab+c1HDxIMKhH5Q1FMVvsDo0DsbypaJu
YBjf6tCr0xgScDGey607yehD8FURPLjLnzxp2NRUJSkQtoxFpGbL1OxQ/kGsMbecZti0WgQ+YBzi
aSQnu6N85lbGIkLpUgMTRacDicyS9Prfkz44mX0HpErNgmsguGoUQ7gszZdlBSZXgxgpNGSbqBUr
VR00bPz7toy+ylS4yBxkBz2mM7w98rlzhQ2S00XuQY5C1F7rgTDQm82Yg1C92xlVys5cICXQVHTz
b33kMTBvv2nAcc/zwHCxLXbJ1LR31vA+w7wgABMqG6BNVG72yWy+y0hNCi/aFYj32qpi49lnFI9t
VB7CrcVi9BBWi76fWgO3tgY0DV+eQocTgsXf9Jjbyb3RdOl+VtUiIMh77i2o8ZrxocWAKhxzngy0
axlr9LYeenFFBlFj5Sd3Ze/ntjXp1uzTyn0RMFitMbOaIJlo417de6kLZfOTM0HdPrW+hDfepfmv
suTMgVL2SYY02ecv0mfUXlyHboNX3GRp3v6rsDpE2T1FZX5uBnhSaZVGhx6mwtDQxCymuV3NsLUi
Gk6m2a+hNnfLLvFgSgmpTi5Cg9x/0IL7xEMu0dzYLQ75avYc5+3EFN744sTA8OWUR+LGrb6OvE2q
ipLF1i3+7wYoex1pJxUHQh2t16kP7OQ+i75qNfIl+bApexi1Or6RA88AC9h3lXVTBOvFWRPzBqHp
ejE1EuuupBrF8C2MJ8YGw16qQDkDjL5+KzgAWD7asfM87dbkbLwmuagqi+cM5bw27YsW2JfGdv0b
P6aehF6wlv2rqyUFI7DqXgbkyWjd4WJVP7SN44Gq0hbRroWt/FrXvlL+7DY+zUM5n/24esi25kUs
E7Qy/x2gGbyOR9XbFJfGH52S4NiOxQ/XrOyL7cbvjpvml9h1L66PP/DADE9p+q7nrPIBqHAvSQmn
vmXsTSgPcAgMALpKJj1mllW7jSFhKDKzKiDeXJ0gUWIcp8GBiUO6d7VL3eguXrRvVX4v25lsbnPL
s7MZcqpcCFVZCqAmO7+8hZtwOTrnfhxq42CnG6RhBtL27IX4yZNqoYAhIWw7apQBJFo43Zuea7DW
LePd6Le97D1NijnumFmf80bqrMLy5K+lwvbj4ZvvTd5108qn7dB7uXFUu47QTvGh0LFivcM87Fht
94tWfRO+QxzXd4IdqKFJ6c/WTeWVZMhW/W+zGynj1sGivy6bvZNoBjG19qAep0XELzHBVhN5Rxn0
qtSXY13aX2XJbmb+s9/sNJyDzAL/RQ+Vv171CM5o7+r/w9h5LceRZNn2V9rqPXpCi2tTbTaZkTqR
0ASIlzACBENrHV9/l3t291Sx2qrG2uahhgSYGcL9+Dl7rz2QAKx6OHFJUVp57lz8s/0xMEoDSSuC
bBnVQfaJ1uDSCyGQoNdKjjzREXJXTCIrRG3IlawFNEZIRiczZNAuDhlmQdyEBercIM8oLZbveNrn
tVwjWq6H7IrDLcPNmS3fe24sAgG2Sb3R35x0KB6y5Ar3sYKWJJ08hNComZeQr85Mncq1xTyFGwhu
3LOaprE/VRnfSZ2TjajaWhimlOQlESYcmOXLmA2sBSgUJAqCnfaTjYi2d/gcL9YT/rRz0br3hIxf
uqUxzhUeb15d86Dl3nPsVM31sCg1p0s0XJxxIW1KK0hqF+LPINOJU6rHcKUFJKenzSNMapWh33if
hGm1AyLDjMFD+4NAayvVr+Ll61t1W+pEtJOXuO2xi+/axTm7I9ddLimOW71H+IP2mQoKmpKFdgsI
6QShZz6fHKKFmx79kXjcjRpdlurgkhNHah7XLVjCGPg58puWmKeQ15x+5dmLHcREAgstiybZQtKE
t8VdwtfSDB/kCWEApb9xi+SQGdVpRAEx4t3Ma5Q+EQOQBWAfXXhMYU7o51GEcCi+q4SItDIhHDvG
Wi6VE+TvNQHlR1F+RotX7eYGL2dFM1zA0GSeT6DNn/BCzwMR5Rv5tipgvOtARYzMt6KKe0Squ4XH
+Gq7t/K7yb8lDzTq8OgYJc2xhbN86tLaCbPPKVme66g8B5a7ESdN+dejuv3R7po0eHTzf5GhVMTb
U+7RHRL8kzCfTqybYivlOCSruyHQ7hsm0VeXj2FDjIq0Dkgooi3Zs5AHYMn3fugCpvVxXquMNF5k
EfbvzU3IacR3QTH4WkTV/VWoJ9a1if1R/jZRoEigokQzS1Lj1JcfYUYj1lGwEkTKrWz4yFVM/DIp
GZSdMMgrO9k44Wf3aqbgRBEtMWMIhpU5zRXNge4mZOAP02DTzAoGFeG5EG9JJoZdNlsd/pZka4r+
R+2mKkdnpuFCojkJoXk9I3Ty6LxM6N0PCxIk2bCQK7pYtcTydt3uhKlP6g9ap9u4Ft2O3NP3Gk/m
canOkw6m0gqde0T3LocBapQ5tBpmJV20obOE9EM0DNuI0KlGBUkXAE8vSXZsGmSxWulHHvWXK/yo
3ehropVH39Hb2fV9akcH/JjJ1pt4ZeUpa1FI3tLL/ln+gNDXyUddfG3KXx5FYvlWStUUpyRrP5QJ
iXSHBhdkTO1L5pfsQaS9fommrsJBWnrbOipU37QIlwKT6NM7eekDqDkVSlVx0paNbjkVkRpiY54P
uVIHW3GkS/oAeloTNWveHRTfebEXy6CS6unaDrw3uSREWnhpewik48I0ZGbfY6DvWvk93/lWXGpX
kpNV8kJC9U5ua6jvMHawrHmxqPBb3IDi+RVVoHhF5EeaTIO11C2YOoXAfMy22qqxXrJxaK0Ukko7
hAFkb4YMfgoLziISeiH+SfGwyUim1lG28l2a25BNCpmvPMJnHlVLq07kC1mVz1fFKpfhAwhDTCfi
fs5JF4PTjI7y7Ja6IUdWG9eFkz7laZluapN089S1XlsFSQXHVcp0QemX5V59owc1RnjRopBDp95U
OBPo7/9ct9hyZCUZBGDcjWJWj86cdWtBbxcfXK5l8tvJxQ7XDaT1sMmvCnLAPhzea9VPlblej5Wr
+OrkPVetd5xDuuWmkPgoDSXM3A+nuWnW9ZzTJ9A+5Ts/8FKJ5Im7zg4eUyZQp3xUtbVtcTjoxq10
Esv2uKhum7Z5YqK7NPV3eZCVelQ7GW54AIiFb7xnV5ke3L77Iq8qg4H02QN2VsNExNd56lBMreOw
2gAXObYGNHa3SfzOYjYaZtZ1C5B9Y3HXZb0ppDMqtXWVaPVZvlkyZUr+eWdjzZnLvbxdowVPoNHM
0zDCyWSXzzKNMk0RY1StH/2QgSED7AbrhbDcEXANkz7ut3MK0zOtX+QBSUzh5Irg9Ger94j4NRId
92T4mfduLs+osjkmB6SDcgyx56/dSLurR0zAtuHlNPGnaxSi5KcMivWx9OqNBBS0Hb28tsHZpC6b
Im0DShnOfPKVEA5MeXd5pp9quu8Mfw8BB9K9a+kbE8crgHzTn3RKV02FzsoTajEv4tD1FGKgKDEq
rQXwS5Kxwoxfd11ABdxFtnh70d+uCvU2cJQ32a7I3OVR4dQhpM+yN5B4WYwJLK6I0kNX5MUUaEUh
4xhl8mPZBmyds/syE2yCbBwhgBymMRDmKg3Da6bZP9ocF0TIII0MzJvEdGGNC88xugwGy2azZsJ1
38F9W2OLYqVmz6j1eQWknHGQOZ2XJPJDVwn3sXVnu9WM+sV9CdrorC7aexXW7qaveT/SgtOOt9yJ
DvnIaT9ryKFM5+Kp1MqnAH/7qle+y9eLiQgBlEmpr7ocn5M4/cr/P+dFfEGG+ZJGtHgQApFgA8hL
dGrluyZ/TqiHQvuOxI5sIzvrmgf2JejmrRLSeYD9+znoe/knZefe4jECaC7qENl7IiV0O7bgvko1
4S7YRe97daRfrVr6OHpEwVEcaFe/s+t2x76f1bVs7c3WuFPc6V0qxB2sdZlwX6ZArREdJ/1WGi+C
KX2f4DKXgXViKGgexK1UjPRGrRQgYx3DsaKv1rFJUaMvZGXYS7/2qH/CZjCOZTPCn3Sq9xDJt9S3
zW0O10vvfmTKRS7McmAh+0mpmx3DhAJWlguWod0WHTMpdkEG/vLREspSKamURkjZf8KS8KUnTUWr
Bj/wNHqL3HKxeYnjjbj1sgAQaxzJm8oqwQdhWdhbVk05h0Tg9ONGB63QiI6FqTprtcqlJkAWXfKw
INpGcp+C2BVBcggwSYplVkrQpvzYaM1bGBz1nngbcXHEWZdIJJquhf6NlWidqfGp1hemmqKHKXYc
8dmcaRdY2TdNzCdtbcJglN/KPkolggol5E3eYXkSwJeCzXBIH4aFTz1GxuBnvfKD8Mnhpl7im1Ft
+x2ihGxdnspkoUNAY/pqwNWyektg0m6ezGmXANLrTfSb9on69F58XGkCt3olXXnteZmJfKLhJhvi
8v6jahj3kEsOVJvZkC43cmur5wxnCFb5qFA4g/Jdm+mSYj2yovHiCgPZrPD6yIWORiavpbh1Ykkd
idkUetTgWHrqZcqpq2oLqjvzdFxUW6IEXfgJDuUzRzxZ88nJg57WrxMAGXEjxQ2Rhhe5AwxWzgGw
+BBrXJtqt4Glk74yEvGlAkE3RTNU5F2mlnWjmLE0B0irlpPPoz8otboKRedXfLbMsZ9C+4EUb7T5
wqAx6uF3KxxvriKawSLTIDcugJu+4AEVOPyrN1W+7CYdwVWmHe2CvdaK3GmV2kQMIVcTefTlsXIj
nBtlcrcETrzqxGBQqybsTUoE1AD5vjCt5iJbRUibhdQdLVuIJ4pFzZwAb7gKwkF95YiGvWqVB6sz
QbRNzVWgaqTxZ6900Ukf3C+xNlRgoOH6yIsvoyfmOFFXVYi9xY6PuNinLaxy2kv9j37st1WWoKcV
HV9jxJlf0TXOIYw2OC2vVX0Xt916nGPF113UJ+LJEf8nv/oQ6GfdWZiW8izLPrPo3Zq1c9MLBTEJ
QjGvvPssx77lqJB80tZfpKKKDNPV6M7jek7t9kUcQ2RlbpJLImpjrRuCg7jn0kosjB3SVSj+ZSm6
Rp1dLx3UMx4JqQnSnOSiwKYVIkoq15kbNNyZ5tducW9kjSHHcJBI1p0Xv73LFRhA8Gc7d8+S7yLP
zPJU3woVmlRjqz36dt2waIQAsC9BPs2e+TbUuT9MH0pn9avIpgmLgqN9iV1KCcmyoRHWFGjjuvko
R90VL32uzAFt4fFkNC6vgYuYuXvU3OI1UgIKecM6DA3uP5FegHfJ7VB9FRgt5WlmDko/0MdZekjE
025NNB5jnirmdGWT03fOIs8vemsjq1nxRNMS34qLJa8aPka0nO5lRvsu5T1yEyrbiEPduAnH8KFx
kp3buzqUF0560mckK0PxdnIWOiyhbsrRg6jUDLW9V/I2w5ILiTigY5UVOzm+k4p6UegHIBga3d6J
huxVESwQcfINkUuolAIKGIa4f+Ifuc5fFQNwR6ceTdEpmWMQCTPqe/kTctaIZuw6dJRtJanmpUdz
KVz7Xa72LjgIFebNVfMgD29Ttcx8jOzK7vi3KEIhSChnGdn+ewzb5bug7meEf+z4vI3TqB8sAwqb
GAxYPV4+R8tO8kmWF3URhiepjZDXTGct00A4rFMv3TGLFodBuhWiKyqXwLia6W/oUCEEc3kUMAsx
+ZgmXrY2VPg5HqMrelThqnqp+ih3STHrNHR32s3dMVqyh8gdg5Oc3dj5fJsiFt8sAeT9BHHQynIL
QGhp4g92z3xTffTivluZ/fQZNlWHBj6JVgDPtBV8l6do1p+tnOFjYQq4A61qKnxWdId30RRBf/+2
djpmgocEPkanipWB86EFnFa+NdVMNVaZ2VuHK3U1CnyBGxV7ECwHeWCThaL4alKwIJdTVSwjaqwK
SQ/9YBiMKw8ODjSvGJu8LopKOf8W539P+e6BP/VlBS1LdHnIn2P7ZU4yWNmsUrLvxrJGJTYTxbQw
2b42bkqw97WhbsQ/L9sGcsAunraZk/M6Zsgvb4bcUuS233Q0ujdeg6hBvgPy98iRrvz9+MwZ9fM0
EMi0loNzKdDxRD8pn733SeVoLJORZInQLobKkQtQhPSqKjkwcjvD4O88SZbsMCrH3h2ueonapgZp
QkD9AmUrzTzX3UXsKnLW59ic3OXzdx0Pi6Z8XzS3g4lbQg5aFq3WQYmsLc+PaJX5du3xurDHySXz
MCa2dxxKjrlD7lzEuFIKasXiKl5DWXPLe97ly2XMQs48g9FtGnqjsnuBY7NftUmzkZ19+fZRkzG9
c5gMKVTpODvrDJZQbh2URL9RSo1bO8KJMzzIw6IL2BH1vk7jp8mZ97GKOMkLm20+5k9SxSlCWcXj
lRAyEw5Q74XPKHdj4UW/DE517mpOc4Ua+nK4EyZYBsUeEY7AyT3jpqsCXn0l9y0ynEc7lQBwK1MW
mAGbpCZs1VtGkOgmvZO4ASxUZeFmdqIXWRXLqkcr2juvGYnlgrA5zW98rtsSmwa0WLIS2JFl3wsz
5zdboAtkeAnEFvHJZcdXSIu9PrtxI8ZNuuB3sH++JBqzdM5VTzKsEmh8sK+M8CirednCEN9iVhWK
lfFWlrhiEbUy9UufN49yPGXIcN1/rWOyb7CoO0Iu0p1kAPRLchvo6Aek5Ulsw/L91MVooRfZZ7Ke
QBp96pqUWa7aM+s38T7KZwvA7adnzGdZfc71ckdYhnRmd8WaADO80RWwBwGaEaoZIqkzLkR9J0tU
WUf+77qYo36tmv4QxLSuh4X0xcXRNlIEQRW8c2O0DrVOwnYUMyjTRMDrooVHtRW8wBonV+gAo5fO
XbFIh320dc0eNwY7Dy6E1VRWUFVmUFlqgwuLL0q0JAdN8ppYW0VlZvb8XoMmSFTF+9k+yfGDUqw0
NJ3QpYx7SQWRZZd8bcQjN7tesGqN6xuxRNNDsMQX+dSniqZu7KuaLLkU0wjJq7anVWaz6111uuKI
IldMp7Ifhzq5kT/YxeNHVsfXh0tugrLzJ58ip/Ru41CBusSDI1l2tmJ8UPbtpExODnfkHqeMQLKK
cV8SeX5FVnQmjr2idO9wVomewp9rX/9DSgcLLh0a5Nu2B5ZXKGN/A96MFVAWigb/sxcJGBJ+muqh
78aQdooiWFs5wCuajQ+9hVfWMPhL11Ud2UCnrl2XscKffyTjjzEQYHg9j9wQSAjkewpW6G8+0oRv
V4VDml7Te+SG7nSvrteO14dXyjPlJb+WW2JhRPY8kJe9NoeDWNvQqaGmc5bbaVR2KtZxqJJEW9jq
nVYyOxZhkjKsUNY7BrTFWlxvp66n9VAMJylhkxVOMUDed4M7eWCTg5JM+5IsWrS22On/4ovbfLGf
ZPSMnOEIwx5FR/9z0H052BqIevC/EvnK5DSjyYI3AORL0OFMF/FODTge36E3v0YO0a/iXi923oI5
psjcCPEOTAvu09SoH7L9IDa92qDF7bTBtEljNNTMszcymdaht29n40Gf1acoSIiHmDCaYSXI9MlD
nJTRGYy3PVZHuJuEj4wRLMWldl7+/Gv/0fJi67iAdJsDAyHy3k9PYBBZrQv3Lt1TiLhCfvQov7Qj
xN92zIhH5seRTF7SZP6ra67/0fRC4J2KD4lACU11fiaDm4aVpUMWKzsZx+K44zF19bMKexYBkAdb
LnucGhp/ggQcJHSEgZq9JyPwez0DI8p7ilU+Qr4bXXICI8IOHH6Upmt8Oyh935Mh20Xh9PXPL9l/
CGtx4OSaNNZdzsk4Ln56RdA1FOx4aDUyElBwCKCOLmlLlSKiuXISgyKwS1alnT0uS/9DISWC3jmS
+r/4HH+0cjmWSrfExCiFncX9ySGFCr3JA5XP4YUPmmO3gN6zeSOvU9jqfIoi/7LU8EzGprVOf+1Z
khjz378yDrcNcxb/MzzQwb+/EJVi5egFLEj+6u2UOHfSwcY8llcgMfdMtlfx1HTCAoPJgrQl0jZQ
sIvGnFy5jK9LNoF/nzOkluaNPhOvMauduoraIlpD2Hn4iwsmHuafPy+PuGvbtuMC2PnJY+VBWo26
amSUrXjFCbzwVk7+EG5jtu+Vr+xt5dXFY1p8plpFA9qHEadNd/wL3PAf3zsH7jSB8MQ1q6Re/rTM
OspAuA5d4x14Pfc+152LDNqzdRhXs2uvUbVbp74SEZjRx59fhv9029CS2TJwjAhtQ6yEv1ninQ5F
MlhKZyf3SSF/0ZNl0wX9eTQ11ETE0KlLE+206SxvFoMQtFmmcrGFNSCySGXp56P8YQIg1XPsXOWB
Wp/dtjNBr3/+eeUu+NNtI+oZu5+rEoZi6z89ZpMypNPcjM6OfYvow67eYmuCDULAtjIGlKcdOalq
fV/p9lc4Iqm1Hbvor/jQxh8h2Q5mThjdtsVnITvq91eNdWRiljLzsHOz5EuGTWRfZSnBvndzRMZy
eOEgiRYZT6RYsAQzvtWcWwKpbsTaP4kPBYsMLbtFfCAWwjxgFZug7OdO/TlVYPlrv0yd72Mx7ULk
UEGl5b7M1mR1e9AaI/irS/vHL8XrgBeIz4B9TNXFY/qbR8Eqx95IDTPcS52lCDDX850L6nIFHvbQ
N7VYy9AKmLjigP9x+xMyqf7i/v6HD2FohqaRfspLrak/3V/Lq8dRzyfCWSYIFdqAkQ3GiVxMRKku
Iu+0ZmLjxYRUOKweSsLn+vMPIRfL3z9kHs4oz7JczzHoMv30Uli6Sp3tJNE+4BCSdFGOup5juafQ
QsvgsDei7pQu3gSO03U2DFXqWxA2iSyMhxToX7zozCH1B6lu6tTubdBJIw67Ut3Xtffejg3XMsDq
n5Y/ZIR2LbS+V4td294z3g4mR9vOSU98R4AkynXvYIp+nQSSQhKeZe+GBWkWCMqNM1aTrzp7yS2U
rY8xHnaB2nKcFG1wxeIcGJGDnvUmsSU8avKwXBAmjsIW3KMAmKcWjtPevbLo5Bs/CO1HMDMbyphG
NfT/yhwfka7hpDb0ver2Z7UD/UeYAOJVmmRDO+51o4W7StzSuh8fRwgXThpsiVQrQYF3CvLej+tB
Urjt/vzmyRXg55vnuAabsYmeUv15hZgDL+a4mCBNwHFH00T7oke9vobja8i8d8NavshMCS+gZAiQ
GISVFq4cqy99tTLPoRvdJ1plAH5hYi0yMWzMbkqezGsovX/+YWUF/fOHdXnOedA05jV/iNACipTN
ZR3spJ5O6kMV/btd28bKafr9XNGbN/PlVfYEZSen0hu0j+NVBiXbJLKFkIZflzK/l3/P7hkOl12z
pmzJSdZBTDRlwQkl66Gvi72UQUuAHgE66sEcBma/9pmWPFi43tsOuXXEkIZME/4iUgLlfcb4WPUt
xVUOX7H80OMQm5pop8VL8aULtUd580Eb8KrCStHw/eSiiyQbKYDvsQAX6UkOlsWASP5t2Q8Vjahr
zpaw6/9LEDsI6hZs/5OZ9bkvz9Xwufbww94kXIDTaArO6yLOoETREvdo4ygQLU8p+5TMIOE/s0WE
UmCAdUTBcpFvrbx///Ux/b/ws7y73qn2H//Nf3+UYPH4Xt1P//mP3Wd5+ZZ/tv8tfurff+v3P/MP
//F/nv72o2z+dvO4ffr5b/7uB/n1//zn/W/dt9/9B7AF0hDv+89mfvhs+6yT/wgfVPzN/+sf/u1T
/panufr89ZePsi+Yezx8hnFZ/PLPPzp8//UXTWVh/q/f/v5//qH4qr/+suvnb8W3P/zA57e2+/UX
xbL/zhDUUl2ygzVapBql/vgp/8jW/m44HvnL/I8zpS1qnaJsuujXX9y/mwKOoKqcuRDgmOL40Za9
+CPt7xrVLTu6qVFtY9d2f/nXR/vdPfrfe/a3os/vyrjo2l9/gXb2ex6DZWuazhFDNwzgB5ilpY36
N1tdY41AiGhwwK20H9rCgIOR6ySYmu/l6KBDQWG0zzt7p7PPooHRjD0bBr1QbTeSILqZsYhtw+Yy
EvBA043mnOLwa/p0Xy3Ki1vuevNYqfGPuqkDPIzg9+2gPStIlELVLA6emX/Mi35bGGOyy41q62kk
bpp0YIJ8CdcoNI4hpUEWsd6CSNuM1XJyomkgkRZNZ9TvmtIUMxzEJlqxTZLMWydnzNLfizJ8mEem
1U1LTg102cd5jI51MeqMS1rHb9zxm26Y2JHBlRVRf2JBAiaDwb+3iFUKS4jVucEFsKuWAbPWPfdd
Z/pVI2KV5osSoTjC+hI1N7Wtn+cZyCqKElcSA+lXGWFKp90YYMG7qFbt+hh1nBUruGLboj6mkD03
ccqWhv7tNqFHJ0SI3VZHBqksVkNPwUC/QQnqWCzFUTXBB3dTYBOiQd09Y3z/WjeKu+6d7mWZlzuE
qxUTPePNzZy30MvuyJe9zbwC6LJR4rIqug87A7ynZEXq08XDYb3Lx4D4NVVBeJyUb1PH3wMKE2/D
ziYT3h6ejKr5ilbYT9Rso8UDjL+ynvZAYS5x5aZY6fVPJ54f22xPffe1ioNxjf8YBdiY791ItRns
UBhF0OO01nkpneqyNOiCyI3oj9zRzViKFOPCiffA53wSBJ55Uko/56C7cjPvaznDySJCj/rBzNeF
Oyd+4maQ+XXlZGL8iab5h2sttHYn7XuudGeoOMyxumlZ9ZC8SsevTUQocUHaRT7lEWAT4hTjBLhB
c5No6k4lqmwNa/+LVlDM6UH3lLsJIAZMTaTuJFQIJDKOrr1bMnfX6QxT6ZkJQ2+2U+IgOQ3VE6f3
elUH9eQTVocBIDdXbctRd4ZatVTtaByDFgplmUD4LMOI4WZswuhwt83wFA8txzy9HP08PgzUwmLw
vveIFz/OQ/LVKnAuR+bUrxrFW7sKVuypDxmUjg0ZmXFWr9MRfLcXqhvMcN16Ho1tp5stIkmTgjnK
zX3hZTxh/bc6fXG6UN32wXLjLHN9rPvv4Ae90+hCjknGaG/NCVg8B/VHtJhCGmVXd4onQpPZ7MnI
cXgkrccoYpqO2DL1LZORP2kmU6VsIQbrAAL1p5KNam80UFJbHkew9ItgB/s9Ypv9gNpmZVH4r7fd
3OKrCpGY0MdXkSttDVvIxunF+BUeGqZW+DMzLH6HYs4QB8VrL1GqTeRW2sExEbnoOMrUVteJEcgY
MlVFS6ooT2kYmQphSTZMIUFsc8fvGvEF+wExvW9YwxdX5yQLpQIhctPlgIeKZBPFTsdo86htW73L
b7MFJcwYWHD1PCRCRXtL0Gi3ysqUsVwLRiuuoldLU3hEZxX7LC+M2mHair2CMw5CE7Cm4UbHu1Fa
WfGYBNU+yG+SoeNp1GzcWxylsGoWG6jUya5CFjrni70tHAtBgJst6zhjEpYDg2fWkiNkQdalleWZ
26ZtAlOPj667fOO2Zad5yh76mTWqH815nyXlcYhpkaZLrcHSXXu19ZChqThjRnlqKvUweY536PRS
pFywKuFY6VYebeYw845qaGJjNS9mh7pjKTTa26na7lqesmlRNl2HudAKipMWTwk2OucIC8RdRV56
igfVWLusj167p5cfHcO6cxnkdu9eAJU812c4FSEafo0FPWC8HwQ6gGs1Fx+X0TYpWjiHqo850D3o
O/FdCL15P5uABSOAPHC2AF9rg+cH4W2R4ZRCuMJZByi73vK2DJ15CHjZERO9p+ngx72in7xkmra9
MZ7tJT97NMHXXqmh1nbcy2JslGKuOEI0waZESYSMG9kZIMXRCUK/MBl8Fv0w+HYCRK4yWXCRAK07
KBErMwT1iTuiPjqN8WgqGErLwYWbWYK61PJ8NXZERLlhtLUeNW95WJKmvygoNSCF0qmLOGc0LZPh
ieTFTalwWuPkxTLWsnrYxjaFUxNB+0Piar2qLPfWzKapaWPhD8UCMdTBlWMXCU+Held0GiS1aJhw
4nNWior6eXoBTp/7S4kI0BiD235W7nIl2tDUOKq1d7NwvXe2YX9NsuYxJbH2uPTfjanwtiETCbAl
1ouI5V6wqRDfat70WQlwDVYxoUxOMim3sKnei14t/JRk+yyvqr0uiB+OlqCh6e0ZvkILYr6F3qTP
39gcwenbdzDYtFc9U3aZNf0wdfsS2CXVmPctdtkk04ocSU0PkPi19pd57P18mVAsNiZ+r0clbk4k
ChHb2Q1HjYnuhrXjoLbPS6ITtDBbhL52pF0wzkrW6mDv67x7cMIpQVA50qKeEm2NLDQ8BFF7p8xl
vGnhp69rEjpSAz5smjsdPZzY2kwCeDOHwaGqBwCsMU+lAlW2KCJG95FLSGzebuxp5ynQtQmgL/zm
xOlT990c+W8zXPCiqqtg4vOq2g4C6DEukhG+l7ZSzf6QegsjQT2vtla8ZSJ1BrIS2suDofraQgwM
lfm8TvLlIXEw6Blu8aaPzavW6rsiDmET1Ht16M7toN4FIQTE1FWtDfoGs9Fv1KE5DQ5k0tjZMka/
x7J2DsnEmgpsdknh99kAVqUfNpmtPup5gqqAJdYbduPQaqtKdF7YonszO2tz81RapDIhXjokdX+v
5ag5++xO1VuaSsp8SLpm72FOw1DCkxuU/aG32qd6PJpEdiD8vneg4zVZf16yaCTCCh+S6T4DpLxY
XvPsNPbXMS4/yWYN0fR5rwFpSNmkVo84Rvj2DoWPW34oBrGv7Wc9ThAFi3af1Eh4q2bEkb34iReU
Owzo6irvc5PygAaTAxpGnRRnUxbOPihLEPECS6OhG8WlhfSrMkktiCIffQAV6WA92Jq3maa6OqZm
KAA24xEPDJNvFFF9C114ak/Gcjac4lYd5hs3YQ4MMg3OZko0p7LTJ/eo9JxHcT4rYX1AaHg2iCDy
I7VlyAsuxxmsTd8SvNTiPKRO3FSIn7EcI+ZwsT+v1Lq/Levke0zK5Mrt0aZbPOvo8zZtb7iXGFf0
2oijaOdlSFb0m970bgn9sDvlmOI21Aon8YlNPdiRUd2YDBrJbaKGn5ebMVE/yzZ9Dsf2VAf9abKJ
1U2LD20KjF0Co5g03GEb1pzxAStyHtR7v1iCg/k8DcqNrs97sE9cE8cMjqN1GgK2Oj1tDzhvzZVn
Rvq5N8od3j7UtjAc6yD7VGMeoJRx1GGe2wca8JexfZtxLK719gPj+02uqAd6Va+ZdeMAmEXaljI6
DL6oWvBQ61ggqjLxqxhEVhvgStQLh4LHYGjvDQC+zScSv0S443IzKM47IZ7+1GpQ+XIGqm3vkEZ4
n7vRwxB529hbXlE4dA9TY58WnmfW5o6aOjho0bR12uRzTlk94qe8IEkstMKZdynf85dQoDLGWucz
aW7MUggZIaXIK+cV50XrkOQtji4Ql3GfU6cN8LurPji0QwWEE5KvUpNeNi0Nyj9Dm3ZKob4OI9pj
Csp7MzS/iUcsnZf3dKE4mAApjLnORS4zLD8zutdxPip6fKeHxUdpB8SotdtCBzY+6SXxb4a7bIIA
EiGv650yAMYP9WeexSyAZx0t4ztQV3px5rlRnF0ZAViOyAN1po5pUNJ8Nm5/CfVDqxXTfiitaROH
pefHD8WgPjBYeHMVtmWjNGCWIOABXnJJI0Y4VlS+KvE2yOJolY5WvQmW+aix3pMJp82p6aucNFBR
zzfOTJNCL44ZjMourTYi02lV1qIHYnVfCtAkuFad9wiYs59O3hfsKbflPNACgwbFsJrzCNnKACDC
nW2mj6GRfzOaZZdX5Lp5U/xW1UGIHYlWnQ5DLSi8YVU32gNO1GNe9Uh1aJJayQKOH8t1rKfDZn4d
F5P+TU2xQ1TJKp2Cr4oZPifzuOcunZRlGX13nO0NYlxNuxvs6gMkauPDmdRx4lMhxvGbyaORqEgH
gB0tq6HvESEanD2sbgvgLMLl2BjehzZ8MzKMgiURe1a/3HSGhtgx1V8rLsXcqfa7dYnrN9ch68Ig
MaxukkuKdxe5kEridWiAUt5VJQLTqu37FcNlZUPxdba9+XNMO/vW6e8sUpYPdOceSHf5LGOl3LlG
uIPtr+281PrBqG9Nuaouk7Mb25E6WkkPBfAY3ys94gsztdgsCkKQmcpZY1zQGrW9WUISNLN6eXBK
HFNdqEQvSRvc2zrxdVZnF4ecjjIYBy/iDYqe00b3+wa5hp0rhg8Rpz5a9SOD3nxTFB1VbbUZk5MD
YPUJzNlxmTHjaODdmiHHZAfqqcspMoGNdruy8L6PEaYwTnz3sUm7DfEOk80AaCwGlThN7O1gYq5B
+ENPKxYI2brZAt9h3g6fXh1zcxcnAeAJrvgZ2/pjOGBXQbRFRVqCk+Woj2kxBodpFNtcV7WXQzxW
eEYckyqrmlGOZys8gum+qPLLHBUzhZNp305B+CVKKdI0Aw6rFdYFZnLnJSI0oE+TYreMQQcnLXfX
ZUPlAiSKJjGtRAX7wjEZ50tPuXlxuhK7jYp7mOxLNx3vstYut/S0wNybC1kMQE/iGRA+Enifahxd
nB4lu7pBROJFKSjk5LZWpxi7TW7sexp4o86705Wl85YaOt5Fe3yZCsSfDoFFftUX3wjA2blOxtlh
Ws71BEZneu0Smu9uYiOeKvtj2Br9LioQipmdU/pFmXGu7ztwX/ij/FEIcQZ9aY5yR0aND3mqLl6M
qjROI8GHu2bS0CDpEMaGOH2owkvqxM0+xMXt2wPusdkZ7VMCx5ijSzqiKxGvB/2GSiv6b1qF0iTr
3/UpqM91aGpnebPn1qMTgsR7bbOXDgDetobOWmsv4yVAzD8YSfa1GdnuRx0imwmWzbWxGjHi2oxO
WXArIvs0Bp9sP6x1pbNJPToVeu7ulIElhBGt4zuxdhadG5RfyeH/s3cmy40jabZ+IpQB7hi3JMFJ
pEjNCm1gUkiBeQYcDjx9f4zqW1V223px93cTlslMhSgKgP/DOd/px4UDrcM9heON0LsFHdY06h0P
2Wprifriwoo7tTDX1mwABtq45jFxmNvO+eLucmzjaK76+RE7z5jNETa8ztgQZtNj/On/uHmqNqMX
vLllotFhzphoAglcLtjZk8FPWHGFewRyrasmw8vuwxhIdBOvpP8iu7Z8p3jMA8PaxY409wJF8VqY
boY0PX8rQbdzvd0WDw+lAbA74xJ2B/YVrdX4d/VQHUnhkIfB6yC61G66rXqgUPSS0T3pUBZYgDzd
mWXYm9kPHQn8rSw5YK6Dci/iDycCGz5bDlGzcf3ZZkG9c90uOKJ8oh4mFgWxcYJZBuuRHDp0G81w
GDK1AGjBV4aFZYOtRa/IBPZJaiHhoErH/lQYF0B+1zlN6AHMN27eq1F32T5qhnHT2T4BfTewuqVv
Xx9kiAa548zGrXfRxBmvm1BnXXOYYWgcNK1JWCF1fRuil7FouWVFzUOtkvNxHhYMLubE95fLEaIC
2Lab6bbEQFhW7ucsibp0+uVpmZwPUDPOYcm+naa3t6PTpGuCXMlK02mYZt1OQojd4HimW6dZqCYT
hUUeG2uHEdTKdEBWdxE86IzKe1MjuARiiJI0EU69b3KQaYZRTtugeGgHjxIGTZgRFe0DgYlHHcFD
BtTOtKOQTIksAtsNK+7XTV06q3yZfqbCoqFUboJDOgIvR0ZTZsy4ulowrzVzRkNPnFIUmfzIko/E
nE74zovRuxapvs2j5i29EQ7q3vvOOGM3kGmXXado44p+2jQ5z79IFc3RXFo4SrXajlNTX7mcVa3n
0Jgd76yTgnWjtSeBZrlUzoun6gLlNnx5tyzcTfbLWDDHl3WeIDTsL6mdfWWVqfDC9dtFu8mDsg3S
byUMM6/t35fRwJXIsYZmbvg1js787GNmZY7fz1vT43MWo5UeEgFDdsJ9tIXZR2jiJF+zVmFHWfq7
xqEBbFdG0VVh3C01gRIltTiRPNikss+SE7dTlPIg2G4GSNA5QrIQHwTggFjivNfTn5jH3rMZNrra
oUUaz5OfkDXpDMXBWcT4oBbUzrGzMwcd8D1FRjnT3ie+0d9H/FbgeloGDn2D5iRuio9y8POTmLX3
OGVNeefENYYHRiyPNjYzRC82BCkKwrVvN/6vVMdXrt6SRWNJsTZH377BVDN7y2SuvoeyPI+dKN7t
GjhUbmv7UPR+aEZzcO/SamLU7tuvHJ+GABx3bSLjXheDd1FddMhzryRrSytCcN3XpGuqMG/ITKg4
qNc07780HdDZZyi0BlRCzp95ktNsnio3czaFTOTuRvCii1HjoU0z+fL3X6Mxoed2jWo9xab/2jlL
sRrLGiKHU/qvumpwgUfjtkMZtg3Q2e58nzbDjxZ9CQbHZ2KYDx8plGcVtW9JWcwMO7EutaUBrTKe
/Z0sodfBw0lPgS4fU0VvlSyNegPoOu2qunXCvE1/srqaniKswqb6LgsUsT3Ms6s3IlF2qVZQUy7T
RVaFXOuUkcwmtcCZcDHbZl2/ywGKuGiy4VkUFWenj+WPGYN9dYr3CVvYrzlQ/p68A06S27/i/d1M
w/zJWFzvE8xF15Lp4TX2qoFjnplnRx0NJtEdnVXPSPNYNxy/bHjeSP00D7Hy+Oj96qVLCnDQaWKe
2lE/28rRj6g0xFZ2sQwTngZUwd62YGOxsxmYXPoqOEgQ2Ac9k8FUuu0jbaodjrFb3jO4f6NmvIkt
u3zrqMX6mNUZ9RGEu8HEjxbg4hCGnYRFJ80TB887j3t/5zZpd2Z42Z2tSmGG58VQoHi9qxoDTtHt
DwURYpSpeVRDHfNjyfGYV2o5+sNjM5FRGKCvbadMXQ1rxK5TpiK0HOMzcqfkJVJ9spux8By6oibc
bEaPiaq5/K2bY+2fll4xgeEfYh1hzOcf9P945V//T81C4xeKyz9T/OMjOf6CQZhu7MLP7+fWyk4F
crewzIsujIuy3sbAIDZel1VXSdjuvtKufUAImNwviCLC5c2cK31Gur5crJREQepc9dnU6itHn/BY
e8waazcIm1RYD37H4xl8dvKZzNEexUH/h0L5MDez+2Hcbl1Rxfohlf60s1q72SvCB4JGyBO+cI2I
N28eErO7XTS+fm2LkREW9qYQTIS/tZpkPri5z1DXFOm7XeFwYg8x3znIXTZtPHl7j8mlGrX9wJay
fa2bF+L9khe76wm6FD4TOxyjVIbL5+K673nTjk/xNIxHZqC37GaGwFnx4Pdj+yHo2LZKi49B3TAa
1TD9IjzL1r33awZgx2MoSrZ//3VMzENNmB8YvIE0QVc8B4lDPW+2+sSoRz7bRZlsmkBfy9Ywt5bu
4idyrlJ2KHQxo8zeSKRrUTDEmsZlcp/s0tzAIXBfjdKu7hdV8QykR0NnnumwTxjvyjFgS9hUCc13
wHaumOOVD+G+THHYMlRusYXe4dtcEUOugVQa7+bSnIlV4OwePZI98gIIRT0z3DDyu4qDizCyzDhw
iJ5mRdZwVkREsluEsPg0eExIkvXEqo7w9iILiyX9meL2vgz4L7EhjoNmKTR2IZRYXBIpdRZmc5Wa
zb6K4uOcOst6UdnBngi5ztBerVGqwMVTOt057ezdJcWEtSvR54XwsTBK/LOmOV3Vi7O3BI38iHBz
JZ3yIurERrMWQf53gu3Q4sopv8dhGW6Bq/6u6WdmU1xG3rxLFQGVU50eDAre3Mu2BbX4WUzVNfLb
u5GRkRVzGw22A6XLtjelm/UX9PA5JX0hmRjRhp/rnrwC37ov4lFQpaYMzskBXFlOfaWGAGCKG3yV
Eb9xqwfYepXBaYgFeJ/xDTcxK8LRWgCEFKRUWOSLBU5FNKLGq6OUtR9yKpbOSKatwVS1sGWMxJ+c
bVjnrHIMgS/b4tgWM2kXU6SflkfR+9+MwNXGHyFfUvk+iCVYkbLxJgU3Ci9YoXZxP0wJ+y2TuOjM
c0+BMknOLZkmWNgnRqKcVmyriFQW2MpG84ewt6fRt901Nr6L5cVHlyZqRXJl3gM8qSK2JpXZvvep
Va2Lfn61+mDaRliUV4FXp1t7m/jwanXSPeBiJaKzIRAtQaSz4WxlL5F+xkGMvSJP+HssEr9Git2u
7/7Qof0JsrG8b6o9rr3y4GnnGtc4n1kRQ0TBdtVkzamFLypqGhG5BL9Nlun84t4xRR1v+4W1mvnU
rBg7ik4+WCJHd1Ne/poGl0XU7P940waeJgbhFBu3N37FsJq2OPEGpoftyRQA7Q9NfPBiZlue/9uY
mJFVYriQ7coHSIveCjAESeZcC/kggykI2aqO++FexjzedVzrfV52b0U5vScpR4WOv6Z63sRWx165
IG3BSxihOcHvCURwH4lx7XQVZZYy1rPv5VtSLMB2QnJlf04vzK59Jc0F3TqbcqYCBwc5VYNpGAlf
ihe1qNiaI/R2XRmtpnn8ICTljIwexUD8LUeLiUbKMH/6jRDURvLNleM5rNfUMhJWxHTWGteNGyfr
0u/wHk32pg1g5/gzdpdR509Kmlv0LmKdES8CJDgPRRT9zkuT0xEzeuOhLm55MK7SADOhiVKg74k9
7Ex0DbAtpvx3h4S0nNJpE3Cp99YCCj2VjLsHuiqfZ3PH439d9zaYIsjSvUu/IltUsgxNFuS69HpM
vMaaMpRBDWvFGoekRTPleLxrsMyPRKvz9OcWquM4O+bAzofEMzFdNvat/mnCgRnTutM51nvGS0Q9
B2EXMy/J/YafncATnHXPWZn4+ymqVlHGe20VhhdGb0tKNdQ1+datgpTlp2BIzZDErPgurqC+UDEK
8DihFltI28mmvl23KdF3veLuj4YMiIec1mnWXpq5vMFziOwBFujiu9hn5fSYABYndjSw1pnb83Ts
9Y8FQWOMF2x+Jr71XP7CAW7tGTHgcxifzSp9d50Gdblyt7YVrFHFXFxCx6ky7Hvlg2qqKFsoL1eW
z1AndxYaI56HQYzrJgnEkzbqvZfJ7wqnuz2DJZTenO1ml6tXSmodzhTKUf9DqPs44zfbtQazhfwQ
O/a33w14yK3beEhZh35p6KYSoGW92dzNA707G4W8oBYBBxAULG/85DsHFG5ayx37rlOpOnM9dNHv
ufeudmVAoOQZ4Op8l90XJFstTnPxhQ7d1NxiaNhYyt8yDOcXwUZlly0fk64vWAH+6tvV3vGLj642
gU3ii/NsGD8Vw0IjLskzq/hdJ4NH5GJs36UpPhBzNt5S9lEn8qifffiQskx2wwSaahnthUGqYWBL
GqEneWtfNOyopg7SP7lfRVxtkwaCtZFbH64wzrzwVHHjbWlrgu0yl+EoNqkY9SUap3hT187JwH3H
KKXowypDTK39GVJ6O+O4dfeaUNbS5ffZZThIM5AbMrf3dcASULbDa4zVsUuJkbKKOUDfMnFGCKxw
JDdmoXLS7+G2UR8VwHgYRisvY7lRpglw6WTizYpMIYwg4Ct1MIMpFvU3sCSj47omBMLm6c1IDxBz
BGdR6icwF++4gJhyi0dhG2+JY135vb8uDBcZ9DKtUtN5UIJ9XAZYtzXJxgWN84x0WG+5006spL2N
EoprTPaEhwYV05zRXaPXtleroP6djr4JMMuIoasCU0L7EadEBlr2YGysIddrKaajlsMxzuOPJcdO
jq8fkg9he1E8cZPmhtqYtRkmgh0lOV1K9xuvyE3uYYp7gghrWDR//4A8cC+T4Su3gj/g5jDwUyxt
Tecxa6ywmYkQk4oHqC4vpsWmX2XF3inLQ2PoZOPkGeUPSYcR6syuXQLm0fpq5xDUl67hw3ITnoPO
7IQtsVFWKt29QJ/EBugYmMEXa6S7tByfxlZ/1x0mpCAi2MkTyW5cqjyUdkG0ro3M+F34FzVWy07H
xYziKLWQRpEEMdfM2FtZ7Yc++jST9GDpFPC/O31ZMxkQlpvuUBfF67zdkySHGLb2zE0z3wBGkMTM
uQ/L2P0FgoQxqp+/MLdCLvIjihga21z/IAh99euIoE52ELt5SV+ltR9T/kJPz6+e0hd7ZgIyWvnP
QLbFOvXRUWSRt+Hs4bqZ2DW4RTutI/tURL46BLG6M0juKsvyOvvbIuFBw4drAFJhnmzfhlyKjArf
vp/aDmqvDwtTPyEEMNfQGDZ9OV2iTh9bg/UorLVvhlHk/CxIAazuc/SX1zTzsZabED3nVo7rIUOj
qZmlreLU8g+zzWber1njCxiqzvTQI+4+NGX8ALJ4Wjs1ooZvh1oPU0z1RX9/pc9hAlbA+5/Q6eZm
wI41ANnG2rOzsheVlzDVOObFTC0VDCiXFETBwqvA/EyM83y2HX51afvyCjjtK5ckljXByJGh4nyd
MIpT8fjoDmzpbH8aD0RQE4vA1LYuoJFUKak4MDh1ctuT1Dj4swWuWzbigw9u+gdpb2U9bCwrJ/BH
z9dUdccaqgfRxv5P1EyvMoree8CxS8cHT4iya/UvtcTiXQeT3KgCRQnJERU1Cr6P33WHg9ud3a8c
YEjZjZjFaz5amb+YafGljCcgJ5CJ+ooUV3ZUA7dYRkXK3I4xRWpNG2PAG+271R9JbrrmyN+VMcai
Mm8+CPubTzBs96r3t0vWGq+LZkZrxgOFXsbOvHGix9Ilc1Ms/dYtvVAk9bIGgZJT7hSPAa0nIisH
coNJzDyxFMx0nrHvUjZP0wR9gzEHmRDlftBGf+0snsg4w0oIke21adPpjwNQM+nd8vcy8QFAOTWf
bMuottQByQnZnHPnqmbYjpBRnmjjwbm0tfPlsan5++W2sO+z1ta/5vI21QikuOIwNohyyN1D4I/V
famYNTKvVbDIbbSxs/oz791gaf9kPmTDuE3KV8u34rAUMr6nGzQOPU8ExJl5dJ1GY1nThHi/umU+
d7c3XOLeL4la/ZI+DK8eUsiTX3l6O1npcmfLCVJsQmUxVcp/8geUij0Pxd8x7vO/X64r86GSMngX
Nic2ZVxxnfit7heKbu15ycFO4hesbnIl/Gal0/HcdP4Pt3BCHuAt7DAdYfojF1vIGxFQHegIEjpS
mI1uz9FAqk7otj2nDctZjDjuNqrUVypgQlj4ahw5PBTkOJMnyAVNMX1YKhPNqC141KuJfV23Reyv
DkXcHR0BMD+Lsz8DQzNOD5OtTcOUw5E9JrnV7NbTurdv3v85vgFewzqWx0a7RHKUBt4UxxrZkLhQ
s41tD1T0fUnFN5euHlPkJNE5YVJJ/ixEKSqAjBCTeuxRV0ZRyPBrV9h4NCJP/nacHH4qn09eUQk2
xnkW+WeOG41rofiT3w7Dkaxtqr/i7JCUULeDQXo1KhzRJY/45+p9Ug0YJUhfSYR6QSsZsPpXT0aH
jHHIOFuDiFpH8bTRNnVwgC+C6e46KuPs2tBUZ9ODNVHggBjix6/boztbl0yiOAANv9iI7hKJDmpY
1C+fG4hrgbYvkfK3qr0XnwUPKQqv6WgGIVhsGjaUCwjHimfY6qTOj2NomtUxIDQt7HMm/JQAr645
IKshtSj01C8Kq7cpkw6ZagAqzUo8zGCD0PSA0YLQ098q3VLn/Saq7GcXiRF+EyT8qtkxtkRyoTOE
o8x7d8A/AuJfO2sVdQbjphStaF8am8Hdjovb3c3KXxcYb+8b17+zYgtUetzustskm60c5MlWcp9U
3qpYHhL0JKegabpwcOm5Pf+98bW4pD6tl2jdVT+koM8WKUPP8MdVq4riaMXBG3bs4XZpQVciM1MM
zutMd71LvT8LHOR17Qdvmkd22dFadoV6KnU6HHLCl+Gi4shv6gb5nDj40k4P+QKvFzaCMZ36Mdph
DHL3gUHxMpT64Xbg9EU3fpUe14PtEAfKJxGS3WzY0JYtuF/dLsYWu67mFOlRCjKsJRROxXYd6o4+
uj8QRriEbV8c5WAVmxIxF5uidtokPZYr1MWMJT2m7Dx36/LgIEC2lBVWYFzXLIUljwewob6PyHeh
VdIi/apFTfwxRmwAMO6DVVDmW3Nmsh2Fm501l7gC7jSrot50utwX2H447rfIC8DApO+BB8KaY84N
pqvAo7D2Nd2Xg1TUIO/w1qHYUYfUMtdPE9v5NTGFzD0oJpqovaCvAkup1YSe0rlfLPXChBPZZwV4
ZDD9k22PPy5b2nWb59850swyIHbWnenfZUI/lDroqhEiXnzXfuoBkjGRlyfLZVZMIug0kmKyoDbF
A7YL7CtAjsfaWbFmxsfJ9yTu4sVa8oucxclO9VPQLSenUuehLyl6PDCkOsrXCF7PJqzGFZ7oD6vH
ztkXzxJ8AH6n3Fg3AawBv3fgEdoryxihto7tXcyQfmrSak23nVtMCnX0FtESs2ae8pkiT4RF7T0n
oAmSPvqBCvzEKnbfBoVBY54+J4GK2NT4LoIOIamX4J1a04msCSrsmgmS6WJPrIwYAWf0ImqxR697
yPJ7f1ZvKRIf4E+2QyrYxc0SyOZ9gf0EMcukg7daI692SwuAZBPbpHPcsugNvYcFReaR2OEQBfM+
m6xX1das8+9uzj6Yg72mVUPrDGVYCERF3bWbaHCLcvzqfQqUMsseFk9w6esWm5Ff3qEaXpnyNE2O
99wBsgqd8SuwNBk1hUu82ezqfToPT67mmVd03R+031+Gx5hVIXFyOVPnGzufp/jvyA7qvUrhfzRD
/EJz8CUECmw8tfSmAJwgfWWfkA6jdbBEsPLI6ln5YuxDzGH5GkfX0Rei2ORSnvMZJWtp6+VgW87a
ZzO5Y8z2uNB+qIhpSO05cuMEKBEmrhxG5cyCmJOz1G9Q/nnN0Z3sRwTHOiTC3cVOxY9eZ+1u1F5z
nQgSncr3OVNxOAnjUzDb5u5fQb0iL53Fpv+7Hryr5RBhiCveL2W2SnV16WLLhnEWM8TwzgxooQQL
BvJNcq1YDGRu/NWM452dd889GovOnT6mIcrWeoCR3wgaSZoPI1VPjFs5a28Ri0V3ZJm5nJ2quSCn
rTI2YnowW64uHg95W1SrKViO82R9NjaPoHayl3VifdhD/1zxc7UWUFPfYr3oUiSV5qmmfObABSNb
BTMSI5FC4m/wH8zZZG4cGigCcyfWMAyBGFgG3XeikSO0LXn2BQVJIsY9AcHk3pCuruUz7NGvQFPh
Nkt5S3U5wbBm3R0zOHHxKABiwsIRoGkpmm/DhuM3xwtAjwBRFP1d6dQXKZsXb+H06KKCEGIhVq0E
mQVeC0RxAW2YRzcZyJcmglWTqfk16bunRaQuled4IvqYWhlHzBBnT0TPm3AvvfegiA/9wKbNa6ar
dNAq3z7Wz2aQcuMGCR91Izgg4vt4cl5VFEAqBtNHmoH7gDGCoqDqz13wVII75wclSxil5Ta+Beo5
Ofb9Vjoby1++45rfNwbKsM3FZ2Dw1/hoE/nP8e2R8yfTDUp+BuZ5slyb2L/Nkwm4HKuLq/p1krjf
qVe+FIKfoF8mFRpsQlIe22kGBwQu8zkxun6jyp7R0SLOqaTS96iwllS+tqCWjkn7Q3QPigxdvQVV
wIp7mGj+BgUfEqKangA6jEkdNs0IogSsG/M/h7uBckwR1rke+oZm2SQIBeNwv25L8shanhaCfI0V
erQ7UDvr1p85OzOrDHPhnExVXdS8dKtO5B8bQFK7QGXflbdAnhJQk+HYnRMtt6kqmWqqLDTo8Cv7
NtrkWznRvcNgbdUohjBeP95FTgl/6RyVHClLEbQhCsvbiWJ6yIc656nN7bCpW7kBWiNQwUjAHXZ5
mWr9E5jNwWmKF8zxTxMbV9MRPwz9WUoimR3krrIdI2yG5gWhC5rq4slh5hn4Sf+N32cr0uYjyv0W
sRYPfKHMY9PepEhubdB0640aykPboQwYHNpJQuw4Z0pFyQwVsUEG0djRvIGfP8ESZfvsuNdyMR7S
KmeRYOW3K9vZBErbjzk/oFoezRVod9kyx6zm0whkeSOi8epV5gnECmSqKjlA+Uc75plhac3v44Sz
ukCuhRzpfp67Uw8xCeEj/WSP/NejXFsDNaSznBEyagC6GDw4N2MRbf/5lsfyM+mqeouLn8AjBLDC
GoAeSIJr7LIHxeztFaQtXbQ4L26QCoFAZ9J9jIX2y2mYH1oqOaVqZgjdsxTm3h1j+1ylOU+fMX3p
FNLW56U1fgYD3rIM0jtW4UmIw60LxwYinSQnjswbBk5uYm4zj+eIbhPgnB3dQH43OWRKqFivh8a7
v0mh8fJmK2oohqEG6/rIqcPFZETIYAtKnunvPdVGmwA5ETQE3XLIJ/eoFOQhccaNZ9p4eJtJb2rr
0R0zalzL4TsX2dswmJthsY7MPz4SM2Aah35+3cET8ZLG2PTNUDMdqB96i8OUnGy1yqX6Zl0MUjqq
Uc1wP1dO/Cb6+uQ3v8zb5ss3QlPaO0WKLKK4ctt7GURsTb2FLuG+kAXglHpfL7zzMk8xozS/+kCf
Yqt/19rKjqpsTlGd7VO/ZFMzcCEW/PBpwnzP6Xy4numMA6VjuDrZtJvFoXDaOoys9COKBprLYGQX
53Dr39KLvMKEHK+WQ1Enu1z0T/4Ct9X1f3ME0Ej5BjCxwWGRmb7S6aQrJ0jOsB02Akrgdumbr97q
d17HpDQ+0EvEd7Y3vtipR1Kr9+oviDOc+Sni5mVgdHB785Ji5JJL/FjelJa9pd3NbBfrse/ZEuRk
E+qRibZlfN7+jnagWGvNbAfTcO3kwdmI8o82RXtoyOAnDx6mAjwiY/87Ww0qHAK6NXuXTDVcsOUS
YfnINWM+TnkN77u0uz8ZXPx1thATIAgJ6oruVZjJvcl+xHMFGRnSTxh4QfRNJ2YkxJgy7yZIQtjP
euzyMI8m9tvFV1/QcsZ4g1Z4+y8zi9D1oAiHT81MrHpdbMuR5XmJy5qG1CnXJAEcA8Xl6MTft9sz
0MO2NkrEi654QDrFkdoNDzOxR1TRrgpjpE2GUp+OR7VXzcDKLL++C2LjUafJiCwp0vQH8YvTUtRb
Pm+mG7EtOk6K+Z2L8/ZbLx2XTYR3qlvcUL1hmuvR1+dWmC8znqm1HfDmRqWPkVHeNJcFZqkO9UBw
zApu6aXDstexQ0tZt/Bs4xaeAveYxajpu/JblEkVppU45XC31m6RbMzWTjZV5p5JMsQ3VXC0Eqq4
YT33Xcnikf+N7pOQ5da6mZM0IWL1dBcHv7yO5+BOj8Vvt48uKQi31lUIaKkAWsSHRRsxxZcZ1EyQ
z3DQkpVhuDgNa46exC2/yWLcuIvBMVzWB6Nx5o327bWKmT9bs+7CIpkDAi0+rIiP0mctuIkSVJF6
kca6R7uydhTksIm/zXJGscqq9MmRc+j1am+jBmFVSLaDU4gN9UCyJiyTm7LjbDIyCnkAVi69hYF1
ITGatTmlvyfWjwg6wWYCGoLtX8L8ZyjHRjq+d/0xIHfCeTLU8ONkNur9DlG8XEp5TFHATgv7R8kz
veqZVpJ2fZtnjPkxcc29Eh56gK6sd3l5dhzjTzrPzMTwQlgDW+EoKqY7pjLMltFgRjbTw6Ekhded
3PpgOhTCgUtg7xIXyC3YjtqMlWaGW3HOsHky/e2tMnVt53fUSLr5ed46uLPGZTKPiFbicQmLQdir
cR63Vs/Kv24rDhh3nY653HQRwG/F966HwHpkF3QsYv+K7Hlhhh509LTLTx1ZYSfd5wBR5d1N42CV
jr02yqU5kCVCRtN3xc0QBuwDN+wjQtN230eDtRcwZPYyHdOzYtPIjp6YgEFgxCfp+uxklvhPk3A8
RCbNLLJCrn3LOzDK/tXnZ92J+p6beGrbH7lYxX4Zz3mQNWDpmo3o2Rfw/TxSdm89pJ5QRwY/hsdp
4VT38UIGG/Jlew0NFLdRRzWeGc/EHc03s35CFnnSfVgysA5xvvyyMHqOQRnyWZx6Bn+rwkteyG2R
6yVnWIw4aZvpuNlPtXeOfXkeXXEREfout+ZjGgMLs5+L8nFgrKH97i7JgmaVefV35WdMGTCzZVPz
cjsEBoNBqajLaxrwDr2J+WOLaQT6dAtS0QqNwXoRZnMmfHZjWIPFpolm2h+ThQVAvo89sGZREH0l
S08AV1F9/LXO/3+IgLABp/zvEIGXbozHz/k/KQJ/v+L/UATkP0yPlGbfl9JEwWn9myLgwAoIwF35
jmAYHwgLVM1/UwQMaf7DpDMVfAlAKpTO/r8wAoZ0/uFKC6YdL5Ns6JrB/wtHgJqMv+s/IVLQA3gP
ktATS+A+9yRv8T+ROV0ziVGWjc1GypZbO22Hezt5+itw+/cfzWjSgVmPf1+h19YYWm4vxe0/X/r7
+mRG/aW7vdxED//+2r8vewW+iab658s18lGHKuQ/Xvr7P/39Glcv433ELvcmsfv3y0EQjPdy+r9f
HsSs7qV76QNrlWIcQjP0Qq58eSfn8tWG+hmLfHqPLJIAK8OTIYBeMJT29GzamFe6arLuagSRIYNw
vWUpwE3bgUoYTf+pUnWz7SZ9jlIzeY6D+sUelvQwZ/15GPvgnoDXvTL86ph5M5sDDGTaH8xtasXd
xYVyPwVpf2/BZ6nwfB/JPdtq3BEHVUCu8dJJ078l5Q5etLX3LPElWHcd0oTVY+aMjIt4SvSDIq4u
PrlJQ5K2Thc0OlQmU7dY+Dq7I7Gd+LBvKOHAIbQo9gPGS7ccaD+mwvR74q4RsdyxcaMKa7tDI0e1
ig2s9XYxooC2m5e+901cxTPHRMmqjkVQfHAzaqqh9Jj688a2i+PdSYNpNPKMV8a8myCu4ovnGYdu
SZIQQevKw0wGhuaGMqJdQ86NKxTjzqp2sPRiMl0bLKboOyIG3pz/7juwnatDr7BhOuWGo9QHqUgJ
U5WjKBYG9z79o+oMUwKziLvZd6fD4jqbsZHq2M0xMrqR7J42UJzXnWtvnOwuW4qD54iXTJQnfAuC
t5MdjKgWhyb6GAeOtLmO+NUvztbu2Egsgcmu2zay6+jIl6JIkZHHSMDRUtsrNPG4RwqDX1FzQUtK
3KCpH9mOP9vViESjMdW+aaJkjYQ52KfL/GyZ2XIrYo6j4DxIWioRk9/u4E/GNsBIu1YJUEKsqHLF
FN5osJoFfGjhMMfV69QzyFmYHhG50dRh6drBE4K6FAdtcvZEvtNGXlzhyBAa1thZOFcdCur/Yu9M
tuNWsiz7RYhlAAwGYOp976Sz1wSLpCj0fY+vrw2+qEw9ZVTEynkNwkMi+UQ6CJjZvfecfXx329gI
r6VrW0cUJdWlFqN4sLVNZ2j0IRDkH7qpHB9pY1pr18e4z4L0WNetujSq97YR+lCmY0hBskww3ywd
dY8YjTTz6L4tCmygQ55vcPY2pM9o1EaNLm8cPEY0vKLbkkY8cyONctsgCXQJ9SPj3tKvPV741E1+
cOwODl47EJ/gm6AC7NJeV7KVqAfZy5BNFDtkU+aS32p7YRy0bNrntG4fGjN97AJa+9gq8KGl2gNd
p3QXuPitrDhlKtJV2PH6jn6HtfPzrRV6j2U6C3FC19xP/AZoudlbt276J0K8uO38Et9ZJqMVEjDz
rWnqaEFoG7TqRiOUTwrklPPEl6iiF1BrONuQny1tIlzQtyfx89B3xTEsFK3RQLsEqV/eBX1XHjJB
9ybX/OTaVuoW8u0vlRvsDbPXt42p1CKakCAXyjL3fVKirpX11tRcZ+3Z2lOp9RX1N30X3XV+VTCe
eLYMjJN4/8ZzoACetCJBS6OGAzYvTLTjEWvveUyL+mGIn2rRxBcxqQCJC4g1PaifhpC1QcqtYI58
dDztqNs1cUdG/zH2sbUsQm08p6l+D70yvIRTVa+tzwIu+BeTSg7W2lg8aC1OE+kW1YFZQ7bHe/Er
pm9AYibdjLrl9nWRsk649B0rEdu4rBQmCvuuidNfbRIB5sXP3ThFtVMt1nRLYY3H5ZsfyVNGBsEk
0a31c+4Y1t3o+fcFbfBFEHb5HsfDyh9o2kipxp2Mo5DET/hPPEH2ovOeMmkHb1ZY2Jj8rRw/4dDs
Q9xUW2fUxWZK6sdKmOmBBGIsweQ37RnZbrtybPdDHxu0qOA5htXk0BNZ2+2EcnWctnrBJJNRwUov
HH3t6wpTlLgf0nja47lIV0lfP2Iht1ZyBGJlE7ng+FsDjRR6F+FtjNJ+6Jr5n0hDtZbFgBq7gxcG
m0FfkenqI5EKTiUm5F2aj3tDIg7ODIpVD88QXMmtZrAVlGG9VwPtLpN5JafIBoq9Rrgoyli0L+Ys
6GCmj5OraY/ffxqrljFumm5CK92wUfTrxnBeeUTVoQ6YBqTZhX6JfpxSd2Xmo8WNFxUkDKcLorOv
DrfIAY2NU5fRofQ6eWgdMDdWsPXsGj1IBFgkYQWl9rZIne3CbIVS7NkGyPUg8FFIq/zFpY6vfimy
LaO5eCdBpERhfjYa+ZnEMt4GQ0/I5FCrnZ0PzMBcjLZ1p8UILSfs74Finu9dqzA8aBS+MRzGxxhR
+HbgsY3RXILG08M3qeVPsSFWISqnPTfwvU7CzpIU9QoPpVjZbcD9bqps7WpOsuth9Cy6wJxWhWAU
RZc1l/W5T1EIh0X20DQwJqq+/+nF4quOFWJF37Pm1TLFSwlUJr6vmn6hp2I8EgFBUj3LRd2ZRH7j
7qjrjV8Zx7hBxTAWvHDNbsSFRyEFVtqjIUqJokb4XCJUKPWDmTZ7Q2/5aVH5THQkVyEHjEUyRgTv
zLmrU0fTy6qo9QZGXjqj/n4fiNI+BC4Ed9V3Wykq5wWS8MGXU/FpzopIo43RTrrBg9FgpQszUHS0
6Eo/I6vFjdBFmutQQD+z0w6Oa6SAyVhiC62gu6INPhi5fhRecITqqMOHcV7UFabok+ZoTxLpHuM5
PG06Pocu8oZdVibhLkUYxUx4SDdtuGWOXK9iYbw4LrXTkGTp2mE+gNoCewxxmPQNEpK+DFd7sFnS
ULhglCBvkxWwOWXZjPt4jmjvvZSCVJDcqS4RLYidHktkvuHM/dBr/GJMLAoe89qZXnk2wGzQ4LMH
f60aWjSmH+A+IXCoSwBrZKo4EgB56gxCsCZ9AkcACa6MWlz1FMN04DMmGe4Wyni/kD/tKnip0MVx
XNK6nZ43tI+rrSidjI6BjYjIY9aeduuqGU7JzKYwilVLJiijF1SuHu3myjFvOfQjgpcLULx1h0VR
lgufI0IcO3eqotMfpLSBjYlTSZW+Q3e2l7KhneAFBzvQSdgLzX0mEJYMhr5xwvht6rrnyuqe5vK9
7pEcjsig+qR7rWgl1sg4tdHetPBruo7JfpNssFLr9Aj8aClF/IgN+AeO5g9DEcndNQjN+r4+5baR
7MjjJCuaEHO8cas+Tzgil85H2Ht0nGTzNJEyy3c0DrXKMNJF92VXbuvwyy0hp1bF/aSpbBe3Buub
IW9KAWNoLe+YKcbZcCcZZUNDifThMABH7G372BT9eFQJtJQQlTwWH6bNYf5Dm9xnWWCH7zY5J73O
AQSJabNb5JpcYxf5SrPUONmdeu9goPYqIrENPSzS5/KjgwKhBfHP1jZJ25xJCwObxyJzMMphu8Hr
lNR3sgEC4PXDp9G+9Wn9Fti0czMOonVuPjid/wiv/quNiOgchTw0sc/MpY3vg1q/RBWtSexBy9bu
Trpm3eF9e/YGElECk/jyoNuB+ixAaUC+Zjh7V3HHaU3IRdYqsce2dI6y4tOXAH59mkCrqTBubQ18
IHJgCMVIjw2i3/RQgB3A0ungE67ani5SeJBtdxjLvFs4zHiqjkUXXjDJAv4maIrPVBLzGU83T5Pu
ApsH9te4XaceEOJg9E9O4L4Kgceu64Cb4ophOSgeWLyJ83Uk2rFsfLJHxBKyemScyuqoy6UI4MFX
AiAiTMsuf1cR8xFbZQ1HiEpb6CQnuo0bITr2kHbWIXJjhEm1hePOSj/LeO7615riThwYBNBdINFO
kiwlXCM+IC9NmGp61Sqrp7cxYkgcZZpD6K8BKbkNb9qouQ8JASvr0kZzZmtmA7+CrcXB/Isz4k4F
ET3YjpyJxm0cAjW5ZYKWRAazM5LHYszweLe3KgTTb2oGB3tXYNUSEbJo+piZ8ZSm5rYNHVakctpO
VsrvzKCygd8mCRBbjk34JZPwDWvp/eAxwKVFluIVSi6V0bSPTM99qRFX5Kl0hUvlPqicS1VrvKs8
xTAGBWtAIGj0SMmT7hIYQIQqFOM9mZ7rBnIjOLNTbfdvdszQjKlGsOoCl1Y61t5NrzRMuzA8IxC1
zGXHZk2IGHy7YdjWvq0WqU0AZhLfmhTFziACsUpAXLSQzpZKjl9RSveszOPHStHpZGGj71pbs4GA
+ZuO3hNa4LobXZtcKh4GmWDRgJ4EOBpOTctcCKX5j2wKFbA5n4Pp7M5Mhn5lMOlZh3SIWu+XpqE5
UFohCPDTlv0wpltiflA+IdF00wkgz5S+Y6BPSZVKL8Gv0DCBUZDqhri/IazZf8N/D5VhxA3jW3cO
0VWVzy/LsU172Rq4eqggDjri6BAhfjQYyZ1CtAaE69NK1XsqNe6qgmZvWtvjqs+azQA/jlFKxvbS
cenDSr4bRn2cQkkelftqjYilpCp2E2SnNjE/mJVhjjcxsKa/rMy7M0mjYJT8aCi6pWV8KcY6Zydz
m02QB08+qCLWmGzlca5Zw5nwI+7wLJm2sTms7jBbXGgyIwvu9vRPuGOxxBDL1pckoaEZormAdN7f
RF6Urk0m5H1FuELl5u1iEsVz69stcCJ7lwWwPrDOZrvqpcAyvvLK+lnIEft+tCYVk2iCmqm/Ex2d
hjk68qo5ah4CA3yipVdTWjmSmzdjE04oXA1xhHKDUKatcPIyQ86pXRa+YE9ooJZCduNA7hM22gPX
yUv1ZOCqyJvxEIFLphfB8+uA8cZ88+DaPSoZlR7L1Nu4rdcu2l6/a/IfsUhezaD66lMPKRcuxUXf
ueux8u90E/RdyC/9aDTFtVH6l2Hpz0R52DDSAaR1YX1iknOZ4i6mAx+zqkyIeZnRLmVFWrMi1DLj
OalS3yFjirFIG3XnMEx+qCF/DzzSDmvcLogBiuvem5u9ADXSdadIakaSyf5fYSb2tU/LRdcSwJEJ
y+mSjIiIPfHLgZuHKtC6NZV/1eY3BEOBk5I1KyDsUzX5tAB8dUw7VkCvwknVoPyi4YIwbvSy1UaL
7JVl5ArfILdAP7prxbx9gW3uudRuwm+DV/9Ml0s607RzIlrQKKS2MEn8BW+NYGjyzGzbfVNYM5k0
sF3ZyfCqquqs+W+D3xyHcT7ZlzxMzngHeg++bOPvZcmSTdn9s3Y+XEUDwpnqaYH7leXd+FWmzF3D
vsLget8NzA7yhlQG/neD5/9k5lNODyCSy3LCPACEw2yxZk3mGC7b4VjZA3aUau8ZxEyUivli0lym
JLxj/L4rEjjd5vA80aoYgGrW0Hx80yQ8be49Zy2y8KJ9NCv1o3A7Y2mM1rDyxv4DT+u0ItHgalYR
Tkz6AADlaKkzi6A5P2cWPuseHwjq+DnzxmxtmehGtGS8dTnOmXC6dBVldu+3Z3jjc5WNFmjE9rqI
O9T5WpVcgmgCqTExg8kUB4oi/zSNkROPHnIGjXt708TNQ1+Nn4UzhduefPCAnKdDGzvHANvcsu/G
F67ZnoHHtNQsI1o76IQigbFC0z8G13lOTU42hkl8rpVs24KOugXiY9HRZCee++R5zmet0QklKm+E
k8gP/FyB6Ng4BkGbkYSVw2w/ZQtsGCIOOVsdoUQkvUEUzRLOD32+G3Af5v4cftqVd2My1qcuGt9Z
Qq4i0ydOAnexcCDpZcHZolQlJ5SsXnBsNIwxwqfdD4UVEA0rZkSvPdio4UzKW7JxhhWmzH2TVgDu
rJkjQblc+RATPF0mG57TwjeCdVqzXpruLa7t96C+JV5h70lgPfJWOJeM9adlTEcr4IkK3OinVzUV
hjL30hjGW28HP3WAspux1haDi9Ivjt2fJlI+HD6wJOFsf4gWBXBcnvkAjVKt38bM1KFzcYKQQ7dN
O43xo20ChqlJLcS2sFRtu1e91W8Mq37CUX0dxjZa9yknYjTPmFw0xKr0PyrPTleBk+59WTLcygls
t8qeE3dMzji0cms66UP/4bjtXjrqnGv5ifi+E675nEkX+vbcOWcofVYZSLhgwjNF/Pojo2xQmSw5
VlM+I+KZdTsjb1lIwmMLjFr5lP0sgADSHIVUw6Y1xI0HkTHbCf1nMziEO9FJS8d4YFgmHsmImVZ2
2f00iuLZnIyHGvEt51D1aIAUTJFK8ZBqn1K5KBoDTqiRex7E+FImPzpoXdLpXnIN0lTgPYZlB9TK
r41FV3RrK6weHX4/y9Hk+NJ55tU1cDM5xkEbk/ssKj+AaopaRbN94jEFpK0Nb5WhrSTzKgTlCFAQ
ARNU9YIO1l/ogYrX+syB8eUpAkCGD/gBB4HCZoA0kr3EqWssq8Ur04avGI+Qzuk9yA5VN776Q0mO
sVjE9Pk6eIUqoKaiQrA2jfbW9sapUhiaOfB2LEMNISeuS6w9Va/rsdwjaaHC1d6CMQFhPrx1YGOQ
9eBeqG2ZwOTDW+Uti4EDNRsCK3H3c8Q4CoFEPIRx+Ks0hgc53ysjsqWxYz0dQ+feT92du6gc/SRK
qeOPpy3l1DkBnrlmLesqvg5EEUEkGZ6LcQeEoNyoeL7SXf3Z2s2zozxkLsHTUISXOAWEkBbeykeI
Rtn4U8uSM2KnHgdH8UF2844h51oT8mZ35rTH4Ydb/L4PYryeI65p5jTAaVV9dEJ23ilo7xie71td
3fzeoBim1YFG66doEK7kSZDtH2OFcIYc1qXmWT/HGjm54QZv2WzbC4tCrDqne8rfm254N43s1WBX
S2m+FpXL5NSfyEjN0Z1Xd5TXI7pzeY1UTtZzb128wr21+HNE6kDUmw6RY++QuWFGj4w7R2j7XieK
KjDfbCozepOlWOOXImOx59ljcnIKtewujw1CQiL7xfDn5luMWq/D3Olo7XIa6y/UisaSYx7bVemn
q1uC9DEDG6jpKSp//GALtx23Wj8hoavkxSKQfNn6BKUlnb6INPUqMomPsMUINLEBL2zUgigd3TUA
YSbbNufCrnxHOpjRW3AZRiPMXOQ60mg/Mdb4eT4iOYssjX3MZS5qa8uoBqCc4MezKPIROv0A4I/8
NEWLjCRfX0dBeFeZvXvUQufScQxz1LTDz/A5sKiuknh8sxju+pm3z0+NR2TkODbH6cPWELQHot00
agQQ7Sc//CD0l4bhnmwtvosd495tcM3SnZo2uJQ/2GeF1n8EmX7tkCyVrnare/GUZAyTffdSxBa6
OTv+UJHxkCsGYHoJnrbtfzQqB33JjF+ayGSq9NCPGMALTZ1semUhrjsawxwAtFWl8NPYyPMQ2GHA
DJLJeyhz5zW2nIgg34B9soFIWJvumyZ0nKLC4ZcN6ArHyUGX/clyyhpxIuZQjTZYZtAxFsVkLbQR
3pUcm2yree7OyYKr/CSQGgF4M4DHC5pyVVhINOt0WjX9EKAC9F6MTD9APBJs39zcRpPhRHHPFaMv
4YLxoWh9YFCyKBtYHHr/giDIxAstzqoKPuVPP66mg/mimpL08NKGfApOpiU6ziFSULfJgTBQbeHc
heqdhGG/mUx/0xB+hxMtxMyI9b427GMZe29Gol7swDjgAl7TYHoIJe17wCbV2huMfVYDWLOpfPoW
VI0Z17glQGAC2SMk/C4N/R9l0IMSYa/Hj3KL6uoaBEw/wurVIASgnnhMTO/ZkD2uPlpxFDJP4YDA
T1VcudKlrziUZUUnhVSIXpMbImpeEfIUaz/WbxQaL34GGEbLwkd4DQgoBF2BxNXe4wKYVn1jFlay
BDRfSQuhLMyXc4OGR/C5mGZcgs/GJJo63CVY1lbot2fwaHp0zPkMqGjKT7i27QBMUN/sJOxSfAHj
Z9KjZpyctSpmdIg17GMtsbdSpsd8NuxJSW1t53APeiSu5DxhT8NBv0YhmuP1XzPqQ7ddlva1APa9
sOamsHAiBkWsq55GJLYAC4SBjaQNTTIBRGRorUQzHBRVBrGI8hzF6CNJKt17FYZFK6RVP/UxrMqM
f4puC1O0vFqGdaUdaKgwfUkgU0dlNfCbi7fm2Fi3SgH2pfgOqbEx9OdRnVwjtz54ZcNa706bKGgB
aIycOnt1Q6w1EE5PhKWe6Uz1ojuyFLtTncbl0QvbhazBf5sDqcIR9ZgJrbWbgHH46kfjqjdmEOWy
n2IagGZAWezgPRUtpMcEewGVKWilptjYDNT2kx7622zSMT3Y8U8oRVQ7huAtJv0WAemp1Kb4QuFb
LRFBQj9R77o/mafJpwgxvHJD+zVeDIS/C8331mwz5IGqx6DTJ2afIC6g0lVzNFq4hEpiL0u7+eVB
ztg0TcBRFk8JgZSNKEjuzeYMF5LnhwVWL1hbRv1RRO4xNSUGnwJlydQASgi5mBz9ER4FOs9pQtct
G7I33FfFTtJEJSWQI/mzxkRkBRZp2NQ96jrDLmAbyed2cmPYDajdB5SdUHS3Zie5UyakZg6GhqoI
xZNZjPkp0+jLAmQAGalzfJ0Y0yQTFXWdOlBXxryhVC0FN+HMeBz0K8G1+KrISkaicmdwakfn30NR
nkAHwloQX6HNr8K1GG9ysNEPlmac/Wo0Fg3Ekw11BXPRXGzgyn62lbhaLRPrrqdcswr0ZaCHVmnc
vtqhQxgAYCkGrClewYp+JG5oadjWMjaG7q7K6mMQvzQEcDw70H9Ts94mtgsBsNS3g4VfGjMd6K24
fysN2qsi7BPe5nSLaa8y5d4ZpvXRMDPfxWSN9GC+loaDutNoxEesiouDxZVBrO7hy6aTGJn6GwH3
7tYHvBfaJT3VpyDrHrDBmds4i+77PnJuY5r5kKxVSzzBs9Zn/cHxi1fiJfZmlv5I0oakPdRCqIIj
k+UJlyP5pOaA+qwo9W4FBUtuLKYHK+QfQDmCAdaAX7U0yeVn1JGRTf8JZdqubHEttT1OtxyIKxML
c+k3AQNvftv8KZ7ZeyLeDLDHnQh/GnajTZuBkcISkIAbTt94qNWK2nVYiukYa4w7zOOU5eOx6sTG
zvzwfuicDypkfDLOrEYnL+dABFewwmyFMckVnw4oGEqYqN0xXKTXVKt2F5cUyy7yt7FxtZVpyZUy
eSwgzEPrn9BYK50Ze+ePwU63QQjAQSgWZjuJQ4ruk9M7sm9Tgc3XQnZ34cJ4wEm47it9lej8UNnY
sn5G4q6VjbiVU/cCpmBLLPiALlX6q2JgRgHrg44JkMvYD971yMtIURZAmQoo9oacVtib8ID7xo9K
qK/GN+UerYSrz8RCvHXo8zoA0SOozoa1Le9zrJMCZGApRbQiNWfRC456bt0uPSvWTmViH1FDr0A2
oaFIcrkKyi6i2vXYIfMxPBt0WIcxhA5NkU3rNWSGau/6MfEwKGTpRbQO6oaCboYW5GfNEsWnsEhM
hbTU5N1ZyeBLZvEPXz1RL3PxsD0gOGxohXi0pdivkzU91W1pRRc9Mp+iWDuk9vRMeYNd0Gj2HD8e
HZ9dLm7D91pHGTyYTIXy4ei5LuQpZDGc5c9A9DiQhum7FnHbNChWMjAGueHkZ318RJX60fgEZ0Y0
4jZDMdzGSD65ONLCKMcCbpaUmrMdkCHJGuHDI8pM+NxGjjDAv8XZ2avKZ+hd19DEMFWVfDmUHNy0
GCCHXiyLtjgh51iNqXxKCS9YarLnXpP6BvBpw2y7J2yB+9CBdtyCzrWIGRl1fMFT8NiP/bUq+Nkk
BbyTy47Vh7ZIaes8UcQpFO25STq5yVS30OyMvD0Hh5VAhaPAc1sjjktDVxV8FcI34hAgvW5WjwWI
8iV5w4AmYzXghGg+tHY+6KeyYEP/5QUpi2QJunAsmcAV7ehuTOHMmhG4KkMu4C2W1nVAAbQQo9et
cS/NUh1Iv7TUwaRn/V0SU3kVs2QEPL8Z2k9Do31p87MfMG6Ygyh2arCzLWWQtezEXk12/1wYJbFc
t5ZY+zYuljbkBLA/aISCJAWOoxVshBPqbmN6bhz9ueyrqx/CbMpweQ55hv5XIkzSRH3nGuy9UYS6
kb7NzicHENXtsMGCwqgpzO4zC9xunhb9Gj4dGC0sHwcXYvCM22YykhQQpDSOwVxUkD5kqBfuvkP6
DGrIry/AtsLlfDcOA8KeeKYo0XyC3WxSZ/re1WIguO8nhBVmQ3c2iW1nEU/UpGlEKmku8qvdVK9T
Xr7SbaVCmc/Jee4eSZc5elHmXU2/xFRv2tYKU9hLoMvsswzD+wmBUol37phpnrYP0/EHrfhFHZbe
YTTMkNTXlkExtmZUDXTg1gG0f7wLeBEDCCOnsDF2sYblp0UkwFmcKxyG3bJWXcj5RhUPrku/t3bs
HwydPYiXlv9Wxd15ju1lg2GW5oDPotlMZo1knwnAEh+jti3Pse7liyzPASWOB2l76mEeSYGi58KU
GjMQ+vR4PGlopOa5n7T3REXOe1ExbNKTXhyJCjo3jR09sQD7gRBXshpeNIitRzkEDjpoYrg6P3uL
iCR34yF46Q1dACgfYIGYVfhSWfXN1TWOfZgZftT0qiNlbEtK0qOlV5dUxOoBEWK0npLxRYsHk1gs
/70xeexUk7kPQc/nOEqk13QorW3oqviIIxZnXJ7ATGyzozu/MLLMjt9/TUssRFE52Wsrq4JzUkg2
7xRGvkT31S/6tuw3XTcgFu4khrMgYG0f0+DOQQcPrgzhJUWMU+2+P9gPQ0CLzwjOiiQBGmkY774/
4Wr2tOKs76z+++va+YtRIBN10I7n749/vyQ6/nY89xuspNijhD0+fL+kDWOlKX+QKpseSq1hP7Xi
cKfmv1pBZjAL5Bfz/dlJymGbaQjJCTn4VVic3uwqvrP9TnypFEFJ3aNw8OVOdzIcdDaDPqsJR3/h
JsM+mfzs59DVz1Ejg/epCXLUegXAOiYBS5974ymEuM8zbYkbxU+4tgKZ3qWJU280w3bPox8Q/SjZ
cupqHPdF6Hj0E0VzxFTNyEmLL1qbRUejhQz9/afvF8yt3q4rE+ihfPK/P/6vvhYOEi1RM0xWhhnP
mU+tfQwh6z2HfXbVciO8d4KKCJ+edHc+qutdcVe31sP31/RA2I8jJRf7p4mppBPxFpSnWn9/NtKr
aAUQpae9y2e1WQs+YiG7fH+2FM1K5gwbUzilD2g9/vqPer2V50EGNNXJY3wuAYrsccwjzZi/fczw
hS21brfff9Ux8dA5lONfP3Jma6Q2K3kXR7Z8RlYzf1vUQ9OdwDz9/e91sWyP6HjCv35iCjI83WAv
1t+ftU3CeTB55X/9xDlqx4UioO7cmIRi/X8x9jgnuhkSkfT/W4z9/JV9Te1X8rdQt+//5v/Ksd1/
ELnK/IUiVMABcUhu+2eom23+w7SlKSyCh4mpIrbov+TYuvUPmyg4mwxxmju2qVBI13+Fuol/KIUT
WyDUdl3ddoVt/6/U2HMo518BffPbsyzFHuMIrGc0J6Sl/kyyFWE8JwKVYBjbEhu8fcyNKr2kTX5J
Ey++tu2UsFQXt4wjlFDm2UvgnAQxHQIzsvo7q/Tu/ThyThUnJkE6ymuIKEnFHhNQjy4BWaTmjnzA
n66b4MCbAac2s31cd79d9n+m1f2eTvf3zPU5clSRfy3N+f+YL9ik4P0uKfdK3ysDxwfeA4tm22ne
uI5zMhBoNSMKCGzYhBMCkX//TY057fj3i+cKMqyFiRBcOMpyvz//WyCeoze1EkrAlu5leBk85sLj
7EXzFL2tqkiNazyCiVZhevJCt133tGkqDNb3dTQe8Id4pAcEX2UVQkPhIj4FBgAE9LvWyhm6+1yO
zppyEV2fJPKk7rPbAPTo378Hfb6X/nwTStctaRMGqYSl/xHbWqIkqmQA10EpNA3BWTp0/r9fSo5f
O2V1eIRCaRxY4PSFq6r2YsTZKVduetbcKT3T0ohOfvGpjDS/0CgPdLiQ1ZfvTZwU0y496CAmqRnC
mLSoMttYveMdv1+A7gTLrHVRDYNuuriRT+hqPuYfwfAF9jGiM07nyKALvnH7Sq2zoopP3y9NSr9V
MKpHAsJguQ+1Zy1CjeTTVTyPTfxzcgxSYcds3HajXbxlDvHwC80pwyca+P3NJtZUn24tzNPPjuMf
iTKJd83sNkDwOF6pW813fSgYnCnJGNnQHsNO/sIaOl3FYBRg6GdnY9N7lzKeDyVBAjRUVW+dl9mv
TgNnT4eMCwEipryPIQ5O4ehcfOE4Fy/L8EN5BESAWiGAuaNfIQxItSAkTc5fKIWFOY3HOHGHh7Zz
boSpHJvWik9WUcpNs66J2jllYxa/9EGxIxt7FUx4nTrEtAvbbOrj90tCTskiHSH6+sh3OaTzAt2m
Pmq0yTDLxvOrVZqXGBYUTfEElSGOZrP12MIxIR6/X0js+uefvv+qaebNckKSbbUoJZdIJaeiziH4
+Ey/0rDf+xN2g1Tp3LyJca830JrMZsj3f51NZHFMwu6raU+ok9CREZ2gpagrLKy1EYpROrqqfy4T
UAhOK5q99JKaPGwvPwUEfgH29R7ipGzOUei/WCVB1p3dz4bV6GKQgHZBmj+DbOEIL2U+VC9xkKNl
hHwzlE9JmWu3xGQkE1lW9oUICRHN13j890/THxHXlsWK4CqdLHlHxzBjidn68tuKMOasfJqg69Gg
vUJH127BMZpv9Ux6lYl3aPLkLXZD/2AlNukFSb0hmDvd2AH82SaHLNzEdHcCn3BZ/MnLwbCbbR97
7ikxdHPpEXG01HuIbEaVzZiquj+U4zzJavvpXguIRghQbtzQY1GERNU1D2J9n1K//4dV43+ufCSO
uqaizWM6GInmvev391kJW8alVpQYdJFpyGlUh++Xsh3pjs2BRHHj36Ux4oiOKItbmrXNDXBW5bwJ
jJP3rOP52Q4bBvYDuFszG8KnpCmp801a9k7tVDDyzV1lI40Z57wrhDjmf9gz9D83DYJWbZ21TwCR
5C1Yf2wateYHZSBJaRzQBuynifGNa03pbphoaXd98kV/RifGJHkF/KwWeCqotzT71JOVQEKGB2Ea
czgKjiKFgyPrk14P5X9Iuf8fWww/o+HqSjmOtDgI/HGhVTWQAU0Y4IrcNRRSRFismYz9p+3z744s
blu+C/W9Ix1bl2wFf3yXOmoGupN8lz6yXku7DdciSJYhi5LkTQNb2E5uziHov05K/2LLln9cfk5E
PCeC7gSCA9eSiqPR7/cQM8S+yIyxYPyIWynzA/+KjNZqbHHxBoICuKfapoqZ8QWgPSzzw0DBxFR/
6p/9csFmnzy7ddfeqk6izk77Zx1T/sENeOApOz2qjCyA3o8cDMLEVgyBeZP04q9N4ZKU5sa7vuzE
NrOlf2aHeo18aDKjOdVbCAxiFwqfVK96xHoQJ794jg69zOqLJYKHtEUF8P03ZRMf2fbpVdM9wKUw
chum/MQD5I///mLp88X47ajBxbKljjjHcHjwHMf4I+GdO9jXpqpEJmjCf8uCUFJlYwdXTBZgc1ZA
lkz850HUb0A+dfvK0lk/Uf78738Ozlk8LY4pJZvfnBH82wIHRgNWVN5Bn3EECrgcsKxLj0Y60bPG
89MNwrpnHvPSTPIqJ7u45n3Q/1VtEAT9r6OIv48kf7sYplAcubgkFhQ9/vz3HwIzz5CBNE1Xwi4Z
Lwx6cegZ2KEDz6ZLABrl/xB2XsuNa8uW/SJEwJtXGVKU9xL1giAJEd57fH2PhM7ecft0RN+HKlWR
FAEsk5krc+ac960L27hRAYNrx+aV2jnEuapFsKHn6O8sUQXHGXk+aGa2mmYMN//LKJn/FVTZqtyh
YxCYrnG//V/T5TkNuTMjpVKdIJIjzmnW0kTUaUv61LR3dzCip7SJiw2uAZatwh0f1r/ItU/ortq0
4lD43yKF1D2Mn+NMjw315Wg7mtAbDRk8K7kIxijZsNyAZkHqLaQCFXXLBv7++bbM1AmGj7G8hBvs
x/Kt4hmLa77ZPD69F/G3nqNV2ANTcCDL2jRTZ26LuqYJb6yrTdV7M0SpHZTmauV+0D8DaMxxoydg
o8amcck2u05ZvyomGKs8dvrbGdUSQJQaigtW+QiTQLedRvpyMBvLVi8K+D7J9w4jXPZ0bXnI/YJ5
iNpIuYDCyw7nR0PT+CvS4GWBUA0dISC1LWxzpqbVcD97+k1p6jBILuqlPoCPb23jOaT2WNF1RxfG
3Iza7dSkt2ODbERY+j+x6ya/hQ+3X7JA3tmN4E0R/DJI562rNcwpCIY+McuYoQsdqfs4A1C+/mXa
9ibPEu/WzojrxwIiLSgPqPeb83sI2+gWHGqzTVPBOMwgw1X4bUPlGdY2+t+zEeNEU+NmcRDxmSfQ
sqtRWCBZ3OqWD3urslWdhmGSv/LUtVHrgnu7hPDQa2KkVObxbSj0/qEoGuvWDvvXOaYkynmgP80K
gXoKdm62Hrjf9DF2Qu3DBbjbOG5AIbV9djJNR6wQQFEK6K6uTQslp8R7slQS8T66dIvRf015Vv0v
21L/b31wFr1n6TT32pZLa68rvux/2Iau7XqzALgFUbhmHLLZegcejGAo67Gg4fJKXQoYtOfR3bne
GG49H2JjG4LWJytp1Bu0kc6J9kEuc+c0xfIBE5q1mem0h0mkuUqGof4MW2gEuro4hlPXQqxeoPQR
x/+bift/H4OsjsfG1VWckvrffgloD8WGIcLEWZu0mfx3KDWq66QCTdbMhXdTaUtDp5MGoGBWCtrI
Uv0qhTPqjoPFlTtSFSss644J+/8bFZej+X87AZdoRTNs7B6slDaC7v/XAEPBR+He0IdLsy2PNLIc
fcOizOntYGH9RZDgkI2oOdX9WzV578n4Jh8ZtfLo1eW9DrcQoP1A7ZNjDLqqbb2XEAyJEuV/f7z5
XLrdJs/PrJjLvFkCKCsORp0f7aX6bYYFtPYIs272CPFf4C6UbzRoOPh1ux3Pitn9DDZ8qdZ37pdH
+WMqFhqLsGzGIOo8H5n29EieNOhcPdCb8tqAtrWq0Yqol4Mz6cE8A3WHCx2R8nNn5scqNA6uDuHs
Emi9HshXOtVyzgCvrTIoUAQWyk5uEFwH7Yi8reoHu18CBe6HJboOKyg5nOFDPuJleiA/y1g9pF31
THvrVW2gRZTdD2n6rfFWrNBUJO+3+VtbLl89B9Co4HXA4FqN8Cjk4xAfQklvwT2LwDHSpBvX5d12
So8llPLEJK80MqGRRZkrmeeDWauBN0dvACU5I07nxqI6EDvOPrGBzeXKk+nFgRx44eA8YjhIig4b
KpUHeZpc944magYzlXy5dTghcTf7SmQj8tgKXF25XSrl2s3hKYd7WKZpgTF/U1G+X9T2d1HiL3Ri
0sb47JvfmFLL/BiryqOtLIFrJMFo002rVs8y4DIxbrW8Q74OWYMa4IEC8Cdnp/gZdedDPuI3IKJn
WKpgWzZ5S1tgNGXePMd5Mhy4y5kcmJzfQuWNPPJZVsm6wHzz0q/rJxlZWXwqNiAuDihKBA4LLHGy
o42AagzkiQJcAHolMK05cHyGqmb86GoIaN+4nRwYgNLi2Gg9ndrFsdfTo4P+olPsZUTX2cth+moM
PaihRJ3U5UVGQVanutwsXvOlzO49LOJQpMUf4/xUeFrgld4HKBMzTmDMKY+yQ7QM3SUtDAbNfAXd
OFhnGV2zGn+QGDrDwXUcChaB1m6Gpr+pWAz2uBxkS051BajEfYKU9BW9kd+Grai4D7Y2f8m1HAr7
vmG/ysjIegQYf29y3Jb/Dyw0tTnVlbH3F+VX5lvWJCSpr7PSXhbmRGLGukQP+Sgfl/uMNe+UzC4F
ynNSNaDApkNk2UcZozpEQnwxJTl9RF4gkJ+xPp2J547R+FKbxkO0fFs1y3QCRCV/0Dg958b44Bc2
8plT0OfT2Q/NI5LqUPTbO2OZoMezj7Jijam+A+94/Y/tyFodCef8mIOtt9pbN+uuZBvKTcrLspHW
QZ18Am8egl4L8hERSCtWtf2fXaf3tNOUbJd6H6nFLvOWLQD9o89OUF0EZuxoVxvlscimgwxmL3Yt
oyZVOC/Am4PWGW6k/10uWCZJMDTLzqdGo9jur4ykUjNq5iXx2D6iHwvYdxJ0S340xD+H1oP821Tb
hyEDHNKyhDzricozaCXsCb9bYIKcJQygdHmFK4X2ZD2IPJC9tXWPgORZJlCuLVMx5dbOMJsb84XQ
4VtGR6/MY9aEQVtGRGlw2fPvyGey2AFaPwagk2/z7j4rgeiwR2yWYzF2PzDIwdev1Y8tGZLVksuy
4clpEr9AkPZNrgiT7WUTDy/yupWwZmRk3AxT12xroMnaaciQBmziG+Q/gQvB/iRmTZY7ZGy3NEVd
r3YpZfdVY39GD5P2YvcF/xj4OWjiEaCXNu/I8IbGhz5lv/M4nMrMPs6e9QjQ6AqG8mAMp8Bnn+iK
tZ+w2s4YlGwiJDeDTk+2wCVvEts7dUOyt+y7fmGxzkswwVGoYno8aLq1pHtsZmfv+cVxabW7dIl2
ja5ujGg52AVsWIoaFDrv5fW1Onh3GZBHEF3PsnrXBxB3p8DD2IXw/jIwxRgGD1DlBWIhw3E8g5gO
LJiS7E55lD39HwOpiYOaiuLBWqaNxxyv64WRli/xLKaAM/MFmZnLeIIDGD8U8ySKTEWTwBZbHmlS
fJUpEUTAPJ7oTFgvLptAhtrNgMCwoqc3FKbkrmSKlt7fi+OiWeEizLyXf3aLpkSftUP/GJ3GYG9o
kA675Qvd2fXC4qPk1qOm+XS6W7EFsovEnEC/C5zXeomb6rf0lkO+zDdWHW9lp2h+/ZIu8IPyRPLe
YDfYmOkwLd0bRUDZaL03fej9Qfa33BplYZKu6q0sE/kt2k8CuVpBV31v6ldiamvUO4rxO0WcWh5z
NNJDh4ws9yJG1wRompbdDTzMNygbnqtsvg7j8TaTncQOk8foDXcvMCVtBHNcHe0Cb+qrzQ/4SXE5
48j/o6S5K+dwkxXWpT5qz11R7/EahNHxa+86X1n2NDXZ0WOJ1J2zVz37M1ZvDY1N3jTMrF+rB9gm
dlmh3uSe/uGH36ljri5TjIBRPc2z9qP26iFsuBzN/Ycxv2mJSqw+OyIjdeQsQdauOGadFshtGe5r
PGVfAIjXl/wY2tc+2iL6tBe/aspT6Dr4vyp7CWXGnKkHB2xeu3P0rVePEqd0FuJnkwJoAzcZVkex
IX3h7jlS7ZR+2srs+Cy7alZe4Gk5Qxz4M7OjlWrZgWrYuFp+K7ZGFj3heGB2kJp2oJhMMHCljgsm
AvOd/WRpzFO/66qIlm0NQk9nLz7LKJSnAehxT1giIeO6gzr1jALYs+6DV5CgBpaWZ6vOLym68xCQ
4TkjLtP1hGr5TpyNeD75Rsv/GWmHnIruR748GUqOuAl8GoR74shHzaebs9/OakvrkYp1LX9ni32t
uFuaIbbwux7TfAkkSFAc/zmjMd6d55uJDLesPNlksnE0DldonVmu8SSbS+/iK6cs76G/ovfyGGJR
1m9gBcqYybqFg7bYwlHzEYujkb0gnxiIPgzXvht670ruQz455nRuKOGTrHiosyHZWTayUaGCPsgI
y3O2ND2ZZf3URrg0P9urKIAQLojxB0L265zcTD2soUiSWx9x/iVBmWxcmU6q3j9RtpEZk0Ea1b/r
FkULMY5zHYcTmaokkLGQn3JPCiwZNUVgubZhaIE7+afSv9Nb56eB2HEd28bX37ISxI2znNsC1vch
B9e+BOtq0FPOMMsa28Bee5x7n+0Kbkrq5MODPLpuxoHMG4JEV00xP8j0pK0a9G1/6DaFysRU5Xqz
8Ji+zrCzybPIza12s7TaB9JWHCqXc62gyBN2P/A+Xijd8rRu3yqjryfX3k2YQUGvn8XRigkQq5EB
klSjhy4+uEA3de1BvG0fwexZAvUyXGuvVPHtgAHpQxYGLteMl3cH/fQyxBmAv5tS56kzlVMW+3uD
OrtaP7tuDbYJLbwxO+ZsUcsCbZRF9/JvOWtMCrIckEYnapCYbGYxFHN9V2bKt2xuiX5VHxEmA1Ua
riSma2oJVMRdmfrB1bSbtIQmaSF68kN22ELUqqJ/pYf3SNv9xkl7Gon+7Lylk6PdAek7wdvC4ouU
F9XNLuiQONZ2cwJicRwgIeym8KX2xwOSuGffGu+k5jRF4MIbwBgx8fCMXjnAqneKQGxDuo/70n3K
PPe2Rd001aaAL7LL5KtwwGTTg+sMatDJ9iWGs4fwDdb2CwRE9nIBi+l1LPouJ9qz8PitfOfSDjtw
Sjf/fMgz549kgsyJL5Y7XT9kO5+FWX3CVB10Yg8AJgYeH4JR4F1eNIkQu4w6MQ0M3hzUjbXvYwKC
qH0aRgUpc2sf69hpjjo51ASQqlAQHQ+QMRzl6cMJZW/XfJF7qLP8NyaeteYb1c+/5FfKlOhJrU9G
b/0WXfhZ5ta+Q8p47qvrkt2UdSDR6uTaBww3LsWHX6OxU3qvDc8L6iVouuk8lhvXS7/lxmV48hZY
P/RKyDDqdzJmsIwFMmZxXrCeIb6FYx+aZHTPp7O8X/RQqjT5Rr6gnPhlTUExcqx/ffczk6QnXyqf
c4f+XBevCTmxRknuy5CVstj+acDWVvUR5ZmXLoacOeagx1FCiV/4xvtKpSZJMdABJtprwytqGA+N
wPqwi8Y87eZSuaKOcqb1XQIQOm1rOEa0Q/sx+tGpJDIqTSCNjbL1XXVr44y0nMiqTn8mkD3ik0x7
CcRvT1PzWZp7JXfBPFYv2UgAwSqPiNmmLA9i47Y2/O+lc47IJAaQM34IvZb4aye+cKfmR/avnMkl
qBqd/Gkpk8s+s4IEHicqGaB6Oc57zueC+By09X5Sv/biW8WBlpr/gyB1H/7Q0ZxmgdiHvstuOk3f
RZdlb60uVvwoTYJ6E8yEiPacBEnqkpG4kC0ru3tItQANkM8svO8IDJGBh/Ky3q670tTvbNv/kNfF
ww76twQIEhzYqvrT0HnN6VbDYCkdBxrgidTfHmQA9XQODCO/gzYNLUD3ZPj2N7h0CnW0cxBcEg3L
T/lo8qRASemJIPwQH1MOWf+8YxfTp6a+Zk77kzns6Om9H7RXGBoIF6dXyLAuOr/9QYTxUBFD14n7
BvcQJQs8glUc246zL9cAJ7QNm4Gq54WmFT9tGAeakh7DnrUk159u1LY8yB1lw/Mczl8un8j4hDwD
6rzIDdavWV4fk24IIprMecvmI0tkHyGpKuuX8dcmeRYqHKWd+OjS3V7fJiXRAuMkr8qdQIJMdYpu
XeXK9Yd7uTD6X+sNejAeRDAWLfl4aBcjyMsOVTNY45I5aBKF5lnsKyRS9NcjsKmcWrKrOvpe4aie
5T5lQNpBu23RAJHHUOfi6Lo9u/Nenn/pQGthycGShqvfcHRcNuJH7nKZuc29JCcknpcMREbrBFri
z7LsNE4TE2Yci+4X2WGNAMXym4pynY5okY7Dj5h4f0Kw4l4W39zHgT1ZQZ2SZoyTR1kUEmNSiDpZ
N3rv7MWvVcN46HMCPNomE/1yLKpbqoOBRJ2IFh+rdnhFm/IimcaDfFyWqV2EO498oORSxBnpTgPt
/UbyX9aAZIF4IAMovr98DnzFwhpVK2cPYPbSJCol2cPJgRnjaaDh3jokG2X3yhNLusZU8ttYUbbi
M+X1NYeFk/IIiNJHa1CuJGIaiIUkPJFDuKQJaZy/t4k08Yn3c3ZRGfphPQ//G7iGan6B/tmbvqgH
uXRV2Hs7R9aMIKYigiiXQzvQcjLAh5RGgcpJzefEFtusGLpem+EHuNN+6e6SDr1YmVlaMH/KAWdo
tjtZw56FCyrwYmn7rCpTMFoRidwZf07jgxs+lqQiSlobLdV+Cq35MJnsb1n3CWkM0PBDqx0mYcQB
gC6rPeNlmkhIVxAk5ehq0vUsqxQVxMtOLZ5kdcpult3QTL84zncxDbII0eO6mlPa3lhxCNt8pNVB
PkmP8bqPdM8lTqEhoDimpPNQ9sFhGAaCP9OF7Xsb36ErUJJ9Fdk/sf6lnbyAdEe/dzrDtI+wRH+W
1yvYXEM7ehMvoMxQ2lXIkvin2PffHbwE+Jyj/D/qOYLzU03DK68zH23J0Gh4lhRe785YnxSY4ZU1
wvvB/gFsE8S1cWx0/zorurtamw+UIwKgXK5ffcsWhEz2VE6YtuHB6YtvTq3fVbmz3Rm2ue5RzEq8
0EZXDkFRZZvZiu6iOPrSk6PSqcGoRiRTlZMYDa1WTp7rvEbz2bdxbJP9IqtTdYzVHCgxLa9evBMT
QddPIJtCRjU3nU1FTytOTQbcmf/mKSEbJfPqK/oJ0o/wthrTvVxujOZA475lzA3ziWX5JWtEPqsi
y1Z63zLlaTLtY9jWWFkJMy9joafXpgY4lS+mL+pYhOFb/2vFe21QTlOHpsWpKPvnwfL28iTg2H51
EgthfC4i7138wxDP6xdpEWSYbbrxqvlZq0GmMkaT0f6sa6ZW7mcKsPJk/mwEYvu1Ln+uaN1AmXzf
2VsHiyBh5mpGtI5RRxjEck90NB7Xy8z151yTdSYhyLfItxLMPjcwk6dmhGVgUJDPgR70zSWVt8CM
o7oN1O/9WeIOiWP82vnqk638F6hIQFkgADG0iyFTqrL8QQ/tK7HAOdMOe85JRic03O2U61sxhXJn
rDpyYO2z0jd7GhTOcszVlgL6lXa3mtzZ4VBvFl+Os3pgSWvAAh70afNjsU05Xcr5hQjr5NvZQ480
5XpqXA93hFyg3eJKCRI/AjcYBSVBEoVOrti+6Sz2mqcIsyFwVZjVNFQNYmhIeByY604ZMbRk0+mT
vVV5X/I7a6pSspjLBB5E/YIy9QC2q/Yt/BFPyppfMJ1OuekUihimHW0pU1W36ZVltKcUV9wwi5K7
au3lbpisyw7vViIQW6buvcM65qy9pzGpNFUyy9wY66RnikgxPtQRLfGOu15JklAVFmGKf1qj2vvG
4d8sqkPUF5fxFa0y9+tYJAO97bNy18MM3xIRD4l+kMMfiusbo7LQGKSPnT5/qSckRowtxocQCRuu
8Js6V001bZpC/bTqnRzQZvvvoJZEza2PH4HNcz3JJwTVrdFfO51xZ1feOi/rIZxSc+XpL3Lq9+vk
KD+pqe1aw7nu3fpHMgN8tVxh6YvdUpvXU+X+SgJ+Ii5X1espbY8yoZIHtgdlC7XeJpeTDCiYk8fZ
PqF1alavQR8JK1cAXQppy/6MBC6RrtFqBPvcY6dvk9LfSqZhzTJAifFG5x6cAHh83/4lPv5VC+fV
p9tqJlGAKDByBrURgO96MyA2oHhM1Dutx1IlTp/7lF2pfnSx+Z1b/mnENnC2OrnDZw/M2iDaR95u
/Y2QnolwrF/Hov5NWT6D5d/6qn+tO4SGcXNpttOjzD6ow2DwPEjF3wj2pFxFVMQSGLELkwXqw/kK
2UnZNDz6GqlKLEepe3vitchsPxzWkur+fZr1dW1P4100ESbhDKeaCM5AK02huyrP6Mj2fW8vTHZN
Ot7TEP5IsuWSQ89RMqqyvIZkOUAcISxsDynxmNxDJtuWjmGz/TZy3ibQt/uafNm3MSSfooLdp/az
X2a/U+j/quww6CoDjnVbYMW3dN1+lKw9DmmS1TFsOierbLtObQ/xK2vTVOjr1DTKyaSH5Kjl6O+N
RuQF91OaLQ9SpGpq/SDJBEk45jr8qrZ9KweEwjTupsW8bmeTxdedJE24zP5+aXaSa5EoZGn9LZqz
24njTs+yhwqYL5SsimRbpHShoOhbTvNNRdpb6iuSDp2i4sEY2ASuTx/7gsAO8QfJCLAb8QX1UcBA
MHtiKuwq2lUGmmh4GAiuAr83t+BNdy3eRqyGfEZMECX5K8VN78rqejZSjpgqa2z80FuY+4blIOs8
Mey7Cs1POkWv0z6EcTU7utpyGDvvaHFEbTRInsjEyD0bkXOcqIUgvQsJY3YM9b/cWm6xO0N9Z/nK
SQZUviOONhAIHaE9DSTRTuso3ZPWrm/6j9VYSL1Fb+6q1PyW9fyv0Zsq/zEO0Tft3K3iKDcgHf5M
jo3zQCApyMeFQ9BOsvU0dal6+6PhIMUiyk/bHL6gg5ciEH3jx7S7ixOdPAcHCLM/wzlEFSr9dR/p
C9og53sj+8nGBf1l/Mzpzk6XTWUds5KcJ/ctj0LnsToZXzHnUskpiRlzO//KgdlyMSKIT6gGEJPK
UVJOnFNn7dIOES0Ocmll/aVH57iACnTGUpMBX+hWIeMiIajduygxTzSbU5AjPl5zTHT6REXzV+JD
4mRfTOTk8yl7nWj6F/MndwYrTXhheyV41+l+4ZwsjyF+Js133tTspZa4ljcwKo0Ag9gJsDKdLawQ
uiP8rnHTJUCY9OxpdT8RpIXyIWRwnlidV+uQmHW6VtNWqx95Fg0tHBGGa1l1jj0fgAMFQK2Dqo2P
ESQxY5hs3NF+WvKJXm9cPQ5O3s/G8jDfiIfRlfCQPslsroYIU7IWPKbwbhhhaCGMkvfAOUDVRDLT
s596v9rVzrhdX2diZZ5lvci6KWAOGdJ3xfxKkuEHq/r770qSzeFRiZn7vZ7byHz4V1Lekd9yC+0g
TzCUGy0yiOXT4xzSr09Ad+161u36tP5j5yFJZNa/8UhJSK7u692jCyN3x8FI6bCbtvo6ZMq7vCeK
XxG0NVl9rBeG15LR0eAvsWNizzZ9lov6hXaFwt2DDImFh646Y/1Fxwe0AsWla3zIPXoh6WKeBYzk
+pRxa29ooFgXvUuraGL9KCY0RwT9UiGSkABWcZp57zSaatZ9wB3JnpC7EmNfOGQX2vHFqDV4VMxr
NDavOMvd2Sa3qo/evoirWyWZt/9EKxMiwhbCOdA7k2PhQxLWyNguCmRITv+aSTZphDIm/ZsMJtu7
qvXqJNNu1X/rUYUuberbV1mbq5sb2urb074kPy7WQ+wjkIVXnxyuWEHJ4K+rXfKt8GJ/JeqjlFqm
fkuq90dMq1hbOeDJT783NhOgiCyJb1VSv5LbXXPEXoGIka7eaMu3uMd/Us/TxnDs0zwgkqdBr+uU
R8FEFDkpltAK0nDeNXQOrt+Mqweq9vhvmZ369rPUR6Uu2vQkkHAE4LEYPKvZmJN76xUjncbfssHl
GKmXxWZoOV1I8VVeWGEf+YcPReuaJ25JWCU9ujAORKW4PCOp9xnurzeNmyXxNp1FyHdl4v3WyBoh
ajQQb5PCxgrimQnxVHN+cPyGGjQVcJaBI3NZ4KYzjQINaiu50TyArqSMRy5G8gpVMmy7JNtBgOfo
4Eh62BwjeyspCpiV8Mj5m2f9SPxccKSRFIAcdzbQmdzNxJCpzmbtiRAqgumS03S9zB80930Uzp+V
k2N5B1thkTvPXkedQMFwSSJ5Pce3u9i3vr2m/R3MCEbZ4lqO9oQBm4aS12wWezkkeFA3kAx5V8fh
sYEYunAext+ynT7jaXr1a57CoM4KjsWNtG+VBQCV4k2B9yyoMYeqGSg9afQc3TRU+qSCn9X1vtHs
o968Lk7+Jd5IwrSmc++7LLlKotcptD4lwpeKjJFR45Umf5/0C87LlxyygfoYiW7xB7wUTYSAEwtz
nFa0Bq3/u6xPLjOYBCVSXE2JwDVSzC3g/DZeG9jWcDHDUJs++mZZeiurWaoCMkASS0D7GIX5SQqD
s9l/+eZ+XUjoBJc6LX3aXZWzcRVzH9UcXrgWoxVay5esmlEPv/Lxr6AoX9D17sNkNcgXc+aLxh9r
GvZmvhUfJqgBQQ+IB5c/s08rZ9W9QaxJC2N5Kx5czcirUDNqje7VLT8lFJePyq6U+Q1z71mLrTVR
ZKjxJzyxF01Yvpq5ddDnCxlHidbltLT0IVmADynWuLD7XIjfB6OJG2teZrIDK3ZIzIPl0XGdp89l
TU/kzBmZGCbElMAD/kBrmIbsFoceVV3fWFwf/rtf+T3Z32pKolmkoxPtKln1IKdAor/V5EwTmQy0
JImH5DvlaxSH3yn8F41rIqT31tdfcgrTK76GeF6NNnZWfK+WBEK2P2zToiVXajKhySpFhr/rOj6d
PYhdunAn89L6LPJQmq4866jDSCC/vijLZo7zR5gk4TPrzzIKcjyyfQtiZuVJxlxWoAzykvxohvkh
hWnBREhpLEzRkfDfeucqip2jn7v7v+oeOS4pGlUu5H4afMrOya6tO8fN1jW1VuwB0EiptQyb7djU
N2vUIMtfgmDrCXWrWNM/pcIlACUJQrOq+x6+5fDECeCHY9k66U1Gyjm9nIzmWRe2UBnJSoamgOC1
qYZHGT85za7jhfLHKdp2hbVJYtQbxH3IMWs21UOe7+ThZS8NVEtKo72dc+16rpLjCA5/6PpHcQLi
DNryU1e7V7MAFSMnMtt88VUovCTCZOvoYn0l4AaGdpvDJGIRdDeEzxKuykAKEMXOkPQEs0p1VPKF
9RiSOH5RCowyUfZeEvqriZ/d+d2JX7XNP+7lH1cjP6XCP9HCrDS7qUVEnZi/7syjXKcv0kMC6bp/
kv/JrbVt+kECTuL6UItJWZG7Z2jjwrxY4Gs1jEc4j0j1/NmOaY6Qc+1gxedhJIqL6+rLsG8EJpZJ
yUVcriy5Js7u/My+lrPO6JlkXiVBl3afaPv9s1tXmIusCeJ0E1aKLsre5LApW0ECNSVLDpx8JciT
uFaqoVIgNjA8gwfohpUmZeXK3WF/DotT7+XJnRY+SD+icYpwNR0OYMSkyvuvA8zVJIgh0tft/H6t
ekg6WiodHi1i8WojpFBjxcX7kD2J89I53YnhMqzpVl/ApsPEcyFWS6oyi6LdQz9y3aF0OfbRM9Id
sJ35K9DJMrJATmSeVb9AS30hOI52cu/qCFGTiXp3LQiArL0ynRJpj3hdYjIpU1jA1sdaYo/JoxdT
+kOiTjatWOQ/MACkUUllPaynLbFXEzSkmaJdau1fMJNlBgG9uW0U7UrWl9hVgV4VaHZf6Hn4pUf6
3Zo0YlDtpn3QwvHKrOyf8lPSIP/zFJVk7q4InY0k+ZHZvYLjFGUd0iKYciGdsZYICYjituTsIWlE
yWxK4lOyfVqnfpVQaR6haIFx4aM1UQ3A3unmfrZHRt5ZAWGjhFS58uJV7qWatw/r+iTkEpEPWAGf
6RT9GBFypnk6kNiuUL3bsEOalCeTIeug17jI2TuJMa7xm8RsMmCeikhxRIJEDeTPagXSTofPUH9p
iCLSzHxPCphxMRGWQiaTDBH9GhHSqwogh/8kReRXiyQ8uT8SB8rNrSChxXhClr6Htr+0v804eu+o
jrbdx4r0E6ictdzAPbJdj5jcZcwkS9IYHe8PJOVAj+Hx67yCpXwnl8jFWIk/6gj8vuXwLc8XcYai
be/Ni36QL1vPsbGcZWnfiiNdCHFv18QU+wgcNEctGP6y8Ul3p51qFjcCcBA4hgSNK1rDh5UlXV5Q
DyNf3t2jX/spuCr5nDh3I/vJp/5rzSPwUsZqTrPqTso3rYHKqz085q0PAKAHfODVkGWoV96CidKt
v/KH6Zgw/3tvU7ecBR+8ePrBT5K3GDJojei191DjEEUibkgAYElfQG1I6QnUKhf5d6vWJfQWE8AY
s3xqMuj4uTnbo4LBwV2mAcIpTqzrCVd2iuwYt4fQnESIOIRItfaG9+SbxpdR5dj1+kZMjZRaxEnI
MMcDHCJLdS2wRQH8uZVLn0K0kclVjfA2N3wAv/lRN0wAvd5JfqazAYVZel2mSyA2iSTdQhW8IvMw
GjAysHfEOclXCI5Q98pH+OQu/0GbjS6dxhBXRcsfGnqgvmxCGVkk7a/XTYfcM4NxeYLW6EueVyyc
7V7OvvotXkHQY0bnXiZFT0cKsCwALS0qR4g8X0jUamnjezqhvck6+mc+V4/h88EU/nd7TK+rQr2W
CRfEhjgQGfAhjRhjeL8EELU6HCpN17oV34khlbVQdNcw5xxlhgRLLN+OxmhgwqQNWyz6PTVEz0CS
CZKlvEYBKvbMbylVihEVsmf4O0nod3XzLnU5Sa0nunagKfUzqW+lnikVVpNcmznHx760rjXd2WUT
bI3k7/NygJdvOEsFAxqHzVgBZSWDJ/VBCe6MEfo+N32QIrbho5bK93VKfOU09l04OV+l/ymFj9Dn
IMqpRFum6zGe7zzSiGE9nM0p+05qSgoQBMn5Ru471DFh1FQ0eHDdRd1kY4Ta119h2Oa8DADvWA0I
pRI7F+zqyNUvaRt4FpCB1InkZ4mQ4ByhI1MYK9AhyTljhw2YUKeHj8p412yAlGpbwOuTN8jCtNmz
YdJ7XlJi+J4L9aWt4/Ec2ZBvGjrgxQ4G86kY3DcjmpONZYzF/UTT151XQNQG5AKCYrd2UOf2hyM0
J9frr7fL/IBAOp6lVxa421P/uYsNe2sWnbJS7T7SMhvC9hflEF/A8e/AGntebjpolM6xav4mejh8
FgPUmr7bF4/6kNo7KM+U7ewZ+vOSw7Ge1ua0x6w/1nLDLmUYqy6RoVA5PwxaVr85AzFvjXrOnZZE
0b2loXmBfoH6psImg0KEnZ9slvr661TAn+uiy/ctGmzQVivtM5Q0+Q1tkPMunMbx0c4U46qc3msL
ygOYM5wLQAuIg+QJXKrFq6XRz6pFJeTk8OHRN7ghkSs0i+FbV8HBmmZjcVGM6O0ojaF8Nou3qVMU
MupuvteBOPbKgBBT16nbBhgx0JZz00/pldPCTocIkk4LbX656Ol45cwx2QV0bWuPkLZ518hlTEr+
EYetA+FOD0ke8hKFdywaFbe+eKcoj+MrSrxNMl6VLeo2hcEAWFr74WvZx6CMdy0o4KSL9vAAffqV
8mtaEAnFYXc7TPPzhIrFRZP3VwB8N73FkyvQKnBDEH32qnXtlVZ1MVPjFB3TLVpx6JqpXnsF40+Y
Wv0urmbCyWR81TgH+YvokcPeApEPPMGeFGHb/Hlyi6e01r67QUe9DI1SB+7aygC5ktMEfaEs8Hg2
ZYpQffJRRLBBVyyNtHBvYGIlqVREF1oNGsBp++eaDU1PQ3/xa5doYPq+jlx1Hr6gcgPt1PjS60ht
eSU0fyaU/uHouTsNqp6LqXfbi9l0emkkpy/j/xB1ZsuNIu0WfSIiSCAZbjXPkiWPdUNUVVcByZzM
PP1Zcv8n+qIJSXZU25aAb9h77TpuV70PfUz/nGfHW5DlSnh9hxDFHJ70x+kAt+FKS03fA/YL0/Kj
jf3TWOud9p3LLBgbIxAEoGUunN4wdnk8z6vZ3xR5foviYhcSs8JeFJBecmYBNyzNoQbh2sI3Thkv
KbxQ7P3Gghi+4s+gu2Lp9+OVhe57CIQHM90Ok/K7zWhiGzyZmqEn3oWbITDMoRPCJxCgF4GVvnUo
hrPI/bJ76lC/1lv+9JuI5KTVFE5imdW7OucfxMyqthXvat7NvyBJE2jfq/1oRL9aVvp8D2mgcaio
VXLIDwDhqH3Aa1jFzR4/c2drOUxh2rlI164Vb/0QYzo8swJNKaVQPTzcOTkyqv0dRUNzENZFRQYB
hp67oWmXoBxzPuQ1vAPM4tbaCcZbXc8BsQjsHUhQBfcXL9vAilcCPwAzpl0jYS8DFbhavfHHKgKs
dNpaz/JOSizq18SNVjox/jpx+8uvYVFUWOu/DzJTuwacz8y1SQdeszKXQj7TfvXz3+MUy2tYWXWF
69wsIxQBYKcMFf0Y7PZgWcR7telIQPUM77qQSD7VtElJdc1qA5JbHBNa5fxedSlXh2Gcwb42MdG/
sl2zSWz5FRpvFXkms2Dc4rkzv1aml3M7tiZGala96/rhXAbTUywxQZTt3iMpbsIxPkg9vpsyIdNr
/iScCPU4dLYJx4iRkA4EarhYJhZ5w3NTuwtXRhno0thexWkBLK6cQT8CZiZfcC54CkgYBhAXgVat
vT5j8VKo9ThLeKemJ6+VIsSOBKZyGVFsemb/PkiwdHJunF3t4uTUdbqtoMWtsuLa5v7OtzvSQuaE
+AFWJk5Btpt2knJT4mrBCRqtamgvVz7W/UxeVgWyS6Mz2hDA95iG+KIs+0eWEkAo03JTGBrjGo4a
z6rCPZEIMEY7fhqS1qcOQr5MQ/NJ79uafk7u1fyK69E9wcr/RLAzrxIhj4FPuPzouvPCq2E3O42P
GrQZFp6EcG46zdLxsx9tJfrd6Ocw3DpAdPHPwmo5A8oC3KEVbIAZsNk3N745rE2JAkdhJLjOUOO2
ghjLZ7VYN8FtRHwD7AJ3bGkRty6OGUCwjDG1TCCeegybUlJCgHQxt1tEcFOxKqhNO3OZrHqxj3N3
WDT8ORdOjF6pUPtnaHzMqbWw+8sY+T9wNo7LybZ5Z9124XiT2koCLZZlyHZF2bQnxS4JLPx9MWtC
r1kqyYUmcbhGo+AFPxe+z45frvzJvXjeWDOW96+SD2za9+7Gk9Uv5vCfQ/fazz0XXoIadrkwv/A9
DtgboBwI/+HBPWJ2QZRZTihb4PHnTPPh3ua53NFp5l5sLtuZRPgpB+wT9IQaA71vn0xboIcuoQRN
vTQJVo5jzpghegobrdHbiMI1loGisoAQcvaKIFk1VbrJMAODLifwSfc3Qz1xf+Hz/xj7O7vUrzVo
r0WDIxonVEFwFLTZIOS9NgBIjs9c9DmBIVzIwdlKwWeFWoNbd6kOwPe50Nu8L4a6ux7hOYbgqm6T
1uwFU7kyuRFys8gPbdP8jTtSYpyatJ3WpfklE89bVY1zahhGLNHj7Jl6Zgt+g4IP69wvwkJeYc8M
q8aL0bfBmM6NxazNX03TmMtAt2Tb9bDGuDUFTwWlK5RP/qh5tp+tIMLSdCzjpRhn9GS2uWna5GHO
YbrS9PP8ksPzRkNVhsxqKbp+6Vch4PLh1ZAwDuuBE5+pC41QMgNfVmvV2benUBI13FoIde6n7gfE
J3BNAnVFmhVLM8kIjJYU6UGW/CX/Z1/Iql0o8nfClCzpNhzSZT49Kx2nJqMnyTZU8sayRTjbNNwn
HUwNJIz/4xnhy5hN8BBNOM5P7oGVYitNuMYxhM5y/cHMd9wpwBKL6qbnrN/BBQxwUd/5WW511Ncw
y6hRfO7ypdVeqZ+BBXk+Fsr2XrPNzIgIw3GgT3UHyrKsgmJjB7/avmbjICpiFqwVHGfQ0UFOCVR+
9bYXolxC69qlkv1CvM4ConWZExyq7jNNgIx4Fb0SCIXFNNdrKZvqFNQ7z6istVEUnCOjvPmkde5L
LPKqyy9N7/+tG/03pAlgYaXOA4K1RVlwCMLkJw0SS+NmWKmO2hqLHCNVo9HMUNt1tJMFvjlUvFTd
MVjK0TLf/Uoy0Y1bsJBcvZuqhkUvTpNhsnwmfNtN9DXEvLJMu/5hdeYf4hLW01SrRZdwYMZ9qEYB
ulI6nAU4Ge2qoKzxU9JdmooAn1aseX/gJermI6zCBa6Sl6anlpI5Gbei8f+Z7oMyHyT4wOjE3qPd
qlxZkXUkxaVr9Fa2AcmlhEGVZT9gUxh5BzxrV7WcQjFJLFfPHbMlTmc0DAOxM1HCdU9Ow0c12Ycs
D05Bxzlf2CBOC5qCRV+BSa2c+pYPSGbSLs+XkcDRq31xKT1z3/h5fo66IFj71oFow47N2DV3iLET
rMniaEY53OtlNzTE51S3SiTBuTHSDYrWZWSpveohsvvAiERBYxLNdImFv+1cm4ihf3BSA8yBZb4x
pLEJ59LZKqu8djlrmjG1QQ1HgGyrmsm7MM49LwNC1+NZ1OMmE08SQO8kW+VrBqzC5mzuZ7UqgnSP
7ZLLbJcclO1VuxLXV1YxbFUMDWth6rW0WFJZ1iGPudlF9SWfkz9TDH1ybIEseC3nMqfCj5442NXQ
GebJ1d0A05baeIxlA++4G768EZRBa8R/0rB8JXcn+wASrxG66/GUPw/fTxvPTykSytc4lyx2VW4f
fIP8wWI2GfJM/dY0KqBbygaBHdTuS6Bdc1mAO9jGo+W+fL9GOsIf0AOsbt3UQVIZFyi9Xa86+gSc
VYvambh9KaKLXDYhTWI5hKd410K40bIdEWiGZuVebTNcKa32hTFA4H8eyqznn6nZk03p6YlhZd8c
/e8Amyk9ukibhW18ZNgvQ219CocPgYyMePX9NK5TAgIdAhEaVTYsxDr7reAv1lVT+InTINkYiSqW
oUHM05Bi9EZl2R9Hz+qP34+82vDJP+miah30A5RxkmD3aVcgoQ+GPf2NdRJk7KCi5FHazcbGp3xb
CcQUcxnJjS3JcWWgeWhCe34PJjfeGWD0twg47Y9otDe5XwtozAClwI6PNxLNFUjkeeOYebiauTO/
k2sLyouQwD8JEjPDmxaTV5TXULN0tPNtrUb3PgY1ynnRiZ3s82vS+WrN30rtK0O2Z1U56WboonBR
afkVQPG9aGEG0ODna1PX7YpwDnGZHZtg6qHOd4zpltpKUgoyPmlJ2donT+XcufxJ4tdNzHU8euVH
k48vlGVepHd+3fXcTiW36X6E8O+PIOt68zEa42Uo/fBFJ8VtAND2qIikMQzffHW66qcuHP1iCtXg
TCsWV7dspFhASfurRs4UyGIhsX5eBtza8CfSKVW3qrLeP1g9sDJHj9l5arh6OuUdDIWzSeUsdrDf
grfWr0+RZw87RJQmwZC5vXKiwNkZblN+4HsB6W5eLQDzQzAGtya4Zm0mH7r8x29if9+YhYlNPJz/
PYTaOWsAt4kDs0cBUpuVLs/R81meZ+Xej4k26QXLLWFJueaMMM90ejnJHFq8Jz5G0XqObxn5Re+k
APrpMH2o/McQMTlQVl2dHDtCciW7M4OJFzOLhnPDqph+SxSvyTMxEzFh+ws+MSyU4bkaMoZNkzVf
rp0Fx5E/9rVU03glnOZgNkLjdpfTQeo6wX7Rim0eW82LgnRBaWUmO7x0/WrumvnsNMQscHJKellr
Ptf94BybhLacH+oeJ3gU4ij9ScYoBqZY2xfkumoHw9rYT3XBojkZ3AUUW+Oi+dgc5WQSS524hLOq
6lD667J08z+hck+lstt/esu9omMzf6dl/tAgbfGE+O+aLNBf3HN/eEOpf3LR+cNMeCY8CixqMNv+
1zj8ybyWkQATtTVNXp0sndGCxpKonyGTMSv0qrdK26wxKvGlqIWHZYwV9hxNqnuxZvr70WnsH5AJ
iZZsdXyJUzncxjqlq2lD64eC77gYYFtSMEJXMJwxPrVkd66rfGg30xg6a8uW/aEyZ/PFrGJSAqEa
kw9EYjRdz80oVPpO+KK7RTMZsko2mNXuZSfiXREp8h2yZvBPdCzbqZ+Sm9RHW2jrWCBbG2Q6PhTV
5d0vqCayYfqE1dFuWJHrLQFPA7+l3+xGh/qSdsC72ERNHTLynbfY2sw7AH3sxFUTPUYneChFFJ+q
pThMwVy+yaD0KJ77YPf9tBnGkM4SZ4sNTWndWF60gg1jQp5XVXuUz4NlGM3RSmMyKWCpB7lD4EmZ
iHMWYfzRDJKbudVn6dkdkdt9PezmqXpFGgexWvZfJUPEVTwa1hP9acHlJj9Hep299K0h2idB71+j
Ju5p0l8mK3HfQz1GN79Wbwxl3qc4qS+154QvaZavRzJ936IAyGI47JIuOLuOSn4/hbcCIGSX6Kd7
TXtMMLpmZfNvbKPKxUWTlJKAiBj3/TzO/jYNsd1xCWpe+ix2915IBzgQOf8h50EuI7szDx4jto9C
09KnrC24/FBUpivsw1/ZOM5/U3hpdRn9TQBaMkVq03fcMeth8n+0I0IY0k5O/L3SiyC56VJn5pHg
EQMCHwnObZGTxGuTRwAZ6chk0sEiI4yjXVTYBhP7tRTGGwhvmruAvHVrpl8xTbM/F6PajE8welr7
/W0Yo4PRTDNccdLDvATsc+s1XJ4icS+T2L06XNOvbKTllTS1et1F7TlmL1CWCBJ0Yb/Z800ger/L
Zu6pjzx3bZGMt8bbPuM/g6toBrkgRjHz1rwrZJcanXeX+BJII41fiMs7JLNlwboScPuTcX7NIkll
F1WXyA/ms+DecSLMh9xDc8juKcsOPcX50R7YvE2gyPdhGa6MMnMW4YQ21HRAbVRzcfzvQPRecbSU
Jsgqr/hA67o8BzXhPWAy0m0DBJ2yquUEEQiAPfp4h9CfceHNmhaqzN7S0TBXRh1fm2fdJzGSQuQg
L6HJ6J2L4iaBJT5TJquNjAJyHSj2WnriS5maC+p09zpFjfnST+qAoKs8TP0sT8G47p//Yy8pKxaX
PCLQvjxbCIj2TRZuI6eNjjiRjINALvjvo+/Xyog0mTQlMPf7C/PzqyZcA0SR1ZdFOt+mNAlP6oFQ
nxPDlN3BalyxHAeucV010m09vzIbzmLwA/NQel4j9gX8KWRcc7JmL6lOoeES79FqZqJ6VpeAwZKf
aDBW9SVoIv1papXtUl+aa9OGXcsbM+2C3mYCGD2ziaaBcXSVTNeQuaS7MCQ8M8dqj6ljPGCG43By
s3ZrVWi2DVEy1SjbE+Pn5kQEAI86Ks8e9Pqqdz3/+H0AEY1y0UqzpSVr/wUgLSVzHRobmRnei/l8
rTX7h8sgIuO2uq+dwL9qNyPZNHxGlJKUdRNGuagZHV4Dc+mhpzwFOrjaaSI240RZFqVm+pLHdXJy
4+KmnTJ9aetkldGlX3uVbwvlH1w9FyeCUIf1GJMwZkyYITHOjpu6NWgBioAaue/p3MHFrwuz1Oec
UBtutlyKWN0SFARbq1pmQf0zm+zoqy4YynsRqZuJBJrN2nOR0frykcStOpeudwih7R4sp/mTlwY6
pTisWQ/YQXgep+VYyPpC8Av9QkK8YdeYMZYw3sPCqvaDmcp/ZMVcQAVle3NAVBkCakrjxv1epUS2
GgWeeeimyTHx5pcOFzGm5ogENwsChsPI+Rj5VnQekhg4EcPVdT/o4DBJf95mJuws2fjTorPZRxEu
FsAw8m0YASIEDSbXXSwRA4l+2s0jE4bEbncNw/StiAqNvjpLT0ISelTa8SW0q2qXNgkzZOHtZw0R
oHOmu2+zM3Ab6GRoz94N6V3dMEVU7PRwZtPhbpvi1AWZS03DWLMHVbp1W/tvZ417yM7ZVnBeL9j9
ZddMep8DnwBCZg01Hjxqv4U9xfauDunXKIKO9je+tb1FYQz5NPUJa4ltsZotUiwcwF5Jl0yfecat
JiewZc9nYoEIUL65prcLSSNcNbOsN5rMA4seNjQIPoAYZrV5SKB8VFxrty6u3ManTZaiG1LNPfAb
46SRijPhKNq3QKUNWLtqPP53oIpD1Owb0VoTQ0ROudOd8lL3p+9HzoCxInbBaAX8hICMk1lfDHwr
g3Z5V+Dvekz2r6XtolFK+l1MHiaASDYhvQ2ObwilvgwOydzoKT+ocx5h7KBGNrjzlXVobUQ4Z1xi
WIotXeqBlShj4/J94JQ/+o4TQkvmpZ6B12FMrHuXjPmNy80pTOPgaDZ2vgoT0YKMH38GXjLs4LpU
C8Iuhi2BbtkpDpOtYQR6y+TA/JdCD9f0o1fAB80qG4hbkeouI/YOQacIi7U8fJEulpA6Z1fYmROU
0S6eHnPXnuRY/bHsQVzdeOUOU7V2GMbctAdfP8vkKffy8GLQMsSKgGcqoGU9iJjPd0L+yvM0bYXD
DBBswKbMW1AWShk7Qhf+dKZZMSfxb1Hku4AZfmujCo4yq3rmcfExZOB6NUuDj1Iy/dFR997EXvc2
BvymEe/fe8G2btG7GeMjkV4INksvAz0y9Wzfn2tvb4roD0RFoMLw1RcOJwy3ncHXZ/qyCnVa3G0L
eBnHNrTFwo8xZ6QueKGc6oN2nUNTIkmIJ9KjicEb0tj9ZNBY4iR2wq1E0d1VxbCLPSaqZLpky9JC
hVFZ4V/Ptw+OzRaAQvnj+SAyDeKfs3yisyzTCbc5eMd8Ak4pxobbR06ZGUeXZIrZ4WdW+e8j8dQk
lHYREtUxgdNWkSSicxTzsn5+8LhSMpMI9OX72fehSRpviwp4YqSURbf/vlBR2SxEn7S72m+TdRqS
rDNJYT1iPa7c0Q5u38/ssm1XZtWm2++nAcEOp2oy/4HfGr6Yif20ycO1AjGYhkn1mbmRxZkwhuTS
8rSKMS0ZQ30TjVuecUZchly9q0AMv/XQfcnODl+bUo5bQ9X2jkFK/OC2jhynrqLtFDG2YK1QOROZ
xkXa3eJ5sH70Hv2NG1hr33atU1/15SUWJR8xI81PwVw4G7CPavJoEyvpXQisJIQiaaKLGsmdHFMu
3Q4YMJLBkJiDK8FKmlNsaZf7ytRTz/YCU8wzpIRZqFxYdjweoyLedK1jngxm7kw6G+6McirfU5fM
Scz7xI23YhfuJsOYtqjz/2RpOTMgj/3ld38P7Tt9jZAflUF3EMlEtcq9Ld/NA06fYQ5vklUGwycA
kcMsjvEz7RlGGFE8z9JrHB3SUJ711/ej79fmvjqEERo7ZafuJq5ZLrkKvLWISq7p85FgC2UtyJm6
BT01kEFg9jXm3sBHxh+3bN1Upqdhl812cAnT0n5I1ERzHusbazDrMcD3JhO58EClG+MtqhMrWqoW
XmeWl/NpckcYuJ6XrPOnNzfuPWrG5xcc2wk2vbC+QtPrD4FOh4PxPHw//X6UlQOCehq/pZ6lfRm5
wpx4p5cUyHsvn90DCBLE9E9k/PejaGLkVnUOa2BeSiIm3KxTzQ0h5tWJ2bG9z+nyyuEo/Es6R80V
kUdz/X40xb256zuHjVa9DCflHgtHiXMepEhvJfxX5nlZygI47O9lBSdUMepaQKru76PKL27ou1cC
qCDesEArMceyNvHWmSrnax0QzDnUJhTxMT6zPiWMLz/yrufbPsYfYSEee/MFo9S5U/eIPBAY84AW
bVEltzgn8cpnQg7TZxpJtSH3vdcDYXKEPr/20EO5A1CyOBYBhF3Tn9s0sS4+KX2FiXXCyuuHeh6o
HSGNoWegH0sBbpvBStQ44Ed7wrvQWVcFVexUI9WDgMCF0W31SvpW90OTN4DyTwMoS0bW/6qPz1iZ
jC10B2vVO7X/xnvbbkWZZWvopD7qAO0hvjfm9fdXUwEgtmCqu3KnehsJS38qBjmkOhjJxWvF9Bb2
QIeNUn+Cos8Og4d0D4chyY/OzdNCvwTUx5Q+DH0yakG3SzZOZ+Kddkrv7Jd9wZTqbSJ4ajXouTo9
QzyvqXgOkQvtfJVRuWaix0Ap425btPU9VXZ8rBz9V2fpb8aM+s7AnJTbcayulbDtZWl2WJO5419V
js6GKYYCFhQE22qY0FcTNDW4CkPVFAXrDi/Nu5v64MejRqHKqr33TD98ke3tSee/LYVzr+pShkdT
+huTOuavUctHkNvRvpsKcht5J5e9Heo1QQhGu6iZxJps4sYU8uucjvQB4Xho0uh/BUj2LEWaupwg
PJGSYdwjECAYvKf2Epr99AMBCRvv6ZT2DlPyJxM44/K/kpbnkWyfTJd5sKdLZclblrAVR/12TmwZ
b/uZbzCzzt2WWHMWblVNn4IuD8FroleuQ+5gbw3mu4rERudZcJcj9L7UJiJBoc54tWmtrLYet7nV
s7iO8poA+iYKmG2U7gr+KhZ/XYc7T6hfUeFANZ799GsOsZRDniewMy6oVn39ahTxR+6JibK/r3fR
4E8bml378u8jp6cwDK0LPx+f+EYaHzpLxtVcRcOeXAnjI6gwdLh+eJ8i1CiokYpDOyOeJLj51Lt1
fK/ryr354jMdrPj+/Urh/0A5K066wrIX5tWNSIASf75X3no/YJmdGPbm+wtx68BICtuMJDIVvYSH
uI9SkPomn5Amrxne62NG0Oh5aJ3xRc1k2klkvHuPZeULXgBOrH4OmZQF3bJF7vR7so5DUgUIdeNk
35odTb8bEdXgzfhAfBidpnau8Oz1S6+THww1ioVnMPauRxqSRhPQakZF/ZYbe5l007Fyk11T4EFj
+ExE5aVtgvqoUYitU96k93F4Q3X1kvjF/Ie8xjVpYxAVGqS3c9xYZ0KUrXPoONaiJNl+o1wYHiG5
LEYgt71Ntlmhy2A1u2p6d5LwtRxM79pY1vhO1hcyIVG+AndAFW84+7pL/pYyTn+IvHh+rNiB9znb
botJXI6LZZe7Zsw17Yt199ltavmCAIjCKbL+RFna7rowmzaxCaHNRIXDgoYiCz2it2hEbTqLnDG5
PX1W77a7VNDDuVVV/mnI0s8glNGLhQyz6UTzaEtY5nVseHvLm19HV9gXsDNkXSks7sQPWCsU/g4w
Z5cZuOb2JGNbb0Kbp9+vfR86SEUbY/aIjw/7ZWXNQbAqZN9tR09nm2CksEW6Uxy/Z8SZ8NEBKFVv
nnscljrzC/uQ9NDNu17Jz25iY9chcUCxE6jdOLoMYcq9WTnhW5349osChaEr6zWcreGeOtFf7Vu4
JH0iKUp3/fyvdoR3hiYUPzhJko3vdMbq+6keLbXq8iHaUGeJa4EqS5UsMLoQiun3wX+MtibOQsWE
Y6TSebCCade1NAnZmSUammnGZjSz8DeZ/1TEaGoAiQuCqYtN5lASlUzSF3YyLMwed5jPNXxD9mx5
GSLIP7ZCHjliMh2Mc0BoC5Az0gcdP7ePkzIe7bwkqKq4BpqCLaWhIMw8JM4T0oWXAmGywjFco+jn
7+MZ5SNpOm/dBJSaPdDYB5whn6F1kD566ZSXoGs/GuuXaboDMRhtcDLZV+3poYiNzDOU0UEsdwYc
3SUnlnMGanUEANrQqvx/seBRS50RtGUFrbeR/enLhoTuKW73fWqj76NZ+zFNzt1pn/tAWyLL1STr
dI7PPJiB6LVMm3X3TGtzYY8DKfYIaJnYvhuxeTLNFg1AUd+t58FX4IEwOmdbbjJPb2vrnIpOhTuM
quSpjzSfQxx7GK9Ce9f4u06NaAiDZHih0vJpQIR3nybrFtRBcKgY4YAYKPOQCX83gsqpyPx9fuX7
tWHQi0QCRs+nOLx8HxKHZTgXDABMzIo6efnvMCjFRWKkRK31KnNFuZfDhL1vJr07zNs3fM7izFWd
3vn5uqrZV+WqEv9+W00otevU8btjldm5spT/v29rCb8W0koOmSHHXWT69QrdARMU2xv2HWqae9eT
1NDVGPqfz8awte4pXLlVXZHD3Hx/x/NQxpDiIkC8M06odW2a42Hy//5b/v57zBVePMS5EZOZr7TK
HH5n9wtFtHkuZCnOUjHHNZEsYEGNt1yf/Pfc7enWTX6xrCghRQJRRAYgtzaUjUXrXOvQ9T+LIgn3
dtXMJJ7ytPdSqn1634sR19bDIMrac3AmCgKNtz7ZdSJ3wl2EDndbGb68xbxfy7hiC5tP1RWhy/R3
9pOVWfvZ79G332ZJmFw7dEcoS/bbOKMpbKqio5vs7TeCh+2FOUme5hasyVr+76tCkHCcjOWf0Cys
UxSUxamy199Pxnq0TiTuOh2KarSAMrPijT2Yzw2XAwIwIUIgKUMC+GK9prjnPkKi1Z48q//mNiFT
0zQJaOesqlzrjitZ0XXiOs/Be8V96RBVUlw9aJPX70dzczCLJrx8v1KHLAntNj9ZEKnOlfTrzcS1
kuy/3j2Pwsv21Po3UnfSM2d1eq6/D44fHGOBn4uXdQhuqBw66zwUa7Th5Bq5lb/GDOsfw8aS7Dgh
lmEIxJ3Zp/M180S3c/G/rRvXOVIgxcuhr7ttxdX9YWRJzefCuutihFtnp6gQfWNN7GbVBxpdQ4GQ
2CsvGmftOqRhJ4eywxbVmivTTnGdYcdHyBYSUsKB6MhPsNVU241tLFVf1RsTh9FpssZdaWL4HR+E
S9nLrIXDQMU8XcdoHo59k588MjmOZULrJGhLbbNYZSENliOeLVVOeLzB3CMWafIyq7E7aNZllWq6
60CJNKUW113iSwwpjFXQGXKd5cxXjUwH28GjhQ/8WGy65tlYtS41Y2Wdpl7kV1Qm4mS2EoJzbUD6
QITjP9xnEoE821nb3PjMPiSNxZ6dMn6M7K+Ck2cM2cUiqeecRPoyNSxPohi0wRT8Mklc2DwTQzYo
1ZPb3BF4ObFiNqX+8Gi79q3GENYjTulZJb4HfputY5OfSBl6M2hQfQ7xMcs5JDw9R5d3KHtP3ll8
7hMHucPgsb0q87vnecNbkD+6QjyrwQSNsbjpys9wIYcx5XB3NwGpQs5yoElFw5ctqG0GbU7cW0S2
6XJ48WYelBsoyCEkAU++oG2ncabhTbMIU+aYs8SRiV77k0hWlnoOuCh2Mmu4sVX/yK35ls70/NXI
0AN57qKYkhbtMxHTMFzUMnEcgt0rci3GgiJ24rsiRQfsOE29ACLYrmqVQy8kojyqXgny1CeinVd1
YAyHAMDRIqN335B3/hSZwehrEEMEqHG8xsGFo4xL3XntsvJM2tBoeJWOsdV5+9K06dEfnBPgi2Ez
Af4y275Bthp9FqRvLqeCZpUwXArHghKHyPA5VddivPcMlxDeVALFkjsjDInenGx4YzGf7AEk/6Cv
itwy2+QNb7COmGGTXJPglSqGZZogISQkDIj1DGHkp6rz4ctBkhr0iWB9wrumJzR9sc0MyiSjaqWN
HLIZSiOnK4lFd52FZ2P/Dx3UdcKo7k1ucz1y9TqT6U8mPuw42kcFLWE5UE2upjiqVkHuVgDaxBkr
tr9sQB4tvHDAqK0f8JisVWkiM0INz5VgxPHgZPZ2tiKU6PFztOfPCcs6heAGnnfBlWmZca4j4vHJ
dm6J6YUeahf1B3FGkiEnql1w9xsW5OeWbA+qFaRo5Exs6ilokaerVyE5izAf7UVqp0xaZqY4Wh6r
4SfzPv5fTjJeJUFuCnEEV/x8a6G2WJJSaKE+s34OaHHXXuQzb6yd5x/p1WJHQRAIc+HBHgkXZ6s9
h2yx2k78IC5nWLKA29soa4mU9bwNy8F1W7S7xPgZxv0JwbI6SOfQxYyH6s3Iv7TwgqHaqS4m2MX+
480kdJdGGbNzXuiOgr31bPKiQ9db9jpXCNUqGveesguF0qU32rdpLNx1w6phMVVtuVROgh0zxGMd
gtpjAf5eWVmztwL58LLqDa3oCzlBNIFxt+p8oEdBtXOe/wuXrreckAxnBG3wfjcKSd9XY/0fc2ey
G7mSpelXSeSeWaQZSSMLVQk0nT7L3TWFFNKGCCkUnOeZT98f42YlOrO7Ew3UphcXEbrycKdzMDvn
P/9gj+eEMQ5NOy9qBrGPA0/lUBQBC+lcN7EyXtuRh7ZAijNDGfSVpHs0AvGNWKd2rzkkIyvxRrlj
7Kurimtz39pUW0m0gycB+UWrOhLnVecTcXYo8rHZGAubYJHB6yfbj7EJa3MYh5s8zVcXbpfTjb3w
CEDos1IM3q/Q6MXOzZqM1Ipqb43xRx3UR6Zep7nSDn3Ton0M6mvVInVQOsscskRIzu0drOOdnEKx
n+b6liCY9HTTiu6ypDvJ0oUkGHcM1CAQw5ZYa4DwIRGmuYfzY9httTeN2PbavEuOSnLbD4m5L2XD
wAotNrTqrgrmcw27yzN0BbdVH3eBOSEn7+QljSV0V0f/Zjbfu7zGuiy1GIMM9RXCGRPFiUFksoS+
rsKbZGJOQqc8FdwYgxxmZBIpO5kaFIMwKKwN0qwCqsmuaQiJ53CL0nVZgmDWj0FMEEN1CaW7m5bY
2PR1+j0dWrR3Jjy4uB6OIXdhD5uZaIsM9/8lf2xm7b0y7YuezvbFaWH/lQyfvNEan9E7dPto+KAD
aQ9tvpQEdxfxQ8asE09wQFB2nNrEpLEN6p1rDGfyeI4FxSJECA5cClOHF8FKSl/GiIVBn/mzKZge
uwMa4BnZyCJsTq9I68NQVVcNtuoGnnvoQ/79YZjzlvDjR6HKbyHpiafase+atrkw57uYTLaOxmS8
2Y0kmoFauisYDsx5cdey2idBiNsOc9Shg46bdTbuD+Fk7QYYy76bjKFPvgtJez8a9zGsCWSmHyBk
Kbe13exqz4FVwTl0D+R8pTyLYXvMYnzH8xHPVkrpQC1gG7J/HUa4nYpRcCVJkjZtOK8ZGdQ1W5S2
pEzbu3KvcNnK5vZGHbvvRAltY5WzzzWHAB3LG0tsU2ynAUFYaGugYupdiziga79qczVjb06FO52h
VjHDwtehovtTi/sczeqpTu0W+5L0OCDn0/LlKeodi+zT5tiHiV+x8i62FzfLvZrQOy2P2rII9Enu
ZbHtX4kI4CwJRDGdZjWbBp6w2oNOwMFIZobfUWbiw6QPlEl1eChTt/SNAogMCu3Z+poXkMtK1cBi
hnWQuv1Int/XqFR5gsx1j0Aq3/YBCYW8ONbOiTtGT1z4dOkxTen6t8mUEMswXQndwrNk8s0g4D2o
WQkh9FfbQDJUSqznecLoz1WDjyUPYADPSOKwPZOyHPsdqZnOeIdiaQ+7eoETSG3odu5zmA8/R8Yw
ntP91Fo5nzRiTkJBSnZpY9WULAQj4Z6fZW+x255EAoYm+hcBE9Ob5uRb28KQ7ivzJcVXexP+ckS0
nfGdoa65i8APh2K4pKI7SLdx/F6gG8lTMI+azgA/yw+taXbdWN36bFkzuQ5Lq/vp5HyHqD15E9U1
g/RNi08qgFNhXjIq4jJyBTYj4Mk6gpND5bLOFWndXUvr4DZBfGtOYa29DXS0G6NUvReTOn6r+vdU
ixQjsEq7WlHWHMcqeK2nUG26ocm2mWhoGWXIuGTSKHOaCI5Xf4illOfij7jfbvGTpKt8M9JIj65d
6QWTdrfoZbkZljbbEepLnmbiqn2nBx2U7fBOz1eO8Dxtqkm/kS1h1mxb3+be+CUDEAeVPlqW+x5b
OL61WX7NCMhkmSK7QFcnpuXlMe/05uwmGCMkWrc349Hdz9h+XbnbiXSTAMVw54cRWJhELSatc0CG
yAI/tHQi82Vgo3PT8cF1M0RcZIAU5WkqDBJnS/HQNOH3wZkIP2iq2IeKjcZXT4jn7jF2DHGnrabm
ozdXB2MRchtGZGSn08fSwMt3OpKEE/o3A23fnDZPtKNyF8aKdDVkKFptzNuIqXQHKLmtevdeXwPU
tJRm3AFPTVvL62eEypyBi2szDCwEd/RSAkun0wW+b+1hjjzsJ3N0d1w6lCKaNwqslRC/VZ4ZFvtG
h6qdJ6hJCg3vB35lQpG9a3gfCC6MbJPvg20/KhINa0nqZhUAOcQ2pJVuOWuq5iiq8R4S5OtgnnSH
21kuy3dHOtDjrfhU4IDXOOXj6KQnqzBx5JAgd5bZ76yJ/KogZVYNZ5X92TGP3KiPLkbg5DGQPxpl
eyKQ7JNOAN9gLsbOofNhRa3Pmk6b3um1N1kIhLoTBBzbJ1kqAc5Jr6wPPUuZqW2GPIbyjVOAo1uH
Kmv2MWNBRm6eni85hBT701IJ85TIOOrF8IK9/s6dgu81hWPh4odWso44xjc74FaUk9rAOEb2Hunb
uSy/z5lzgSe9zS0Hm4lQRKfQpNkKnc2k9MOokhvJn8+dlU9oCq1XWQ2HuTaukexeY1oX9lT9MCfd
Lsv2uZa9GIbZwYtcDE8gY6wguY6FXDZGFZq0hE7pJU5FhwD7CmCy2ZHi9DU4+WmOAG21ad7OuGDm
za/KDY92PKRb2SS3ye3e9FzP4BV/MBRHxkDBt4Uvg+ZeR9GPaUTirBzuIrv1AlPqxKsirTkkgbZF
xAecFZJxlbnBN11G7hEz83BTGtNWziYZoaKjtmzdje7IcWXrr21Q8ubqwQ9CcW5T6zr7YoqeQxud
dom4r1sy3xSfWVMzAJxxFeF0FFuIeh6b0YQ+N8v0YTsG4XhITsU06+dCFj2XdIAyRLHiosZtHe37
rJCrQRfcd4EZb41JDZsJKSRuLMVrIcxvbRjgfQ4oFDmod0zjeVG4JquGaJAmxW8lf9KCkPI1L45h
EN4Z+gK+NTE7NKsdz2wBVr3g3EWGLytztEWLUXf9Kw3QqzOKyQ8r82gr42Ey5H2XWs6qItq7GqqM
sniGeOOgoSrP+lAy6pj3YVaDkM40f6pwHufF3cO0PcQRSUMN5y50unsn0+40Fd1iHHbtMHilm0Ap
3q08fawb7YoFK0U5HYuaSVBW3fUyKrfQrJpNiVpznFedgdPCcAyvRk3knqyaaksfvHEnA/6CDfzU
VbsMJOnQBatOSLIOEYXsOSKJnuMQB5Glv6kM9WobdN3RAMjctvil+zCd3JPQc9yYivymoi/D0uQ2
NvT2IKxpOpLPbfsYYJxqsMGnwHVe4EefxFyPF8yPzJUgNUKWM87JgDNPWAVAFXLeOJN+zFn0wSZQ
/PxUo+l4dBSfRd0dRSnviLGulizy8kbvoKIcgEbhN6eArcaIQJfo803cFumZex1g+lvHp5ymJbzo
BnYmDtVsPn+XQHw41bBRCHy1+LDhnQdulae5t0LLnthevotqfqR/2UoMyLB1uQ+5ubpCPrgIXSg5
chok5muGISBvSP0zC6wLPoJX3bpkziEmM4vclxwb/IitqP1ltDMGKukrWy/rUJfexTAA2l7bRYOJ
8zv2BkZX+7zjWxX+QGH/XMXVMwmRz5oQeBk5CXSnnrghimv2dGEwDdVpfCf36Mb4z0PZqoIJkZVT
dF7xLY8idy8ch2VEkpKt6V5KMwuXw2DZMp4dVzIW6TDQRB1GMdh4SA+gPljJRCf0nsWrbKbEjFbV
I/mWAeXyrCFbkQkJIaGY+eC024lWVlQN417ThxYlktPC3aWr5eaioI+qLwc8cKOVzl7AnWK9Jxkj
UzXLWMu4tUAAZwjbvOrlS5glb53ufFawCyHfzluxQLGHK3NfpKODoqELWUj1+3zeurU/dVbvB4GT
IInB9sxylyMu+AtwCGLvef6shpVb1C3f+wwlVGydQoYGZ3wSqiEZII2I0eundzHAQ6t6EW/rhmkq
geN+J5PIdwVWplSsCM692RX2HfOlfFODgnm5HUq/09NNIgfWtI7c1EmHD5Y3E3qx7NFoGnXAG9yD
Dxtta5m+wtN+5p0Lb5XYwTZZwMjzboe2+anu3deoRsFm9fpAT4C8MNXNcJeOX7Fi7ANphP6JArQb
zW1SIu37zdtAKl6qFN8BFFcDdpw+KPS89hppFr1WS2NtksQMN6n8RuUlPDdSD1aURxvXAuhvIeAS
WjQf4JnCWhKYKykqpHGWO6T1hj9lwYuT0bohJ8pV+ACZ8TvpmeB/CtxGsUxFwrS9NHhHg3Y3o473
BhXPqOH1C4nf35SVbMdIHdYEUnjR5il0m8EXTOAbVcSbVIfqtazI1QKDtmmASzRp06sPT0XMeBNn
pdo77EZZoWkb652M0cBHCylVM0PqzLaOGqKcXVIHKHPirtlGjTPQSVXv+iiGbT7mj2Ygt1Eppgd3
EVeTAtQLrmHKyBDxF4+S9haoVu3iVrwI0LetgrIeaFSvdNXEGEvVoIiy/Zbt3RyW2e8i7ezqE5NW
BsxtPHX7sLCoEmGyQkcbN1mJ00lVxls7ECezMzB/gcOO8gn5tiyXJ9EOzxQ7rDWksoPrAAFN9kYz
M/rkpmlJDkanndhE/XTJr3qBYOLO1aEKqndDdMrPUmh7wqlf9TI5p5ySjd6Hx6pTZ0Zbt6JHv+UA
XmX4l/1eHfrJBmdVJcxw9zFvs5fprex+qSyzIUcXL7iqNJxkgr1sO68gJnGUAeclhCjCeNKYNjZu
Fu4Iqumuut52HJBJ3GNagCeGW79nVrWHBXFnkovUGal70iL29jEvaKMIPWFD22lUgbu2QLwXx689
ky9/bRDsErENFJhrqa3ZJcFrWMotjkQ4+zoVJg+LfNW1bPaWGjqD+dijU/d6+DsbBt4Xp4nAlqyd
k48jptmNDuW79fADOQbTDM5lSI4qzoEvx0sMz+qSmrS2jYFqyVkT7YX1UJtNstXLg1HJj9BNbhVR
3NdWLOdwQeDUNQuMFxchUcfqkmoTw+AofuA2I38GsyZWiznFjGMEhXiI8pwMPxhkF9bGAu4s9mID
3X6+XE14ek+LM306oIE/jIDIZTu+4pyIc0wfid3ohnRho3uAWHgZ0qHw9VnPH+oR3bUbYifBrn4K
Wjn6TdsWu9pdlqPoo/g8TtxYem8+FzDSfckteBfF9HkLmhiE9Bt0GYxBtfIZJhcVRK69RDUph5qY
ez/COuFOWtq2of95xRJnn2pWsO3SrRgcsXMc6zMpTesWvdcSQWUbUwepwfSlYk9OioQHMIJ57Lj2
bimCr95ytaskKIKa22gfdY2AIFzp7kQRG99MJPw+TeK7USVy11gJBV0TvjSZ2BSB3RLnPubXFODG
Z/iS3aUVTmkZOiVf09Fn4UDt6WtLP4aiuVti534psnEjy1wdbT2hXAQlCODq+NKwxUvUzCcISPGH
Vhn1Jkvh2XSquVpZvV2Q70soIV5pFJZnQB4vyvE5jKtvCDHyI5O1U6kv+VGTOY5g83aSw7fMqQzK
ZjgDRfmGTQNu8Cqm5R2LXyX87iwyH4M5fZiw7wqkH2jYKiScpY4+iZoW8y+8c3dua/+yGjCKKc23
UCipjrWXCa3uFe7HeQndQzdm04HLuwkT6ykQYbkx9dXUxHwXDQxvngYMSophA8kqPGgkFO0tVe2D
sb7Ndf4+xZ1B5BKgvIp7xHfxDxVX8SFU+FhMIKrbKV7ukaDmdMnJuq63+IBoXPM+LoKNJQCDxw7P
oTg6GyMWAzGCS7tNBdRORydHmyeOqwpZqoiI4MS4Vg+Ifw2zGPl7iEd7/zS6fHGnqy5dAodqeoxL
+xKOxo7Hnk5pVE9JhGdgt3KCsoBYKD0JdlLrCQMBJ1yy0qVyOs56lez7BbcsWRR7PZruh7T3DSqq
sZptJhaIwBuEvdX07GLNtRI4SDZM7BfoYDySoLqQ3Iq90hDRBvMc+9KeePwr/Wx82ow2Nqohlg32
Er0oyTZbPZA7fUK7EpqcayYZ96gLfDXCBDQMXlkFv7Qmqo4Ett63eOL0Ll1yUmoQdcnw0HHaFMnk
a4t8t0f3E8q6xtzOfqyC4ldaW6cxs8aN2VQ85jMaYLOcnx1LDjuZo3kqcKWB3c9QJDg1Kg6+Fe20
H9wZ0UVHLoW53CxqkHMyAp+xncPDm8QmG+KjmI12g/eX4RmqZsfqxjuCltfRQ3OCX30t4kLs2rJ/
iw28NAfH1LeIW5hzmo3uVSsRsZrwBkFR75Mpd4CY3SjzZvNo/9ZVrmgPoen3M/wSz+4xH6mImdhh
enY3GsZ8R0WR47J0rkdKe63zE81+wJj+Z+sM7+yhMcbUYQSewcojDaqwJAKULksNQjclUau64YgG
+FLizocShXE2m+ZGD1Ga4cKNVYpWAu8VWPokLsMYKivPKTmD7gSByAZbgyu8iWpEyhAuMWbXrRwQ
POtvafqaQ0C99IFxWgIiB2Gwhdsi0eFA19vcKbV3Yc3nyf4kINrA6hkt9oJl7DYfGHa7DY3fWC1b
dwyYMbYHd+Wf2oX2Qw+wP1GGJjaYobubyLmJeiTsqZpGL9fEr2iMPoEv+oOl559S1dABMryO4OSu
gEfNrdXd1y2OIB1hjhvlQlIEDmUbQ0jeIH/0i1hSvo9Iyicmt76CsD0VpBW5Jc8Z+qKDDGR6wG42
8sPB+mT40sEZVDvTNQ7K7UFxRDDsnC3VHeLzmRPNJrr4ZpK/ato0+GZZzrsZThHOSKnG0mTZ7ibO
c1ZEhYy+tx4NcwwPaKOHfV6dzDY8YLuE9YTK98CIr67IUHwohSoBw6hsrq72aLA8WtbOsqN3hj+4
4UUXKF0g3a/w9/jeBb1WMnSvVRG+l5b2A9mLxIoWTpGl46WCmxWGYc29VuNb02nNuMV5qMdYKi7r
cF+LPN30XQqd0Wj8WmkPrMd3CapieGPv+RJgux/1eLn2+67peTK0oDrJ1Y0gkfd5PribajSTq9r3
U/KomJvwxItlP3IGbCxQWwNQoFvGO03j9i3xYhWzbl7MLnnOC3DwtG5eJHDqsS6yp9EujhD9GJ6/
Ar0bJ8hjGB70jfAnpEwsCDHqeXOGDSZw0jFM9PfetMxvcZCEtwJVaWLInPYoZkaFEL6zuz1pOEw4
McHxMFUCxFix8sl9CJCObsLaajfbziz1beVU+KAOxzzHxyIu0/c5XZ2gFueoBW7kjxnh1TkAhVEV
M2O6dmuT59S3Qke/WdGfThznqs9AXorju3XoYJN0GJMq46iZNZIjDVF7MzQwBQBkzJZanHj3Al8D
PIPy5JbbabrVHMfGgPt5abWTRAnmSZwCN0gQ2i2pMHsTqO6gWH2ohNydZNzZQFW4b0zIdcOYPc/g
skdngKfUdKn0ioapY16R9ESwbz2O08MI2ta2tTh2UUL/FiuWng4j21w7ubp6rgwoP+xFywna0+uC
5Vec29kmgJ6DFAOrR7tjzYvpz+lrJasVykundflu+ZdRZa+tSxmawlbzqaBeF9N6TLRS7HKjYGFM
3Phg1O3DkEwuBnTzjB0RdWoXfLFkyyM8ewqChrdO6OkIkx1hAipfD/ABMCoTWLzt7yhSshusWajk
ovYxLEC2DXg6W9yEjVnvXcNA4xCf3BlEOk2Lx3DGrwqPvVforAFPZfDSB82d5Ean2CD7HQEd2xtE
D9PofcTSwksGC6J3f5Jpq2EVM4oNFKFk3yzll9vHT0qC9QaZC+gyhHdlGfmp0ppLwbzE1op3Y0a8
VyfBBtWauMOEg+IBNllZDeSBJyGNDK5YuwErRc8YrZNcdHszoN/0s6FzcZxIngBJrQPVXEoXujPj
LPKXKa5YBwdqK2F5kqUVxBkoxR67E0DSu9uV9TFuEKqms+PQYJ1QiuK076DEt8xsY0/9vV0BE7ZO
fKkGCqU8BtMqJ0JrHPc+SUd5TGt6mAoZtNkrPE3s1eoCYx6R1G+6dK7mNPc7AV/ByObDoJNQoqKH
eHxJlv57qRDlBh33f9VCNGgNpDtrnO1wKXvog6VB6c8te7aYQZVR8RhMse4vbX8Ew3YDus2uI4/e
GPubwNGJwPpZmrhIzYON1Y2N53ybyM2izzggN0h4TVralsbTdyFHUrd4mcZ74ECIWMsh2Ck07lQ4
PCWBExxBxgVVcdvgDjY+RBqZUtPgbGDueXEVPIRZtW9chIVTSVCPnHS8D1jfmwY/cYX/wjxnqY89
E7Bj1FxJdt5mUq4mCZSZqfOeK4s8TdLNZu7O2G6IPI8jWEyKuWZRn4cMRCOC2lpm1gXvwRW2gBge
1ReWS3hcGKXX9gEG8IOTFMFtsgnSrfruuaTF1sV0B8fPOrRhSEg10QdLPPiww1jUF9g7rU0VrphM
mKb8VYUKpFYzP+ub62qIIoJdrWOm1EmePY1RHMFG/Z5wWhy5qpxxQ4zFdTScy7aT3mRMHyA+I9k4
LCKqje6mVCzHNGTxQTCRrSPEb70WvEPr2kcGOmfH1oLdhE6fPJBvrh2dx8R8ceVkH+zKPkVCa/x2
dWwqCp12nlGZIHtg17pBtrNthWoEmio93LYOutPSCxuGAPslBlNYg7kWVnzp9LjJCloVmiBG9cvV
dSztgoSGAPCC8aGzVvnosgkcivV9nMpTxED62NTtPdFh9xpn009s/FYamfiau5aGfI2pqzYsbc/N
NBLxHX/qoMu03y0Smj79HDTC7l2z5hqZ1aGQoeaZbvvO4HmE3kvrkgm4WSBdo9PijYdMRlPAmtMi
k9swErVgFta2rQd9N3ZbptwQDpeup3ZXHs66FGRW8ZxMbOx9Fbu+zQ2d5AD6OWFuLtOaghp52w3J
k10GdNI51bV6WXC76ZGDHOtw+lrGruPis81+SxUqNIWffFi6REzTlngLAieKOtg6dKDFYQEDUQfb
Kn5JoucYP+Z4ANkj5LN8q1nuJ4XBw1BrWAFFrH9wUb6AvQCswkI8WOkCLubY8q5kD2ADD7w0hwqf
E7TREHFi2lCtBYWAZ6vmsYkJh2LmtpztIPtJutwZmQJ0b5xRX0md/0QiNBw7Ycu9rGbPKayX3Mns
DY4HR4VdsIq1a1JUx1kAV6ak18/Q78a8sz8YNv0yQ3lPlk+JHUH+Ythl7uul099n1djuDVjbniXY
1fHBynmsmOV0jMC5TW8KCi7Qnk3khz16iUZfFWLg5jsc8KLsSzrSkCjdgvcPLytujGqfkCY+Q3DH
2vQ11oyTHXVv0QzjFaQ92zqlrVFkBQCYLJsi3OmjbHm4U4RrMErX2noQAiZicT/jlQNDIX5MLQIw
CcHdtCP2IYxKCyMBzQzoDKpufJZIpNr5mMnkF6S8jRq1sxA8y070OTcEy7K4Gub0Ee2DoQcLc+wv
CFfxQS+1nxbpJVvZIUNFwNOG/audRu9EutOgoNfwSDsisihHAzGel6J4dPP2J7RnUDC0GFAyixy4
UzBG1xck/CaxAAz/uKW9Qhl4Edb2UeOiJCj9l8CBwFi8W4X+rk8vQ1Elm6igqxaDvjqALYewrs+R
TU/cr8gZmRwpzKN8nBhe6sMxIkdn0B1UOAxbMYRgfcR1MUwQV08DFTNtrrcQRl7+kjK9SzH8Qxqb
JkyotzahtModcPkArrDX9GNDR5NBgUeGF5QgSeBp3eLqHTCwiHHCyOOafhXXyyjnw1Lk4EuOWWtR
1U+2XlIXLgFGClqwRbR+o3AYdkZyxX/n5LZk69Q2NYWdzxQDLRcLgQQObTA/2jw9hiM6WE3q22Y2
HjN4mZyrOds1LYBUwjA+LgDXaUWJEIsSFBEYFcUWGsqhWPEOInAgXJ7zgkGJg4qF+tf0+kLRPk/1
Pp5jG984HFGjNHzGE44ZaGN2vuuQ/Nm3GoPpFBM/DKHG2CKTtIbCYRkUAT02dJZdZRBGoHkA28MT
Wcy3SqhTHowJqWuC3bVCAhXYsLPQmKwK1Ef4tGhcAPjNwnyBz+fgL3IPvx5mclQSgZC6R2tdXm1b
Z8+MLKxNy+4B5qYLqypn7TcZ5OGbNkawhGQD7zhOgJ3B+K/BsuxZqPCJrDNro2OiQWLxsiP6D64F
PGksZz+pbk3f0ZYGH5v3uBdfCf4evtaKt4S6Fkk4nNglxOgoKL3KmIe7cNzRvKGOXTjRoRjWRBfH
3ibReN/H7ltcnhaZnWQ7Q6RdjR1BJ0FcYU8UrNc8DXfxmOPkU4LTx0AX2dBjbVvb1t7U/Jrb1DFa
WsusOxnQjSHhZ3uVscj3KC69GMWd5yBMs6jYmQsoeA9R/5JLm6HYeur6JERJLYsblnThTZvkzz7r
zhU80r1KZHbI1fukMz81R0seraq8Kpwpj3zSmvP9Ng999QSB2027aF/HEqc9PFEJpe0u+LBSEKZp
vG2l/pr0joKF235GDfME1hk4c1b7kkw0D3luuWy7PFhBcVs0F7y5yh9Cwg3jbN6MFJwnIsSRa5mz
YjwKw3RU6B1E/aHBjIHpgOo4xvkhjj/yUmI56watP2sICbnIBd6T+EIRRgO5stuOBemMeq6+p2zV
ECtHmHHzXje19DFBHTTDjN4bNq4/Q1puWtboHVD/W9xVDoiGuqZ4CTbWyE6Mo4ukBeiUNR1rPTEw
EYYlEfT8zYCGsKio4oKTNxzg6GpbjwvuR8c+4rESebRbhAIsj6xrzo60n1v2PJP2Iksz1HLZTVZl
fU6y8KGdMWgUEamGVU710xc/1VzvWwqrqBdMX4PJPENFvwVFpTZTwwwYqAARkdW6nqaYv1ZNP97H
DCJ06ktjrKIHUmMHsj2xJW1abVsjl+BqssjU/VU3Yjz5J3Rg56nNnZ2rYzSJuQysFzsqj0VUnTBp
V9vSzKqNWRnaMZTG16Rr43MkMFcjtUniDXECoql22siaNm+MeLzP5ERqVBGSVQALI2g0T8sxBWtG
GB3aetDRiM4s1fM9jKPEtx07QdqBP5wNALEonPdZKQdmqwygVlx2jE4DE+7tpE0eASODjwGde40S
/WgZ8GYjq7gHvvmCgW9u5pLVmil9v0sllD4j0O6DEBFWMC/nppDpae2/QdSHZ4MK4E6XEm8LDWpV
OqfV1hYUvFr6UZPQ0ZP4E7rPOkMYPyHZ1HHW6AGr/2nF0JXXFL5l+BHh5OBRK3/Hq8uwIbdNPxhR
YdhffmfuQ8xOvsyMnBAIOn8EdJhg5xomFbFSb5KUhDWXYOHqcdrvbX1+7UhmYSV/xLzEy3uSd9dQ
ljU0JHFJP6wNvpvm2zAS1p/XnLLf4WTrC9b/dHu6d0Owr/WwZIMDWNldQ0GyKLSTvH3MyukUkqm0
WvvXciXj5R9WdRFp+qJ08WPNi1kDL5Yh4nqODMzEz8rcuGL6sZrcrz9G5XgzguC3lz5N+Mca7AIV
xBNBd/udrTmRCFr2yc2JsYIkFUaN5KiE0zvm1GtyU2HMv6bMeIWBZYbtJSdw1BjqN+6z3wczTU9m
FqKv0va9i9kyt9j6qzWSINWTjzUQQZoRjYy1g9jim677uViKE4GZfN5+ObmOh84qMP4jUMzGbDhL
i8t65H2o/xgr89CO8WHNQSlIgjGr8Z0lByfO0cYYi08C+92nYj6s2QH4hz1p09P6wvVAMuIF1pdh
KufpqnuMhLxlkCe1IXhbT+SaHdLG1dcwJFcTLqsgC2HNPxgEzBxQeUzgcKm2mQbIB404pf8KSBuC
7mK4JJ6QQWPHnGbea81h6GaxL832N9AYit//uydiYf3VerHGIfB5YBgTdZ9tu1uPck3PGbCqwu8P
p6beX2+uNVnDycoPJ36IRlQLxJ42uAN5BaywbEgOawTiGma55mg0hntSfbVdDDKA10BHFL1ehhQH
Nfaag7TGkAYZI79w9NY0iDXKYb1f1nAoFEEQfOTT+jpBvMl6O5ad9SRDNu810qMjlCTKy3MFw2R9
QYDjMEVuumQvMTEoUS2xZpt/CIg1SOIf1yC8Ht+2p/UvOCT9fkNAQNDM7+uPa/bgev+vWabRNui0
nZbgK0LgSkv4+RpfWtrHEWhyJoclcIwfZmyes9nYlhWRX2sOAyeF+tzT4vEJKyhfx7Y/IOgB1exn
VQM7oSy1W/UZrYEPpmO9OSRCNG71ymi7FrhkR9ENO7QfSOc/bDn+bEgQCbivFpPcPwBDgz9rx/gQ
xJtlaf8TI6cPWXFCl5xJpJFdVRF85gNOTDNkelJACGF+sOGIi058DGu8W7bopDmYdzU5v+sX0wNo
CqQ6ozn6He47H4IBZbdjfTjERdD3fqwxsoOtgWi7R9vKaFnK+zUsc33Nmt/yew3rcJAcJo3hLAfz
5z/921//498+p38Pv0oER/jeFu1f/4OfP8tqJugp6v7px7/uv8rrj/yr/f2v/v6qf/w3f/Wf/sfz
n36VzZ8uT7vnf37l+nF//4e8/d8+3v/R/fiHH7ZFF3fzQ//VzI9f5Nt0//q3fxwo32N9o/uSWfNz
+b+9xf/Ti35/mf/rG/3p6/dxPc/V13/++bPsCwRIj19hXBZ//tuvjj//88+u+fvU/nFm/35Ev7/M
v3qD7Affuf/JO1vGXwxhOLrCVkA6jvrznzKI5H/7paH/xUSB6pqOqQz+/F8v498/7P/w9f/1N/uv
s/xPB/0P7/OvDv6PE7N+e+O/++1N9RfLUTrKCiEdpXRd/uP3N/9imIZwpOugrhSW+//dGRDC+G/e
ALb4y//k7mqWGzeO8KugfEoOYoh/4hBXUVytVitRVkTtpuzbkByTsChCBgGtpVNeI+eccshT+E3y
JPkG0FjoAVeQOO1dxge7StrdRqOn++ue/sPAc2N0EWEqwk+gBlQEUS/2Q3wvbpAEcRwG/fp5DWP6
nA18KSVAW4ylCPykFyQoWgZBiFVIA9SFiAgOkkEvwXqMAUSE3W74D1byhGf7YAh+rZiGRb0CBqAF
oY/Xw5LXJI7Qik6B4CCJekAHP4SM+oGXIDLYNxG4QX0qu8sgSHpxHA086AJGOV3cU4gaRL1+gmCr
n2CXAvZsVoayX1rgxpGlJYReD/cZD/3goe9HLTAIe6E3cBVYBm6C3Sn7BwZBaCkBP+pFwEGM+3le
DNxTkE88ot+DYvhIFPn9fgys3C8VCG3dgXo9tN7C62MMDdagDL3x/gex3+tjI2aIqYJ+iMktZST7
JQK/hqbdceAAYQ+AAOX6eDDw+oO+6Q9CyCCCEIIISOnF2Aa5bzLwAlsh4B0T7EzHUuYkDqJ+YuoB
/EXYhxaoP+knSQ08exQVuG5tm7urQeAD7fB2yUABvotkELEE1+uhxc8doAnRDZMo2r/Y0LXVgQMP
gB8DDULssEH+sgWGftDzESqoqwEgcQ/dQWwbE0RBD58EwpsPfDdE4GPERV7U8wb4LWBwEGF8bd9w
wE1qlna3AsTGUYz3G2BbTYAvwxlWcBD3EmRWo9D1YCihuintmwy8fr9iaXcZBGEPLxYEiHrxAQ5E
wDQw9AJcDxAyI2yMB6hU7qE78GzVIIh68INAevSwBW7fNdRg0MPxw04e44KwX1/J9sgfeNaRkef3
fNyS4fcTLwAcGh4R4VAP3hLrCnxEBvH+QUFgGxqGeEEfTV79OIEGtO6IkI+6IQYQjwu0eDkMvEBL
fsunoUd3Na/SbancNHJ2nX9BZyPaBBrZNC8KvyF/UWXfatJP2bhvSTKuSis2/lCnGavnPP7zxxds
P5o8S7+V/uW7VOYin2HBcpUIfGRTJUX/+g2yozk665uZwAGA94mPVsoQMXoNgM+RvSw3G0rVU1hn
S1aNl8l7TUcl7jCzqH/cmuB8ulEQof2WmSW/baiBfsnX/3lDC7CEK7FWAwj7SWxUZeqcduNPv4zO
DNcF1KlIZ0Rtwj5C9ydetunNNvX9QieBK6b7RzyK1VSsqaF1nkK39Q7X8yzPyekyYMKw3BQ55VWl
3Z9XmW5mDyXWFZU3mlAFCnBQ1mSzDQTriPXceSfzB7nI7tI1EYnXiTwvYl7k5UazWzGP26E18+Vq
IQxZdwNlN7tv5PpG5NeaQcVuxCDrk1yuIGhClkHhjjZFZhhHjAjeVrijBzlbOpfytpyu0pmmp2Sh
YhVb6m/TtSkLdfe0JivyTDr4KA/kTNRtwHB+b3OxnknNpJLEgMGwj9NpLlZwNU3CCcMBHqNCu97Q
OCJBisNWxscyvxFrEp6oqqo12VxKKl11NbalOsozlG4JoLl9Brrv0DUpciIEt88AaSezFka4LoMy
nBRiRblV+T5b6b6XuaFg2L7JQFasnbG4l6Ryj0qbPeUzUdwZ2hAwSPcsLZalGaGgEm7P8ATLCMW1
yTKDjM9SwHsh15tCplTOqiRkqxhn5S8SrVdlvtC0FFxWJUdb0uMMwwF31KJDBlgbZ2sxywi7IYOJ
jBW2E6oq62krhHNZLGXe8nJVQdOadpZ/EhQrOFwz2piM4AdFAntJXGR5US7ESlOq9ExlcW3FcJnB
y1HDqzKjtnSVRUuTsCo9WBOuUBNtkESJkYFlIH0rKEigAYaB6p3AvS4nATFaEBkIf5Jz6jyqth9r
AX9Ki4fa6jSPStuQwdY/fi43033l+HCdQ8QkuPQ4/MeHdVrIuXOKj+vNM3p7VCVPW5F8RHA1g96N
0BGoqVUyCRlkAkSGg5KLnCo0x+VmIvOpYdsxAxiN7tHpv3E+nDvnsiwQ1js/ZMahckAp7jfSyX5E
jEQ9N4pKDGmRt99ffgfS13KOa+VP1HclEUfYeJnNrsWKQHbsJ37kMnCPUdTsjihMgka1aNAZm3+9
rB2Su7ieklTsDnl0YMyTNe9FAnUk1mJO9Ee13T0xuS132o2Ux7gntnIHHA5/LDHKSzQHI8r2/E6A
64VzgeJELqs82zj9Gd/4o23JXndWuVsyj1g/KUQhN5rxCo1Vx6et3EcgoBBteCNzIyfuoSP4OWcC
Zl5UThkhmTedSgPV0GSMhoLnwoKa/tczYPR9ufYG3OT/dyuEHYqlCjS0OlTRMkMoVzu+JtWQw9TF
g3AmyKbfNim7qpBsq80nyOVpKpUQOHzPySYXkrg19MXqp+weG4LXnzWVilfVw24rgPdZPjdEwBE8
nJafRFpo9ipufQYQPZMoAFHIRGuNfszuov0OdzxNpWI2YkDKv2HQJSdUVReU7YFNRDlPnWEuzMC1
z5CvmWCoiHhqz2MwskeHpHh2jm7SvOWXPAZp/11uCudQrEm5xgsZhPK9vDFukRxVoGOVB0GxrRri
0mqhdC/w+hygeVWup9sqIGg6BBpxpFyG09IZlxuiL4/UGZTmc/zH+HQT9kYNMEqA7sI+mmk7jarp
UY9UUwh6YL5MIb6OiGxD+ib/v19EILEJy0g8aLXcHVhH2AgknEsjUAwZ7P1o5UzE6k6gdq/ZVNYT
M6jecQmEuhErotmqc88Wu99l63mZCxKUw2LsCZ9DwLlYlIRj99lg/IWx+AUubzeUbHfxsKmwX9bg
MIiHvNBLDA44sMZ5tvrQ6P05m+Ea0vF3SF/bV2pSOlJqZbhuNOV9XmNfehcb/mje8rBk3aT7KMsX
qtT2hqqqe8zg95V0TQG4XstmX0cRUs1uCSaq4R3X7vXPUalYbr0+V/kfOxGopiOxMhQB13JLQUyy
cjvPPsLvFn41hfz1oEDp6UuAoHyaEP8/MPThaoG8CwFkBmc6XC8Qjmq9Vn60pTANMb3Qzg+zYoMN
F4Ssy0EXZTNyW/MY6rOHZY59PmlTBD4D2dFSzJs02+DxernqXiyV+kf51xlh8QDJVwa+fqRN4Aai
zp/eXI7+rIlVlxMGZRuhFTvHZ/cIXQa9GGU3Gb5v2CQbPpcufKEa/5bwrDzhemsrHMc1cyRupfNR
5nPicLpvN90J4Tc/pejBKIhyRy0n/npFPFrgs6BNcUedV7FuZo9+RvSdAeJWjlptLwl8qFUaEu6l
uN9ds49yfF6EkuWo+R0VS+yGpcisplls2b2ChR+LGyPbM2g53dcf37GYUiNUW0xs2T1eGojfDj12
4LSlCK4aTrPl9eQuy+8Bn2JDtNjlcFKncn1PVHdLMPp6QZylU9P7u+1wfAe6cpMVS+JEUCy1lzD4
NaQQMDjVMcqJC7HBlVdzqFyTGzCAA9oNs6IgCOyy9DAgm/CJALAbMsgXXWUGUQYTHsOLzowKKEdG
cixKQK/ZTIVhcH2Ku2P6OHtQEImCqqZVaUTEoGznKQJuQpUD1Suq1Fm4HP30tcs8OEw3G1ESrtvX
tNfDxCXCeVrJ99TEqi0OP94uW5kGjM0yEFetQ7Qv0OPopJ6oSr5wzqTZ2eMyOP0Jmg7NWzxHZXJS
GsU+j8PXXWX0/oFpXoZz+/VfmXOV3fz676pb4iL/9T/rGfY3asrKwD2fQdYoNKRm5shn0OorsX4w
wQ5bQTT/u4Pdh0XLCjma13EDvsbMl/NWbEgg4HE0gmP8NjVCWI+jCjDBftbUbCjGvjF7Kf/Qirmx
cp6BbHozFdNPVI05qs01iLYNXO22eh6gv16KzlNB8R8wR/fjArcgfNaLNhUwaM8QfcdTgW5MkjwJ
u064+9Y9zFHjpvEIQySJcvxiJeZys9Qc1qitf9odA8f3Qs1makIVWQ6Gl6V5aAye4BCpRUnidJ+B
V6TRptmcnhmHH5jkqXOGPgpye+W4ZGK5AE0GczgWlFQXzqn632R42VQHlyMyPcFo+Foa0YGLJr8O
SO02OFCmR+dyxI3vxS2FBqwXsuf19D5f4DtghmW4PoOXrYthp5mRkHN9BhHXHnELbQaTPkVL4vWy
LRIGuz4TNIftctQhxmImspaJqN0+z8cG3YqM6QzUjgxd5gjtkNuYp3e0g9l9tqb9woQ+CIt706Y5
Utfn8pZeNLHXyl7AF+jswDTw1l4ujuU1F5grbSkyx+D5BXYOpbe3yOFvtBQqP632fNlq3QSDTOIW
sKFJVZRdhkjoainaFwqPwa6vxE9pW9LYm6xfYfdo6EqkyMxoOnWMxcExboQqLDS1Azu/9bN25/nD
w1RuEYfaRmyrHB9TWaBrSROq5MEBdScFisS3j4bYpO6GXp+B79NyLTbLNN/2BCwTZbg/TG7RfLu6
34Yl2MzGEdeM0/kcU2lHRk2lHo34/MkCIV40GjLBVywzBCJbRITtUzHGx/S57K6ZlX8Qzimy1av/
/uOfm2txr1oY5wsCNmiqifBVSfvHXaUoWx+coX2Z0sd6TJ9ji9hEIpa/LredOXpoY+zhtX+HN9n1
PHP+4lxhXBAaTBsGsRgd+w0ZDuZUlGmekgZvLNTDSmGOvSMXAl8yO5gtU3GAz8JqkSjseHwGw1FP
cB/eQpkBOs7EbbE0go9aNJ1Q/fXSPyji1iNdtimg5isou3+uu5s860j1ElTd4N2B7jAvp4Kcnv5h
d6hBK2SKrt0qw30o8inS85po5bX0DzZPWJTpivZ2cYRJilv0XpPIjmMmWLU7YDgNPceENMc19lzc
CZTFtrgOjtvmSNxjiGgbynKENCND9ziKx2+yG3xokq415AgyNN3trVIcNzjM/pojxRwDLW9BFh+U
Qvv/HIO5Ja01cdRP32EmjuQBXQ4H/x7GYhyjyzFR9SiOscBX19at2jpHa53a7LBRZdRCA13lbzm6
6S6w9azI1OQJLWZxDI1OCizSKIpNBdvn8i6lUMVxFcAjzsoZzapgPbAW0+7+4AqLYdK5mFe8X2VT
fPFZE608Dsd2LbW3thbOCIqZbbaBIvZe6+fu/jKQ0scUu/gwWI+SaNUMW0NDK+fA0XZ0iO6VdLPE
I7FDeCvSexxG8WHy7BMY8rmHWHGVGqkTjrmpEYZQkGbU51rpE8ftYiJo4OXFDBnceh/DEQYmsLum
pBbM0YlT00eYhBbtlby5b0olZGlAKbCdJcdmnCZlv59wZDJhWDXsE9pu3D2r1gzFn6Lrbb/lXj+t
Zi3/kNXkbTM93YvCton8ywy91jNB5J6lIP6V++BxIXvKA+7FHpthvlAc0RomR84MnyhOjXWUHDsY
DnPVG0MsmMF5jJDVJ4kqjhzYKFtlZos7R8b2aIZYng4Ic+zyqSNjNZ9gNLt3N9t05xneCnx4XIUz
W9YXxwxB03GJ3gmSZkCCS2uJRSyGdCmS7kQ1XI51y6r+hRwJcaDuILTn+ELmNM/HMf/wIS9NZj0O
C/mINtYH7IsiB4dPLnaJYUc3sO2fNRz2Y4JttpIi//Z/AAAA//8=</cx:binary>
              </cx:geoCache>
            </cx:geography>
          </cx:layoutPr>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Reversed" id="21">
  <a:schemeClr val="accent1"/>
</cs:colorStyle>
</file>

<file path=xl/charts/colors6.xml><?xml version="1.0" encoding="utf-8"?>
<cs:colorStyle xmlns:cs="http://schemas.microsoft.com/office/drawing/2012/chartStyle" xmlns:a="http://schemas.openxmlformats.org/drawingml/2006/main" meth="withinLinearReversed" id="21">
  <a:schemeClr val="accent1"/>
</cs:colorStyle>
</file>

<file path=xl/charts/colors7.xml><?xml version="1.0" encoding="utf-8"?>
<cs:colorStyle xmlns:cs="http://schemas.microsoft.com/office/drawing/2012/chartStyle" xmlns:a="http://schemas.openxmlformats.org/drawingml/2006/main" meth="withinLinearReversed" id="21">
  <a:schemeClr val="accent1"/>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microsoft.com/office/2014/relationships/chartEx" Target="../charts/chartEx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0</xdr:col>
      <xdr:colOff>0</xdr:colOff>
      <xdr:row>22</xdr:row>
      <xdr:rowOff>85725</xdr:rowOff>
    </xdr:from>
    <xdr:to>
      <xdr:col>7</xdr:col>
      <xdr:colOff>266700</xdr:colOff>
      <xdr:row>38</xdr:row>
      <xdr:rowOff>104775</xdr:rowOff>
    </xdr:to>
    <xdr:graphicFrame macro="">
      <xdr:nvGraphicFramePr>
        <xdr:cNvPr id="3" name="Gráfico 2">
          <a:extLst>
            <a:ext uri="{FF2B5EF4-FFF2-40B4-BE49-F238E27FC236}">
              <a16:creationId xmlns:a16="http://schemas.microsoft.com/office/drawing/2014/main" id="{747ECB32-4336-4F59-84A3-E7FD72E8A3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447675</xdr:colOff>
      <xdr:row>7</xdr:row>
      <xdr:rowOff>104775</xdr:rowOff>
    </xdr:from>
    <xdr:to>
      <xdr:col>9</xdr:col>
      <xdr:colOff>638175</xdr:colOff>
      <xdr:row>20</xdr:row>
      <xdr:rowOff>85725</xdr:rowOff>
    </xdr:to>
    <xdr:graphicFrame macro="">
      <xdr:nvGraphicFramePr>
        <xdr:cNvPr id="2" name="Gráfico 1">
          <a:extLst>
            <a:ext uri="{FF2B5EF4-FFF2-40B4-BE49-F238E27FC236}">
              <a16:creationId xmlns:a16="http://schemas.microsoft.com/office/drawing/2014/main" id="{274F4BE2-2490-46AD-AEF9-36E369EC61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11</xdr:row>
      <xdr:rowOff>128587</xdr:rowOff>
    </xdr:from>
    <xdr:to>
      <xdr:col>2</xdr:col>
      <xdr:colOff>1003575</xdr:colOff>
      <xdr:row>24</xdr:row>
      <xdr:rowOff>172087</xdr:rowOff>
    </xdr:to>
    <xdr:graphicFrame macro="">
      <xdr:nvGraphicFramePr>
        <xdr:cNvPr id="3" name="Gráfico 2">
          <a:extLst>
            <a:ext uri="{FF2B5EF4-FFF2-40B4-BE49-F238E27FC236}">
              <a16:creationId xmlns:a16="http://schemas.microsoft.com/office/drawing/2014/main" id="{803772C7-84CA-4E42-9E6F-E324EAEB0D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1033463</xdr:colOff>
      <xdr:row>11</xdr:row>
      <xdr:rowOff>128587</xdr:rowOff>
    </xdr:from>
    <xdr:to>
      <xdr:col>4</xdr:col>
      <xdr:colOff>1132163</xdr:colOff>
      <xdr:row>24</xdr:row>
      <xdr:rowOff>172087</xdr:rowOff>
    </xdr:to>
    <xdr:graphicFrame macro="">
      <xdr:nvGraphicFramePr>
        <xdr:cNvPr id="4" name="Gráfico 3">
          <a:extLst>
            <a:ext uri="{FF2B5EF4-FFF2-40B4-BE49-F238E27FC236}">
              <a16:creationId xmlns:a16="http://schemas.microsoft.com/office/drawing/2014/main" id="{A8DB57AA-ADEC-4AA3-A9EC-A6E124F0A1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1162050</xdr:colOff>
      <xdr:row>11</xdr:row>
      <xdr:rowOff>128587</xdr:rowOff>
    </xdr:from>
    <xdr:to>
      <xdr:col>6</xdr:col>
      <xdr:colOff>1260750</xdr:colOff>
      <xdr:row>24</xdr:row>
      <xdr:rowOff>172087</xdr:rowOff>
    </xdr:to>
    <xdr:graphicFrame macro="">
      <xdr:nvGraphicFramePr>
        <xdr:cNvPr id="5" name="Gráfico 4">
          <a:extLst>
            <a:ext uri="{FF2B5EF4-FFF2-40B4-BE49-F238E27FC236}">
              <a16:creationId xmlns:a16="http://schemas.microsoft.com/office/drawing/2014/main" id="{F6AAC0AB-2473-4D3A-B111-749BDCD9B6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25</xdr:row>
      <xdr:rowOff>80962</xdr:rowOff>
    </xdr:from>
    <xdr:to>
      <xdr:col>2</xdr:col>
      <xdr:colOff>1003575</xdr:colOff>
      <xdr:row>38</xdr:row>
      <xdr:rowOff>124462</xdr:rowOff>
    </xdr:to>
    <xdr:graphicFrame macro="">
      <xdr:nvGraphicFramePr>
        <xdr:cNvPr id="6" name="Gráfico 5">
          <a:extLst>
            <a:ext uri="{FF2B5EF4-FFF2-40B4-BE49-F238E27FC236}">
              <a16:creationId xmlns:a16="http://schemas.microsoft.com/office/drawing/2014/main" id="{0A313864-423D-4706-B0C4-9926385B5B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1033463</xdr:colOff>
      <xdr:row>25</xdr:row>
      <xdr:rowOff>80962</xdr:rowOff>
    </xdr:from>
    <xdr:to>
      <xdr:col>4</xdr:col>
      <xdr:colOff>1132163</xdr:colOff>
      <xdr:row>38</xdr:row>
      <xdr:rowOff>124462</xdr:rowOff>
    </xdr:to>
    <xdr:graphicFrame macro="">
      <xdr:nvGraphicFramePr>
        <xdr:cNvPr id="7" name="Gráfico 6">
          <a:extLst>
            <a:ext uri="{FF2B5EF4-FFF2-40B4-BE49-F238E27FC236}">
              <a16:creationId xmlns:a16="http://schemas.microsoft.com/office/drawing/2014/main" id="{9E427AA7-8CF4-41A2-A4FA-EA3509C934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1162050</xdr:colOff>
      <xdr:row>25</xdr:row>
      <xdr:rowOff>80962</xdr:rowOff>
    </xdr:from>
    <xdr:to>
      <xdr:col>6</xdr:col>
      <xdr:colOff>1260750</xdr:colOff>
      <xdr:row>38</xdr:row>
      <xdr:rowOff>124462</xdr:rowOff>
    </xdr:to>
    <xdr:graphicFrame macro="">
      <xdr:nvGraphicFramePr>
        <xdr:cNvPr id="8" name="Gráfico 7">
          <a:extLst>
            <a:ext uri="{FF2B5EF4-FFF2-40B4-BE49-F238E27FC236}">
              <a16:creationId xmlns:a16="http://schemas.microsoft.com/office/drawing/2014/main" id="{4C753CE8-2AB1-41D9-9A6E-7DAF61A480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371475</xdr:colOff>
      <xdr:row>10</xdr:row>
      <xdr:rowOff>138111</xdr:rowOff>
    </xdr:from>
    <xdr:to>
      <xdr:col>13</xdr:col>
      <xdr:colOff>1266825</xdr:colOff>
      <xdr:row>40</xdr:row>
      <xdr:rowOff>100853</xdr:rowOff>
    </xdr:to>
    <xdr:graphicFrame macro="">
      <xdr:nvGraphicFramePr>
        <xdr:cNvPr id="4" name="Gráfico 3">
          <a:extLst>
            <a:ext uri="{FF2B5EF4-FFF2-40B4-BE49-F238E27FC236}">
              <a16:creationId xmlns:a16="http://schemas.microsoft.com/office/drawing/2014/main" id="{DAD1A583-1C19-45B5-BCD8-EAC8660931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0.01918</cdr:x>
      <cdr:y>0.76563</cdr:y>
    </cdr:from>
    <cdr:to>
      <cdr:x>0.97843</cdr:x>
      <cdr:y>1</cdr:y>
    </cdr:to>
    <cdr:sp macro="" textlink="">
      <cdr:nvSpPr>
        <cdr:cNvPr id="8" name="CuadroTexto 1">
          <a:extLst xmlns:a="http://schemas.openxmlformats.org/drawingml/2006/main">
            <a:ext uri="{FF2B5EF4-FFF2-40B4-BE49-F238E27FC236}">
              <a16:creationId xmlns:a16="http://schemas.microsoft.com/office/drawing/2014/main" id="{0A4B4EFC-389E-4346-A5E0-E4F8800FF435}"/>
            </a:ext>
          </a:extLst>
        </cdr:cNvPr>
        <cdr:cNvSpPr txBox="1"/>
      </cdr:nvSpPr>
      <cdr:spPr>
        <a:xfrm xmlns:a="http://schemas.openxmlformats.org/drawingml/2006/main">
          <a:off x="174064" y="4347042"/>
          <a:ext cx="8705850" cy="13307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vert="vert270"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endParaRPr lang="en-GB" sz="1030" b="0"/>
        </a:p>
        <a:p xmlns:a="http://schemas.openxmlformats.org/drawingml/2006/main">
          <a:pPr algn="r"/>
          <a:endParaRPr lang="en-GB" sz="1030" b="0"/>
        </a:p>
        <a:p xmlns:a="http://schemas.openxmlformats.org/drawingml/2006/main">
          <a:pPr algn="r"/>
          <a:r>
            <a:rPr lang="en-GB" sz="1030" b="0"/>
            <a:t>Application info.</a:t>
          </a:r>
        </a:p>
        <a:p xmlns:a="http://schemas.openxmlformats.org/drawingml/2006/main">
          <a:pPr algn="r"/>
          <a:endParaRPr lang="en-GB" sz="1030" b="0"/>
        </a:p>
        <a:p xmlns:a="http://schemas.openxmlformats.org/drawingml/2006/main">
          <a:pPr algn="r"/>
          <a:endParaRPr lang="en-GB" sz="1030" b="0"/>
        </a:p>
        <a:p xmlns:a="http://schemas.openxmlformats.org/drawingml/2006/main">
          <a:pPr algn="r"/>
          <a:r>
            <a:rPr lang="en-GB" sz="1030" b="0"/>
            <a:t>Business knowledge /</a:t>
          </a:r>
        </a:p>
        <a:p xmlns:a="http://schemas.openxmlformats.org/drawingml/2006/main">
          <a:pPr algn="r"/>
          <a:r>
            <a:rPr lang="en-GB" sz="1030" b="0"/>
            <a:t>requirements</a:t>
          </a:r>
        </a:p>
        <a:p xmlns:a="http://schemas.openxmlformats.org/drawingml/2006/main">
          <a:pPr algn="r"/>
          <a:endParaRPr lang="en-GB" sz="1030" b="0"/>
        </a:p>
        <a:p xmlns:a="http://schemas.openxmlformats.org/drawingml/2006/main">
          <a:pPr algn="r"/>
          <a:r>
            <a:rPr lang="en-GB" sz="1030" b="0"/>
            <a:t>Database</a:t>
          </a:r>
        </a:p>
        <a:p xmlns:a="http://schemas.openxmlformats.org/drawingml/2006/main">
          <a:pPr algn="r"/>
          <a:endParaRPr lang="en-GB" sz="1030" b="0"/>
        </a:p>
        <a:p xmlns:a="http://schemas.openxmlformats.org/drawingml/2006/main">
          <a:pPr algn="r"/>
          <a:endParaRPr lang="en-GB" sz="1030" b="0"/>
        </a:p>
        <a:p xmlns:a="http://schemas.openxmlformats.org/drawingml/2006/main">
          <a:pPr algn="r"/>
          <a:r>
            <a:rPr lang="en-GB" sz="1030" b="0"/>
            <a:t>EA</a:t>
          </a:r>
          <a:r>
            <a:rPr lang="en-GB" sz="1030" b="0" baseline="0"/>
            <a:t> Models</a:t>
          </a:r>
        </a:p>
        <a:p xmlns:a="http://schemas.openxmlformats.org/drawingml/2006/main">
          <a:pPr algn="r"/>
          <a:endParaRPr lang="en-GB" sz="1030" b="0" baseline="0"/>
        </a:p>
        <a:p xmlns:a="http://schemas.openxmlformats.org/drawingml/2006/main">
          <a:pPr algn="r"/>
          <a:endParaRPr lang="en-GB" sz="1030" b="0" baseline="0"/>
        </a:p>
        <a:p xmlns:a="http://schemas.openxmlformats.org/drawingml/2006/main">
          <a:pPr algn="r"/>
          <a:r>
            <a:rPr lang="en-GB" sz="1030" b="0" baseline="0"/>
            <a:t>Expertt's knowledge</a:t>
          </a:r>
        </a:p>
        <a:p xmlns:a="http://schemas.openxmlformats.org/drawingml/2006/main">
          <a:pPr algn="r"/>
          <a:endParaRPr lang="en-GB" sz="1030" b="0" baseline="0"/>
        </a:p>
        <a:p xmlns:a="http://schemas.openxmlformats.org/drawingml/2006/main">
          <a:pPr algn="r"/>
          <a:endParaRPr lang="en-GB" sz="1030" b="0" baseline="0"/>
        </a:p>
        <a:p xmlns:a="http://schemas.openxmlformats.org/drawingml/2006/main">
          <a:pPr algn="r"/>
          <a:r>
            <a:rPr lang="en-GB" sz="1030" b="0" baseline="0"/>
            <a:t>IT knowledge and operational data</a:t>
          </a:r>
        </a:p>
        <a:p xmlns:a="http://schemas.openxmlformats.org/drawingml/2006/main">
          <a:pPr algn="r"/>
          <a:endParaRPr lang="en-GB" sz="1030" b="0" baseline="0"/>
        </a:p>
        <a:p xmlns:a="http://schemas.openxmlformats.org/drawingml/2006/main">
          <a:pPr algn="r"/>
          <a:r>
            <a:rPr lang="en-GB" sz="1030" b="0" baseline="0"/>
            <a:t>Process logs</a:t>
          </a:r>
        </a:p>
        <a:p xmlns:a="http://schemas.openxmlformats.org/drawingml/2006/main">
          <a:pPr algn="r"/>
          <a:endParaRPr lang="en-GB" sz="1030" b="0" baseline="0"/>
        </a:p>
        <a:p xmlns:a="http://schemas.openxmlformats.org/drawingml/2006/main">
          <a:pPr algn="r"/>
          <a:endParaRPr lang="en-GB" sz="1030" b="0" baseline="0"/>
        </a:p>
        <a:p xmlns:a="http://schemas.openxmlformats.org/drawingml/2006/main">
          <a:pPr algn="r"/>
          <a:r>
            <a:rPr lang="en-GB" sz="1030" b="0" baseline="0"/>
            <a:t>Services / ESB</a:t>
          </a:r>
        </a:p>
        <a:p xmlns:a="http://schemas.openxmlformats.org/drawingml/2006/main">
          <a:pPr algn="r"/>
          <a:endParaRPr lang="en-GB" sz="1030" b="0" baseline="0"/>
        </a:p>
        <a:p xmlns:a="http://schemas.openxmlformats.org/drawingml/2006/main">
          <a:pPr algn="r"/>
          <a:endParaRPr lang="en-GB" sz="1030" b="0" baseline="0"/>
        </a:p>
        <a:p xmlns:a="http://schemas.openxmlformats.org/drawingml/2006/main">
          <a:pPr algn="r"/>
          <a:r>
            <a:rPr lang="en-GB" sz="1030" b="0" baseline="0"/>
            <a:t>Social media</a:t>
          </a:r>
        </a:p>
        <a:p xmlns:a="http://schemas.openxmlformats.org/drawingml/2006/main">
          <a:pPr algn="r"/>
          <a:endParaRPr lang="en-GB" sz="1030" b="0" baseline="0"/>
        </a:p>
        <a:p xmlns:a="http://schemas.openxmlformats.org/drawingml/2006/main">
          <a:pPr algn="r"/>
          <a:endParaRPr lang="en-GB" sz="1030" b="0" baseline="0"/>
        </a:p>
        <a:p xmlns:a="http://schemas.openxmlformats.org/drawingml/2006/main">
          <a:pPr algn="r"/>
          <a:endParaRPr lang="en-GB" sz="1030" b="0" baseline="0"/>
        </a:p>
        <a:p xmlns:a="http://schemas.openxmlformats.org/drawingml/2006/main">
          <a:pPr algn="r"/>
          <a:endParaRPr lang="en-GB" sz="1030" b="0" baseline="0"/>
        </a:p>
        <a:p xmlns:a="http://schemas.openxmlformats.org/drawingml/2006/main">
          <a:pPr algn="r"/>
          <a:endParaRPr lang="en-GB" sz="1030" b="0" baseline="0"/>
        </a:p>
        <a:p xmlns:a="http://schemas.openxmlformats.org/drawingml/2006/main">
          <a:pPr algn="r"/>
          <a:endParaRPr lang="en-GB" sz="1030" b="0" baseline="0"/>
        </a:p>
        <a:p xmlns:a="http://schemas.openxmlformats.org/drawingml/2006/main">
          <a:pPr algn="r"/>
          <a:endParaRPr lang="en-GB" sz="1030" b="0" baseline="0"/>
        </a:p>
        <a:p xmlns:a="http://schemas.openxmlformats.org/drawingml/2006/main">
          <a:pPr algn="r"/>
          <a:endParaRPr lang="en-GB" sz="1030" b="0" baseline="0"/>
        </a:p>
        <a:p xmlns:a="http://schemas.openxmlformats.org/drawingml/2006/main">
          <a:pPr algn="r"/>
          <a:r>
            <a:rPr lang="en-GB" sz="1030" b="0" baseline="0"/>
            <a:t>Application</a:t>
          </a:r>
        </a:p>
        <a:p xmlns:a="http://schemas.openxmlformats.org/drawingml/2006/main">
          <a:pPr algn="r"/>
          <a:endParaRPr lang="en-GB" sz="1030" b="0" baseline="0"/>
        </a:p>
        <a:p xmlns:a="http://schemas.openxmlformats.org/drawingml/2006/main">
          <a:pPr algn="r"/>
          <a:endParaRPr lang="en-GB" sz="1030" b="0" baseline="0"/>
        </a:p>
        <a:p xmlns:a="http://schemas.openxmlformats.org/drawingml/2006/main">
          <a:pPr algn="r"/>
          <a:r>
            <a:rPr lang="en-GB" sz="1030" b="0" baseline="0"/>
            <a:t>Business</a:t>
          </a:r>
        </a:p>
        <a:p xmlns:a="http://schemas.openxmlformats.org/drawingml/2006/main">
          <a:pPr algn="r"/>
          <a:endParaRPr lang="en-GB" sz="1030" b="0" baseline="0"/>
        </a:p>
        <a:p xmlns:a="http://schemas.openxmlformats.org/drawingml/2006/main">
          <a:pPr algn="r"/>
          <a:endParaRPr lang="en-GB" sz="1030" b="0" baseline="0"/>
        </a:p>
        <a:p xmlns:a="http://schemas.openxmlformats.org/drawingml/2006/main">
          <a:pPr algn="r"/>
          <a:r>
            <a:rPr lang="en-GB" sz="1030" b="0" baseline="0"/>
            <a:t>Holistic</a:t>
          </a:r>
        </a:p>
        <a:p xmlns:a="http://schemas.openxmlformats.org/drawingml/2006/main">
          <a:pPr algn="r"/>
          <a:endParaRPr lang="en-GB" sz="1030" b="0" baseline="0"/>
        </a:p>
        <a:p xmlns:a="http://schemas.openxmlformats.org/drawingml/2006/main">
          <a:pPr algn="r"/>
          <a:endParaRPr lang="en-GB" sz="1030" b="0" baseline="0"/>
        </a:p>
        <a:p xmlns:a="http://schemas.openxmlformats.org/drawingml/2006/main">
          <a:pPr algn="r"/>
          <a:r>
            <a:rPr lang="en-GB" sz="1030" b="0" baseline="0"/>
            <a:t>IT Infraestructure</a:t>
          </a:r>
        </a:p>
        <a:p xmlns:a="http://schemas.openxmlformats.org/drawingml/2006/main">
          <a:pPr algn="r"/>
          <a:endParaRPr lang="en-GB" sz="1030" b="0" baseline="0"/>
        </a:p>
        <a:p xmlns:a="http://schemas.openxmlformats.org/drawingml/2006/main">
          <a:pPr algn="r"/>
          <a:endParaRPr lang="en-GB" sz="1030" b="0" baseline="0"/>
        </a:p>
        <a:p xmlns:a="http://schemas.openxmlformats.org/drawingml/2006/main">
          <a:pPr algn="r"/>
          <a:r>
            <a:rPr lang="en-GB" sz="1030" b="0" baseline="0"/>
            <a:t>Process</a:t>
          </a:r>
        </a:p>
        <a:p xmlns:a="http://schemas.openxmlformats.org/drawingml/2006/main">
          <a:pPr algn="r"/>
          <a:endParaRPr lang="en-GB" sz="1030" b="0" baseline="0"/>
        </a:p>
        <a:p xmlns:a="http://schemas.openxmlformats.org/drawingml/2006/main">
          <a:pPr algn="r"/>
          <a:endParaRPr lang="en-GB" sz="1030" b="0" baseline="0"/>
        </a:p>
        <a:p xmlns:a="http://schemas.openxmlformats.org/drawingml/2006/main">
          <a:pPr algn="r"/>
          <a:r>
            <a:rPr lang="en-GB" sz="1030" b="0" baseline="0"/>
            <a:t>Service</a:t>
          </a:r>
          <a:r>
            <a:rPr lang="en-GB" sz="1030" b="0"/>
            <a:t> </a:t>
          </a:r>
        </a:p>
        <a:p xmlns:a="http://schemas.openxmlformats.org/drawingml/2006/main">
          <a:pPr algn="r"/>
          <a:endParaRPr lang="en-GB" sz="1030" b="0"/>
        </a:p>
      </cdr:txBody>
    </cdr:sp>
  </cdr:relSizeAnchor>
  <cdr:relSizeAnchor xmlns:cdr="http://schemas.openxmlformats.org/drawingml/2006/chartDrawing">
    <cdr:from>
      <cdr:x>0.52565</cdr:x>
      <cdr:y>0.07651</cdr:y>
    </cdr:from>
    <cdr:to>
      <cdr:x>0.62627</cdr:x>
      <cdr:y>0.88013</cdr:y>
    </cdr:to>
    <cdr:sp macro="" textlink="">
      <cdr:nvSpPr>
        <cdr:cNvPr id="4" name="CuadroTexto 3">
          <a:extLst xmlns:a="http://schemas.openxmlformats.org/drawingml/2006/main">
            <a:ext uri="{FF2B5EF4-FFF2-40B4-BE49-F238E27FC236}">
              <a16:creationId xmlns:a16="http://schemas.microsoft.com/office/drawing/2014/main" id="{C9D1ADC1-6202-45B5-95B6-EEC528ECF302}"/>
            </a:ext>
          </a:extLst>
        </cdr:cNvPr>
        <cdr:cNvSpPr txBox="1"/>
      </cdr:nvSpPr>
      <cdr:spPr>
        <a:xfrm xmlns:a="http://schemas.openxmlformats.org/drawingml/2006/main">
          <a:off x="4770575" y="434390"/>
          <a:ext cx="913272" cy="456277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040" b="0" i="0"/>
            <a:t>Social network </a:t>
          </a:r>
        </a:p>
        <a:p xmlns:a="http://schemas.openxmlformats.org/drawingml/2006/main">
          <a:pPr algn="ctr"/>
          <a:r>
            <a:rPr lang="en-GB" sz="1040" b="0" i="0"/>
            <a:t>analysis</a:t>
          </a:r>
        </a:p>
        <a:p xmlns:a="http://schemas.openxmlformats.org/drawingml/2006/main">
          <a:pPr algn="ctr"/>
          <a:endParaRPr lang="en-GB" sz="1040" b="0" i="0"/>
        </a:p>
        <a:p xmlns:a="http://schemas.openxmlformats.org/drawingml/2006/main">
          <a:pPr algn="ctr"/>
          <a:r>
            <a:rPr lang="en-GB" sz="1040" b="0" i="0"/>
            <a:t>Runtime/</a:t>
          </a:r>
        </a:p>
        <a:p xmlns:a="http://schemas.openxmlformats.org/drawingml/2006/main">
          <a:pPr algn="ctr"/>
          <a:r>
            <a:rPr lang="en-GB" sz="1040" b="0" i="0"/>
            <a:t>temporal analaysis</a:t>
          </a:r>
        </a:p>
        <a:p xmlns:a="http://schemas.openxmlformats.org/drawingml/2006/main">
          <a:pPr algn="ctr"/>
          <a:endParaRPr lang="en-GB" sz="1040" b="0" i="0"/>
        </a:p>
        <a:p xmlns:a="http://schemas.openxmlformats.org/drawingml/2006/main">
          <a:pPr algn="ctr"/>
          <a:r>
            <a:rPr lang="en-GB" sz="1040" b="0" i="0"/>
            <a:t>Process mining</a:t>
          </a:r>
        </a:p>
        <a:p xmlns:a="http://schemas.openxmlformats.org/drawingml/2006/main">
          <a:pPr algn="ctr"/>
          <a:endParaRPr lang="en-GB" sz="1040" b="0" i="0"/>
        </a:p>
        <a:p xmlns:a="http://schemas.openxmlformats.org/drawingml/2006/main">
          <a:pPr algn="ctr"/>
          <a:endParaRPr lang="en-GB" sz="1040" b="0" i="0"/>
        </a:p>
        <a:p xmlns:a="http://schemas.openxmlformats.org/drawingml/2006/main">
          <a:pPr algn="ctr"/>
          <a:r>
            <a:rPr lang="en-GB" sz="1040" b="0" i="0"/>
            <a:t>MDE /</a:t>
          </a:r>
        </a:p>
        <a:p xmlns:a="http://schemas.openxmlformats.org/drawingml/2006/main">
          <a:pPr algn="ctr"/>
          <a:r>
            <a:rPr lang="en-GB" sz="1040" b="0" i="0"/>
            <a:t>model transformation</a:t>
          </a:r>
        </a:p>
        <a:p xmlns:a="http://schemas.openxmlformats.org/drawingml/2006/main">
          <a:pPr algn="ctr"/>
          <a:endParaRPr lang="en-GB" sz="1040" b="0" i="0"/>
        </a:p>
        <a:p xmlns:a="http://schemas.openxmlformats.org/drawingml/2006/main">
          <a:pPr algn="ctr"/>
          <a:r>
            <a:rPr lang="en-GB" sz="1040" b="0" i="0"/>
            <a:t>Expert interview /</a:t>
          </a:r>
        </a:p>
        <a:p xmlns:a="http://schemas.openxmlformats.org/drawingml/2006/main">
          <a:pPr algn="ctr"/>
          <a:r>
            <a:rPr lang="en-GB" sz="1040" b="0" i="0"/>
            <a:t> serious game</a:t>
          </a:r>
        </a:p>
        <a:p xmlns:a="http://schemas.openxmlformats.org/drawingml/2006/main">
          <a:pPr algn="ctr"/>
          <a:endParaRPr lang="en-GB" sz="1040" b="0" i="0"/>
        </a:p>
        <a:p xmlns:a="http://schemas.openxmlformats.org/drawingml/2006/main">
          <a:pPr algn="ctr"/>
          <a:r>
            <a:rPr lang="en-GB" sz="1040" b="0" i="0"/>
            <a:t>EA Model annotations</a:t>
          </a:r>
        </a:p>
        <a:p xmlns:a="http://schemas.openxmlformats.org/drawingml/2006/main">
          <a:pPr algn="ctr"/>
          <a:endParaRPr lang="en-GB" sz="1040" b="0" i="0"/>
        </a:p>
        <a:p xmlns:a="http://schemas.openxmlformats.org/drawingml/2006/main">
          <a:pPr algn="ctr"/>
          <a:endParaRPr lang="en-GB" sz="1040" b="0" i="0"/>
        </a:p>
        <a:p xmlns:a="http://schemas.openxmlformats.org/drawingml/2006/main">
          <a:pPr algn="ctr"/>
          <a:r>
            <a:rPr lang="en-GB" sz="1040" b="0" i="0"/>
            <a:t>Data collection</a:t>
          </a:r>
          <a:r>
            <a:rPr lang="en-GB" sz="1040" b="0" i="0" baseline="0"/>
            <a:t> / </a:t>
          </a:r>
        </a:p>
        <a:p xmlns:a="http://schemas.openxmlformats.org/drawingml/2006/main">
          <a:pPr algn="ctr"/>
          <a:r>
            <a:rPr lang="en-GB" sz="1040" b="0" i="0" baseline="0"/>
            <a:t>data mapping</a:t>
          </a:r>
        </a:p>
        <a:p xmlns:a="http://schemas.openxmlformats.org/drawingml/2006/main">
          <a:pPr algn="ctr"/>
          <a:endParaRPr lang="en-GB" sz="1040" b="0" i="0" baseline="0"/>
        </a:p>
        <a:p xmlns:a="http://schemas.openxmlformats.org/drawingml/2006/main">
          <a:pPr algn="ctr"/>
          <a:r>
            <a:rPr lang="en-GB" sz="1040" b="0" i="0"/>
            <a:t>Business intelligence</a:t>
          </a:r>
          <a:r>
            <a:rPr lang="en-GB" sz="1040" b="0" i="0" baseline="0"/>
            <a:t> /</a:t>
          </a:r>
        </a:p>
        <a:p xmlns:a="http://schemas.openxmlformats.org/drawingml/2006/main">
          <a:pPr algn="ctr"/>
          <a:r>
            <a:rPr lang="en-GB" sz="1040" b="0" i="0"/>
            <a:t>pattern matching</a:t>
          </a:r>
        </a:p>
      </cdr:txBody>
    </cdr:sp>
  </cdr:relSizeAnchor>
  <cdr:relSizeAnchor xmlns:cdr="http://schemas.openxmlformats.org/drawingml/2006/chartDrawing">
    <cdr:from>
      <cdr:x>0.48753</cdr:x>
      <cdr:y>0.02056</cdr:y>
    </cdr:from>
    <cdr:to>
      <cdr:x>0.67397</cdr:x>
      <cdr:y>0.09401</cdr:y>
    </cdr:to>
    <cdr:sp macro="" textlink="">
      <cdr:nvSpPr>
        <cdr:cNvPr id="5" name="CuadroTexto 4">
          <a:extLst xmlns:a="http://schemas.openxmlformats.org/drawingml/2006/main">
            <a:ext uri="{FF2B5EF4-FFF2-40B4-BE49-F238E27FC236}">
              <a16:creationId xmlns:a16="http://schemas.microsoft.com/office/drawing/2014/main" id="{2391EF14-921C-464E-AFC0-2DA19A1628A7}"/>
            </a:ext>
          </a:extLst>
        </cdr:cNvPr>
        <cdr:cNvSpPr txBox="1"/>
      </cdr:nvSpPr>
      <cdr:spPr>
        <a:xfrm xmlns:a="http://schemas.openxmlformats.org/drawingml/2006/main">
          <a:off x="4424642" y="97212"/>
          <a:ext cx="1692088"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b="1"/>
            <a:t>RQ2. Mining technique </a:t>
          </a:r>
        </a:p>
      </cdr:txBody>
    </cdr:sp>
  </cdr:relSizeAnchor>
  <cdr:relSizeAnchor xmlns:cdr="http://schemas.openxmlformats.org/drawingml/2006/chartDrawing">
    <cdr:from>
      <cdr:x>0.01548</cdr:x>
      <cdr:y>0.71496</cdr:y>
    </cdr:from>
    <cdr:to>
      <cdr:x>0.20192</cdr:x>
      <cdr:y>0.78842</cdr:y>
    </cdr:to>
    <cdr:sp macro="" textlink="">
      <cdr:nvSpPr>
        <cdr:cNvPr id="6" name="CuadroTexto 1">
          <a:extLst xmlns:a="http://schemas.openxmlformats.org/drawingml/2006/main">
            <a:ext uri="{FF2B5EF4-FFF2-40B4-BE49-F238E27FC236}">
              <a16:creationId xmlns:a16="http://schemas.microsoft.com/office/drawing/2014/main" id="{60285E55-5EC8-45BD-A5A9-515F52E7D44D}"/>
            </a:ext>
          </a:extLst>
        </cdr:cNvPr>
        <cdr:cNvSpPr txBox="1"/>
      </cdr:nvSpPr>
      <cdr:spPr>
        <a:xfrm xmlns:a="http://schemas.openxmlformats.org/drawingml/2006/main">
          <a:off x="140446" y="4059368"/>
          <a:ext cx="1692088" cy="41706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t>RQ1. Source IS artefacts</a:t>
          </a:r>
        </a:p>
      </cdr:txBody>
    </cdr:sp>
  </cdr:relSizeAnchor>
  <cdr:relSizeAnchor xmlns:cdr="http://schemas.openxmlformats.org/drawingml/2006/chartDrawing">
    <cdr:from>
      <cdr:x>0.80985</cdr:x>
      <cdr:y>0.71536</cdr:y>
    </cdr:from>
    <cdr:to>
      <cdr:x>0.9963</cdr:x>
      <cdr:y>0.78882</cdr:y>
    </cdr:to>
    <cdr:sp macro="" textlink="">
      <cdr:nvSpPr>
        <cdr:cNvPr id="7" name="CuadroTexto 1">
          <a:extLst xmlns:a="http://schemas.openxmlformats.org/drawingml/2006/main">
            <a:ext uri="{FF2B5EF4-FFF2-40B4-BE49-F238E27FC236}">
              <a16:creationId xmlns:a16="http://schemas.microsoft.com/office/drawing/2014/main" id="{D262B483-C9ED-4DFB-AB33-E5758866CBDF}"/>
            </a:ext>
          </a:extLst>
        </cdr:cNvPr>
        <cdr:cNvSpPr txBox="1"/>
      </cdr:nvSpPr>
      <cdr:spPr>
        <a:xfrm xmlns:a="http://schemas.openxmlformats.org/drawingml/2006/main">
          <a:off x="7349939" y="4061652"/>
          <a:ext cx="1692088" cy="41706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t>RQ3. EA concern</a:t>
          </a:r>
        </a:p>
      </cdr:txBody>
    </cdr:sp>
  </cdr:relSizeAnchor>
</c:userShapes>
</file>

<file path=xl/drawings/drawing2.xml><?xml version="1.0" encoding="utf-8"?>
<c:userShapes xmlns:c="http://schemas.openxmlformats.org/drawingml/2006/chart">
  <cdr:relSizeAnchor xmlns:cdr="http://schemas.openxmlformats.org/drawingml/2006/chartDrawing">
    <cdr:from>
      <cdr:x>0.5284</cdr:x>
      <cdr:y>0.14714</cdr:y>
    </cdr:from>
    <cdr:to>
      <cdr:x>0.5284</cdr:x>
      <cdr:y>0.8033</cdr:y>
    </cdr:to>
    <cdr:cxnSp macro="">
      <cdr:nvCxnSpPr>
        <cdr:cNvPr id="3" name="Conector recto de flecha 2">
          <a:extLst xmlns:a="http://schemas.openxmlformats.org/drawingml/2006/main">
            <a:ext uri="{FF2B5EF4-FFF2-40B4-BE49-F238E27FC236}">
              <a16:creationId xmlns:a16="http://schemas.microsoft.com/office/drawing/2014/main" id="{4699C2DE-0D60-4B4D-8100-4E40B2BE4204}"/>
            </a:ext>
          </a:extLst>
        </cdr:cNvPr>
        <cdr:cNvCxnSpPr/>
      </cdr:nvCxnSpPr>
      <cdr:spPr>
        <a:xfrm xmlns:a="http://schemas.openxmlformats.org/drawingml/2006/main">
          <a:off x="2989610" y="451275"/>
          <a:ext cx="0" cy="2012499"/>
        </a:xfrm>
        <a:prstGeom xmlns:a="http://schemas.openxmlformats.org/drawingml/2006/main" prst="straightConnector1">
          <a:avLst/>
        </a:prstGeom>
        <a:ln xmlns:a="http://schemas.openxmlformats.org/drawingml/2006/main" w="12700">
          <a:solidFill>
            <a:schemeClr val="bg1">
              <a:lumMod val="50000"/>
            </a:schemeClr>
          </a:solidFill>
          <a:prstDash val="dash"/>
          <a:headEnd type="none" w="med" len="med"/>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5</xdr:col>
      <xdr:colOff>14007</xdr:colOff>
      <xdr:row>10</xdr:row>
      <xdr:rowOff>72638</xdr:rowOff>
    </xdr:from>
    <xdr:to>
      <xdr:col>20</xdr:col>
      <xdr:colOff>133069</xdr:colOff>
      <xdr:row>51</xdr:row>
      <xdr:rowOff>173490</xdr:rowOff>
    </xdr:to>
    <mc:AlternateContent xmlns:mc="http://schemas.openxmlformats.org/markup-compatibility/2006">
      <mc:Choice xmlns:cx4="http://schemas.microsoft.com/office/drawing/2016/5/10/chartex" Requires="cx4">
        <xdr:graphicFrame macro="">
          <xdr:nvGraphicFramePr>
            <xdr:cNvPr id="2" name="Gráfico 1">
              <a:extLst>
                <a:ext uri="{FF2B5EF4-FFF2-40B4-BE49-F238E27FC236}">
                  <a16:creationId xmlns:a16="http://schemas.microsoft.com/office/drawing/2014/main" id="{C5FDF5C7-5A52-461B-A253-EFFB4947E51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3824007" y="1977638"/>
              <a:ext cx="11549062" cy="7911352"/>
            </a:xfrm>
            <a:prstGeom prst="rect">
              <a:avLst/>
            </a:prstGeom>
            <a:solidFill>
              <a:prstClr val="white"/>
            </a:solidFill>
            <a:ln w="1">
              <a:solidFill>
                <a:prstClr val="green"/>
              </a:solidFill>
            </a:ln>
          </xdr:spPr>
          <xdr:txBody>
            <a:bodyPr vertOverflow="clip" horzOverflow="clip"/>
            <a:lstStyle/>
            <a:p>
              <a:r>
                <a:rPr lang="en-GB"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11</xdr:col>
      <xdr:colOff>136752</xdr:colOff>
      <xdr:row>30</xdr:row>
      <xdr:rowOff>13606</xdr:rowOff>
    </xdr:from>
    <xdr:to>
      <xdr:col>17</xdr:col>
      <xdr:colOff>435430</xdr:colOff>
      <xdr:row>44</xdr:row>
      <xdr:rowOff>40821</xdr:rowOff>
    </xdr:to>
    <xdr:graphicFrame macro="">
      <xdr:nvGraphicFramePr>
        <xdr:cNvPr id="3" name="Gráfico 2">
          <a:extLst>
            <a:ext uri="{FF2B5EF4-FFF2-40B4-BE49-F238E27FC236}">
              <a16:creationId xmlns:a16="http://schemas.microsoft.com/office/drawing/2014/main" id="{7C23A85C-FF4D-4585-A277-E429F2C345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138112</xdr:colOff>
      <xdr:row>7</xdr:row>
      <xdr:rowOff>185737</xdr:rowOff>
    </xdr:from>
    <xdr:to>
      <xdr:col>12</xdr:col>
      <xdr:colOff>528637</xdr:colOff>
      <xdr:row>22</xdr:row>
      <xdr:rowOff>71437</xdr:rowOff>
    </xdr:to>
    <xdr:graphicFrame macro="">
      <xdr:nvGraphicFramePr>
        <xdr:cNvPr id="2" name="Gráfico 1">
          <a:extLst>
            <a:ext uri="{FF2B5EF4-FFF2-40B4-BE49-F238E27FC236}">
              <a16:creationId xmlns:a16="http://schemas.microsoft.com/office/drawing/2014/main" id="{A8C3EB47-37B1-4778-80F1-94EF3AD467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747712</xdr:colOff>
      <xdr:row>8</xdr:row>
      <xdr:rowOff>23812</xdr:rowOff>
    </xdr:from>
    <xdr:to>
      <xdr:col>18</xdr:col>
      <xdr:colOff>747712</xdr:colOff>
      <xdr:row>22</xdr:row>
      <xdr:rowOff>100012</xdr:rowOff>
    </xdr:to>
    <xdr:graphicFrame macro="">
      <xdr:nvGraphicFramePr>
        <xdr:cNvPr id="3" name="Gráfico 2">
          <a:extLst>
            <a:ext uri="{FF2B5EF4-FFF2-40B4-BE49-F238E27FC236}">
              <a16:creationId xmlns:a16="http://schemas.microsoft.com/office/drawing/2014/main" id="{BDA39334-76C5-41A0-94C9-2076398B51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619125</xdr:colOff>
      <xdr:row>29</xdr:row>
      <xdr:rowOff>185737</xdr:rowOff>
    </xdr:from>
    <xdr:to>
      <xdr:col>12</xdr:col>
      <xdr:colOff>409125</xdr:colOff>
      <xdr:row>42</xdr:row>
      <xdr:rowOff>138112</xdr:rowOff>
    </xdr:to>
    <xdr:graphicFrame macro="">
      <xdr:nvGraphicFramePr>
        <xdr:cNvPr id="8" name="Gráfico 7">
          <a:extLst>
            <a:ext uri="{FF2B5EF4-FFF2-40B4-BE49-F238E27FC236}">
              <a16:creationId xmlns:a16="http://schemas.microsoft.com/office/drawing/2014/main" id="{C612BCC3-CEBA-4285-8176-9C2BEF6422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xdr:colOff>
      <xdr:row>29</xdr:row>
      <xdr:rowOff>185737</xdr:rowOff>
    </xdr:from>
    <xdr:to>
      <xdr:col>7</xdr:col>
      <xdr:colOff>561525</xdr:colOff>
      <xdr:row>42</xdr:row>
      <xdr:rowOff>138112</xdr:rowOff>
    </xdr:to>
    <xdr:graphicFrame macro="">
      <xdr:nvGraphicFramePr>
        <xdr:cNvPr id="9" name="Gráfico 8">
          <a:extLst>
            <a:ext uri="{FF2B5EF4-FFF2-40B4-BE49-F238E27FC236}">
              <a16:creationId xmlns:a16="http://schemas.microsoft.com/office/drawing/2014/main" id="{D3AE3082-8E29-47A4-BC07-94BADEB2EA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457200</xdr:colOff>
      <xdr:row>17</xdr:row>
      <xdr:rowOff>47625</xdr:rowOff>
    </xdr:from>
    <xdr:to>
      <xdr:col>10</xdr:col>
      <xdr:colOff>247200</xdr:colOff>
      <xdr:row>30</xdr:row>
      <xdr:rowOff>0</xdr:rowOff>
    </xdr:to>
    <xdr:graphicFrame macro="">
      <xdr:nvGraphicFramePr>
        <xdr:cNvPr id="10" name="Gráfico 9">
          <a:extLst>
            <a:ext uri="{FF2B5EF4-FFF2-40B4-BE49-F238E27FC236}">
              <a16:creationId xmlns:a16="http://schemas.microsoft.com/office/drawing/2014/main" id="{75250773-4C60-4717-B89A-C20F87AC72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409574</xdr:colOff>
      <xdr:row>9</xdr:row>
      <xdr:rowOff>176212</xdr:rowOff>
    </xdr:from>
    <xdr:to>
      <xdr:col>11</xdr:col>
      <xdr:colOff>115574</xdr:colOff>
      <xdr:row>23</xdr:row>
      <xdr:rowOff>173212</xdr:rowOff>
    </xdr:to>
    <xdr:graphicFrame macro="">
      <xdr:nvGraphicFramePr>
        <xdr:cNvPr id="2" name="Gráfico 1">
          <a:extLst>
            <a:ext uri="{FF2B5EF4-FFF2-40B4-BE49-F238E27FC236}">
              <a16:creationId xmlns:a16="http://schemas.microsoft.com/office/drawing/2014/main" id="{9CCDCB59-D8C0-4517-81BB-AD9604C7EC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409574</xdr:colOff>
      <xdr:row>35</xdr:row>
      <xdr:rowOff>171449</xdr:rowOff>
    </xdr:from>
    <xdr:to>
      <xdr:col>11</xdr:col>
      <xdr:colOff>115574</xdr:colOff>
      <xdr:row>45</xdr:row>
      <xdr:rowOff>161924</xdr:rowOff>
    </xdr:to>
    <xdr:graphicFrame macro="">
      <xdr:nvGraphicFramePr>
        <xdr:cNvPr id="3" name="Gráfico 2">
          <a:extLst>
            <a:ext uri="{FF2B5EF4-FFF2-40B4-BE49-F238E27FC236}">
              <a16:creationId xmlns:a16="http://schemas.microsoft.com/office/drawing/2014/main" id="{5E31D6DC-4B90-437C-B5AD-3D618D7CB8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409574</xdr:colOff>
      <xdr:row>23</xdr:row>
      <xdr:rowOff>181331</xdr:rowOff>
    </xdr:from>
    <xdr:to>
      <xdr:col>11</xdr:col>
      <xdr:colOff>115574</xdr:colOff>
      <xdr:row>36</xdr:row>
      <xdr:rowOff>8831</xdr:rowOff>
    </xdr:to>
    <xdr:graphicFrame macro="">
      <xdr:nvGraphicFramePr>
        <xdr:cNvPr id="4" name="Gráfico 3">
          <a:extLst>
            <a:ext uri="{FF2B5EF4-FFF2-40B4-BE49-F238E27FC236}">
              <a16:creationId xmlns:a16="http://schemas.microsoft.com/office/drawing/2014/main" id="{CA2CABEC-8955-4D1E-958B-F90B77164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581025</xdr:colOff>
      <xdr:row>11</xdr:row>
      <xdr:rowOff>57150</xdr:rowOff>
    </xdr:from>
    <xdr:to>
      <xdr:col>12</xdr:col>
      <xdr:colOff>104775</xdr:colOff>
      <xdr:row>22</xdr:row>
      <xdr:rowOff>157650</xdr:rowOff>
    </xdr:to>
    <xdr:graphicFrame macro="">
      <xdr:nvGraphicFramePr>
        <xdr:cNvPr id="2" name="Gráfico 1">
          <a:extLst>
            <a:ext uri="{FF2B5EF4-FFF2-40B4-BE49-F238E27FC236}">
              <a16:creationId xmlns:a16="http://schemas.microsoft.com/office/drawing/2014/main" id="{BF8D8978-E919-4A14-9758-C76B5F52F6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66675</xdr:colOff>
      <xdr:row>7</xdr:row>
      <xdr:rowOff>123825</xdr:rowOff>
    </xdr:from>
    <xdr:to>
      <xdr:col>8</xdr:col>
      <xdr:colOff>534675</xdr:colOff>
      <xdr:row>19</xdr:row>
      <xdr:rowOff>33825</xdr:rowOff>
    </xdr:to>
    <xdr:graphicFrame macro="">
      <xdr:nvGraphicFramePr>
        <xdr:cNvPr id="2" name="Gráfico 1">
          <a:extLst>
            <a:ext uri="{FF2B5EF4-FFF2-40B4-BE49-F238E27FC236}">
              <a16:creationId xmlns:a16="http://schemas.microsoft.com/office/drawing/2014/main" id="{8F6640A1-0BF3-4B9C-80B4-44D642C12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9525</xdr:colOff>
      <xdr:row>6</xdr:row>
      <xdr:rowOff>114300</xdr:rowOff>
    </xdr:from>
    <xdr:to>
      <xdr:col>8</xdr:col>
      <xdr:colOff>552450</xdr:colOff>
      <xdr:row>17</xdr:row>
      <xdr:rowOff>138600</xdr:rowOff>
    </xdr:to>
    <xdr:graphicFrame macro="">
      <xdr:nvGraphicFramePr>
        <xdr:cNvPr id="2" name="Gráfico 1">
          <a:extLst>
            <a:ext uri="{FF2B5EF4-FFF2-40B4-BE49-F238E27FC236}">
              <a16:creationId xmlns:a16="http://schemas.microsoft.com/office/drawing/2014/main" id="{B3185BF4-04B9-425C-B64A-6F2CF470C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17</xdr:row>
      <xdr:rowOff>190499</xdr:rowOff>
    </xdr:from>
    <xdr:to>
      <xdr:col>8</xdr:col>
      <xdr:colOff>542925</xdr:colOff>
      <xdr:row>32</xdr:row>
      <xdr:rowOff>85725</xdr:rowOff>
    </xdr:to>
    <xdr:graphicFrame macro="">
      <xdr:nvGraphicFramePr>
        <xdr:cNvPr id="3" name="Gráfico 2">
          <a:extLst>
            <a:ext uri="{FF2B5EF4-FFF2-40B4-BE49-F238E27FC236}">
              <a16:creationId xmlns:a16="http://schemas.microsoft.com/office/drawing/2014/main" id="{6DBA01D7-79D0-49B3-BC5A-5531CABC43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connectionId="1" xr16:uid="{00000000-0016-0000-0000-000000000000}" autoFormatId="16" applyNumberFormats="0" applyBorderFormats="0" applyFontFormats="0" applyPatternFormats="0" applyAlignmentFormats="0" applyWidthHeightFormats="0">
  <queryTableRefresh nextId="27" unboundColumnsLeft="1" unboundColumnsRight="8">
    <queryTableFields count="18">
      <queryTableField id="15" dataBound="0" tableColumnId="6"/>
      <queryTableField id="4" name="Column4" tableColumnId="4"/>
      <queryTableField id="2" name="Column2" tableColumnId="2"/>
      <queryTableField id="3" name="Column3" tableColumnId="3"/>
      <queryTableField id="1" name="Column1" tableColumnId="1"/>
      <queryTableField id="5" name="Column5" tableColumnId="5"/>
      <queryTableField id="9" name="Column9" tableColumnId="9"/>
      <queryTableField id="11" name="Column11" tableColumnId="11"/>
      <queryTableField id="13" name="Column13" tableColumnId="13"/>
      <queryTableField id="14" name="Column14" tableColumnId="14"/>
      <queryTableField id="19" dataBound="0" tableColumnId="10"/>
      <queryTableField id="20" dataBound="0" tableColumnId="12"/>
      <queryTableField id="21" dataBound="0" tableColumnId="15"/>
      <queryTableField id="22" dataBound="0" tableColumnId="16"/>
      <queryTableField id="23" dataBound="0" tableColumnId="17"/>
      <queryTableField id="24" dataBound="0" tableColumnId="18"/>
      <queryTableField id="25" dataBound="0" tableColumnId="19"/>
      <queryTableField id="26" dataBound="0" tableColumnId="20"/>
    </queryTableFields>
    <queryTableDeletedFields count="5">
      <deletedField name="Column6"/>
      <deletedField name="Column7"/>
      <deletedField name="Column8"/>
      <deletedField name="Column10"/>
      <deletedField name="Column12"/>
    </queryTableDeleted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tosExternos_1" connectionId="3" xr16:uid="{00000000-0016-0000-0100-000001000000}" autoFormatId="16" applyNumberFormats="0" applyBorderFormats="0" applyFontFormats="0" applyPatternFormats="0" applyAlignmentFormats="0" applyWidthHeightFormats="0">
  <queryTableRefresh nextId="42" unboundColumnsLeft="2" unboundColumnsRight="16">
    <queryTableFields count="32">
      <queryTableField id="19" dataBound="0" tableColumnId="16"/>
      <queryTableField id="41" dataBound="0" tableColumnId="15"/>
      <queryTableField id="4" name="Column4" tableColumnId="4"/>
      <queryTableField id="2" name="Column2" tableColumnId="2"/>
      <queryTableField id="3" name="Column3" tableColumnId="3"/>
      <queryTableField id="1" name="Column1" tableColumnId="1"/>
      <queryTableField id="12" name="Column12" tableColumnId="12"/>
      <queryTableField id="5" name="Column5" tableColumnId="5"/>
      <queryTableField id="6" name="Column6" tableColumnId="6"/>
      <queryTableField id="7" name="Column7" tableColumnId="7"/>
      <queryTableField id="8" name="Column8" tableColumnId="8"/>
      <queryTableField id="9" name="Column9" tableColumnId="9"/>
      <queryTableField id="10" name="Column10" tableColumnId="10"/>
      <queryTableField id="11" name="Column11" tableColumnId="11"/>
      <queryTableField id="13" name="Column13" tableColumnId="13"/>
      <queryTableField id="14" name="Column14" tableColumnId="14"/>
      <queryTableField id="20" dataBound="0" tableColumnId="17"/>
      <queryTableField id="22" dataBound="0" tableColumnId="19"/>
      <queryTableField id="38" dataBound="0" tableColumnId="33"/>
      <queryTableField id="24" dataBound="0" tableColumnId="21"/>
      <queryTableField id="26" dataBound="0" tableColumnId="23"/>
      <queryTableField id="25" dataBound="0" tableColumnId="22"/>
      <queryTableField id="27" dataBound="0" tableColumnId="24"/>
      <queryTableField id="29" dataBound="0" tableColumnId="26"/>
      <queryTableField id="39" dataBound="0" tableColumnId="34"/>
      <queryTableField id="40" dataBound="0" tableColumnId="35"/>
      <queryTableField id="37" dataBound="0" tableColumnId="32"/>
      <queryTableField id="32" dataBound="0" tableColumnId="27"/>
      <queryTableField id="33" dataBound="0" tableColumnId="28"/>
      <queryTableField id="34" dataBound="0" tableColumnId="29"/>
      <queryTableField id="35" dataBound="0" tableColumnId="30"/>
      <queryTableField id="36" dataBound="0" tableColumnId="3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ll" displayName="all" ref="A2:R238" tableType="queryTable" totalsRowShown="0">
  <autoFilter ref="A2:R238" xr:uid="{00000000-0009-0000-0100-000001000000}">
    <filterColumn colId="3">
      <filters>
        <filter val="2018"/>
      </filters>
    </filterColumn>
  </autoFilter>
  <sortState xmlns:xlrd2="http://schemas.microsoft.com/office/spreadsheetml/2017/richdata2" ref="A158:R238">
    <sortCondition ref="B2:B238"/>
  </sortState>
  <tableColumns count="18">
    <tableColumn id="6" xr3:uid="{00000000-0010-0000-0000-000006000000}" uniqueName="6" name="Id" queryTableFieldId="15" dataDxfId="130"/>
    <tableColumn id="4" xr3:uid="{00000000-0010-0000-0000-000004000000}" uniqueName="4" name="Title" queryTableFieldId="4" dataDxfId="129"/>
    <tableColumn id="2" xr3:uid="{00000000-0010-0000-0000-000002000000}" uniqueName="2" name="Author" queryTableFieldId="2" dataDxfId="128"/>
    <tableColumn id="3" xr3:uid="{00000000-0010-0000-0000-000003000000}" uniqueName="3" name="Year" queryTableFieldId="3"/>
    <tableColumn id="1" xr3:uid="{00000000-0010-0000-0000-000001000000}" uniqueName="1" name="Type" queryTableFieldId="1" dataDxfId="127"/>
    <tableColumn id="5" xr3:uid="{00000000-0010-0000-0000-000005000000}" uniqueName="5" name="Confrence/Journal" queryTableFieldId="5" dataDxfId="126"/>
    <tableColumn id="9" xr3:uid="{00000000-0010-0000-0000-000009000000}" uniqueName="9" name="Publisher" queryTableFieldId="9" dataDxfId="125"/>
    <tableColumn id="11" xr3:uid="{00000000-0010-0000-0000-00000B000000}" uniqueName="11" name="Link" queryTableFieldId="11" dataDxfId="124"/>
    <tableColumn id="13" xr3:uid="{00000000-0010-0000-0000-00000D000000}" uniqueName="13" name="keywords" queryTableFieldId="13" dataDxfId="123"/>
    <tableColumn id="14" xr3:uid="{00000000-0010-0000-0000-00000E000000}" uniqueName="14" name="Abstract" queryTableFieldId="14" dataDxfId="122"/>
    <tableColumn id="10" xr3:uid="{00000000-0010-0000-0000-00000A000000}" uniqueName="10" name="I-A1" queryTableFieldId="19" dataDxfId="121"/>
    <tableColumn id="12" xr3:uid="{00000000-0010-0000-0000-00000C000000}" uniqueName="12" name="E-A1" queryTableFieldId="20" dataDxfId="120"/>
    <tableColumn id="15" xr3:uid="{00000000-0010-0000-0000-00000F000000}" uniqueName="15" name="I-A2" queryTableFieldId="21" dataDxfId="119"/>
    <tableColumn id="16" xr3:uid="{00000000-0010-0000-0000-000010000000}" uniqueName="16" name="E-A2" queryTableFieldId="22" dataDxfId="118"/>
    <tableColumn id="17" xr3:uid="{00000000-0010-0000-0000-000011000000}" uniqueName="17" name="Input" queryTableFieldId="23" dataDxfId="117"/>
    <tableColumn id="18" xr3:uid="{00000000-0010-0000-0000-000012000000}" uniqueName="18" name="Output" queryTableFieldId="24" dataDxfId="116"/>
    <tableColumn id="19" xr3:uid="{00000000-0010-0000-0000-000013000000}" uniqueName="19" name="Process" queryTableFieldId="25" dataDxfId="115"/>
    <tableColumn id="20" xr3:uid="{00000000-0010-0000-0000-000014000000}" uniqueName="20" name="Proposal" queryTableFieldId="26" dataDxfId="114"/>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SMS" displayName="SMS" ref="A1:AF731" tableType="queryTable" totalsRowShown="0">
  <autoFilter ref="A1:AF731" xr:uid="{00000000-0009-0000-0100-000003000000}">
    <filterColumn colId="1">
      <customFilters>
        <customFilter operator="notEqual" val=" "/>
      </customFilters>
    </filterColumn>
    <filterColumn colId="16">
      <filters>
        <filter val="0"/>
        <filter val="1"/>
      </filters>
    </filterColumn>
  </autoFilter>
  <sortState xmlns:xlrd2="http://schemas.microsoft.com/office/spreadsheetml/2017/richdata2" ref="A2:AF650">
    <sortCondition ref="C1:C650"/>
  </sortState>
  <tableColumns count="32">
    <tableColumn id="16" xr3:uid="{00000000-0010-0000-0100-000010000000}" uniqueName="16" name="Id" queryTableFieldId="19" dataDxfId="113"/>
    <tableColumn id="15" xr3:uid="{00000000-0010-0000-0100-00000F000000}" uniqueName="15" name="Columna1" queryTableFieldId="41" dataDxfId="112"/>
    <tableColumn id="4" xr3:uid="{00000000-0010-0000-0100-000004000000}" uniqueName="4" name="Title" queryTableFieldId="4" dataDxfId="111"/>
    <tableColumn id="2" xr3:uid="{00000000-0010-0000-0100-000002000000}" uniqueName="2" name="Author" queryTableFieldId="2" dataDxfId="110"/>
    <tableColumn id="3" xr3:uid="{00000000-0010-0000-0100-000003000000}" uniqueName="3" name="Year" queryTableFieldId="3" dataDxfId="109"/>
    <tableColumn id="1" xr3:uid="{00000000-0010-0000-0100-000001000000}" uniqueName="1" name="Reference Type" queryTableFieldId="1" dataDxfId="108"/>
    <tableColumn id="12" xr3:uid="{00000000-0010-0000-0100-00000C000000}" uniqueName="12" name="DOI" queryTableFieldId="12" dataDxfId="107"/>
    <tableColumn id="5" xr3:uid="{00000000-0010-0000-0100-000005000000}" uniqueName="5" name="Secondary Title" queryTableFieldId="5" dataDxfId="106"/>
    <tableColumn id="6" xr3:uid="{00000000-0010-0000-0100-000006000000}" uniqueName="6" name="Volume" queryTableFieldId="6" dataDxfId="105"/>
    <tableColumn id="7" xr3:uid="{00000000-0010-0000-0100-000007000000}" uniqueName="7" name="Number" queryTableFieldId="7" dataDxfId="104"/>
    <tableColumn id="8" xr3:uid="{00000000-0010-0000-0100-000008000000}" uniqueName="8" name="Pages" queryTableFieldId="8" dataDxfId="103"/>
    <tableColumn id="9" xr3:uid="{00000000-0010-0000-0100-000009000000}" uniqueName="9" name="Publisher" queryTableFieldId="9" dataDxfId="102"/>
    <tableColumn id="10" xr3:uid="{00000000-0010-0000-0100-00000A000000}" uniqueName="10" name="Place Published" queryTableFieldId="10" dataDxfId="101"/>
    <tableColumn id="11" xr3:uid="{00000000-0010-0000-0100-00000B000000}" uniqueName="11" name="URL" queryTableFieldId="11" dataDxfId="100"/>
    <tableColumn id="13" xr3:uid="{00000000-0010-0000-0100-00000D000000}" uniqueName="13" name="Keywords" queryTableFieldId="13" dataDxfId="99"/>
    <tableColumn id="14" xr3:uid="{00000000-0010-0000-0100-00000E000000}" uniqueName="14" name="Abstract" queryTableFieldId="14" dataDxfId="98"/>
    <tableColumn id="17" xr3:uid="{00000000-0010-0000-0100-000011000000}" uniqueName="17" name="I-A1" queryTableFieldId="20" dataDxfId="97"/>
    <tableColumn id="19" xr3:uid="{00000000-0010-0000-0100-000013000000}" uniqueName="19" name="I-A2" queryTableFieldId="22" dataDxfId="96"/>
    <tableColumn id="33" xr3:uid="{00000000-0010-0000-0100-000021000000}" uniqueName="33" name="Score" queryTableFieldId="38" dataDxfId="95"/>
    <tableColumn id="21" xr3:uid="{00000000-0010-0000-0100-000015000000}" uniqueName="21" name="Source IS artifacts" queryTableFieldId="24" dataDxfId="94"/>
    <tableColumn id="23" xr3:uid="{00000000-0010-0000-0100-000017000000}" uniqueName="23" name="Mining techniques" queryTableFieldId="26" dataDxfId="93"/>
    <tableColumn id="22" xr3:uid="{00000000-0010-0000-0100-000016000000}" uniqueName="22" name="EA concern" queryTableFieldId="25" dataDxfId="92"/>
    <tableColumn id="24" xr3:uid="{00000000-0010-0000-0100-000018000000}" uniqueName="24" name="Type of Research" queryTableFieldId="27" dataDxfId="91"/>
    <tableColumn id="26" xr3:uid="{00000000-0010-0000-0100-00001A000000}" uniqueName="26" name="Type of Publication" queryTableFieldId="29" dataDxfId="90"/>
    <tableColumn id="34" xr3:uid="{00000000-0010-0000-0100-000022000000}" uniqueName="34" name="Framework/Methodology" queryTableFieldId="39" dataDxfId="89"/>
    <tableColumn id="35" xr3:uid="{00000000-0010-0000-0100-000023000000}" uniqueName="35" name="Language" queryTableFieldId="40" dataDxfId="88"/>
    <tableColumn id="32" xr3:uid="{00000000-0010-0000-0100-000020000000}" uniqueName="32" name="Aplication" queryTableFieldId="37" dataDxfId="87"/>
    <tableColumn id="27" xr3:uid="{00000000-0010-0000-0100-00001B000000}" uniqueName="27" name="SysMeth" queryTableFieldId="32" dataDxfId="86"/>
    <tableColumn id="28" xr3:uid="{00000000-0010-0000-0100-00001C000000}" uniqueName="28" name="tool" queryTableFieldId="33" dataDxfId="85"/>
    <tableColumn id="29" xr3:uid="{00000000-0010-0000-0100-00001D000000}" uniqueName="29" name="empirical" queryTableFieldId="34" dataDxfId="84"/>
    <tableColumn id="30" xr3:uid="{00000000-0010-0000-0100-00001E000000}" uniqueName="30" name="replicated" queryTableFieldId="35" dataDxfId="83"/>
    <tableColumn id="31" xr3:uid="{00000000-0010-0000-0100-00001F000000}" uniqueName="31" name="EV5" queryTableFieldId="36" dataDxfId="82"/>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Tabla7" displayName="Tabla7" ref="A2:BW47" totalsRowShown="0" headerRowDxfId="81" dataDxfId="79" headerRowBorderDxfId="80" tableBorderDxfId="78" totalsRowBorderDxfId="77">
  <autoFilter ref="A2:BW47" xr:uid="{00000000-0009-0000-0100-000007000000}"/>
  <sortState xmlns:xlrd2="http://schemas.microsoft.com/office/spreadsheetml/2017/richdata2" ref="A3:BW11">
    <sortCondition descending="1" ref="N2:N47"/>
  </sortState>
  <tableColumns count="75">
    <tableColumn id="24" xr3:uid="{00000000-0010-0000-0200-000018000000}" name="Global Id" dataDxfId="76"/>
    <tableColumn id="1" xr3:uid="{00000000-0010-0000-0200-000001000000}" name="ID" dataDxfId="75"/>
    <tableColumn id="2" xr3:uid="{00000000-0010-0000-0200-000002000000}" name="Title" dataDxfId="74"/>
    <tableColumn id="3" xr3:uid="{00000000-0010-0000-0200-000003000000}" name="Author" dataDxfId="73"/>
    <tableColumn id="4" xr3:uid="{00000000-0010-0000-0200-000004000000}" name="Year" dataDxfId="72"/>
    <tableColumn id="42" xr3:uid="{00000000-0010-0000-0200-00002A000000}" name="ERA" dataDxfId="71"/>
    <tableColumn id="49" xr3:uid="{00000000-0010-0000-0200-000031000000}" name="QUALIS" dataDxfId="70"/>
    <tableColumn id="72" xr3:uid="{00000000-0010-0000-0200-000048000000}" name="JCR" dataDxfId="69"/>
    <tableColumn id="73" xr3:uid="{00000000-0010-0000-0200-000049000000}" name="Q-JCR" dataDxfId="68"/>
    <tableColumn id="5" xr3:uid="{00000000-0010-0000-0200-000005000000}" name="Reference Type" dataDxfId="67"/>
    <tableColumn id="6" xr3:uid="{00000000-0010-0000-0200-000006000000}" name="DOI" dataDxfId="66"/>
    <tableColumn id="7" xr3:uid="{00000000-0010-0000-0200-000007000000}" name="Abstract" dataDxfId="65"/>
    <tableColumn id="10" xr3:uid="{00000000-0010-0000-0200-00000A000000}" name="Score" dataDxfId="64"/>
    <tableColumn id="11" xr3:uid="{00000000-0010-0000-0200-00000B000000}" name="cited by (*Scopus)" dataDxfId="1"/>
    <tableColumn id="12" xr3:uid="{00000000-0010-0000-0200-00000C000000}" name="Source IS artifacts" dataDxfId="0"/>
    <tableColumn id="13" xr3:uid="{00000000-0010-0000-0200-00000D000000}" name="Mining techniques" dataDxfId="63"/>
    <tableColumn id="14" xr3:uid="{00000000-0010-0000-0200-00000E000000}" name="EA concern" dataDxfId="62"/>
    <tableColumn id="15" xr3:uid="{00000000-0010-0000-0200-00000F000000}" name="Type of Research" dataDxfId="61"/>
    <tableColumn id="16" xr3:uid="{00000000-0010-0000-0200-000010000000}" name="Type of Publication" dataDxfId="60"/>
    <tableColumn id="17" xr3:uid="{00000000-0010-0000-0200-000011000000}" name="Framework/Methodology" dataDxfId="59"/>
    <tableColumn id="18" xr3:uid="{00000000-0010-0000-0200-000012000000}" name="Language" dataDxfId="58"/>
    <tableColumn id="19" xr3:uid="{00000000-0010-0000-0200-000013000000}" name="Application" dataDxfId="57"/>
    <tableColumn id="20" xr3:uid="{00000000-0010-0000-0200-000014000000}" name="SysMeth" dataDxfId="56"/>
    <tableColumn id="21" xr3:uid="{00000000-0010-0000-0200-000015000000}" name="tool" dataDxfId="55"/>
    <tableColumn id="22" xr3:uid="{00000000-0010-0000-0200-000016000000}" name="empirical" dataDxfId="54"/>
    <tableColumn id="23" xr3:uid="{00000000-0010-0000-0200-000017000000}" name="replicated" dataDxfId="53"/>
    <tableColumn id="74" xr3:uid="{00000000-0010-0000-0200-00004A000000}" name="Relevance of Conference/Journal" dataDxfId="52">
      <calculatedColumnFormula>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calculatedColumnFormula>
    </tableColumn>
    <tableColumn id="75" xr3:uid="{00000000-0010-0000-0200-00004B000000}" name="Q-cited" dataDxfId="51"/>
    <tableColumn id="76" xr3:uid="{00000000-0010-0000-0200-00004C000000}" name="Industry / Academia" dataDxfId="50"/>
    <tableColumn id="25" xr3:uid="{00000000-0010-0000-0200-000019000000}" name="Database" dataDxfId="49">
      <calculatedColumnFormula>IF(OR(ISNUMBER(SEARCH('Source Artifacts'!$F$3,Tabla7[[#This Row],[Source IS artifacts]])),ISNUMBER(SEARCH('Source Artifacts'!$F$4,Tabla7[[#This Row],[Source IS artifacts]]))),"X","")</calculatedColumnFormula>
    </tableColumn>
    <tableColumn id="26" xr3:uid="{00000000-0010-0000-0200-00001A000000}" name="expert's knowledge" dataDxfId="48">
      <calculatedColumnFormula>IF(OR(ISNUMBER(SEARCH('Source Artifacts'!$L$3,Tabla7[[#This Row],[Source IS artifacts]])),ISNUMBER(SEARCH('Source Artifacts'!$L$4,Tabla7[[#This Row],[Source IS artifacts]])),ISNUMBER(SEARCH('Source Artifacts'!$L$5,Tabla7[[#This Row],[Source IS artifacts]]))),"X","")</calculatedColumnFormula>
    </tableColumn>
    <tableColumn id="27" xr3:uid="{00000000-0010-0000-0200-00001B000000}" name="EA Models" dataDxfId="47">
      <calculatedColumnFormula>IF(OR(ISNUMBER(SEARCH('Source Artifacts'!$I$3,Tabla7[[#This Row],[Source IS artifacts]])),ISNUMBER(SEARCH('Source Artifacts'!$I$4,Tabla7[[#This Row],[Source IS artifacts]])),ISNUMBER(SEARCH('Source Artifacts'!$I$5,Tabla7[[#This Row],[Source IS artifacts]]))),"X","")</calculatedColumnFormula>
    </tableColumn>
    <tableColumn id="28" xr3:uid="{00000000-0010-0000-0200-00001C000000}" name="services / ESB" dataDxfId="46">
      <calculatedColumnFormula>IF(OR(ISNUMBER(SEARCH('Source Artifacts'!$E$3,Tabla7[[#This Row],[Source IS artifacts]])),ISNUMBER(SEARCH('Source Artifacts'!$E$4,Tabla7[[#This Row],[Source IS artifacts]])),ISNUMBER(SEARCH('Source Artifacts'!$E$5,Tabla7[[#This Row],[Source IS artifacts]])),ISNUMBER(SEARCH('Source Artifacts'!$E$6,Tabla7[[#This Row],[Source IS artifacts]]))),"X","")</calculatedColumnFormula>
    </tableColumn>
    <tableColumn id="29" xr3:uid="{00000000-0010-0000-0200-00001D000000}" name="IT knowledge and operational data" dataDxfId="45">
      <calculatedColumnFormula>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calculatedColumnFormula>
    </tableColumn>
    <tableColumn id="30" xr3:uid="{00000000-0010-0000-0200-00001E000000}" name="application info" dataDxfId="44">
      <calculatedColumnFormula>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calculatedColumnFormula>
    </tableColumn>
    <tableColumn id="31" xr3:uid="{00000000-0010-0000-0200-00001F000000}" name="business knowledge / requirements" dataDxfId="43">
      <calculatedColumnFormula>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calculatedColumnFormula>
    </tableColumn>
    <tableColumn id="32" xr3:uid="{00000000-0010-0000-0200-000020000000}" name="process logs" dataDxfId="42">
      <calculatedColumnFormula>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calculatedColumnFormula>
    </tableColumn>
    <tableColumn id="33" xr3:uid="{00000000-0010-0000-0200-000021000000}" name="Social Media" dataDxfId="41">
      <calculatedColumnFormula>IF(OR(ISNUMBER(SEARCH('Source Artifacts'!$D$3,Tabla7[[#This Row],[Source IS artifacts]]))),"X","")</calculatedColumnFormula>
    </tableColumn>
    <tableColumn id="34" xr3:uid="{00000000-0010-0000-0200-000022000000}" name="expert interview / serious game" dataDxfId="40">
      <calculatedColumnFormula>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calculatedColumnFormula>
    </tableColumn>
    <tableColumn id="35" xr3:uid="{00000000-0010-0000-0200-000023000000}" name="Data collection/Data mapping" dataDxfId="39">
      <calculatedColumnFormula>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calculatedColumnFormula>
    </tableColumn>
    <tableColumn id="36" xr3:uid="{00000000-0010-0000-0200-000024000000}" name="process mining" dataDxfId="38">
      <calculatedColumnFormula>IF(OR(ISNUMBER(SEARCH(Techniques!$H$3,Tabla7[[#This Row],[Mining techniques]])),ISNUMBER(SEARCH(Techniques!$H$4,Tabla7[[#This Row],[Mining techniques]]))),"X","")</calculatedColumnFormula>
    </tableColumn>
    <tableColumn id="37" xr3:uid="{00000000-0010-0000-0200-000025000000}" name="MDE / Model transformations" dataDxfId="37">
      <calculatedColumnFormula>IF(OR(ISNUMBER(SEARCH(Techniques!$J$3,Tabla7[[#This Row],[Mining techniques]]))),"X","")</calculatedColumnFormula>
    </tableColumn>
    <tableColumn id="38" xr3:uid="{00000000-0010-0000-0200-000026000000}" name="EA Model annotations" dataDxfId="36">
      <calculatedColumnFormula>IF(OR(ISNUMBER(SEARCH(Techniques!$G$3,Tabla7[[#This Row],[Mining techniques]])),ISNUMBER(SEARCH(Techniques!$G$4,Tabla7[[#This Row],[Mining techniques]]))),"X","")</calculatedColumnFormula>
    </tableColumn>
    <tableColumn id="39" xr3:uid="{00000000-0010-0000-0200-000027000000}" name="social network analaysis" dataDxfId="35">
      <calculatedColumnFormula>IF(OR(ISNUMBER(SEARCH(Techniques!$F$3,Tabla7[[#This Row],[Mining techniques]])),ISNUMBER(SEARCH(Techniques!$F$4,Tabla7[[#This Row],[Mining techniques]]))),"X","")</calculatedColumnFormula>
    </tableColumn>
    <tableColumn id="40" xr3:uid="{00000000-0010-0000-0200-000028000000}" name="business intelligence /pattern matching" dataDxfId="34">
      <calculatedColumnFormula>IF(OR(ISNUMBER(SEARCH(Techniques!$D$3,Tabla7[[#This Row],[Mining techniques]])),ISNUMBER(SEARCH(Techniques!$D$4,Tabla7[[#This Row],[Mining techniques]]))),"X","")</calculatedColumnFormula>
    </tableColumn>
    <tableColumn id="41" xr3:uid="{00000000-0010-0000-0200-000029000000}" name="Runtime/Temporal Analysis" dataDxfId="33">
      <calculatedColumnFormula>IF(OR(ISNUMBER(SEARCH(Techniques!$E$3,Tabla7[[#This Row],[Mining techniques]])),ISNUMBER(SEARCH(Techniques!$E$4,Tabla7[[#This Row],[Mining techniques]]))),"X","")</calculatedColumnFormula>
    </tableColumn>
    <tableColumn id="43" xr3:uid="{00000000-0010-0000-0200-00002B000000}" name="Holistic" dataDxfId="32">
      <calculatedColumnFormula>IF(OR(ISNUMBER(SEARCH('EA Concern'!$I$3,Tabla7[[#This Row],[EA concern]]))),"X","")</calculatedColumnFormula>
    </tableColumn>
    <tableColumn id="44" xr3:uid="{00000000-0010-0000-0200-00002C000000}" name="Process" dataDxfId="31">
      <calculatedColumnFormula>IF(OR(ISNUMBER(SEARCH('EA Concern'!$G$3,Tabla7[[#This Row],[EA concern]])),ISNUMBER(SEARCH('EA Concern'!$G$4,Tabla7[[#This Row],[EA concern]]))),"X","")</calculatedColumnFormula>
    </tableColumn>
    <tableColumn id="45" xr3:uid="{00000000-0010-0000-0200-00002D000000}" name="Service" dataDxfId="30">
      <calculatedColumnFormula>IF(OR(ISNUMBER(SEARCH('EA Concern'!$E$3,Tabla7[[#This Row],[EA concern]]))),"X","")</calculatedColumnFormula>
    </tableColumn>
    <tableColumn id="46" xr3:uid="{00000000-0010-0000-0200-00002E000000}" name="Application concern" dataDxfId="29">
      <calculatedColumnFormula>IF(OR(ISNUMBER(SEARCH('EA Concern'!$H$3,Tabla7[[#This Row],[EA concern]])),ISNUMBER(SEARCH('EA Concern'!$H$4,Tabla7[[#This Row],[EA concern]]))),"X","")</calculatedColumnFormula>
    </tableColumn>
    <tableColumn id="47" xr3:uid="{00000000-0010-0000-0200-00002F000000}" name="IT Infrastructure" dataDxfId="28">
      <calculatedColumnFormula>IF(OR(ISNUMBER(SEARCH('EA Concern'!$F$3,Tabla7[[#This Row],[EA concern]])),ISNUMBER(SEARCH('EA Concern'!$F$4,Tabla7[[#This Row],[EA concern]]))),"X","")</calculatedColumnFormula>
    </tableColumn>
    <tableColumn id="48" xr3:uid="{00000000-0010-0000-0200-000030000000}" name="Business" dataDxfId="27">
      <calculatedColumnFormula>IF(OR(ISNUMBER(SEARCH('EA Concern'!$D$3,Tabla7[[#This Row],[EA concern]])),ISNUMBER(SEARCH('EA Concern'!$D$4,Tabla7[[#This Row],[EA concern]]))),"X","")</calculatedColumnFormula>
    </tableColumn>
    <tableColumn id="50" xr3:uid="{00000000-0010-0000-0200-000032000000}" name="Agnostic" dataDxfId="26">
      <calculatedColumnFormula>IF(OR(ISNUMBER(SEARCH('EA Framework'!$J$3,Tabla7[[#This Row],[Framework/Methodology]])),ISNUMBER(SEARCH('EA Framework'!$J$4,Tabla7[[#This Row],[Framework/Methodology]]))),"X","")</calculatedColumnFormula>
    </tableColumn>
    <tableColumn id="51" xr3:uid="{00000000-0010-0000-0200-000033000000}" name="TOGAF" dataDxfId="25">
      <calculatedColumnFormula>IF(OR(ISNUMBER(SEARCH('EA Framework'!$I$3,Tabla7[[#This Row],[Framework/Methodology]]))),"X","")</calculatedColumnFormula>
    </tableColumn>
    <tableColumn id="52" xr3:uid="{00000000-0010-0000-0200-000034000000}" name="Zachman" dataDxfId="24">
      <calculatedColumnFormula>IF(OR(ISNUMBER(SEARCH('EA Framework'!$F$3,Tabla7[[#This Row],[Framework/Methodology]]))),"X","")</calculatedColumnFormula>
    </tableColumn>
    <tableColumn id="53" xr3:uid="{00000000-0010-0000-0200-000035000000}" name="ESARC" dataDxfId="23">
      <calculatedColumnFormula>IF(OR(ISNUMBER(SEARCH('EA Framework'!$H$3,Tabla7[[#This Row],[Framework/Methodology]]))),"X","")</calculatedColumnFormula>
    </tableColumn>
    <tableColumn id="54" xr3:uid="{00000000-0010-0000-0200-000036000000}" name="ISO 42010" dataDxfId="22">
      <calculatedColumnFormula>IF(OR(ISNUMBER(SEARCH('EA Framework'!$E$3,Tabla7[[#This Row],[Framework/Methodology]]))),"X","")</calculatedColumnFormula>
    </tableColumn>
    <tableColumn id="55" xr3:uid="{00000000-0010-0000-0200-000037000000}" name="DoDAF" dataDxfId="21">
      <calculatedColumnFormula>IF(OR(ISNUMBER(SEARCH('EA Framework'!$G$3,Tabla7[[#This Row],[Framework/Methodology]]))),"X","")</calculatedColumnFormula>
    </tableColumn>
    <tableColumn id="56" xr3:uid="{00000000-0010-0000-0200-000038000000}" name="MODAF" dataDxfId="20">
      <calculatedColumnFormula>IF(OR(ISNUMBER(SEARCH('EA Framework'!$D$3,Tabla7[[#This Row],[Framework/Methodology]]))),"X","")</calculatedColumnFormula>
    </tableColumn>
    <tableColumn id="57" xr3:uid="{00000000-0010-0000-0200-000039000000}" name="ArchiMate" dataDxfId="19">
      <calculatedColumnFormula>IF(OR(ISNUMBER(SEARCH('Modelling Language'!$M$3,Tabla7[[#This Row],[Language]])),ISNUMBER(SEARCH('Modelling Language'!$M$4,Tabla7[[#This Row],[Language]])),ISNUMBER(SEARCH('Modelling Language'!$M$5,Tabla7[[#This Row],[Language]]))),"X","")</calculatedColumnFormula>
    </tableColumn>
    <tableColumn id="58" xr3:uid="{00000000-0010-0000-0200-00003A000000}" name="MOF" dataDxfId="18">
      <calculatedColumnFormula>IF(OR(ISNUMBER(SEARCH('Modelling Language'!$J$3,Tabla7[[#This Row],[Language]])),ISNUMBER(SEARCH('Modelling Language'!$J$4,Tabla7[[#This Row],[Language]]))),"X","")</calculatedColumnFormula>
    </tableColumn>
    <tableColumn id="59" xr3:uid="{00000000-0010-0000-0200-00003B000000}" name="UML/OCL" dataDxfId="17">
      <calculatedColumnFormula>IF(OR(ISNUMBER(SEARCH('Modelling Language'!$L$3,Tabla7[[#This Row],[Language]])),ISNUMBER(SEARCH('Modelling Language'!$L$4,Tabla7[[#This Row],[Language]]))),"X","")</calculatedColumnFormula>
    </tableColumn>
    <tableColumn id="60" xr3:uid="{00000000-0010-0000-0200-00003C000000}" name="OWL/Sparql" dataDxfId="16">
      <calculatedColumnFormula>IF(OR(ISNUMBER(SEARCH('Modelling Language'!$K$3,Tabla7[[#This Row],[Language]])),ISNUMBER(SEARCH('Modelling Language'!$K$4,Tabla7[[#This Row],[Language]]))),"X","")</calculatedColumnFormula>
    </tableColumn>
    <tableColumn id="61" xr3:uid="{00000000-0010-0000-0200-00003D000000}" name="PetriNet" dataDxfId="15">
      <calculatedColumnFormula>IF(OR(ISNUMBER(SEARCH('Modelling Language'!$D$3,Tabla7[[#This Row],[Language]]))),"X","")</calculatedColumnFormula>
    </tableColumn>
    <tableColumn id="62" xr3:uid="{00000000-0010-0000-0200-00003E000000}" name="BPMN" dataDxfId="14">
      <calculatedColumnFormula>IF(OR(ISNUMBER(SEARCH('Modelling Language'!$I$3,Tabla7[[#This Row],[Language]]))),"X","")</calculatedColumnFormula>
    </tableColumn>
    <tableColumn id="63" xr3:uid="{00000000-0010-0000-0200-00003F000000}" name="SPEM" dataDxfId="13">
      <calculatedColumnFormula>IF(OR(ISNUMBER(SEARCH('Modelling Language'!$G$3,Tabla7[[#This Row],[Language]]))),"X","")</calculatedColumnFormula>
    </tableColumn>
    <tableColumn id="64" xr3:uid="{00000000-0010-0000-0200-000040000000}" name="SysML" dataDxfId="12">
      <calculatedColumnFormula>IF(OR(ISNUMBER(SEARCH('Modelling Language'!$F$3,Tabla7[[#This Row],[Language]]))),"X","")</calculatedColumnFormula>
    </tableColumn>
    <tableColumn id="65" xr3:uid="{00000000-0010-0000-0200-000041000000}" name="SoaML" dataDxfId="11">
      <calculatedColumnFormula>IF(OR(ISNUMBER(SEARCH('Modelling Language'!$E$3,Tabla7[[#This Row],[Language]]))),"X","")</calculatedColumnFormula>
    </tableColumn>
    <tableColumn id="66" xr3:uid="{00000000-0010-0000-0200-000042000000}" name="XML" dataDxfId="10">
      <calculatedColumnFormula>IF(OR(ISNUMBER(SEARCH('Modelling Language'!$H$3,Tabla7[[#This Row],[Language]]))),"X","")</calculatedColumnFormula>
    </tableColumn>
    <tableColumn id="77" xr3:uid="{9CABCC6D-FE91-48B1-B03A-AE589156AAE3}" name="Language-Independent" dataDxfId="9"/>
    <tableColumn id="67" xr3:uid="{00000000-0010-0000-0200-000043000000}" name="EA Maintenance" dataDxfId="8">
      <calculatedColumnFormula>IF(OR(ISNUMBER(SEARCH(applicability!$D$3,Tabla7[[#This Row],[Application]])),ISNUMBER(SEARCH(applicability!$D$4,Tabla7[[#This Row],[Application]]))),"X","")</calculatedColumnFormula>
    </tableColumn>
    <tableColumn id="68" xr3:uid="{00000000-0010-0000-0200-000044000000}" name="EA Analysis" dataDxfId="7">
      <calculatedColumnFormula>IF(OR(ISNUMBER(SEARCH(applicability!$E$3,Tabla7[[#This Row],[Application]]))),"X","")</calculatedColumnFormula>
    </tableColumn>
    <tableColumn id="69" xr3:uid="{00000000-0010-0000-0200-000045000000}" name="SOA / micro-services" dataDxfId="6">
      <calculatedColumnFormula>IF(OR(ISNUMBER(SEARCH(applicability!$F$3,Tabla7[[#This Row],[Application]])),ISNUMBER(SEARCH(applicability!$F$4,Tabla7[[#This Row],[Application]]))),"X","")</calculatedColumnFormula>
    </tableColumn>
    <tableColumn id="70" xr3:uid="{00000000-0010-0000-0200-000046000000}" name="IoT" dataDxfId="5">
      <calculatedColumnFormula>IF(OR(ISNUMBER(SEARCH(applicability!$G$3,Tabla7[[#This Row],[Application]]))),"X","")</calculatedColumnFormula>
    </tableColumn>
    <tableColumn id="71" xr3:uid="{00000000-0010-0000-0200-000047000000}" name="SoS" dataDxfId="4">
      <calculatedColumnFormula>IF(OR(ISNUMBER(SEARCH(applicability!$H$3,Tabla7[[#This Row],[Application]]))),"X","")</calculatedColumnFormula>
    </tableColumn>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a5" displayName="Tabla5" ref="A1:B23" totalsRowShown="0">
  <autoFilter ref="A1:B23" xr:uid="{00000000-0009-0000-0100-000005000000}"/>
  <sortState xmlns:xlrd2="http://schemas.microsoft.com/office/spreadsheetml/2017/richdata2" ref="A2:B23">
    <sortCondition descending="1" ref="B1:B23"/>
  </sortState>
  <tableColumns count="2">
    <tableColumn id="1" xr3:uid="{00000000-0010-0000-0300-000001000000}" name="Country"/>
    <tableColumn id="2" xr3:uid="{00000000-0010-0000-0300-000002000000}" name="#papers"/>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a4" displayName="Tabla4" ref="A1:E117" totalsRowShown="0" headerRowDxfId="3">
  <autoFilter ref="A1:E117" xr:uid="{00000000-0009-0000-0100-000004000000}"/>
  <sortState xmlns:xlrd2="http://schemas.microsoft.com/office/spreadsheetml/2017/richdata2" ref="A2:E117">
    <sortCondition descending="1" ref="D1:D117"/>
  </sortState>
  <tableColumns count="5">
    <tableColumn id="1" xr3:uid="{00000000-0010-0000-0400-000001000000}" name="Author"/>
    <tableColumn id="4" xr3:uid="{00000000-0010-0000-0400-000004000000}" name="Country"/>
    <tableColumn id="5" xr3:uid="{00000000-0010-0000-0400-000005000000}" name="Type"/>
    <tableColumn id="2" xr3:uid="{00000000-0010-0000-0400-000002000000}" name="# papers"/>
    <tableColumn id="6" xr3:uid="{00000000-0010-0000-0400-000006000000}" name="Citations" dataDxfId="2">
      <calculatedColumnFormula>SUMIF(Tabla7[Author],"*"&amp;Tabla4[[#This Row],[Author]]&amp;"*",Tabla7[cited by (*Scopus)])</calculatedColumnFormula>
    </tableColumn>
  </tableColumns>
  <tableStyleInfo name="TableStyleMedium7"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table" Target="../tables/table3.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38"/>
  <sheetViews>
    <sheetView topLeftCell="A185" zoomScaleNormal="100" workbookViewId="0">
      <selection activeCell="B158" sqref="B158:L238"/>
    </sheetView>
  </sheetViews>
  <sheetFormatPr baseColWidth="10" defaultRowHeight="15" x14ac:dyDescent="0.25"/>
  <cols>
    <col min="1" max="1" width="5.28515625" bestFit="1" customWidth="1"/>
    <col min="2" max="2" width="80.5703125" customWidth="1"/>
    <col min="3" max="3" width="17.42578125" customWidth="1"/>
    <col min="4" max="4" width="7.5703125" bestFit="1" customWidth="1"/>
    <col min="5" max="5" width="13.5703125" customWidth="1"/>
    <col min="6" max="9" width="18.7109375" customWidth="1"/>
    <col min="10" max="10" width="18.7109375" style="2" customWidth="1"/>
    <col min="11" max="14" width="8.28515625" customWidth="1"/>
    <col min="15" max="18" width="14.140625" customWidth="1"/>
  </cols>
  <sheetData>
    <row r="1" spans="1:18" x14ac:dyDescent="0.25">
      <c r="K1">
        <f>COUNTIF(all[I-A1],"=1")</f>
        <v>56</v>
      </c>
      <c r="L1">
        <f>COUNTIF(all[E-A1],"=1")</f>
        <v>40</v>
      </c>
      <c r="M1">
        <f>COUNTIF(all[I-A2],"=1")</f>
        <v>0</v>
      </c>
      <c r="N1">
        <f>COUNTIF(all[E-A2],"=1")</f>
        <v>0</v>
      </c>
    </row>
    <row r="2" spans="1:18" x14ac:dyDescent="0.25">
      <c r="A2" t="s">
        <v>717</v>
      </c>
      <c r="B2" t="s">
        <v>711</v>
      </c>
      <c r="C2" t="s">
        <v>709</v>
      </c>
      <c r="D2" t="s">
        <v>710</v>
      </c>
      <c r="E2" t="s">
        <v>708</v>
      </c>
      <c r="F2" t="s">
        <v>712</v>
      </c>
      <c r="G2" t="s">
        <v>713</v>
      </c>
      <c r="H2" t="s">
        <v>714</v>
      </c>
      <c r="I2" t="s">
        <v>715</v>
      </c>
      <c r="J2" s="2" t="s">
        <v>716</v>
      </c>
      <c r="K2" t="s">
        <v>718</v>
      </c>
      <c r="L2" t="s">
        <v>719</v>
      </c>
      <c r="M2" t="s">
        <v>720</v>
      </c>
      <c r="N2" t="s">
        <v>721</v>
      </c>
      <c r="O2" t="s">
        <v>722</v>
      </c>
      <c r="P2" t="s">
        <v>723</v>
      </c>
      <c r="Q2" t="s">
        <v>724</v>
      </c>
      <c r="R2" t="s">
        <v>725</v>
      </c>
    </row>
    <row r="3" spans="1:18" hidden="1" x14ac:dyDescent="0.25">
      <c r="A3" s="1">
        <v>1</v>
      </c>
      <c r="B3" s="1" t="s">
        <v>2</v>
      </c>
      <c r="C3" s="1" t="s">
        <v>1</v>
      </c>
      <c r="D3">
        <v>2011</v>
      </c>
      <c r="E3" s="1" t="s">
        <v>0</v>
      </c>
      <c r="F3" s="1" t="s">
        <v>3</v>
      </c>
      <c r="G3" s="1" t="s">
        <v>1</v>
      </c>
      <c r="H3" s="1" t="s">
        <v>4</v>
      </c>
      <c r="I3" s="1" t="s">
        <v>5</v>
      </c>
      <c r="J3" s="3" t="s">
        <v>6</v>
      </c>
      <c r="K3" s="1">
        <v>-1</v>
      </c>
      <c r="L3" s="1"/>
      <c r="M3" s="1"/>
      <c r="N3" s="1"/>
      <c r="O3" s="1"/>
      <c r="P3" s="1"/>
      <c r="Q3" s="1"/>
      <c r="R3" s="1"/>
    </row>
    <row r="4" spans="1:18" hidden="1" x14ac:dyDescent="0.25">
      <c r="A4" s="1">
        <v>2</v>
      </c>
      <c r="B4" s="1" t="s">
        <v>7</v>
      </c>
      <c r="C4" s="1" t="s">
        <v>1</v>
      </c>
      <c r="D4">
        <v>2016</v>
      </c>
      <c r="E4" s="1" t="s">
        <v>0</v>
      </c>
      <c r="F4" s="1" t="s">
        <v>8</v>
      </c>
      <c r="G4" s="1" t="s">
        <v>1</v>
      </c>
      <c r="H4" s="1" t="s">
        <v>9</v>
      </c>
      <c r="I4" s="1" t="s">
        <v>10</v>
      </c>
      <c r="J4" s="3" t="s">
        <v>6</v>
      </c>
      <c r="K4" s="1">
        <v>-1</v>
      </c>
      <c r="L4" s="1"/>
      <c r="M4" s="1"/>
      <c r="N4" s="1"/>
      <c r="O4" s="1"/>
      <c r="P4" s="1"/>
      <c r="Q4" s="1"/>
      <c r="R4" s="1"/>
    </row>
    <row r="5" spans="1:18" hidden="1" x14ac:dyDescent="0.25">
      <c r="A5" s="1">
        <v>3</v>
      </c>
      <c r="B5" s="1" t="s">
        <v>11</v>
      </c>
      <c r="C5" s="1" t="s">
        <v>1</v>
      </c>
      <c r="D5">
        <v>2016</v>
      </c>
      <c r="E5" s="1" t="s">
        <v>0</v>
      </c>
      <c r="F5" s="1" t="s">
        <v>12</v>
      </c>
      <c r="G5" s="1" t="s">
        <v>1</v>
      </c>
      <c r="H5" s="1" t="s">
        <v>13</v>
      </c>
      <c r="I5" s="1" t="s">
        <v>14</v>
      </c>
      <c r="J5" s="3" t="s">
        <v>6</v>
      </c>
      <c r="K5" s="1">
        <v>-1</v>
      </c>
      <c r="L5" s="1"/>
      <c r="M5" s="1"/>
      <c r="N5" s="1"/>
      <c r="O5" s="1"/>
      <c r="P5" s="1"/>
      <c r="Q5" s="1"/>
      <c r="R5" s="1"/>
    </row>
    <row r="6" spans="1:18" hidden="1" x14ac:dyDescent="0.25">
      <c r="A6" s="1">
        <v>4</v>
      </c>
      <c r="B6" s="1" t="s">
        <v>16</v>
      </c>
      <c r="C6" s="1" t="s">
        <v>15</v>
      </c>
      <c r="D6">
        <v>2016</v>
      </c>
      <c r="E6" s="1" t="s">
        <v>0</v>
      </c>
      <c r="F6" s="1" t="s">
        <v>17</v>
      </c>
      <c r="G6" s="1" t="s">
        <v>1</v>
      </c>
      <c r="H6" s="1" t="s">
        <v>18</v>
      </c>
      <c r="I6" s="1" t="s">
        <v>19</v>
      </c>
      <c r="J6" s="3" t="s">
        <v>740</v>
      </c>
      <c r="K6" s="1">
        <v>-1</v>
      </c>
      <c r="L6" s="1"/>
      <c r="M6" s="1"/>
      <c r="N6" s="1"/>
      <c r="O6" s="1"/>
      <c r="P6" s="1"/>
      <c r="Q6" s="1"/>
      <c r="R6" s="1"/>
    </row>
    <row r="7" spans="1:18" hidden="1" x14ac:dyDescent="0.25">
      <c r="A7" s="1">
        <v>5</v>
      </c>
      <c r="B7" s="1" t="s">
        <v>733</v>
      </c>
      <c r="C7" s="1" t="s">
        <v>20</v>
      </c>
      <c r="D7">
        <v>2010</v>
      </c>
      <c r="E7" s="1" t="s">
        <v>0</v>
      </c>
      <c r="F7" s="1" t="s">
        <v>21</v>
      </c>
      <c r="G7" s="1" t="s">
        <v>1</v>
      </c>
      <c r="H7" s="1" t="s">
        <v>22</v>
      </c>
      <c r="I7" s="1" t="s">
        <v>23</v>
      </c>
      <c r="J7" s="3" t="s">
        <v>739</v>
      </c>
      <c r="K7" s="1">
        <v>-1</v>
      </c>
      <c r="L7" s="1"/>
      <c r="M7" s="1"/>
      <c r="N7" s="1"/>
      <c r="O7" s="1"/>
      <c r="P7" s="1"/>
      <c r="Q7" s="1"/>
      <c r="R7" s="1"/>
    </row>
    <row r="8" spans="1:18" hidden="1" x14ac:dyDescent="0.25">
      <c r="A8" s="1">
        <v>6</v>
      </c>
      <c r="B8" s="1" t="s">
        <v>25</v>
      </c>
      <c r="C8" s="1" t="s">
        <v>24</v>
      </c>
      <c r="D8">
        <v>2013</v>
      </c>
      <c r="E8" s="1" t="s">
        <v>0</v>
      </c>
      <c r="F8" s="1" t="s">
        <v>26</v>
      </c>
      <c r="G8" s="1" t="s">
        <v>1</v>
      </c>
      <c r="H8" s="1" t="s">
        <v>1</v>
      </c>
      <c r="I8" s="1" t="s">
        <v>27</v>
      </c>
      <c r="J8" s="3" t="s">
        <v>738</v>
      </c>
      <c r="K8" s="1">
        <v>-1</v>
      </c>
      <c r="L8" s="1"/>
      <c r="M8" s="1"/>
      <c r="N8" s="1"/>
      <c r="O8" s="1"/>
      <c r="P8" s="1"/>
      <c r="Q8" s="1"/>
      <c r="R8" s="1"/>
    </row>
    <row r="9" spans="1:18" hidden="1" x14ac:dyDescent="0.25">
      <c r="A9" s="1">
        <v>7</v>
      </c>
      <c r="B9" s="7" t="s">
        <v>29</v>
      </c>
      <c r="C9" s="1" t="s">
        <v>28</v>
      </c>
      <c r="D9">
        <v>2013</v>
      </c>
      <c r="E9" s="1" t="s">
        <v>0</v>
      </c>
      <c r="F9" s="1" t="s">
        <v>30</v>
      </c>
      <c r="G9" s="1" t="s">
        <v>1</v>
      </c>
      <c r="H9" s="1" t="s">
        <v>31</v>
      </c>
      <c r="I9" s="1" t="s">
        <v>32</v>
      </c>
      <c r="J9" s="3" t="s">
        <v>737</v>
      </c>
      <c r="K9" s="1">
        <v>1</v>
      </c>
      <c r="L9" s="1">
        <v>1</v>
      </c>
      <c r="M9" s="1"/>
      <c r="N9" s="1"/>
      <c r="O9" s="1"/>
      <c r="P9" s="1"/>
      <c r="Q9" s="1"/>
      <c r="R9" s="1"/>
    </row>
    <row r="10" spans="1:18" hidden="1" x14ac:dyDescent="0.25">
      <c r="A10" s="1">
        <v>8</v>
      </c>
      <c r="B10" s="1" t="s">
        <v>34</v>
      </c>
      <c r="C10" s="1" t="s">
        <v>33</v>
      </c>
      <c r="D10">
        <v>2016</v>
      </c>
      <c r="E10" s="1" t="s">
        <v>0</v>
      </c>
      <c r="F10" s="1" t="s">
        <v>35</v>
      </c>
      <c r="G10" s="1" t="s">
        <v>1</v>
      </c>
      <c r="H10" s="1" t="s">
        <v>36</v>
      </c>
      <c r="I10" s="1" t="s">
        <v>37</v>
      </c>
      <c r="J10" s="3" t="s">
        <v>163</v>
      </c>
      <c r="K10" s="1">
        <v>-1</v>
      </c>
      <c r="L10" s="1"/>
      <c r="M10" s="1"/>
      <c r="N10" s="1"/>
      <c r="O10" s="1"/>
      <c r="P10" s="1"/>
      <c r="Q10" s="1"/>
      <c r="R10" s="1"/>
    </row>
    <row r="11" spans="1:18" hidden="1" x14ac:dyDescent="0.25">
      <c r="A11" s="1">
        <v>9</v>
      </c>
      <c r="B11" s="1" t="s">
        <v>39</v>
      </c>
      <c r="C11" s="1" t="s">
        <v>38</v>
      </c>
      <c r="D11">
        <v>2017</v>
      </c>
      <c r="E11" s="1" t="s">
        <v>0</v>
      </c>
      <c r="F11" s="1" t="s">
        <v>40</v>
      </c>
      <c r="G11" s="1" t="s">
        <v>1</v>
      </c>
      <c r="H11" s="1" t="s">
        <v>41</v>
      </c>
      <c r="I11" s="1" t="s">
        <v>42</v>
      </c>
      <c r="J11" s="3" t="s">
        <v>736</v>
      </c>
      <c r="K11" s="1">
        <v>-1</v>
      </c>
      <c r="L11" s="1"/>
      <c r="M11" s="1"/>
      <c r="N11" s="1"/>
      <c r="O11" s="1"/>
      <c r="P11" s="1"/>
      <c r="Q11" s="1"/>
      <c r="R11" s="1"/>
    </row>
    <row r="12" spans="1:18" hidden="1" x14ac:dyDescent="0.25">
      <c r="A12" s="1">
        <v>10</v>
      </c>
      <c r="B12" s="1" t="s">
        <v>44</v>
      </c>
      <c r="C12" s="1" t="s">
        <v>43</v>
      </c>
      <c r="D12">
        <v>2012</v>
      </c>
      <c r="E12" s="1" t="s">
        <v>0</v>
      </c>
      <c r="F12" s="1" t="s">
        <v>45</v>
      </c>
      <c r="G12" s="1" t="s">
        <v>1</v>
      </c>
      <c r="H12" s="1" t="s">
        <v>46</v>
      </c>
      <c r="I12" s="1" t="s">
        <v>47</v>
      </c>
      <c r="J12" s="3" t="s">
        <v>735</v>
      </c>
      <c r="K12" s="1">
        <v>1</v>
      </c>
      <c r="L12" s="1">
        <v>1</v>
      </c>
      <c r="M12" s="1"/>
      <c r="N12" s="1"/>
      <c r="O12" s="1"/>
      <c r="P12" s="1"/>
      <c r="Q12" s="1"/>
      <c r="R12" s="1"/>
    </row>
    <row r="13" spans="1:18" hidden="1" x14ac:dyDescent="0.25">
      <c r="A13" s="1">
        <v>11</v>
      </c>
      <c r="B13" s="1" t="s">
        <v>49</v>
      </c>
      <c r="C13" s="1" t="s">
        <v>48</v>
      </c>
      <c r="D13">
        <v>2013</v>
      </c>
      <c r="E13" s="1" t="s">
        <v>0</v>
      </c>
      <c r="F13" s="1" t="s">
        <v>50</v>
      </c>
      <c r="G13" s="1" t="s">
        <v>1</v>
      </c>
      <c r="H13" s="1" t="s">
        <v>51</v>
      </c>
      <c r="I13" s="1" t="s">
        <v>52</v>
      </c>
      <c r="J13" s="3" t="s">
        <v>734</v>
      </c>
      <c r="K13" s="1">
        <v>1</v>
      </c>
      <c r="L13" s="1">
        <v>1</v>
      </c>
      <c r="M13" s="1"/>
      <c r="N13" s="1"/>
      <c r="O13" s="1"/>
      <c r="P13" s="1"/>
      <c r="Q13" s="1"/>
      <c r="R13" s="1"/>
    </row>
    <row r="14" spans="1:18" hidden="1" x14ac:dyDescent="0.25">
      <c r="A14" s="1">
        <v>12</v>
      </c>
      <c r="B14" s="1" t="s">
        <v>54</v>
      </c>
      <c r="C14" s="1" t="s">
        <v>53</v>
      </c>
      <c r="D14">
        <v>2017</v>
      </c>
      <c r="E14" s="1" t="s">
        <v>0</v>
      </c>
      <c r="F14" s="1" t="s">
        <v>55</v>
      </c>
      <c r="G14" s="1" t="s">
        <v>1</v>
      </c>
      <c r="H14" s="1" t="s">
        <v>56</v>
      </c>
      <c r="I14" s="1" t="s">
        <v>57</v>
      </c>
      <c r="J14" s="3" t="s">
        <v>58</v>
      </c>
      <c r="K14" s="1">
        <v>1</v>
      </c>
      <c r="L14" s="1">
        <v>1</v>
      </c>
      <c r="M14" s="1"/>
      <c r="N14" s="1"/>
      <c r="O14" s="1"/>
      <c r="P14" s="1"/>
      <c r="Q14" s="1"/>
      <c r="R14" s="1"/>
    </row>
    <row r="15" spans="1:18" hidden="1" x14ac:dyDescent="0.25">
      <c r="A15" s="1">
        <v>13</v>
      </c>
      <c r="B15" s="1" t="s">
        <v>60</v>
      </c>
      <c r="C15" s="1" t="s">
        <v>59</v>
      </c>
      <c r="D15">
        <v>2013</v>
      </c>
      <c r="E15" s="1" t="s">
        <v>0</v>
      </c>
      <c r="F15" s="1" t="s">
        <v>61</v>
      </c>
      <c r="G15" s="1" t="s">
        <v>1</v>
      </c>
      <c r="H15" s="1" t="s">
        <v>62</v>
      </c>
      <c r="I15" s="1" t="s">
        <v>63</v>
      </c>
      <c r="J15" s="3" t="s">
        <v>741</v>
      </c>
      <c r="K15" s="1">
        <v>1</v>
      </c>
      <c r="L15" s="1">
        <v>1</v>
      </c>
      <c r="M15" s="1"/>
      <c r="N15" s="1"/>
      <c r="O15" s="1"/>
      <c r="P15" s="1"/>
      <c r="Q15" s="1"/>
      <c r="R15" s="1"/>
    </row>
    <row r="16" spans="1:18" hidden="1" x14ac:dyDescent="0.25">
      <c r="A16" s="1">
        <v>14</v>
      </c>
      <c r="B16" s="1" t="s">
        <v>65</v>
      </c>
      <c r="C16" s="1" t="s">
        <v>64</v>
      </c>
      <c r="D16">
        <v>2012</v>
      </c>
      <c r="E16" s="1" t="s">
        <v>0</v>
      </c>
      <c r="F16" s="1" t="s">
        <v>66</v>
      </c>
      <c r="G16" s="1" t="s">
        <v>1</v>
      </c>
      <c r="H16" s="1" t="s">
        <v>67</v>
      </c>
      <c r="I16" s="1" t="s">
        <v>68</v>
      </c>
      <c r="J16" s="3" t="s">
        <v>742</v>
      </c>
      <c r="K16" s="1">
        <v>1</v>
      </c>
      <c r="L16" s="1">
        <v>1</v>
      </c>
      <c r="M16" s="1"/>
      <c r="N16" s="1"/>
      <c r="O16" s="1"/>
      <c r="P16" s="1"/>
      <c r="Q16" s="1"/>
      <c r="R16" s="1"/>
    </row>
    <row r="17" spans="1:18" hidden="1" x14ac:dyDescent="0.25">
      <c r="A17" s="1">
        <v>15</v>
      </c>
      <c r="B17" s="1" t="s">
        <v>70</v>
      </c>
      <c r="C17" s="1" t="s">
        <v>69</v>
      </c>
      <c r="D17">
        <v>2015</v>
      </c>
      <c r="E17" s="1" t="s">
        <v>0</v>
      </c>
      <c r="F17" s="1" t="s">
        <v>71</v>
      </c>
      <c r="G17" s="1" t="s">
        <v>1</v>
      </c>
      <c r="H17" s="1" t="s">
        <v>72</v>
      </c>
      <c r="I17" s="1" t="s">
        <v>73</v>
      </c>
      <c r="J17" s="3" t="s">
        <v>170</v>
      </c>
      <c r="K17" s="1">
        <v>1</v>
      </c>
      <c r="L17" s="1">
        <v>1</v>
      </c>
      <c r="M17" s="1"/>
      <c r="N17" s="1"/>
      <c r="O17" s="1"/>
      <c r="P17" s="1"/>
      <c r="Q17" s="1"/>
      <c r="R17" s="1"/>
    </row>
    <row r="18" spans="1:18" hidden="1" x14ac:dyDescent="0.25">
      <c r="A18" s="1">
        <v>16</v>
      </c>
      <c r="B18" s="1" t="s">
        <v>75</v>
      </c>
      <c r="C18" s="1" t="s">
        <v>74</v>
      </c>
      <c r="D18">
        <v>2014</v>
      </c>
      <c r="E18" s="1" t="s">
        <v>0</v>
      </c>
      <c r="F18" s="1" t="s">
        <v>76</v>
      </c>
      <c r="G18" s="1" t="s">
        <v>1</v>
      </c>
      <c r="H18" s="1" t="s">
        <v>77</v>
      </c>
      <c r="I18" s="1" t="s">
        <v>78</v>
      </c>
      <c r="J18" s="3" t="s">
        <v>230</v>
      </c>
      <c r="K18" s="1">
        <v>1</v>
      </c>
      <c r="L18" s="1">
        <v>1</v>
      </c>
      <c r="M18" s="1"/>
      <c r="N18" s="1"/>
      <c r="O18" s="1"/>
      <c r="P18" s="1"/>
      <c r="Q18" s="1"/>
      <c r="R18" s="1"/>
    </row>
    <row r="19" spans="1:18" hidden="1" x14ac:dyDescent="0.25">
      <c r="A19" s="1">
        <v>17</v>
      </c>
      <c r="B19" s="1" t="s">
        <v>80</v>
      </c>
      <c r="C19" s="1" t="s">
        <v>79</v>
      </c>
      <c r="D19">
        <v>2011</v>
      </c>
      <c r="E19" s="1" t="s">
        <v>0</v>
      </c>
      <c r="F19" s="1" t="s">
        <v>81</v>
      </c>
      <c r="G19" s="1" t="s">
        <v>1</v>
      </c>
      <c r="H19" s="1" t="s">
        <v>82</v>
      </c>
      <c r="I19" s="1" t="s">
        <v>83</v>
      </c>
      <c r="J19" s="3" t="s">
        <v>743</v>
      </c>
      <c r="K19" s="1">
        <v>1</v>
      </c>
      <c r="L19" s="1">
        <v>1</v>
      </c>
      <c r="M19" s="1"/>
      <c r="N19" s="1"/>
      <c r="O19" s="1"/>
      <c r="P19" s="1"/>
      <c r="Q19" s="1"/>
      <c r="R19" s="1"/>
    </row>
    <row r="20" spans="1:18" hidden="1" x14ac:dyDescent="0.25">
      <c r="A20" s="1">
        <v>18</v>
      </c>
      <c r="B20" s="1" t="s">
        <v>84</v>
      </c>
      <c r="C20" s="1" t="s">
        <v>79</v>
      </c>
      <c r="D20">
        <v>2011</v>
      </c>
      <c r="E20" s="1" t="s">
        <v>0</v>
      </c>
      <c r="F20" s="1" t="s">
        <v>3</v>
      </c>
      <c r="G20" s="1" t="s">
        <v>1</v>
      </c>
      <c r="H20" s="1" t="s">
        <v>85</v>
      </c>
      <c r="I20" s="1" t="s">
        <v>86</v>
      </c>
      <c r="J20" s="3" t="s">
        <v>744</v>
      </c>
      <c r="K20" s="1">
        <v>1</v>
      </c>
      <c r="L20" s="1">
        <v>-1</v>
      </c>
      <c r="M20" s="1"/>
      <c r="N20" s="1"/>
      <c r="O20" s="1"/>
      <c r="P20" s="1"/>
      <c r="Q20" s="1"/>
      <c r="R20" s="1"/>
    </row>
    <row r="21" spans="1:18" hidden="1" x14ac:dyDescent="0.25">
      <c r="A21" s="1">
        <v>19</v>
      </c>
      <c r="B21" s="1" t="s">
        <v>87</v>
      </c>
      <c r="C21" s="1" t="s">
        <v>79</v>
      </c>
      <c r="D21">
        <v>2014</v>
      </c>
      <c r="E21" s="1" t="s">
        <v>0</v>
      </c>
      <c r="F21" s="1" t="s">
        <v>88</v>
      </c>
      <c r="G21" s="1" t="s">
        <v>1</v>
      </c>
      <c r="H21" s="1" t="s">
        <v>1</v>
      </c>
      <c r="I21" s="1" t="s">
        <v>89</v>
      </c>
      <c r="J21" s="3" t="s">
        <v>745</v>
      </c>
      <c r="K21" s="1">
        <v>1</v>
      </c>
      <c r="L21" s="1">
        <v>1</v>
      </c>
      <c r="M21" s="1"/>
      <c r="N21" s="1"/>
      <c r="O21" s="1"/>
      <c r="P21" s="1"/>
      <c r="Q21" s="1"/>
      <c r="R21" s="1"/>
    </row>
    <row r="22" spans="1:18" hidden="1" x14ac:dyDescent="0.25">
      <c r="A22" s="1">
        <v>20</v>
      </c>
      <c r="B22" s="1" t="s">
        <v>91</v>
      </c>
      <c r="C22" s="1" t="s">
        <v>90</v>
      </c>
      <c r="D22">
        <v>2016</v>
      </c>
      <c r="E22" s="1" t="s">
        <v>0</v>
      </c>
      <c r="F22" s="1" t="s">
        <v>92</v>
      </c>
      <c r="G22" s="1" t="s">
        <v>1</v>
      </c>
      <c r="H22" s="1" t="s">
        <v>93</v>
      </c>
      <c r="I22" s="1" t="s">
        <v>94</v>
      </c>
      <c r="J22" s="3" t="s">
        <v>746</v>
      </c>
      <c r="K22" s="1">
        <v>-1</v>
      </c>
      <c r="L22" s="1"/>
      <c r="M22" s="1"/>
      <c r="N22" s="1"/>
      <c r="O22" s="1"/>
      <c r="P22" s="1"/>
      <c r="Q22" s="1"/>
      <c r="R22" s="1"/>
    </row>
    <row r="23" spans="1:18" hidden="1" x14ac:dyDescent="0.25">
      <c r="A23" s="1">
        <v>21</v>
      </c>
      <c r="B23" s="1" t="s">
        <v>96</v>
      </c>
      <c r="C23" s="1" t="s">
        <v>95</v>
      </c>
      <c r="D23">
        <v>2017</v>
      </c>
      <c r="E23" s="1" t="s">
        <v>0</v>
      </c>
      <c r="F23" s="1" t="s">
        <v>97</v>
      </c>
      <c r="G23" s="1" t="s">
        <v>1</v>
      </c>
      <c r="H23" s="1" t="s">
        <v>98</v>
      </c>
      <c r="I23" s="1" t="s">
        <v>99</v>
      </c>
      <c r="J23" s="3" t="s">
        <v>100</v>
      </c>
      <c r="K23" s="1">
        <v>1</v>
      </c>
      <c r="L23" s="1">
        <v>1</v>
      </c>
      <c r="M23" s="1"/>
      <c r="N23" s="1"/>
      <c r="O23" s="1"/>
      <c r="P23" s="1"/>
      <c r="Q23" s="1"/>
      <c r="R23" s="1"/>
    </row>
    <row r="24" spans="1:18" hidden="1" x14ac:dyDescent="0.25">
      <c r="A24" s="1">
        <v>22</v>
      </c>
      <c r="B24" s="1" t="s">
        <v>102</v>
      </c>
      <c r="C24" s="1" t="s">
        <v>101</v>
      </c>
      <c r="D24">
        <v>2011</v>
      </c>
      <c r="E24" s="1" t="s">
        <v>0</v>
      </c>
      <c r="F24" s="1" t="s">
        <v>103</v>
      </c>
      <c r="G24" s="1" t="s">
        <v>1</v>
      </c>
      <c r="H24" s="1" t="s">
        <v>104</v>
      </c>
      <c r="I24" s="1" t="s">
        <v>105</v>
      </c>
      <c r="J24" s="3" t="s">
        <v>747</v>
      </c>
      <c r="K24" s="1">
        <v>-1</v>
      </c>
      <c r="L24" s="1"/>
      <c r="M24" s="1"/>
      <c r="N24" s="1"/>
      <c r="O24" s="1"/>
      <c r="P24" s="1"/>
      <c r="Q24" s="1"/>
      <c r="R24" s="1"/>
    </row>
    <row r="25" spans="1:18" hidden="1" x14ac:dyDescent="0.25">
      <c r="A25" s="1">
        <v>23</v>
      </c>
      <c r="B25" s="1" t="s">
        <v>107</v>
      </c>
      <c r="C25" s="1" t="s">
        <v>106</v>
      </c>
      <c r="D25">
        <v>2012</v>
      </c>
      <c r="E25" s="1" t="s">
        <v>0</v>
      </c>
      <c r="F25" s="1" t="s">
        <v>108</v>
      </c>
      <c r="G25" s="1" t="s">
        <v>1</v>
      </c>
      <c r="H25" s="1" t="s">
        <v>109</v>
      </c>
      <c r="I25" s="1" t="s">
        <v>110</v>
      </c>
      <c r="J25" s="3" t="s">
        <v>107</v>
      </c>
      <c r="K25" s="1">
        <v>1</v>
      </c>
      <c r="L25" s="1">
        <v>1</v>
      </c>
      <c r="M25" s="1"/>
      <c r="N25" s="1"/>
      <c r="O25" s="1"/>
      <c r="P25" s="1"/>
      <c r="Q25" s="1"/>
      <c r="R25" s="1"/>
    </row>
    <row r="26" spans="1:18" hidden="1" x14ac:dyDescent="0.25">
      <c r="A26" s="1">
        <v>24</v>
      </c>
      <c r="B26" s="1" t="s">
        <v>112</v>
      </c>
      <c r="C26" s="1" t="s">
        <v>111</v>
      </c>
      <c r="D26">
        <v>2016</v>
      </c>
      <c r="E26" s="1" t="s">
        <v>0</v>
      </c>
      <c r="F26" s="1" t="s">
        <v>113</v>
      </c>
      <c r="G26" s="1" t="s">
        <v>1</v>
      </c>
      <c r="H26" s="1" t="s">
        <v>114</v>
      </c>
      <c r="I26" s="1" t="s">
        <v>115</v>
      </c>
      <c r="J26" s="3" t="s">
        <v>177</v>
      </c>
      <c r="K26" s="1">
        <v>-1</v>
      </c>
      <c r="L26" s="1"/>
      <c r="M26" s="1"/>
      <c r="N26" s="1"/>
      <c r="O26" s="1"/>
      <c r="P26" s="1"/>
      <c r="Q26" s="1"/>
      <c r="R26" s="1"/>
    </row>
    <row r="27" spans="1:18" hidden="1" x14ac:dyDescent="0.25">
      <c r="A27" s="1">
        <v>25</v>
      </c>
      <c r="B27" s="1" t="s">
        <v>118</v>
      </c>
      <c r="C27" s="1" t="s">
        <v>117</v>
      </c>
      <c r="D27">
        <v>2016</v>
      </c>
      <c r="E27" s="1" t="s">
        <v>116</v>
      </c>
      <c r="F27" s="1" t="s">
        <v>119</v>
      </c>
      <c r="G27" s="1" t="s">
        <v>1</v>
      </c>
      <c r="H27" s="1" t="s">
        <v>120</v>
      </c>
      <c r="I27" s="1" t="s">
        <v>1</v>
      </c>
      <c r="J27" s="3" t="s">
        <v>121</v>
      </c>
      <c r="K27" s="1">
        <v>-1</v>
      </c>
      <c r="L27" s="1"/>
      <c r="M27" s="1"/>
      <c r="N27" s="1"/>
      <c r="O27" s="1"/>
      <c r="P27" s="1"/>
      <c r="Q27" s="1"/>
      <c r="R27" s="1"/>
    </row>
    <row r="28" spans="1:18" hidden="1" x14ac:dyDescent="0.25">
      <c r="A28" s="1">
        <v>26</v>
      </c>
      <c r="B28" s="1" t="s">
        <v>123</v>
      </c>
      <c r="C28" s="1" t="s">
        <v>122</v>
      </c>
      <c r="D28">
        <v>2016</v>
      </c>
      <c r="E28" s="1" t="s">
        <v>116</v>
      </c>
      <c r="F28" s="1" t="s">
        <v>124</v>
      </c>
      <c r="G28" s="1" t="s">
        <v>1</v>
      </c>
      <c r="H28" s="1" t="s">
        <v>125</v>
      </c>
      <c r="I28" s="1" t="s">
        <v>1</v>
      </c>
      <c r="J28" s="3" t="s">
        <v>126</v>
      </c>
      <c r="K28" s="1">
        <v>-1</v>
      </c>
      <c r="L28" s="1"/>
      <c r="M28" s="1"/>
      <c r="N28" s="1"/>
      <c r="O28" s="1"/>
      <c r="P28" s="1"/>
      <c r="Q28" s="1"/>
      <c r="R28" s="1"/>
    </row>
    <row r="29" spans="1:18" hidden="1" x14ac:dyDescent="0.25">
      <c r="A29" s="1">
        <v>27</v>
      </c>
      <c r="B29" s="1" t="s">
        <v>129</v>
      </c>
      <c r="C29" s="1" t="s">
        <v>128</v>
      </c>
      <c r="D29">
        <v>2015</v>
      </c>
      <c r="E29" s="1" t="s">
        <v>127</v>
      </c>
      <c r="F29" s="1" t="s">
        <v>130</v>
      </c>
      <c r="G29" s="1" t="s">
        <v>1</v>
      </c>
      <c r="H29" s="1" t="s">
        <v>131</v>
      </c>
      <c r="I29" s="1" t="s">
        <v>1</v>
      </c>
      <c r="J29" s="3" t="s">
        <v>132</v>
      </c>
      <c r="K29" s="1">
        <v>-1</v>
      </c>
      <c r="L29" s="1"/>
      <c r="M29" s="1"/>
      <c r="N29" s="1"/>
      <c r="O29" s="1"/>
      <c r="P29" s="1"/>
      <c r="Q29" s="1"/>
      <c r="R29" s="1"/>
    </row>
    <row r="30" spans="1:18" hidden="1" x14ac:dyDescent="0.25">
      <c r="A30" s="1">
        <v>28</v>
      </c>
      <c r="B30" s="1" t="s">
        <v>134</v>
      </c>
      <c r="C30" s="1" t="s">
        <v>133</v>
      </c>
      <c r="D30">
        <v>2016</v>
      </c>
      <c r="E30" s="1" t="s">
        <v>116</v>
      </c>
      <c r="F30" s="1" t="s">
        <v>135</v>
      </c>
      <c r="G30" s="1" t="s">
        <v>1</v>
      </c>
      <c r="H30" s="1" t="s">
        <v>136</v>
      </c>
      <c r="I30" s="1" t="s">
        <v>1</v>
      </c>
      <c r="J30" s="3" t="s">
        <v>137</v>
      </c>
      <c r="K30" s="1">
        <v>-1</v>
      </c>
      <c r="L30" s="1"/>
      <c r="M30" s="1"/>
      <c r="N30" s="1"/>
      <c r="O30" s="1"/>
      <c r="P30" s="1"/>
      <c r="Q30" s="1"/>
      <c r="R30" s="1"/>
    </row>
    <row r="31" spans="1:18" hidden="1" x14ac:dyDescent="0.25">
      <c r="A31" s="1">
        <v>29</v>
      </c>
      <c r="B31" s="1" t="s">
        <v>140</v>
      </c>
      <c r="C31" s="1" t="s">
        <v>139</v>
      </c>
      <c r="D31">
        <v>2015</v>
      </c>
      <c r="E31" s="1" t="s">
        <v>138</v>
      </c>
      <c r="F31" s="1" t="s">
        <v>141</v>
      </c>
      <c r="G31" s="1" t="s">
        <v>1</v>
      </c>
      <c r="H31" s="1" t="s">
        <v>142</v>
      </c>
      <c r="I31" s="1" t="s">
        <v>1</v>
      </c>
      <c r="J31" s="3" t="s">
        <v>143</v>
      </c>
      <c r="K31" s="1">
        <v>1</v>
      </c>
      <c r="L31" s="1">
        <v>1</v>
      </c>
      <c r="M31" s="1"/>
      <c r="N31" s="1"/>
      <c r="O31" s="1"/>
      <c r="P31" s="1"/>
      <c r="Q31" s="1"/>
      <c r="R31" s="1"/>
    </row>
    <row r="32" spans="1:18" hidden="1" x14ac:dyDescent="0.25">
      <c r="A32" s="1">
        <v>30</v>
      </c>
      <c r="B32" s="1" t="s">
        <v>145</v>
      </c>
      <c r="C32" s="1" t="s">
        <v>144</v>
      </c>
      <c r="D32">
        <v>2016</v>
      </c>
      <c r="E32" s="1" t="s">
        <v>127</v>
      </c>
      <c r="F32" s="1" t="s">
        <v>146</v>
      </c>
      <c r="G32" s="1" t="s">
        <v>1</v>
      </c>
      <c r="H32" s="1" t="s">
        <v>147</v>
      </c>
      <c r="I32" s="1" t="s">
        <v>1</v>
      </c>
      <c r="J32" s="3" t="s">
        <v>148</v>
      </c>
      <c r="K32" s="1">
        <v>-1</v>
      </c>
      <c r="L32" s="1"/>
      <c r="M32" s="1"/>
      <c r="N32" s="1"/>
      <c r="O32" s="1"/>
      <c r="P32" s="1"/>
      <c r="Q32" s="1"/>
      <c r="R32" s="1"/>
    </row>
    <row r="33" spans="1:18" hidden="1" x14ac:dyDescent="0.25">
      <c r="A33" s="1">
        <v>31</v>
      </c>
      <c r="B33" s="1" t="s">
        <v>149</v>
      </c>
      <c r="C33" s="1" t="s">
        <v>144</v>
      </c>
      <c r="D33">
        <v>2016</v>
      </c>
      <c r="E33" s="1" t="s">
        <v>127</v>
      </c>
      <c r="F33" s="1" t="s">
        <v>150</v>
      </c>
      <c r="G33" s="1" t="s">
        <v>1</v>
      </c>
      <c r="H33" s="1" t="s">
        <v>151</v>
      </c>
      <c r="I33" s="1" t="s">
        <v>1</v>
      </c>
      <c r="J33" s="3" t="s">
        <v>152</v>
      </c>
      <c r="K33" s="1">
        <v>-1</v>
      </c>
      <c r="L33" s="1"/>
      <c r="M33" s="1"/>
      <c r="N33" s="1"/>
      <c r="O33" s="1"/>
      <c r="P33" s="1"/>
      <c r="Q33" s="1"/>
      <c r="R33" s="1"/>
    </row>
    <row r="34" spans="1:18" hidden="1" x14ac:dyDescent="0.25">
      <c r="A34" s="1">
        <v>32</v>
      </c>
      <c r="B34" s="1" t="s">
        <v>154</v>
      </c>
      <c r="C34" s="1" t="s">
        <v>153</v>
      </c>
      <c r="D34">
        <v>2016</v>
      </c>
      <c r="E34" s="1" t="s">
        <v>138</v>
      </c>
      <c r="F34" s="1" t="s">
        <v>155</v>
      </c>
      <c r="G34" s="1" t="s">
        <v>1</v>
      </c>
      <c r="H34" s="1" t="s">
        <v>156</v>
      </c>
      <c r="I34" s="1" t="s">
        <v>1</v>
      </c>
      <c r="J34" s="3" t="s">
        <v>157</v>
      </c>
      <c r="K34" s="1">
        <v>-1</v>
      </c>
      <c r="L34" s="1"/>
      <c r="M34" s="1"/>
      <c r="N34" s="1"/>
      <c r="O34" s="1"/>
      <c r="P34" s="1"/>
      <c r="Q34" s="1"/>
      <c r="R34" s="1"/>
    </row>
    <row r="35" spans="1:18" hidden="1" x14ac:dyDescent="0.25">
      <c r="A35" s="1">
        <v>33</v>
      </c>
      <c r="B35" s="1" t="s">
        <v>159</v>
      </c>
      <c r="C35" s="1" t="s">
        <v>158</v>
      </c>
      <c r="D35">
        <v>2017</v>
      </c>
      <c r="E35" s="1" t="s">
        <v>116</v>
      </c>
      <c r="F35" s="1" t="s">
        <v>160</v>
      </c>
      <c r="G35" s="1" t="s">
        <v>1</v>
      </c>
      <c r="H35" s="1" t="s">
        <v>161</v>
      </c>
      <c r="I35" s="1" t="s">
        <v>1</v>
      </c>
      <c r="J35" s="3" t="s">
        <v>162</v>
      </c>
      <c r="K35" s="1">
        <v>-1</v>
      </c>
      <c r="L35" s="1"/>
      <c r="M35" s="1"/>
      <c r="N35" s="1"/>
      <c r="O35" s="1"/>
      <c r="P35" s="1"/>
      <c r="Q35" s="1"/>
      <c r="R35" s="1"/>
    </row>
    <row r="36" spans="1:18" hidden="1" x14ac:dyDescent="0.25">
      <c r="A36" s="1">
        <v>34</v>
      </c>
      <c r="B36" s="1" t="s">
        <v>165</v>
      </c>
      <c r="C36" s="1" t="s">
        <v>164</v>
      </c>
      <c r="D36">
        <v>2016</v>
      </c>
      <c r="E36" s="1" t="s">
        <v>138</v>
      </c>
      <c r="F36" s="1" t="s">
        <v>166</v>
      </c>
      <c r="G36" s="1" t="s">
        <v>1</v>
      </c>
      <c r="H36" s="1" t="s">
        <v>167</v>
      </c>
      <c r="I36" s="1" t="s">
        <v>1</v>
      </c>
      <c r="J36" s="3" t="s">
        <v>168</v>
      </c>
      <c r="K36" s="1">
        <v>1</v>
      </c>
      <c r="L36" s="1">
        <v>1</v>
      </c>
      <c r="M36" s="1"/>
      <c r="N36" s="1"/>
      <c r="O36" s="1"/>
      <c r="P36" s="1"/>
      <c r="Q36" s="1"/>
      <c r="R36" s="1"/>
    </row>
    <row r="37" spans="1:18" hidden="1" x14ac:dyDescent="0.25">
      <c r="A37" s="1">
        <v>35</v>
      </c>
      <c r="B37" s="1" t="s">
        <v>173</v>
      </c>
      <c r="C37" s="1" t="s">
        <v>172</v>
      </c>
      <c r="D37">
        <v>2017</v>
      </c>
      <c r="E37" s="1" t="s">
        <v>116</v>
      </c>
      <c r="F37" s="1" t="s">
        <v>174</v>
      </c>
      <c r="G37" s="1" t="s">
        <v>1</v>
      </c>
      <c r="H37" s="1" t="s">
        <v>175</v>
      </c>
      <c r="I37" s="1" t="s">
        <v>1</v>
      </c>
      <c r="J37" s="3" t="s">
        <v>176</v>
      </c>
      <c r="K37" s="1">
        <v>1</v>
      </c>
      <c r="L37" s="1">
        <v>1</v>
      </c>
      <c r="M37" s="1"/>
      <c r="N37" s="1"/>
      <c r="O37" s="1"/>
      <c r="P37" s="1"/>
      <c r="Q37" s="1"/>
      <c r="R37" s="1"/>
    </row>
    <row r="38" spans="1:18" hidden="1" x14ac:dyDescent="0.25">
      <c r="A38" s="1">
        <v>36</v>
      </c>
      <c r="B38" s="1" t="s">
        <v>182</v>
      </c>
      <c r="C38" s="1" t="s">
        <v>181</v>
      </c>
      <c r="D38">
        <v>2013</v>
      </c>
      <c r="E38" s="1" t="s">
        <v>138</v>
      </c>
      <c r="F38" s="1" t="s">
        <v>183</v>
      </c>
      <c r="G38" s="1" t="s">
        <v>1</v>
      </c>
      <c r="H38" s="1" t="s">
        <v>184</v>
      </c>
      <c r="I38" s="1" t="s">
        <v>1</v>
      </c>
      <c r="J38" s="3" t="s">
        <v>185</v>
      </c>
      <c r="K38" s="1">
        <v>1</v>
      </c>
      <c r="L38" s="1">
        <v>1</v>
      </c>
      <c r="M38" s="1"/>
      <c r="N38" s="1"/>
      <c r="O38" s="1"/>
      <c r="P38" s="1"/>
      <c r="Q38" s="1"/>
      <c r="R38" s="1"/>
    </row>
    <row r="39" spans="1:18" hidden="1" x14ac:dyDescent="0.25">
      <c r="A39" s="1">
        <v>37</v>
      </c>
      <c r="B39" s="1" t="s">
        <v>188</v>
      </c>
      <c r="C39" s="1" t="s">
        <v>187</v>
      </c>
      <c r="D39">
        <v>2011</v>
      </c>
      <c r="E39" s="1" t="s">
        <v>116</v>
      </c>
      <c r="F39" s="1" t="s">
        <v>189</v>
      </c>
      <c r="G39" s="1" t="s">
        <v>1</v>
      </c>
      <c r="H39" s="1" t="s">
        <v>190</v>
      </c>
      <c r="I39" s="1" t="s">
        <v>1</v>
      </c>
      <c r="J39" s="3" t="s">
        <v>191</v>
      </c>
      <c r="K39" s="1">
        <v>-1</v>
      </c>
      <c r="L39" s="1"/>
      <c r="M39" s="1"/>
      <c r="N39" s="1"/>
      <c r="O39" s="1"/>
      <c r="P39" s="1"/>
      <c r="Q39" s="1"/>
      <c r="R39" s="1"/>
    </row>
    <row r="40" spans="1:18" hidden="1" x14ac:dyDescent="0.25">
      <c r="A40" s="1">
        <v>38</v>
      </c>
      <c r="B40" s="1" t="s">
        <v>193</v>
      </c>
      <c r="C40" s="1" t="s">
        <v>192</v>
      </c>
      <c r="D40">
        <v>2011</v>
      </c>
      <c r="E40" s="1" t="s">
        <v>138</v>
      </c>
      <c r="F40" s="1" t="s">
        <v>194</v>
      </c>
      <c r="G40" s="1" t="s">
        <v>1</v>
      </c>
      <c r="H40" s="1" t="s">
        <v>195</v>
      </c>
      <c r="I40" s="1" t="s">
        <v>1</v>
      </c>
      <c r="J40" s="3" t="s">
        <v>196</v>
      </c>
      <c r="K40" s="1">
        <v>-1</v>
      </c>
      <c r="L40" s="1"/>
      <c r="M40" s="1"/>
      <c r="N40" s="1"/>
      <c r="O40" s="1"/>
      <c r="P40" s="1"/>
      <c r="Q40" s="1"/>
      <c r="R40" s="1"/>
    </row>
    <row r="41" spans="1:18" hidden="1" x14ac:dyDescent="0.25">
      <c r="A41" s="1">
        <v>39</v>
      </c>
      <c r="B41" s="1" t="s">
        <v>200</v>
      </c>
      <c r="C41" s="1" t="s">
        <v>199</v>
      </c>
      <c r="D41">
        <v>2013</v>
      </c>
      <c r="E41" s="1" t="s">
        <v>127</v>
      </c>
      <c r="F41" s="1" t="s">
        <v>201</v>
      </c>
      <c r="G41" s="1" t="s">
        <v>1</v>
      </c>
      <c r="H41" s="1" t="s">
        <v>202</v>
      </c>
      <c r="I41" s="1" t="s">
        <v>1</v>
      </c>
      <c r="J41" s="3" t="s">
        <v>203</v>
      </c>
      <c r="K41" s="1">
        <v>1</v>
      </c>
      <c r="L41" s="1">
        <v>1</v>
      </c>
      <c r="M41" s="1"/>
      <c r="N41" s="1"/>
      <c r="O41" s="1"/>
      <c r="P41" s="1"/>
      <c r="Q41" s="1"/>
      <c r="R41" s="1"/>
    </row>
    <row r="42" spans="1:18" hidden="1" x14ac:dyDescent="0.25">
      <c r="A42" s="1">
        <v>40</v>
      </c>
      <c r="B42" s="1" t="s">
        <v>205</v>
      </c>
      <c r="C42" s="1" t="s">
        <v>204</v>
      </c>
      <c r="D42">
        <v>2014</v>
      </c>
      <c r="E42" s="1" t="s">
        <v>116</v>
      </c>
      <c r="F42" s="1" t="s">
        <v>206</v>
      </c>
      <c r="G42" s="1" t="s">
        <v>1</v>
      </c>
      <c r="H42" s="1" t="s">
        <v>207</v>
      </c>
      <c r="I42" s="1" t="s">
        <v>1</v>
      </c>
      <c r="J42" s="3" t="s">
        <v>208</v>
      </c>
      <c r="K42" s="1">
        <v>-1</v>
      </c>
      <c r="L42" s="1"/>
      <c r="M42" s="1"/>
      <c r="N42" s="1"/>
      <c r="O42" s="1"/>
      <c r="P42" s="1"/>
      <c r="Q42" s="1"/>
      <c r="R42" s="1"/>
    </row>
    <row r="43" spans="1:18" hidden="1" x14ac:dyDescent="0.25">
      <c r="A43" s="1">
        <v>41</v>
      </c>
      <c r="B43" s="1" t="s">
        <v>211</v>
      </c>
      <c r="C43" s="1" t="s">
        <v>210</v>
      </c>
      <c r="D43">
        <v>2014</v>
      </c>
      <c r="E43" s="1" t="s">
        <v>127</v>
      </c>
      <c r="F43" s="1" t="s">
        <v>212</v>
      </c>
      <c r="G43" s="1" t="s">
        <v>1</v>
      </c>
      <c r="H43" s="1" t="s">
        <v>213</v>
      </c>
      <c r="I43" s="1" t="s">
        <v>1</v>
      </c>
      <c r="J43" s="3" t="s">
        <v>214</v>
      </c>
      <c r="K43" s="1">
        <v>1</v>
      </c>
      <c r="L43" s="1"/>
      <c r="M43" s="1"/>
      <c r="N43" s="1"/>
      <c r="O43" s="1"/>
      <c r="P43" s="1"/>
      <c r="Q43" s="1"/>
      <c r="R43" s="1"/>
    </row>
    <row r="44" spans="1:18" hidden="1" x14ac:dyDescent="0.25">
      <c r="A44" s="1">
        <v>42</v>
      </c>
      <c r="B44" s="1" t="s">
        <v>219</v>
      </c>
      <c r="C44" s="1" t="s">
        <v>218</v>
      </c>
      <c r="D44">
        <v>2013</v>
      </c>
      <c r="E44" s="1" t="s">
        <v>127</v>
      </c>
      <c r="F44" s="1" t="s">
        <v>220</v>
      </c>
      <c r="G44" s="1" t="s">
        <v>1</v>
      </c>
      <c r="H44" s="1" t="s">
        <v>221</v>
      </c>
      <c r="I44" s="1" t="s">
        <v>1</v>
      </c>
      <c r="J44" s="3" t="s">
        <v>222</v>
      </c>
      <c r="K44" s="1">
        <v>1</v>
      </c>
      <c r="L44" s="1">
        <v>1</v>
      </c>
      <c r="M44" s="1"/>
      <c r="N44" s="1"/>
      <c r="O44" s="1"/>
      <c r="P44" s="1"/>
      <c r="Q44" s="1"/>
      <c r="R44" s="1"/>
    </row>
    <row r="45" spans="1:18" hidden="1" x14ac:dyDescent="0.25">
      <c r="A45" s="1">
        <v>43</v>
      </c>
      <c r="B45" s="1" t="s">
        <v>225</v>
      </c>
      <c r="C45" s="1" t="s">
        <v>224</v>
      </c>
      <c r="D45">
        <v>2011</v>
      </c>
      <c r="E45" s="1" t="s">
        <v>116</v>
      </c>
      <c r="F45" s="1" t="s">
        <v>226</v>
      </c>
      <c r="G45" s="1" t="s">
        <v>1</v>
      </c>
      <c r="H45" s="1" t="s">
        <v>227</v>
      </c>
      <c r="I45" s="1" t="s">
        <v>1</v>
      </c>
      <c r="J45" s="3" t="s">
        <v>228</v>
      </c>
      <c r="K45" s="1">
        <v>-1</v>
      </c>
      <c r="L45" s="1"/>
      <c r="M45" s="1"/>
      <c r="N45" s="1"/>
      <c r="O45" s="1"/>
      <c r="P45" s="1"/>
      <c r="Q45" s="1"/>
      <c r="R45" s="1"/>
    </row>
    <row r="46" spans="1:18" hidden="1" x14ac:dyDescent="0.25">
      <c r="A46" s="1">
        <v>44</v>
      </c>
      <c r="B46" s="1" t="s">
        <v>232</v>
      </c>
      <c r="C46" s="1" t="s">
        <v>231</v>
      </c>
      <c r="D46">
        <v>2012</v>
      </c>
      <c r="E46" s="1" t="s">
        <v>116</v>
      </c>
      <c r="F46" s="1" t="s">
        <v>233</v>
      </c>
      <c r="G46" s="1" t="s">
        <v>1</v>
      </c>
      <c r="H46" s="1" t="s">
        <v>234</v>
      </c>
      <c r="I46" s="1" t="s">
        <v>1</v>
      </c>
      <c r="J46" s="3" t="s">
        <v>235</v>
      </c>
      <c r="K46" s="1">
        <v>-1</v>
      </c>
      <c r="L46" s="1"/>
      <c r="M46" s="1"/>
      <c r="N46" s="1"/>
      <c r="O46" s="1"/>
      <c r="P46" s="1"/>
      <c r="Q46" s="1"/>
      <c r="R46" s="1"/>
    </row>
    <row r="47" spans="1:18" hidden="1" x14ac:dyDescent="0.25">
      <c r="A47" s="1">
        <v>45</v>
      </c>
      <c r="B47" s="1" t="s">
        <v>236</v>
      </c>
      <c r="C47" s="1" t="s">
        <v>1</v>
      </c>
      <c r="D47">
        <v>2017</v>
      </c>
      <c r="E47" s="1" t="s">
        <v>0</v>
      </c>
      <c r="F47" s="1" t="s">
        <v>1</v>
      </c>
      <c r="G47" s="1" t="s">
        <v>237</v>
      </c>
      <c r="H47" s="1" t="s">
        <v>238</v>
      </c>
      <c r="I47" s="1" t="s">
        <v>1</v>
      </c>
      <c r="J47" s="3" t="s">
        <v>239</v>
      </c>
      <c r="K47" s="1">
        <v>-1</v>
      </c>
      <c r="L47" s="1"/>
      <c r="M47" s="1"/>
      <c r="N47" s="1"/>
      <c r="O47" s="1"/>
      <c r="P47" s="1"/>
      <c r="Q47" s="1"/>
      <c r="R47" s="1"/>
    </row>
    <row r="48" spans="1:18" hidden="1" x14ac:dyDescent="0.25">
      <c r="A48" s="1">
        <v>46</v>
      </c>
      <c r="B48" s="1" t="s">
        <v>240</v>
      </c>
      <c r="C48" s="1" t="s">
        <v>1</v>
      </c>
      <c r="D48">
        <v>2017</v>
      </c>
      <c r="E48" s="1" t="s">
        <v>0</v>
      </c>
      <c r="F48" s="1" t="s">
        <v>1</v>
      </c>
      <c r="G48" s="1" t="s">
        <v>241</v>
      </c>
      <c r="H48" s="1" t="s">
        <v>242</v>
      </c>
      <c r="I48" s="1" t="s">
        <v>1</v>
      </c>
      <c r="J48" s="3" t="s">
        <v>243</v>
      </c>
      <c r="K48" s="1">
        <v>-1</v>
      </c>
      <c r="L48" s="1"/>
      <c r="M48" s="1"/>
      <c r="N48" s="1"/>
      <c r="O48" s="1"/>
      <c r="P48" s="1"/>
      <c r="Q48" s="1"/>
      <c r="R48" s="1"/>
    </row>
    <row r="49" spans="1:18" hidden="1" x14ac:dyDescent="0.25">
      <c r="A49" s="1">
        <v>47</v>
      </c>
      <c r="B49" s="1" t="s">
        <v>246</v>
      </c>
      <c r="C49" s="1" t="s">
        <v>245</v>
      </c>
      <c r="D49">
        <v>2017</v>
      </c>
      <c r="E49" s="1" t="s">
        <v>244</v>
      </c>
      <c r="F49" s="1" t="s">
        <v>1</v>
      </c>
      <c r="G49" s="1" t="s">
        <v>247</v>
      </c>
      <c r="H49" s="1" t="s">
        <v>248</v>
      </c>
      <c r="I49" s="1" t="s">
        <v>249</v>
      </c>
      <c r="J49" s="3" t="s">
        <v>250</v>
      </c>
      <c r="K49" s="1">
        <v>1</v>
      </c>
      <c r="L49" s="1">
        <v>1</v>
      </c>
      <c r="M49" s="1"/>
      <c r="N49" s="1"/>
      <c r="O49" s="1"/>
      <c r="P49" s="1"/>
      <c r="Q49" s="1"/>
      <c r="R49" s="1"/>
    </row>
    <row r="50" spans="1:18" hidden="1" x14ac:dyDescent="0.25">
      <c r="A50" s="1">
        <v>48</v>
      </c>
      <c r="B50" s="1" t="s">
        <v>252</v>
      </c>
      <c r="C50" s="1" t="s">
        <v>251</v>
      </c>
      <c r="D50">
        <v>2017</v>
      </c>
      <c r="E50" s="1" t="s">
        <v>0</v>
      </c>
      <c r="F50" s="1" t="s">
        <v>1</v>
      </c>
      <c r="G50" s="1" t="s">
        <v>253</v>
      </c>
      <c r="H50" s="1" t="s">
        <v>254</v>
      </c>
      <c r="I50" s="1" t="s">
        <v>255</v>
      </c>
      <c r="J50" s="3" t="s">
        <v>256</v>
      </c>
      <c r="K50" s="1">
        <v>-1</v>
      </c>
      <c r="L50" s="1"/>
      <c r="M50" s="1"/>
      <c r="N50" s="1"/>
      <c r="O50" s="1"/>
      <c r="P50" s="1"/>
      <c r="Q50" s="1"/>
      <c r="R50" s="1"/>
    </row>
    <row r="51" spans="1:18" hidden="1" x14ac:dyDescent="0.25">
      <c r="A51" s="1">
        <v>49</v>
      </c>
      <c r="B51" s="1" t="s">
        <v>258</v>
      </c>
      <c r="C51" s="1" t="s">
        <v>257</v>
      </c>
      <c r="D51">
        <v>2017</v>
      </c>
      <c r="E51" s="1" t="s">
        <v>0</v>
      </c>
      <c r="F51" s="1" t="s">
        <v>1</v>
      </c>
      <c r="G51" s="1" t="s">
        <v>259</v>
      </c>
      <c r="H51" s="1" t="s">
        <v>260</v>
      </c>
      <c r="I51" s="1" t="s">
        <v>261</v>
      </c>
      <c r="J51" s="3" t="s">
        <v>262</v>
      </c>
      <c r="K51" s="1">
        <v>1</v>
      </c>
      <c r="L51" s="1">
        <v>1</v>
      </c>
      <c r="M51" s="1"/>
      <c r="N51" s="1"/>
      <c r="O51" s="1"/>
      <c r="P51" s="1"/>
      <c r="Q51" s="1"/>
      <c r="R51" s="1"/>
    </row>
    <row r="52" spans="1:18" hidden="1" x14ac:dyDescent="0.25">
      <c r="A52" s="1">
        <v>50</v>
      </c>
      <c r="B52" s="1" t="s">
        <v>264</v>
      </c>
      <c r="C52" s="1" t="s">
        <v>263</v>
      </c>
      <c r="D52">
        <v>2017</v>
      </c>
      <c r="E52" s="1" t="s">
        <v>244</v>
      </c>
      <c r="F52" s="1" t="s">
        <v>1</v>
      </c>
      <c r="G52" s="1" t="s">
        <v>247</v>
      </c>
      <c r="H52" s="1" t="s">
        <v>265</v>
      </c>
      <c r="I52" s="1" t="s">
        <v>266</v>
      </c>
      <c r="J52" s="3" t="s">
        <v>267</v>
      </c>
      <c r="K52" s="1">
        <v>-1</v>
      </c>
      <c r="L52" s="1"/>
      <c r="M52" s="1"/>
      <c r="N52" s="1"/>
      <c r="O52" s="1"/>
      <c r="P52" s="1"/>
      <c r="Q52" s="1"/>
      <c r="R52" s="1"/>
    </row>
    <row r="53" spans="1:18" hidden="1" x14ac:dyDescent="0.25">
      <c r="A53" s="1">
        <v>51</v>
      </c>
      <c r="B53" s="1" t="s">
        <v>269</v>
      </c>
      <c r="C53" s="1" t="s">
        <v>268</v>
      </c>
      <c r="D53">
        <v>2017</v>
      </c>
      <c r="E53" s="1" t="s">
        <v>244</v>
      </c>
      <c r="F53" s="1" t="s">
        <v>1</v>
      </c>
      <c r="G53" s="1" t="s">
        <v>247</v>
      </c>
      <c r="H53" s="1" t="s">
        <v>270</v>
      </c>
      <c r="I53" s="1" t="s">
        <v>271</v>
      </c>
      <c r="J53" s="3" t="s">
        <v>272</v>
      </c>
      <c r="K53" s="1">
        <v>1</v>
      </c>
      <c r="L53" s="1">
        <v>1</v>
      </c>
      <c r="M53" s="1"/>
      <c r="N53" s="1"/>
      <c r="O53" s="1"/>
      <c r="P53" s="1"/>
      <c r="Q53" s="1"/>
      <c r="R53" s="1"/>
    </row>
    <row r="54" spans="1:18" hidden="1" x14ac:dyDescent="0.25">
      <c r="A54" s="1">
        <v>52</v>
      </c>
      <c r="B54" s="1" t="s">
        <v>274</v>
      </c>
      <c r="C54" s="1" t="s">
        <v>1</v>
      </c>
      <c r="D54">
        <v>2010</v>
      </c>
      <c r="E54" s="1" t="s">
        <v>0</v>
      </c>
      <c r="F54" s="1" t="s">
        <v>1</v>
      </c>
      <c r="G54" s="1" t="s">
        <v>1</v>
      </c>
      <c r="H54" s="1" t="s">
        <v>275</v>
      </c>
      <c r="I54" s="1" t="s">
        <v>1</v>
      </c>
      <c r="J54" s="3" t="s">
        <v>276</v>
      </c>
      <c r="K54" s="1">
        <v>-1</v>
      </c>
      <c r="L54" s="1"/>
      <c r="M54" s="1"/>
      <c r="N54" s="1"/>
      <c r="O54" s="1"/>
      <c r="P54" s="1"/>
      <c r="Q54" s="1"/>
      <c r="R54" s="1"/>
    </row>
    <row r="55" spans="1:18" hidden="1" x14ac:dyDescent="0.25">
      <c r="A55" s="1">
        <v>53</v>
      </c>
      <c r="B55" s="1" t="s">
        <v>277</v>
      </c>
      <c r="C55" s="1" t="s">
        <v>1</v>
      </c>
      <c r="D55">
        <v>2010</v>
      </c>
      <c r="E55" s="1" t="s">
        <v>0</v>
      </c>
      <c r="F55" s="1" t="s">
        <v>1</v>
      </c>
      <c r="G55" s="1" t="s">
        <v>1</v>
      </c>
      <c r="H55" s="1" t="s">
        <v>278</v>
      </c>
      <c r="I55" s="1" t="s">
        <v>1</v>
      </c>
      <c r="J55" s="3" t="s">
        <v>279</v>
      </c>
      <c r="K55" s="1">
        <v>-1</v>
      </c>
      <c r="L55" s="1"/>
      <c r="M55" s="1"/>
      <c r="N55" s="1"/>
      <c r="O55" s="1"/>
      <c r="P55" s="1"/>
      <c r="Q55" s="1"/>
      <c r="R55" s="1"/>
    </row>
    <row r="56" spans="1:18" hidden="1" x14ac:dyDescent="0.25">
      <c r="A56" s="1">
        <v>54</v>
      </c>
      <c r="B56" s="1" t="s">
        <v>280</v>
      </c>
      <c r="C56" s="1" t="s">
        <v>1</v>
      </c>
      <c r="D56">
        <v>2010</v>
      </c>
      <c r="E56" s="1" t="s">
        <v>244</v>
      </c>
      <c r="F56" s="1" t="s">
        <v>1</v>
      </c>
      <c r="G56" s="1" t="s">
        <v>247</v>
      </c>
      <c r="H56" s="1" t="s">
        <v>281</v>
      </c>
      <c r="I56" s="1" t="s">
        <v>1</v>
      </c>
      <c r="J56" s="3" t="s">
        <v>282</v>
      </c>
      <c r="K56" s="1">
        <v>-1</v>
      </c>
      <c r="L56" s="1"/>
      <c r="M56" s="1"/>
      <c r="N56" s="1"/>
      <c r="O56" s="1"/>
      <c r="P56" s="1"/>
      <c r="Q56" s="1"/>
      <c r="R56" s="1"/>
    </row>
    <row r="57" spans="1:18" hidden="1" x14ac:dyDescent="0.25">
      <c r="A57" s="1">
        <v>55</v>
      </c>
      <c r="B57" s="1" t="s">
        <v>283</v>
      </c>
      <c r="C57" s="1" t="s">
        <v>1</v>
      </c>
      <c r="D57">
        <v>2011</v>
      </c>
      <c r="E57" s="1" t="s">
        <v>0</v>
      </c>
      <c r="F57" s="1" t="s">
        <v>1</v>
      </c>
      <c r="G57" s="1" t="s">
        <v>1</v>
      </c>
      <c r="H57" s="1" t="s">
        <v>284</v>
      </c>
      <c r="I57" s="1" t="s">
        <v>1</v>
      </c>
      <c r="J57" s="3" t="s">
        <v>285</v>
      </c>
      <c r="K57" s="1">
        <v>-1</v>
      </c>
      <c r="L57" s="1"/>
      <c r="M57" s="1"/>
      <c r="N57" s="1"/>
      <c r="O57" s="1"/>
      <c r="P57" s="1"/>
      <c r="Q57" s="1"/>
      <c r="R57" s="1"/>
    </row>
    <row r="58" spans="1:18" hidden="1" x14ac:dyDescent="0.25">
      <c r="A58" s="1">
        <v>56</v>
      </c>
      <c r="B58" s="1" t="s">
        <v>286</v>
      </c>
      <c r="C58" s="1" t="s">
        <v>1</v>
      </c>
      <c r="D58">
        <v>2011</v>
      </c>
      <c r="E58" s="1" t="s">
        <v>0</v>
      </c>
      <c r="F58" s="1" t="s">
        <v>1</v>
      </c>
      <c r="G58" s="1" t="s">
        <v>1</v>
      </c>
      <c r="H58" s="1" t="s">
        <v>287</v>
      </c>
      <c r="I58" s="1" t="s">
        <v>1</v>
      </c>
      <c r="J58" s="3" t="s">
        <v>288</v>
      </c>
      <c r="K58" s="1">
        <v>-1</v>
      </c>
      <c r="L58" s="1"/>
      <c r="M58" s="1"/>
      <c r="N58" s="1"/>
      <c r="O58" s="1"/>
      <c r="P58" s="1"/>
      <c r="Q58" s="1"/>
      <c r="R58" s="1"/>
    </row>
    <row r="59" spans="1:18" hidden="1" x14ac:dyDescent="0.25">
      <c r="A59" s="1">
        <v>57</v>
      </c>
      <c r="B59" s="1" t="s">
        <v>289</v>
      </c>
      <c r="C59" s="1" t="s">
        <v>1</v>
      </c>
      <c r="D59">
        <v>2011</v>
      </c>
      <c r="E59" s="1" t="s">
        <v>0</v>
      </c>
      <c r="F59" s="1" t="s">
        <v>1</v>
      </c>
      <c r="G59" s="1" t="s">
        <v>1</v>
      </c>
      <c r="H59" s="1" t="s">
        <v>290</v>
      </c>
      <c r="I59" s="1" t="s">
        <v>1</v>
      </c>
      <c r="J59" s="3" t="s">
        <v>291</v>
      </c>
      <c r="K59" s="1">
        <v>-1</v>
      </c>
      <c r="L59" s="1"/>
      <c r="M59" s="1"/>
      <c r="N59" s="1"/>
      <c r="O59" s="1"/>
      <c r="P59" s="1"/>
      <c r="Q59" s="1"/>
      <c r="R59" s="1"/>
    </row>
    <row r="60" spans="1:18" hidden="1" x14ac:dyDescent="0.25">
      <c r="A60" s="1">
        <v>58</v>
      </c>
      <c r="B60" s="1" t="s">
        <v>292</v>
      </c>
      <c r="C60" s="1" t="s">
        <v>1</v>
      </c>
      <c r="D60">
        <v>2011</v>
      </c>
      <c r="E60" s="1" t="s">
        <v>0</v>
      </c>
      <c r="F60" s="1" t="s">
        <v>1</v>
      </c>
      <c r="G60" s="1" t="s">
        <v>1</v>
      </c>
      <c r="H60" s="1" t="s">
        <v>293</v>
      </c>
      <c r="I60" s="1" t="s">
        <v>1</v>
      </c>
      <c r="J60" s="3" t="s">
        <v>294</v>
      </c>
      <c r="K60" s="1">
        <v>-1</v>
      </c>
      <c r="L60" s="1"/>
      <c r="M60" s="1"/>
      <c r="N60" s="1"/>
      <c r="O60" s="1"/>
      <c r="P60" s="1"/>
      <c r="Q60" s="1"/>
      <c r="R60" s="1"/>
    </row>
    <row r="61" spans="1:18" hidden="1" x14ac:dyDescent="0.25">
      <c r="A61" s="1">
        <v>59</v>
      </c>
      <c r="B61" s="1" t="s">
        <v>295</v>
      </c>
      <c r="C61" s="1" t="s">
        <v>1</v>
      </c>
      <c r="D61">
        <v>2011</v>
      </c>
      <c r="E61" s="1" t="s">
        <v>0</v>
      </c>
      <c r="F61" s="1" t="s">
        <v>1</v>
      </c>
      <c r="G61" s="1" t="s">
        <v>1</v>
      </c>
      <c r="H61" s="1" t="s">
        <v>296</v>
      </c>
      <c r="I61" s="1" t="s">
        <v>1</v>
      </c>
      <c r="J61" s="3" t="s">
        <v>294</v>
      </c>
      <c r="K61" s="1">
        <v>-1</v>
      </c>
      <c r="L61" s="1"/>
      <c r="M61" s="1"/>
      <c r="N61" s="1"/>
      <c r="O61" s="1"/>
      <c r="P61" s="1"/>
      <c r="Q61" s="1"/>
      <c r="R61" s="1"/>
    </row>
    <row r="62" spans="1:18" hidden="1" x14ac:dyDescent="0.25">
      <c r="A62" s="1">
        <v>60</v>
      </c>
      <c r="B62" s="1" t="s">
        <v>297</v>
      </c>
      <c r="C62" s="1" t="s">
        <v>1</v>
      </c>
      <c r="D62">
        <v>2011</v>
      </c>
      <c r="E62" s="1" t="s">
        <v>0</v>
      </c>
      <c r="F62" s="1" t="s">
        <v>1</v>
      </c>
      <c r="G62" s="1" t="s">
        <v>1</v>
      </c>
      <c r="H62" s="1" t="s">
        <v>298</v>
      </c>
      <c r="I62" s="1" t="s">
        <v>1</v>
      </c>
      <c r="J62" s="3" t="s">
        <v>299</v>
      </c>
      <c r="K62" s="1">
        <v>-1</v>
      </c>
      <c r="L62" s="1"/>
      <c r="M62" s="1"/>
      <c r="N62" s="1"/>
      <c r="O62" s="1"/>
      <c r="P62" s="1"/>
      <c r="Q62" s="1"/>
      <c r="R62" s="1"/>
    </row>
    <row r="63" spans="1:18" hidden="1" x14ac:dyDescent="0.25">
      <c r="A63" s="1">
        <v>61</v>
      </c>
      <c r="B63" s="1" t="s">
        <v>300</v>
      </c>
      <c r="C63" s="1" t="s">
        <v>1</v>
      </c>
      <c r="D63">
        <v>2011</v>
      </c>
      <c r="E63" s="1" t="s">
        <v>244</v>
      </c>
      <c r="F63" s="1" t="s">
        <v>1</v>
      </c>
      <c r="G63" s="1" t="s">
        <v>247</v>
      </c>
      <c r="H63" s="1" t="s">
        <v>301</v>
      </c>
      <c r="I63" s="1" t="s">
        <v>1</v>
      </c>
      <c r="J63" s="3" t="s">
        <v>302</v>
      </c>
      <c r="K63" s="1">
        <v>-1</v>
      </c>
      <c r="L63" s="1"/>
      <c r="M63" s="1"/>
      <c r="N63" s="1"/>
      <c r="O63" s="1"/>
      <c r="P63" s="1"/>
      <c r="Q63" s="1"/>
      <c r="R63" s="1"/>
    </row>
    <row r="64" spans="1:18" hidden="1" x14ac:dyDescent="0.25">
      <c r="A64" s="1">
        <v>62</v>
      </c>
      <c r="B64" s="1" t="s">
        <v>303</v>
      </c>
      <c r="C64" s="1" t="s">
        <v>1</v>
      </c>
      <c r="D64">
        <v>2012</v>
      </c>
      <c r="E64" s="1" t="s">
        <v>244</v>
      </c>
      <c r="F64" s="1" t="s">
        <v>1</v>
      </c>
      <c r="G64" s="1" t="s">
        <v>1</v>
      </c>
      <c r="H64" s="1" t="s">
        <v>304</v>
      </c>
      <c r="I64" s="1" t="s">
        <v>1</v>
      </c>
      <c r="J64" s="3" t="s">
        <v>305</v>
      </c>
      <c r="K64" s="1">
        <v>-1</v>
      </c>
      <c r="L64" s="1"/>
      <c r="M64" s="1"/>
      <c r="N64" s="1"/>
      <c r="O64" s="1"/>
      <c r="P64" s="1"/>
      <c r="Q64" s="1"/>
      <c r="R64" s="1"/>
    </row>
    <row r="65" spans="1:18" hidden="1" x14ac:dyDescent="0.25">
      <c r="A65" s="1">
        <v>63</v>
      </c>
      <c r="B65" s="1" t="s">
        <v>295</v>
      </c>
      <c r="C65" s="1" t="s">
        <v>1</v>
      </c>
      <c r="D65">
        <v>2012</v>
      </c>
      <c r="E65" s="1" t="s">
        <v>0</v>
      </c>
      <c r="F65" s="1" t="s">
        <v>1</v>
      </c>
      <c r="G65" s="1" t="s">
        <v>1</v>
      </c>
      <c r="H65" s="1" t="s">
        <v>306</v>
      </c>
      <c r="I65" s="1" t="s">
        <v>1</v>
      </c>
      <c r="J65" s="3" t="s">
        <v>294</v>
      </c>
      <c r="K65" s="1">
        <v>-1</v>
      </c>
      <c r="L65" s="1"/>
      <c r="M65" s="1"/>
      <c r="N65" s="1"/>
      <c r="O65" s="1"/>
      <c r="P65" s="1"/>
      <c r="Q65" s="1"/>
      <c r="R65" s="1"/>
    </row>
    <row r="66" spans="1:18" hidden="1" x14ac:dyDescent="0.25">
      <c r="A66" s="1">
        <v>64</v>
      </c>
      <c r="B66" s="1" t="s">
        <v>307</v>
      </c>
      <c r="C66" s="1" t="s">
        <v>1</v>
      </c>
      <c r="D66">
        <v>2012</v>
      </c>
      <c r="E66" s="1" t="s">
        <v>0</v>
      </c>
      <c r="F66" s="1" t="s">
        <v>1</v>
      </c>
      <c r="G66" s="1" t="s">
        <v>1</v>
      </c>
      <c r="H66" s="1" t="s">
        <v>308</v>
      </c>
      <c r="I66" s="1" t="s">
        <v>1</v>
      </c>
      <c r="J66" s="3" t="s">
        <v>294</v>
      </c>
      <c r="K66" s="1">
        <v>-1</v>
      </c>
      <c r="L66" s="1"/>
      <c r="M66" s="1"/>
      <c r="N66" s="1"/>
      <c r="O66" s="1"/>
      <c r="P66" s="1"/>
      <c r="Q66" s="1"/>
      <c r="R66" s="1"/>
    </row>
    <row r="67" spans="1:18" hidden="1" x14ac:dyDescent="0.25">
      <c r="A67" s="1">
        <v>65</v>
      </c>
      <c r="B67" s="1" t="s">
        <v>309</v>
      </c>
      <c r="C67" s="1" t="s">
        <v>1</v>
      </c>
      <c r="D67">
        <v>2012</v>
      </c>
      <c r="E67" s="1" t="s">
        <v>0</v>
      </c>
      <c r="F67" s="1" t="s">
        <v>1</v>
      </c>
      <c r="G67" s="1" t="s">
        <v>1</v>
      </c>
      <c r="H67" s="1" t="s">
        <v>310</v>
      </c>
      <c r="I67" s="1" t="s">
        <v>1</v>
      </c>
      <c r="J67" s="3" t="s">
        <v>294</v>
      </c>
      <c r="K67" s="1">
        <v>-1</v>
      </c>
      <c r="L67" s="1"/>
      <c r="M67" s="1"/>
      <c r="N67" s="1"/>
      <c r="O67" s="1"/>
      <c r="P67" s="1"/>
      <c r="Q67" s="1"/>
      <c r="R67" s="1"/>
    </row>
    <row r="68" spans="1:18" hidden="1" x14ac:dyDescent="0.25">
      <c r="A68" s="1">
        <v>66</v>
      </c>
      <c r="B68" s="1" t="s">
        <v>311</v>
      </c>
      <c r="C68" s="1" t="s">
        <v>1</v>
      </c>
      <c r="D68">
        <v>2012</v>
      </c>
      <c r="E68" s="1" t="s">
        <v>0</v>
      </c>
      <c r="F68" s="1" t="s">
        <v>1</v>
      </c>
      <c r="G68" s="1" t="s">
        <v>1</v>
      </c>
      <c r="H68" s="1" t="s">
        <v>312</v>
      </c>
      <c r="I68" s="1" t="s">
        <v>1</v>
      </c>
      <c r="J68" s="3" t="s">
        <v>294</v>
      </c>
      <c r="K68" s="1">
        <v>-1</v>
      </c>
      <c r="L68" s="1"/>
      <c r="M68" s="1"/>
      <c r="N68" s="1"/>
      <c r="O68" s="1"/>
      <c r="P68" s="1"/>
      <c r="Q68" s="1"/>
      <c r="R68" s="1"/>
    </row>
    <row r="69" spans="1:18" hidden="1" x14ac:dyDescent="0.25">
      <c r="A69" s="1">
        <v>67</v>
      </c>
      <c r="B69" s="1" t="s">
        <v>292</v>
      </c>
      <c r="C69" s="1" t="s">
        <v>1</v>
      </c>
      <c r="D69">
        <v>2012</v>
      </c>
      <c r="E69" s="1" t="s">
        <v>0</v>
      </c>
      <c r="F69" s="1" t="s">
        <v>1</v>
      </c>
      <c r="G69" s="1" t="s">
        <v>1</v>
      </c>
      <c r="H69" s="1" t="s">
        <v>313</v>
      </c>
      <c r="I69" s="1" t="s">
        <v>1</v>
      </c>
      <c r="J69" s="3" t="s">
        <v>294</v>
      </c>
      <c r="K69" s="1">
        <v>-1</v>
      </c>
      <c r="L69" s="1"/>
      <c r="M69" s="1"/>
      <c r="N69" s="1"/>
      <c r="O69" s="1"/>
      <c r="P69" s="1"/>
      <c r="Q69" s="1"/>
      <c r="R69" s="1"/>
    </row>
    <row r="70" spans="1:18" hidden="1" x14ac:dyDescent="0.25">
      <c r="A70" s="1">
        <v>68</v>
      </c>
      <c r="B70" s="1" t="s">
        <v>314</v>
      </c>
      <c r="C70" s="1" t="s">
        <v>1</v>
      </c>
      <c r="D70">
        <v>2012</v>
      </c>
      <c r="E70" s="1" t="s">
        <v>0</v>
      </c>
      <c r="F70" s="1" t="s">
        <v>1</v>
      </c>
      <c r="G70" s="1" t="s">
        <v>1</v>
      </c>
      <c r="H70" s="1" t="s">
        <v>315</v>
      </c>
      <c r="I70" s="1" t="s">
        <v>1</v>
      </c>
      <c r="J70" s="3" t="s">
        <v>316</v>
      </c>
      <c r="K70" s="1">
        <v>-1</v>
      </c>
      <c r="L70" s="1"/>
      <c r="M70" s="1"/>
      <c r="N70" s="1"/>
      <c r="O70" s="1"/>
      <c r="P70" s="1"/>
      <c r="Q70" s="1"/>
      <c r="R70" s="1"/>
    </row>
    <row r="71" spans="1:18" hidden="1" x14ac:dyDescent="0.25">
      <c r="A71" s="1">
        <v>69</v>
      </c>
      <c r="B71" s="1" t="s">
        <v>317</v>
      </c>
      <c r="C71" s="1" t="s">
        <v>1</v>
      </c>
      <c r="D71">
        <v>2012</v>
      </c>
      <c r="E71" s="1" t="s">
        <v>244</v>
      </c>
      <c r="F71" s="1" t="s">
        <v>1</v>
      </c>
      <c r="G71" s="1" t="s">
        <v>247</v>
      </c>
      <c r="H71" s="1" t="s">
        <v>318</v>
      </c>
      <c r="I71" s="1" t="s">
        <v>1</v>
      </c>
      <c r="J71" s="3" t="s">
        <v>319</v>
      </c>
      <c r="K71" s="1">
        <v>-1</v>
      </c>
      <c r="L71" s="1"/>
      <c r="M71" s="1"/>
      <c r="N71" s="1"/>
      <c r="O71" s="1"/>
      <c r="P71" s="1"/>
      <c r="Q71" s="1"/>
      <c r="R71" s="1"/>
    </row>
    <row r="72" spans="1:18" hidden="1" x14ac:dyDescent="0.25">
      <c r="A72" s="1">
        <v>70</v>
      </c>
      <c r="B72" s="1" t="s">
        <v>320</v>
      </c>
      <c r="C72" s="1" t="s">
        <v>1</v>
      </c>
      <c r="D72">
        <v>2013</v>
      </c>
      <c r="E72" s="1" t="s">
        <v>244</v>
      </c>
      <c r="F72" s="1" t="s">
        <v>1</v>
      </c>
      <c r="G72" s="1" t="s">
        <v>247</v>
      </c>
      <c r="H72" s="1" t="s">
        <v>321</v>
      </c>
      <c r="I72" s="1" t="s">
        <v>1</v>
      </c>
      <c r="J72" s="3" t="s">
        <v>322</v>
      </c>
      <c r="K72" s="1">
        <v>-1</v>
      </c>
      <c r="L72" s="1"/>
      <c r="M72" s="1"/>
      <c r="N72" s="1"/>
      <c r="O72" s="1"/>
      <c r="P72" s="1"/>
      <c r="Q72" s="1"/>
      <c r="R72" s="1"/>
    </row>
    <row r="73" spans="1:18" hidden="1" x14ac:dyDescent="0.25">
      <c r="A73" s="1">
        <v>71</v>
      </c>
      <c r="B73" s="1" t="s">
        <v>323</v>
      </c>
      <c r="C73" s="1" t="s">
        <v>1</v>
      </c>
      <c r="D73">
        <v>2013</v>
      </c>
      <c r="E73" s="1" t="s">
        <v>244</v>
      </c>
      <c r="F73" s="1" t="s">
        <v>1</v>
      </c>
      <c r="G73" s="1" t="s">
        <v>247</v>
      </c>
      <c r="H73" s="1" t="s">
        <v>324</v>
      </c>
      <c r="I73" s="1" t="s">
        <v>1</v>
      </c>
      <c r="J73" s="3" t="s">
        <v>325</v>
      </c>
      <c r="K73" s="1">
        <v>-1</v>
      </c>
      <c r="L73" s="1"/>
      <c r="M73" s="1"/>
      <c r="N73" s="1"/>
      <c r="O73" s="1"/>
      <c r="P73" s="1"/>
      <c r="Q73" s="1"/>
      <c r="R73" s="1"/>
    </row>
    <row r="74" spans="1:18" hidden="1" x14ac:dyDescent="0.25">
      <c r="A74" s="1">
        <v>72</v>
      </c>
      <c r="B74" s="1" t="s">
        <v>326</v>
      </c>
      <c r="C74" s="1" t="s">
        <v>1</v>
      </c>
      <c r="D74">
        <v>2013</v>
      </c>
      <c r="E74" s="1" t="s">
        <v>244</v>
      </c>
      <c r="F74" s="1" t="s">
        <v>1</v>
      </c>
      <c r="G74" s="1" t="s">
        <v>247</v>
      </c>
      <c r="H74" s="1" t="s">
        <v>327</v>
      </c>
      <c r="I74" s="1" t="s">
        <v>1</v>
      </c>
      <c r="J74" s="3" t="s">
        <v>328</v>
      </c>
      <c r="K74" s="1">
        <v>-1</v>
      </c>
      <c r="L74" s="1"/>
      <c r="M74" s="1"/>
      <c r="N74" s="1"/>
      <c r="O74" s="1"/>
      <c r="P74" s="1"/>
      <c r="Q74" s="1"/>
      <c r="R74" s="1"/>
    </row>
    <row r="75" spans="1:18" hidden="1" x14ac:dyDescent="0.25">
      <c r="A75" s="1">
        <v>73</v>
      </c>
      <c r="B75" s="1" t="s">
        <v>329</v>
      </c>
      <c r="C75" s="1" t="s">
        <v>1</v>
      </c>
      <c r="D75">
        <v>2013</v>
      </c>
      <c r="E75" s="1" t="s">
        <v>244</v>
      </c>
      <c r="F75" s="1" t="s">
        <v>1</v>
      </c>
      <c r="G75" s="1" t="s">
        <v>247</v>
      </c>
      <c r="H75" s="1" t="s">
        <v>330</v>
      </c>
      <c r="I75" s="1" t="s">
        <v>1</v>
      </c>
      <c r="J75" s="3" t="s">
        <v>331</v>
      </c>
      <c r="K75" s="1">
        <v>-1</v>
      </c>
      <c r="L75" s="1"/>
      <c r="M75" s="1"/>
      <c r="N75" s="1"/>
      <c r="O75" s="1"/>
      <c r="P75" s="1"/>
      <c r="Q75" s="1"/>
      <c r="R75" s="1"/>
    </row>
    <row r="76" spans="1:18" hidden="1" x14ac:dyDescent="0.25">
      <c r="A76" s="1">
        <v>74</v>
      </c>
      <c r="B76" s="1" t="s">
        <v>332</v>
      </c>
      <c r="C76" s="1" t="s">
        <v>1</v>
      </c>
      <c r="D76">
        <v>2014</v>
      </c>
      <c r="E76" s="1" t="s">
        <v>0</v>
      </c>
      <c r="F76" s="1" t="s">
        <v>1</v>
      </c>
      <c r="G76" s="1" t="s">
        <v>237</v>
      </c>
      <c r="H76" s="1" t="s">
        <v>333</v>
      </c>
      <c r="I76" s="1" t="s">
        <v>1</v>
      </c>
      <c r="J76" s="3" t="s">
        <v>334</v>
      </c>
      <c r="K76" s="1">
        <v>-1</v>
      </c>
      <c r="L76" s="1"/>
      <c r="M76" s="1"/>
      <c r="N76" s="1"/>
      <c r="O76" s="1"/>
      <c r="P76" s="1"/>
      <c r="Q76" s="1"/>
      <c r="R76" s="1"/>
    </row>
    <row r="77" spans="1:18" hidden="1" x14ac:dyDescent="0.25">
      <c r="A77" s="1">
        <v>75</v>
      </c>
      <c r="B77" s="1" t="s">
        <v>335</v>
      </c>
      <c r="C77" s="1" t="s">
        <v>1</v>
      </c>
      <c r="D77">
        <v>2014</v>
      </c>
      <c r="E77" s="1" t="s">
        <v>0</v>
      </c>
      <c r="F77" s="1" t="s">
        <v>1</v>
      </c>
      <c r="G77" s="1" t="s">
        <v>336</v>
      </c>
      <c r="H77" s="1" t="s">
        <v>337</v>
      </c>
      <c r="I77" s="1" t="s">
        <v>1</v>
      </c>
      <c r="J77" s="3" t="s">
        <v>338</v>
      </c>
      <c r="K77" s="1">
        <v>-1</v>
      </c>
      <c r="L77" s="1"/>
      <c r="M77" s="1"/>
      <c r="N77" s="1"/>
      <c r="O77" s="1"/>
      <c r="P77" s="1"/>
      <c r="Q77" s="1"/>
      <c r="R77" s="1"/>
    </row>
    <row r="78" spans="1:18" hidden="1" x14ac:dyDescent="0.25">
      <c r="A78" s="1">
        <v>76</v>
      </c>
      <c r="B78" s="1" t="s">
        <v>339</v>
      </c>
      <c r="C78" s="1" t="s">
        <v>1</v>
      </c>
      <c r="D78">
        <v>2014</v>
      </c>
      <c r="E78" s="1" t="s">
        <v>0</v>
      </c>
      <c r="F78" s="1" t="s">
        <v>1</v>
      </c>
      <c r="G78" s="1" t="s">
        <v>259</v>
      </c>
      <c r="H78" s="1" t="s">
        <v>340</v>
      </c>
      <c r="I78" s="1" t="s">
        <v>1</v>
      </c>
      <c r="J78" s="3" t="s">
        <v>341</v>
      </c>
      <c r="K78" s="1">
        <v>-1</v>
      </c>
      <c r="L78" s="1"/>
      <c r="M78" s="1"/>
      <c r="N78" s="1"/>
      <c r="O78" s="1"/>
      <c r="P78" s="1"/>
      <c r="Q78" s="1"/>
      <c r="R78" s="1"/>
    </row>
    <row r="79" spans="1:18" hidden="1" x14ac:dyDescent="0.25">
      <c r="A79" s="1">
        <v>77</v>
      </c>
      <c r="B79" s="1" t="s">
        <v>342</v>
      </c>
      <c r="C79" s="1" t="s">
        <v>1</v>
      </c>
      <c r="D79">
        <v>2014</v>
      </c>
      <c r="E79" s="1" t="s">
        <v>244</v>
      </c>
      <c r="F79" s="1" t="s">
        <v>1</v>
      </c>
      <c r="G79" s="1" t="s">
        <v>247</v>
      </c>
      <c r="H79" s="1" t="s">
        <v>343</v>
      </c>
      <c r="I79" s="1" t="s">
        <v>1</v>
      </c>
      <c r="J79" s="3" t="s">
        <v>344</v>
      </c>
      <c r="K79" s="1">
        <v>-1</v>
      </c>
      <c r="L79" s="1"/>
      <c r="M79" s="1"/>
      <c r="N79" s="1"/>
      <c r="O79" s="1"/>
      <c r="P79" s="1"/>
      <c r="Q79" s="1"/>
      <c r="R79" s="1"/>
    </row>
    <row r="80" spans="1:18" hidden="1" x14ac:dyDescent="0.25">
      <c r="A80" s="1">
        <v>78</v>
      </c>
      <c r="B80" s="1" t="s">
        <v>345</v>
      </c>
      <c r="C80" s="1" t="s">
        <v>1</v>
      </c>
      <c r="D80">
        <v>2014</v>
      </c>
      <c r="E80" s="1" t="s">
        <v>244</v>
      </c>
      <c r="F80" s="1" t="s">
        <v>1</v>
      </c>
      <c r="G80" s="1" t="s">
        <v>247</v>
      </c>
      <c r="H80" s="1" t="s">
        <v>346</v>
      </c>
      <c r="I80" s="1" t="s">
        <v>1</v>
      </c>
      <c r="J80" s="3" t="s">
        <v>347</v>
      </c>
      <c r="K80" s="1">
        <v>-1</v>
      </c>
      <c r="L80" s="1"/>
      <c r="M80" s="1"/>
      <c r="N80" s="1"/>
      <c r="O80" s="1"/>
      <c r="P80" s="1"/>
      <c r="Q80" s="1"/>
      <c r="R80" s="1"/>
    </row>
    <row r="81" spans="1:18" hidden="1" x14ac:dyDescent="0.25">
      <c r="A81" s="1">
        <v>79</v>
      </c>
      <c r="B81" s="1" t="s">
        <v>348</v>
      </c>
      <c r="C81" s="1" t="s">
        <v>1</v>
      </c>
      <c r="D81">
        <v>2014</v>
      </c>
      <c r="E81" s="1" t="s">
        <v>244</v>
      </c>
      <c r="F81" s="1" t="s">
        <v>1</v>
      </c>
      <c r="G81" s="1" t="s">
        <v>349</v>
      </c>
      <c r="H81" s="1" t="s">
        <v>350</v>
      </c>
      <c r="I81" s="1" t="s">
        <v>1</v>
      </c>
      <c r="J81" s="3" t="s">
        <v>351</v>
      </c>
      <c r="K81" s="1">
        <v>-1</v>
      </c>
      <c r="L81" s="1"/>
      <c r="M81" s="1"/>
      <c r="N81" s="1"/>
      <c r="O81" s="1"/>
      <c r="P81" s="1"/>
      <c r="Q81" s="1"/>
      <c r="R81" s="1"/>
    </row>
    <row r="82" spans="1:18" hidden="1" x14ac:dyDescent="0.25">
      <c r="A82" s="1">
        <v>80</v>
      </c>
      <c r="B82" s="1" t="s">
        <v>352</v>
      </c>
      <c r="C82" s="1" t="s">
        <v>1</v>
      </c>
      <c r="D82">
        <v>2014</v>
      </c>
      <c r="E82" s="1" t="s">
        <v>0</v>
      </c>
      <c r="F82" s="1" t="s">
        <v>1</v>
      </c>
      <c r="G82" s="1" t="s">
        <v>353</v>
      </c>
      <c r="H82" s="1" t="s">
        <v>354</v>
      </c>
      <c r="I82" s="1" t="s">
        <v>1</v>
      </c>
      <c r="J82" s="3" t="s">
        <v>355</v>
      </c>
      <c r="K82" s="1">
        <v>-1</v>
      </c>
      <c r="L82" s="1"/>
      <c r="M82" s="1"/>
      <c r="N82" s="1"/>
      <c r="O82" s="1"/>
      <c r="P82" s="1"/>
      <c r="Q82" s="1"/>
      <c r="R82" s="1"/>
    </row>
    <row r="83" spans="1:18" hidden="1" x14ac:dyDescent="0.25">
      <c r="A83" s="1">
        <v>81</v>
      </c>
      <c r="B83" s="1" t="s">
        <v>356</v>
      </c>
      <c r="C83" s="1" t="s">
        <v>1</v>
      </c>
      <c r="D83">
        <v>2015</v>
      </c>
      <c r="E83" s="1" t="s">
        <v>0</v>
      </c>
      <c r="F83" s="1" t="s">
        <v>1</v>
      </c>
      <c r="G83" s="1" t="s">
        <v>237</v>
      </c>
      <c r="H83" s="1" t="s">
        <v>357</v>
      </c>
      <c r="I83" s="1" t="s">
        <v>1</v>
      </c>
      <c r="J83" s="3" t="s">
        <v>358</v>
      </c>
      <c r="K83" s="1">
        <v>-1</v>
      </c>
      <c r="L83" s="1"/>
      <c r="M83" s="1"/>
      <c r="N83" s="1"/>
      <c r="O83" s="1"/>
      <c r="P83" s="1"/>
      <c r="Q83" s="1"/>
      <c r="R83" s="1"/>
    </row>
    <row r="84" spans="1:18" hidden="1" x14ac:dyDescent="0.25">
      <c r="A84" s="1">
        <v>82</v>
      </c>
      <c r="B84" s="1" t="s">
        <v>359</v>
      </c>
      <c r="C84" s="1" t="s">
        <v>1</v>
      </c>
      <c r="D84">
        <v>2015</v>
      </c>
      <c r="E84" s="1" t="s">
        <v>0</v>
      </c>
      <c r="F84" s="1" t="s">
        <v>1</v>
      </c>
      <c r="G84" s="1" t="s">
        <v>360</v>
      </c>
      <c r="H84" s="1" t="s">
        <v>361</v>
      </c>
      <c r="I84" s="1" t="s">
        <v>1</v>
      </c>
      <c r="J84" s="3" t="s">
        <v>362</v>
      </c>
      <c r="K84" s="1">
        <v>1</v>
      </c>
      <c r="L84" s="1">
        <v>-1</v>
      </c>
      <c r="M84" s="1"/>
      <c r="N84" s="1"/>
      <c r="O84" s="1"/>
      <c r="P84" s="1"/>
      <c r="Q84" s="1"/>
      <c r="R84" s="1"/>
    </row>
    <row r="85" spans="1:18" hidden="1" x14ac:dyDescent="0.25">
      <c r="A85" s="1">
        <v>83</v>
      </c>
      <c r="B85" s="1" t="s">
        <v>363</v>
      </c>
      <c r="C85" s="1" t="s">
        <v>1</v>
      </c>
      <c r="D85">
        <v>2015</v>
      </c>
      <c r="E85" s="1" t="s">
        <v>0</v>
      </c>
      <c r="F85" s="1" t="s">
        <v>1</v>
      </c>
      <c r="G85" s="1" t="s">
        <v>259</v>
      </c>
      <c r="H85" s="1" t="s">
        <v>364</v>
      </c>
      <c r="I85" s="1" t="s">
        <v>1</v>
      </c>
      <c r="J85" s="3" t="s">
        <v>365</v>
      </c>
      <c r="K85" s="1">
        <v>-1</v>
      </c>
      <c r="L85" s="1"/>
      <c r="M85" s="1"/>
      <c r="N85" s="1"/>
      <c r="O85" s="1"/>
      <c r="P85" s="1"/>
      <c r="Q85" s="1"/>
      <c r="R85" s="1"/>
    </row>
    <row r="86" spans="1:18" hidden="1" x14ac:dyDescent="0.25">
      <c r="A86" s="1">
        <v>84</v>
      </c>
      <c r="B86" s="1" t="s">
        <v>366</v>
      </c>
      <c r="C86" s="1" t="s">
        <v>1</v>
      </c>
      <c r="D86">
        <v>2015</v>
      </c>
      <c r="E86" s="1" t="s">
        <v>244</v>
      </c>
      <c r="F86" s="1" t="s">
        <v>1</v>
      </c>
      <c r="G86" s="1" t="s">
        <v>247</v>
      </c>
      <c r="H86" s="1" t="s">
        <v>367</v>
      </c>
      <c r="I86" s="1" t="s">
        <v>1</v>
      </c>
      <c r="J86" s="3" t="s">
        <v>368</v>
      </c>
      <c r="K86" s="1">
        <v>-1</v>
      </c>
      <c r="L86" s="1"/>
      <c r="M86" s="1"/>
      <c r="N86" s="1"/>
      <c r="O86" s="1"/>
      <c r="P86" s="1"/>
      <c r="Q86" s="1"/>
      <c r="R86" s="1"/>
    </row>
    <row r="87" spans="1:18" hidden="1" x14ac:dyDescent="0.25">
      <c r="A87" s="1">
        <v>85</v>
      </c>
      <c r="B87" s="1" t="s">
        <v>369</v>
      </c>
      <c r="C87" s="1" t="s">
        <v>1</v>
      </c>
      <c r="D87">
        <v>2015</v>
      </c>
      <c r="E87" s="1" t="s">
        <v>244</v>
      </c>
      <c r="F87" s="1" t="s">
        <v>1</v>
      </c>
      <c r="G87" s="1" t="s">
        <v>247</v>
      </c>
      <c r="H87" s="1" t="s">
        <v>370</v>
      </c>
      <c r="I87" s="1" t="s">
        <v>1</v>
      </c>
      <c r="J87" s="3" t="s">
        <v>371</v>
      </c>
      <c r="K87" s="1">
        <v>-1</v>
      </c>
      <c r="L87" s="1"/>
      <c r="M87" s="1"/>
      <c r="N87" s="1"/>
      <c r="O87" s="1"/>
      <c r="P87" s="1"/>
      <c r="Q87" s="1"/>
      <c r="R87" s="1"/>
    </row>
    <row r="88" spans="1:18" hidden="1" x14ac:dyDescent="0.25">
      <c r="A88" s="1">
        <v>86</v>
      </c>
      <c r="B88" s="1" t="s">
        <v>372</v>
      </c>
      <c r="C88" s="1" t="s">
        <v>1</v>
      </c>
      <c r="D88">
        <v>2016</v>
      </c>
      <c r="E88" s="1" t="s">
        <v>244</v>
      </c>
      <c r="F88" s="1" t="s">
        <v>1</v>
      </c>
      <c r="G88" s="1" t="s">
        <v>247</v>
      </c>
      <c r="H88" s="1" t="s">
        <v>373</v>
      </c>
      <c r="I88" s="1" t="s">
        <v>1</v>
      </c>
      <c r="J88" s="3" t="s">
        <v>374</v>
      </c>
      <c r="K88" s="1">
        <v>-1</v>
      </c>
      <c r="L88" s="1"/>
      <c r="M88" s="1"/>
      <c r="N88" s="1"/>
      <c r="O88" s="1"/>
      <c r="P88" s="1"/>
      <c r="Q88" s="1"/>
      <c r="R88" s="1"/>
    </row>
    <row r="89" spans="1:18" hidden="1" x14ac:dyDescent="0.25">
      <c r="A89" s="1">
        <v>87</v>
      </c>
      <c r="B89" s="1" t="s">
        <v>375</v>
      </c>
      <c r="C89" s="1" t="s">
        <v>1</v>
      </c>
      <c r="D89">
        <v>2016</v>
      </c>
      <c r="E89" s="1" t="s">
        <v>244</v>
      </c>
      <c r="F89" s="1" t="s">
        <v>1</v>
      </c>
      <c r="G89" s="1" t="s">
        <v>247</v>
      </c>
      <c r="H89" s="1" t="s">
        <v>376</v>
      </c>
      <c r="I89" s="1" t="s">
        <v>1</v>
      </c>
      <c r="J89" s="3" t="s">
        <v>377</v>
      </c>
      <c r="K89" s="1">
        <v>-1</v>
      </c>
      <c r="L89" s="1"/>
      <c r="M89" s="1"/>
      <c r="N89" s="1"/>
      <c r="O89" s="1"/>
      <c r="P89" s="1"/>
      <c r="Q89" s="1"/>
      <c r="R89" s="1"/>
    </row>
    <row r="90" spans="1:18" hidden="1" x14ac:dyDescent="0.25">
      <c r="A90" s="1">
        <v>88</v>
      </c>
      <c r="B90" s="1" t="s">
        <v>378</v>
      </c>
      <c r="C90" s="1" t="s">
        <v>1</v>
      </c>
      <c r="D90">
        <v>2016</v>
      </c>
      <c r="E90" s="1" t="s">
        <v>0</v>
      </c>
      <c r="F90" s="1" t="s">
        <v>1</v>
      </c>
      <c r="G90" s="1" t="s">
        <v>336</v>
      </c>
      <c r="H90" s="1" t="s">
        <v>379</v>
      </c>
      <c r="I90" s="1" t="s">
        <v>1</v>
      </c>
      <c r="J90" s="3" t="s">
        <v>380</v>
      </c>
      <c r="K90" s="1">
        <v>-1</v>
      </c>
      <c r="L90" s="1"/>
      <c r="M90" s="1"/>
      <c r="N90" s="1"/>
      <c r="O90" s="1"/>
      <c r="P90" s="1"/>
      <c r="Q90" s="1"/>
      <c r="R90" s="1"/>
    </row>
    <row r="91" spans="1:18" hidden="1" x14ac:dyDescent="0.25">
      <c r="A91" s="1">
        <v>89</v>
      </c>
      <c r="B91" s="1" t="s">
        <v>363</v>
      </c>
      <c r="C91" s="1" t="s">
        <v>1</v>
      </c>
      <c r="D91">
        <v>2017</v>
      </c>
      <c r="E91" s="1" t="s">
        <v>0</v>
      </c>
      <c r="F91" s="1" t="s">
        <v>1</v>
      </c>
      <c r="G91" s="1" t="s">
        <v>259</v>
      </c>
      <c r="H91" s="1" t="s">
        <v>381</v>
      </c>
      <c r="I91" s="1" t="s">
        <v>1</v>
      </c>
      <c r="J91" s="3" t="s">
        <v>382</v>
      </c>
      <c r="K91" s="1">
        <v>-1</v>
      </c>
      <c r="L91" s="1"/>
      <c r="M91" s="1"/>
      <c r="N91" s="1"/>
      <c r="O91" s="1"/>
      <c r="P91" s="1"/>
      <c r="Q91" s="1"/>
      <c r="R91" s="1"/>
    </row>
    <row r="92" spans="1:18" hidden="1" x14ac:dyDescent="0.25">
      <c r="A92" s="1">
        <v>90</v>
      </c>
      <c r="B92" s="1" t="s">
        <v>383</v>
      </c>
      <c r="C92" s="1" t="s">
        <v>1</v>
      </c>
      <c r="D92">
        <v>2017</v>
      </c>
      <c r="E92" s="1" t="s">
        <v>244</v>
      </c>
      <c r="F92" s="1" t="s">
        <v>1</v>
      </c>
      <c r="G92" s="1" t="s">
        <v>247</v>
      </c>
      <c r="H92" s="1" t="s">
        <v>384</v>
      </c>
      <c r="I92" s="1" t="s">
        <v>1</v>
      </c>
      <c r="J92" s="3" t="s">
        <v>385</v>
      </c>
      <c r="K92" s="1">
        <v>-1</v>
      </c>
      <c r="L92" s="1"/>
      <c r="M92" s="1"/>
      <c r="N92" s="1"/>
      <c r="O92" s="1"/>
      <c r="P92" s="1"/>
      <c r="Q92" s="1"/>
      <c r="R92" s="1"/>
    </row>
    <row r="93" spans="1:18" hidden="1" x14ac:dyDescent="0.25">
      <c r="A93" s="1">
        <v>91</v>
      </c>
      <c r="B93" s="1" t="s">
        <v>386</v>
      </c>
      <c r="C93" s="1" t="s">
        <v>1</v>
      </c>
      <c r="D93">
        <v>2017</v>
      </c>
      <c r="E93" s="1" t="s">
        <v>244</v>
      </c>
      <c r="F93" s="1" t="s">
        <v>1</v>
      </c>
      <c r="G93" s="1" t="s">
        <v>247</v>
      </c>
      <c r="H93" s="1" t="s">
        <v>387</v>
      </c>
      <c r="I93" s="1" t="s">
        <v>1</v>
      </c>
      <c r="J93" s="3" t="s">
        <v>388</v>
      </c>
      <c r="K93" s="1">
        <v>-1</v>
      </c>
      <c r="L93" s="1"/>
      <c r="M93" s="1"/>
      <c r="N93" s="1"/>
      <c r="O93" s="1"/>
      <c r="P93" s="1"/>
      <c r="Q93" s="1"/>
      <c r="R93" s="1"/>
    </row>
    <row r="94" spans="1:18" hidden="1" x14ac:dyDescent="0.25">
      <c r="A94" s="1">
        <v>92</v>
      </c>
      <c r="B94" s="1" t="s">
        <v>389</v>
      </c>
      <c r="C94" s="1" t="s">
        <v>1</v>
      </c>
      <c r="D94">
        <v>2017</v>
      </c>
      <c r="E94" s="1" t="s">
        <v>244</v>
      </c>
      <c r="F94" s="1" t="s">
        <v>1</v>
      </c>
      <c r="G94" s="1" t="s">
        <v>247</v>
      </c>
      <c r="H94" s="1" t="s">
        <v>390</v>
      </c>
      <c r="I94" s="1" t="s">
        <v>1</v>
      </c>
      <c r="J94" s="3" t="s">
        <v>391</v>
      </c>
      <c r="K94" s="1">
        <v>-1</v>
      </c>
      <c r="L94" s="1"/>
      <c r="M94" s="1"/>
      <c r="N94" s="1"/>
      <c r="O94" s="1"/>
      <c r="P94" s="1"/>
      <c r="Q94" s="1"/>
      <c r="R94" s="1"/>
    </row>
    <row r="95" spans="1:18" hidden="1" x14ac:dyDescent="0.25">
      <c r="A95" s="1">
        <v>93</v>
      </c>
      <c r="B95" s="1" t="s">
        <v>392</v>
      </c>
      <c r="C95" s="1" t="s">
        <v>1</v>
      </c>
      <c r="D95">
        <v>2017</v>
      </c>
      <c r="E95" s="1" t="s">
        <v>244</v>
      </c>
      <c r="F95" s="1" t="s">
        <v>1</v>
      </c>
      <c r="G95" s="1" t="s">
        <v>247</v>
      </c>
      <c r="H95" s="1" t="s">
        <v>393</v>
      </c>
      <c r="I95" s="1" t="s">
        <v>1</v>
      </c>
      <c r="J95" s="3" t="s">
        <v>394</v>
      </c>
      <c r="K95" s="1">
        <v>-1</v>
      </c>
      <c r="L95" s="1"/>
      <c r="M95" s="1"/>
      <c r="N95" s="1"/>
      <c r="O95" s="1"/>
      <c r="P95" s="1"/>
      <c r="Q95" s="1"/>
      <c r="R95" s="1"/>
    </row>
    <row r="96" spans="1:18" hidden="1" x14ac:dyDescent="0.25">
      <c r="A96" s="1">
        <v>94</v>
      </c>
      <c r="B96" s="1" t="s">
        <v>396</v>
      </c>
      <c r="C96" s="1" t="s">
        <v>395</v>
      </c>
      <c r="D96">
        <v>2013</v>
      </c>
      <c r="E96" s="1" t="s">
        <v>116</v>
      </c>
      <c r="F96" s="1" t="s">
        <v>397</v>
      </c>
      <c r="G96" s="1" t="s">
        <v>398</v>
      </c>
      <c r="H96" s="1" t="s">
        <v>399</v>
      </c>
      <c r="I96" s="1" t="s">
        <v>400</v>
      </c>
      <c r="J96" s="3" t="s">
        <v>401</v>
      </c>
      <c r="K96" s="1">
        <v>1</v>
      </c>
      <c r="L96" s="1">
        <v>1</v>
      </c>
      <c r="M96" s="1"/>
      <c r="N96" s="1"/>
      <c r="O96" s="1"/>
      <c r="P96" s="1"/>
      <c r="Q96" s="1"/>
      <c r="R96" s="1"/>
    </row>
    <row r="97" spans="1:18" hidden="1" x14ac:dyDescent="0.25">
      <c r="A97" s="1">
        <v>95</v>
      </c>
      <c r="B97" s="1" t="s">
        <v>403</v>
      </c>
      <c r="C97" s="1" t="s">
        <v>402</v>
      </c>
      <c r="D97">
        <v>2014</v>
      </c>
      <c r="E97" s="1" t="s">
        <v>244</v>
      </c>
      <c r="F97" s="1" t="s">
        <v>1</v>
      </c>
      <c r="G97" s="1" t="s">
        <v>247</v>
      </c>
      <c r="H97" s="1" t="s">
        <v>404</v>
      </c>
      <c r="I97" s="1" t="s">
        <v>405</v>
      </c>
      <c r="J97" s="3" t="s">
        <v>406</v>
      </c>
      <c r="K97" s="1">
        <v>-1</v>
      </c>
      <c r="L97" s="1"/>
      <c r="M97" s="1"/>
      <c r="N97" s="1"/>
      <c r="O97" s="1"/>
      <c r="P97" s="1"/>
      <c r="Q97" s="1"/>
      <c r="R97" s="1"/>
    </row>
    <row r="98" spans="1:18" hidden="1" x14ac:dyDescent="0.25">
      <c r="A98" s="1">
        <v>96</v>
      </c>
      <c r="B98" s="1" t="s">
        <v>408</v>
      </c>
      <c r="C98" s="1" t="s">
        <v>407</v>
      </c>
      <c r="D98">
        <v>2014</v>
      </c>
      <c r="E98" s="1" t="s">
        <v>244</v>
      </c>
      <c r="F98" s="1" t="s">
        <v>1</v>
      </c>
      <c r="G98" s="1" t="s">
        <v>247</v>
      </c>
      <c r="H98" s="1" t="s">
        <v>409</v>
      </c>
      <c r="I98" s="1" t="s">
        <v>410</v>
      </c>
      <c r="J98" s="3" t="s">
        <v>411</v>
      </c>
      <c r="K98" s="1">
        <v>1</v>
      </c>
      <c r="L98" s="1">
        <v>1</v>
      </c>
      <c r="M98" s="1"/>
      <c r="N98" s="1"/>
      <c r="O98" s="1"/>
      <c r="P98" s="1"/>
      <c r="Q98" s="1"/>
      <c r="R98" s="1"/>
    </row>
    <row r="99" spans="1:18" hidden="1" x14ac:dyDescent="0.25">
      <c r="A99" s="1">
        <v>97</v>
      </c>
      <c r="B99" s="1" t="s">
        <v>413</v>
      </c>
      <c r="C99" s="1" t="s">
        <v>412</v>
      </c>
      <c r="D99">
        <v>2011</v>
      </c>
      <c r="E99" s="1" t="s">
        <v>138</v>
      </c>
      <c r="F99" s="1" t="s">
        <v>413</v>
      </c>
      <c r="G99" s="1" t="s">
        <v>414</v>
      </c>
      <c r="H99" s="1" t="s">
        <v>415</v>
      </c>
      <c r="I99" s="1" t="s">
        <v>1</v>
      </c>
      <c r="J99" s="3" t="s">
        <v>416</v>
      </c>
      <c r="K99" s="1">
        <v>-1</v>
      </c>
      <c r="L99" s="1"/>
      <c r="M99" s="1"/>
      <c r="N99" s="1"/>
      <c r="O99" s="1"/>
      <c r="P99" s="1"/>
      <c r="Q99" s="1"/>
      <c r="R99" s="1"/>
    </row>
    <row r="100" spans="1:18" hidden="1" x14ac:dyDescent="0.25">
      <c r="A100" s="1">
        <v>98</v>
      </c>
      <c r="B100" s="1" t="s">
        <v>418</v>
      </c>
      <c r="C100" s="1" t="s">
        <v>417</v>
      </c>
      <c r="D100">
        <v>2015</v>
      </c>
      <c r="E100" s="1" t="s">
        <v>0</v>
      </c>
      <c r="F100" s="1" t="s">
        <v>1</v>
      </c>
      <c r="G100" s="1" t="s">
        <v>237</v>
      </c>
      <c r="H100" s="1" t="s">
        <v>419</v>
      </c>
      <c r="I100" s="1" t="s">
        <v>420</v>
      </c>
      <c r="J100" s="3" t="s">
        <v>421</v>
      </c>
      <c r="K100" s="1">
        <v>-1</v>
      </c>
      <c r="L100" s="1"/>
      <c r="M100" s="1"/>
      <c r="N100" s="1"/>
      <c r="O100" s="1"/>
      <c r="P100" s="1"/>
      <c r="Q100" s="1"/>
      <c r="R100" s="1"/>
    </row>
    <row r="101" spans="1:18" hidden="1" x14ac:dyDescent="0.25">
      <c r="A101" s="1">
        <v>99</v>
      </c>
      <c r="B101" s="1" t="s">
        <v>423</v>
      </c>
      <c r="C101" s="1" t="s">
        <v>422</v>
      </c>
      <c r="D101">
        <v>2010</v>
      </c>
      <c r="E101" s="1" t="s">
        <v>0</v>
      </c>
      <c r="F101" s="1" t="s">
        <v>1</v>
      </c>
      <c r="G101" s="1" t="s">
        <v>1</v>
      </c>
      <c r="H101" s="1" t="s">
        <v>424</v>
      </c>
      <c r="I101" s="1" t="s">
        <v>425</v>
      </c>
      <c r="J101" s="3" t="s">
        <v>426</v>
      </c>
      <c r="K101" s="1">
        <v>-1</v>
      </c>
      <c r="L101" s="1"/>
      <c r="M101" s="1"/>
      <c r="N101" s="1"/>
      <c r="O101" s="1"/>
      <c r="P101" s="1"/>
      <c r="Q101" s="1"/>
      <c r="R101" s="1"/>
    </row>
    <row r="102" spans="1:18" hidden="1" x14ac:dyDescent="0.25">
      <c r="A102" s="1">
        <v>100</v>
      </c>
      <c r="B102" s="1" t="s">
        <v>427</v>
      </c>
      <c r="C102" s="1" t="s">
        <v>179</v>
      </c>
      <c r="D102">
        <v>2012</v>
      </c>
      <c r="E102" s="1" t="s">
        <v>0</v>
      </c>
      <c r="F102" s="1" t="s">
        <v>1</v>
      </c>
      <c r="G102" s="1" t="s">
        <v>1</v>
      </c>
      <c r="H102" s="1" t="s">
        <v>428</v>
      </c>
      <c r="I102" s="1" t="s">
        <v>429</v>
      </c>
      <c r="J102" s="3" t="s">
        <v>430</v>
      </c>
      <c r="K102" s="1">
        <v>1</v>
      </c>
      <c r="L102" s="1">
        <v>1</v>
      </c>
      <c r="M102" s="1"/>
      <c r="N102" s="1"/>
      <c r="O102" s="1"/>
      <c r="P102" s="1"/>
      <c r="Q102" s="1"/>
      <c r="R102" s="1"/>
    </row>
    <row r="103" spans="1:18" hidden="1" x14ac:dyDescent="0.25">
      <c r="A103" s="1">
        <v>101</v>
      </c>
      <c r="B103" s="1" t="s">
        <v>432</v>
      </c>
      <c r="C103" s="1" t="s">
        <v>431</v>
      </c>
      <c r="D103">
        <v>2014</v>
      </c>
      <c r="E103" s="1" t="s">
        <v>244</v>
      </c>
      <c r="F103" s="1" t="s">
        <v>1</v>
      </c>
      <c r="G103" s="1" t="s">
        <v>247</v>
      </c>
      <c r="H103" s="1" t="s">
        <v>433</v>
      </c>
      <c r="I103" s="1" t="s">
        <v>434</v>
      </c>
      <c r="J103" s="3" t="s">
        <v>435</v>
      </c>
      <c r="K103" s="1">
        <v>1</v>
      </c>
      <c r="L103" s="1">
        <v>-1</v>
      </c>
      <c r="M103" s="1"/>
      <c r="N103" s="1"/>
      <c r="O103" s="1"/>
      <c r="P103" s="1"/>
      <c r="Q103" s="1"/>
      <c r="R103" s="1"/>
    </row>
    <row r="104" spans="1:18" hidden="1" x14ac:dyDescent="0.25">
      <c r="A104" s="1">
        <v>102</v>
      </c>
      <c r="B104" s="1" t="s">
        <v>436</v>
      </c>
      <c r="C104" s="1" t="s">
        <v>180</v>
      </c>
      <c r="D104">
        <v>2010</v>
      </c>
      <c r="E104" s="1" t="s">
        <v>0</v>
      </c>
      <c r="F104" s="1" t="s">
        <v>1</v>
      </c>
      <c r="G104" s="1" t="s">
        <v>1</v>
      </c>
      <c r="H104" s="1" t="s">
        <v>437</v>
      </c>
      <c r="I104" s="1" t="s">
        <v>438</v>
      </c>
      <c r="J104" s="3" t="s">
        <v>439</v>
      </c>
      <c r="K104" s="1">
        <v>-1</v>
      </c>
      <c r="L104" s="1"/>
      <c r="M104" s="1"/>
      <c r="N104" s="1"/>
      <c r="O104" s="1"/>
      <c r="P104" s="1"/>
      <c r="Q104" s="1"/>
      <c r="R104" s="1"/>
    </row>
    <row r="105" spans="1:18" hidden="1" x14ac:dyDescent="0.25">
      <c r="A105" s="1">
        <v>103</v>
      </c>
      <c r="B105" s="1" t="s">
        <v>440</v>
      </c>
      <c r="C105" s="1" t="s">
        <v>180</v>
      </c>
      <c r="D105">
        <v>2010</v>
      </c>
      <c r="E105" s="1" t="s">
        <v>244</v>
      </c>
      <c r="F105" s="1" t="s">
        <v>1</v>
      </c>
      <c r="G105" s="1" t="s">
        <v>247</v>
      </c>
      <c r="H105" s="1" t="s">
        <v>441</v>
      </c>
      <c r="I105" s="1" t="s">
        <v>442</v>
      </c>
      <c r="J105" s="3" t="s">
        <v>443</v>
      </c>
      <c r="K105" s="1">
        <v>-1</v>
      </c>
      <c r="L105" s="1"/>
      <c r="M105" s="1"/>
      <c r="N105" s="1"/>
      <c r="O105" s="1"/>
      <c r="P105" s="1"/>
      <c r="Q105" s="1"/>
      <c r="R105" s="1"/>
    </row>
    <row r="106" spans="1:18" hidden="1" x14ac:dyDescent="0.25">
      <c r="A106" s="1">
        <v>104</v>
      </c>
      <c r="B106" s="1" t="s">
        <v>445</v>
      </c>
      <c r="C106" s="1" t="s">
        <v>444</v>
      </c>
      <c r="D106">
        <v>2013</v>
      </c>
      <c r="E106" s="1" t="s">
        <v>127</v>
      </c>
      <c r="F106" s="1" t="s">
        <v>446</v>
      </c>
      <c r="G106" s="1" t="s">
        <v>447</v>
      </c>
      <c r="H106" s="1" t="s">
        <v>448</v>
      </c>
      <c r="I106" s="1" t="s">
        <v>449</v>
      </c>
      <c r="J106" s="3" t="s">
        <v>450</v>
      </c>
      <c r="K106" s="1">
        <v>-1</v>
      </c>
      <c r="L106" s="1"/>
      <c r="M106" s="1"/>
      <c r="N106" s="1"/>
      <c r="O106" s="1"/>
      <c r="P106" s="1"/>
      <c r="Q106" s="1"/>
      <c r="R106" s="1"/>
    </row>
    <row r="107" spans="1:18" hidden="1" x14ac:dyDescent="0.25">
      <c r="A107" s="1">
        <v>105</v>
      </c>
      <c r="B107" s="1" t="s">
        <v>452</v>
      </c>
      <c r="C107" s="1" t="s">
        <v>451</v>
      </c>
      <c r="D107">
        <v>2012</v>
      </c>
      <c r="E107" s="1" t="s">
        <v>0</v>
      </c>
      <c r="F107" s="1" t="s">
        <v>1</v>
      </c>
      <c r="G107" s="1" t="s">
        <v>1</v>
      </c>
      <c r="H107" s="1" t="s">
        <v>453</v>
      </c>
      <c r="I107" s="1" t="s">
        <v>454</v>
      </c>
      <c r="J107" s="3" t="s">
        <v>455</v>
      </c>
      <c r="K107" s="1">
        <v>-1</v>
      </c>
      <c r="L107" s="1"/>
      <c r="M107" s="1"/>
      <c r="N107" s="1"/>
      <c r="O107" s="1"/>
      <c r="P107" s="1"/>
      <c r="Q107" s="1"/>
      <c r="R107" s="1"/>
    </row>
    <row r="108" spans="1:18" hidden="1" x14ac:dyDescent="0.25">
      <c r="A108" s="1">
        <v>106</v>
      </c>
      <c r="B108" s="1" t="s">
        <v>457</v>
      </c>
      <c r="C108" s="1" t="s">
        <v>456</v>
      </c>
      <c r="D108">
        <v>2014</v>
      </c>
      <c r="E108" s="1" t="s">
        <v>244</v>
      </c>
      <c r="F108" s="1" t="s">
        <v>1</v>
      </c>
      <c r="G108" s="1" t="s">
        <v>247</v>
      </c>
      <c r="H108" s="1" t="s">
        <v>458</v>
      </c>
      <c r="I108" s="1" t="s">
        <v>459</v>
      </c>
      <c r="J108" s="3" t="s">
        <v>460</v>
      </c>
      <c r="K108" s="1">
        <v>1</v>
      </c>
      <c r="L108" s="1">
        <v>-1</v>
      </c>
      <c r="M108" s="1"/>
      <c r="N108" s="1"/>
      <c r="O108" s="1"/>
      <c r="P108" s="1"/>
      <c r="Q108" s="1"/>
      <c r="R108" s="1"/>
    </row>
    <row r="109" spans="1:18" hidden="1" x14ac:dyDescent="0.25">
      <c r="A109" s="1">
        <v>107</v>
      </c>
      <c r="B109" s="1" t="s">
        <v>462</v>
      </c>
      <c r="C109" s="1" t="s">
        <v>461</v>
      </c>
      <c r="D109">
        <v>2016</v>
      </c>
      <c r="E109" s="1" t="s">
        <v>0</v>
      </c>
      <c r="F109" s="1" t="s">
        <v>1</v>
      </c>
      <c r="G109" s="1" t="s">
        <v>241</v>
      </c>
      <c r="H109" s="1" t="s">
        <v>463</v>
      </c>
      <c r="I109" s="1" t="s">
        <v>464</v>
      </c>
      <c r="J109" s="3" t="s">
        <v>465</v>
      </c>
      <c r="K109" s="1">
        <v>-1</v>
      </c>
      <c r="L109" s="1"/>
      <c r="M109" s="1"/>
      <c r="N109" s="1"/>
      <c r="O109" s="1"/>
      <c r="P109" s="1"/>
      <c r="Q109" s="1"/>
      <c r="R109" s="1"/>
    </row>
    <row r="110" spans="1:18" hidden="1" x14ac:dyDescent="0.25">
      <c r="A110" s="1">
        <v>108</v>
      </c>
      <c r="B110" s="7" t="s">
        <v>467</v>
      </c>
      <c r="C110" s="1" t="s">
        <v>466</v>
      </c>
      <c r="D110">
        <v>2010</v>
      </c>
      <c r="E110" s="1" t="s">
        <v>0</v>
      </c>
      <c r="F110" s="1" t="s">
        <v>1</v>
      </c>
      <c r="G110" s="1" t="s">
        <v>1</v>
      </c>
      <c r="H110" s="1" t="s">
        <v>468</v>
      </c>
      <c r="I110" s="1" t="s">
        <v>469</v>
      </c>
      <c r="J110" s="3" t="s">
        <v>470</v>
      </c>
      <c r="K110" s="1">
        <v>1</v>
      </c>
      <c r="L110" s="1">
        <v>1</v>
      </c>
      <c r="M110" s="1"/>
      <c r="N110" s="1"/>
      <c r="O110" s="1"/>
      <c r="P110" s="1"/>
      <c r="Q110" s="1"/>
      <c r="R110" s="1"/>
    </row>
    <row r="111" spans="1:18" hidden="1" x14ac:dyDescent="0.25">
      <c r="A111" s="1">
        <v>109</v>
      </c>
      <c r="B111" s="1" t="s">
        <v>472</v>
      </c>
      <c r="C111" s="1" t="s">
        <v>471</v>
      </c>
      <c r="D111">
        <v>2016</v>
      </c>
      <c r="E111" s="1" t="s">
        <v>116</v>
      </c>
      <c r="F111" s="1" t="s">
        <v>473</v>
      </c>
      <c r="G111" s="1" t="s">
        <v>474</v>
      </c>
      <c r="H111" s="1" t="s">
        <v>475</v>
      </c>
      <c r="I111" s="1" t="s">
        <v>476</v>
      </c>
      <c r="J111" s="3" t="s">
        <v>477</v>
      </c>
      <c r="K111" s="1">
        <v>-1</v>
      </c>
      <c r="L111" s="1"/>
      <c r="M111" s="1"/>
      <c r="N111" s="1"/>
      <c r="O111" s="1"/>
      <c r="P111" s="1"/>
      <c r="Q111" s="1"/>
      <c r="R111" s="1"/>
    </row>
    <row r="112" spans="1:18" hidden="1" x14ac:dyDescent="0.25">
      <c r="A112" s="1">
        <v>110</v>
      </c>
      <c r="B112" s="1" t="s">
        <v>479</v>
      </c>
      <c r="C112" s="1" t="s">
        <v>478</v>
      </c>
      <c r="D112">
        <v>2012</v>
      </c>
      <c r="E112" s="1" t="s">
        <v>244</v>
      </c>
      <c r="F112" s="1" t="s">
        <v>1</v>
      </c>
      <c r="G112" s="1" t="s">
        <v>1</v>
      </c>
      <c r="H112" s="1" t="s">
        <v>480</v>
      </c>
      <c r="I112" s="1" t="s">
        <v>481</v>
      </c>
      <c r="J112" s="3" t="s">
        <v>482</v>
      </c>
      <c r="K112" s="1">
        <v>1</v>
      </c>
      <c r="L112" s="1">
        <v>1</v>
      </c>
      <c r="M112" s="1"/>
      <c r="N112" s="1"/>
      <c r="O112" s="1"/>
      <c r="P112" s="1"/>
      <c r="Q112" s="1"/>
      <c r="R112" s="1"/>
    </row>
    <row r="113" spans="1:18" hidden="1" x14ac:dyDescent="0.25">
      <c r="A113" s="1">
        <v>111</v>
      </c>
      <c r="B113" s="1" t="s">
        <v>484</v>
      </c>
      <c r="C113" s="1" t="s">
        <v>483</v>
      </c>
      <c r="D113">
        <v>2012</v>
      </c>
      <c r="E113" s="1" t="s">
        <v>116</v>
      </c>
      <c r="F113" s="1" t="s">
        <v>186</v>
      </c>
      <c r="G113" s="1" t="s">
        <v>485</v>
      </c>
      <c r="H113" s="1" t="s">
        <v>486</v>
      </c>
      <c r="I113" s="1" t="s">
        <v>487</v>
      </c>
      <c r="J113" s="3" t="s">
        <v>488</v>
      </c>
      <c r="K113" s="1">
        <v>-1</v>
      </c>
      <c r="L113" s="1"/>
      <c r="M113" s="1"/>
      <c r="N113" s="1"/>
      <c r="O113" s="1"/>
      <c r="P113" s="1"/>
      <c r="Q113" s="1"/>
      <c r="R113" s="1"/>
    </row>
    <row r="114" spans="1:18" hidden="1" x14ac:dyDescent="0.25">
      <c r="A114" s="1">
        <v>112</v>
      </c>
      <c r="B114" s="7" t="s">
        <v>490</v>
      </c>
      <c r="C114" s="1" t="s">
        <v>489</v>
      </c>
      <c r="D114">
        <v>2013</v>
      </c>
      <c r="E114" s="1" t="s">
        <v>0</v>
      </c>
      <c r="F114" s="1" t="s">
        <v>1</v>
      </c>
      <c r="G114" s="1" t="s">
        <v>336</v>
      </c>
      <c r="H114" s="1" t="s">
        <v>491</v>
      </c>
      <c r="I114" s="1" t="s">
        <v>492</v>
      </c>
      <c r="J114" s="3" t="s">
        <v>493</v>
      </c>
      <c r="K114" s="1">
        <v>1</v>
      </c>
      <c r="L114" s="1">
        <v>1</v>
      </c>
      <c r="M114" s="1"/>
      <c r="N114" s="1"/>
      <c r="O114" s="1"/>
      <c r="P114" s="1"/>
      <c r="Q114" s="1"/>
      <c r="R114" s="1"/>
    </row>
    <row r="115" spans="1:18" hidden="1" x14ac:dyDescent="0.25">
      <c r="A115" s="1">
        <v>113</v>
      </c>
      <c r="B115" s="1" t="s">
        <v>198</v>
      </c>
      <c r="C115" s="1" t="s">
        <v>197</v>
      </c>
      <c r="D115">
        <v>2013</v>
      </c>
      <c r="E115" s="1" t="s">
        <v>244</v>
      </c>
      <c r="F115" s="1" t="s">
        <v>1</v>
      </c>
      <c r="G115" s="1" t="s">
        <v>247</v>
      </c>
      <c r="H115" s="1" t="s">
        <v>494</v>
      </c>
      <c r="I115" s="1" t="s">
        <v>495</v>
      </c>
      <c r="J115" s="3" t="s">
        <v>496</v>
      </c>
      <c r="K115" s="1">
        <v>-1</v>
      </c>
      <c r="L115" s="1"/>
      <c r="M115" s="1"/>
      <c r="N115" s="1"/>
      <c r="O115" s="1"/>
      <c r="P115" s="1"/>
      <c r="Q115" s="1"/>
      <c r="R115" s="1"/>
    </row>
    <row r="116" spans="1:18" hidden="1" x14ac:dyDescent="0.25">
      <c r="A116" s="1">
        <v>114</v>
      </c>
      <c r="B116" s="1" t="s">
        <v>498</v>
      </c>
      <c r="C116" s="1" t="s">
        <v>497</v>
      </c>
      <c r="D116">
        <v>2017</v>
      </c>
      <c r="E116" s="1" t="s">
        <v>244</v>
      </c>
      <c r="F116" s="1" t="s">
        <v>1</v>
      </c>
      <c r="G116" s="1" t="s">
        <v>247</v>
      </c>
      <c r="H116" s="1" t="s">
        <v>499</v>
      </c>
      <c r="I116" s="1" t="s">
        <v>500</v>
      </c>
      <c r="J116" s="3" t="s">
        <v>501</v>
      </c>
      <c r="K116" s="1">
        <v>-1</v>
      </c>
      <c r="L116" s="1"/>
      <c r="M116" s="1"/>
      <c r="N116" s="1"/>
      <c r="O116" s="1"/>
      <c r="P116" s="1"/>
      <c r="Q116" s="1"/>
      <c r="R116" s="1"/>
    </row>
    <row r="117" spans="1:18" hidden="1" x14ac:dyDescent="0.25">
      <c r="A117" s="1">
        <v>115</v>
      </c>
      <c r="B117" s="1" t="s">
        <v>502</v>
      </c>
      <c r="C117" s="1" t="s">
        <v>209</v>
      </c>
      <c r="D117">
        <v>2013</v>
      </c>
      <c r="E117" s="1" t="s">
        <v>244</v>
      </c>
      <c r="F117" s="1" t="s">
        <v>1</v>
      </c>
      <c r="G117" s="1" t="s">
        <v>1</v>
      </c>
      <c r="H117" s="1" t="s">
        <v>503</v>
      </c>
      <c r="I117" s="1" t="s">
        <v>504</v>
      </c>
      <c r="J117" s="3" t="s">
        <v>505</v>
      </c>
      <c r="K117" s="1">
        <v>-1</v>
      </c>
      <c r="L117" s="1"/>
      <c r="M117" s="1"/>
      <c r="N117" s="1"/>
      <c r="O117" s="1"/>
      <c r="P117" s="1"/>
      <c r="Q117" s="1"/>
      <c r="R117" s="1"/>
    </row>
    <row r="118" spans="1:18" hidden="1" x14ac:dyDescent="0.25">
      <c r="A118" s="1">
        <v>116</v>
      </c>
      <c r="B118" s="1" t="s">
        <v>507</v>
      </c>
      <c r="C118" s="1" t="s">
        <v>506</v>
      </c>
      <c r="D118">
        <v>2014</v>
      </c>
      <c r="E118" s="1" t="s">
        <v>0</v>
      </c>
      <c r="F118" s="1" t="s">
        <v>1</v>
      </c>
      <c r="G118" s="1" t="s">
        <v>508</v>
      </c>
      <c r="H118" s="1" t="s">
        <v>509</v>
      </c>
      <c r="I118" s="1" t="s">
        <v>510</v>
      </c>
      <c r="J118" s="3" t="s">
        <v>511</v>
      </c>
      <c r="K118" s="1">
        <v>-1</v>
      </c>
      <c r="L118" s="1"/>
      <c r="M118" s="1"/>
      <c r="N118" s="1"/>
      <c r="O118" s="1"/>
      <c r="P118" s="1"/>
      <c r="Q118" s="1"/>
      <c r="R118" s="1"/>
    </row>
    <row r="119" spans="1:18" hidden="1" x14ac:dyDescent="0.25">
      <c r="A119" s="1">
        <v>117</v>
      </c>
      <c r="B119" s="1" t="s">
        <v>513</v>
      </c>
      <c r="C119" s="1" t="s">
        <v>512</v>
      </c>
      <c r="D119">
        <v>2013</v>
      </c>
      <c r="E119" s="1" t="s">
        <v>244</v>
      </c>
      <c r="F119" s="1" t="s">
        <v>514</v>
      </c>
      <c r="G119" s="1" t="s">
        <v>247</v>
      </c>
      <c r="H119" s="1" t="s">
        <v>515</v>
      </c>
      <c r="I119" s="1" t="s">
        <v>516</v>
      </c>
      <c r="J119" s="3" t="s">
        <v>517</v>
      </c>
      <c r="K119" s="1">
        <v>1</v>
      </c>
      <c r="L119" s="1">
        <v>1</v>
      </c>
      <c r="M119" s="1"/>
      <c r="N119" s="1"/>
      <c r="O119" s="1"/>
      <c r="P119" s="1"/>
      <c r="Q119" s="1"/>
      <c r="R119" s="1"/>
    </row>
    <row r="120" spans="1:18" hidden="1" x14ac:dyDescent="0.25">
      <c r="A120" s="1">
        <v>118</v>
      </c>
      <c r="B120" s="1" t="s">
        <v>518</v>
      </c>
      <c r="C120" s="1" t="s">
        <v>215</v>
      </c>
      <c r="D120">
        <v>2011</v>
      </c>
      <c r="E120" s="1" t="s">
        <v>244</v>
      </c>
      <c r="F120" s="1" t="s">
        <v>1</v>
      </c>
      <c r="G120" s="1" t="s">
        <v>247</v>
      </c>
      <c r="H120" s="1" t="s">
        <v>519</v>
      </c>
      <c r="I120" s="1" t="s">
        <v>520</v>
      </c>
      <c r="J120" s="3" t="s">
        <v>521</v>
      </c>
      <c r="K120" s="1">
        <v>-1</v>
      </c>
      <c r="L120" s="1"/>
      <c r="M120" s="1"/>
      <c r="N120" s="1"/>
      <c r="O120" s="1"/>
      <c r="P120" s="1"/>
      <c r="Q120" s="1"/>
      <c r="R120" s="1"/>
    </row>
    <row r="121" spans="1:18" hidden="1" x14ac:dyDescent="0.25">
      <c r="A121" s="1">
        <v>119</v>
      </c>
      <c r="B121" s="1" t="s">
        <v>523</v>
      </c>
      <c r="C121" s="1" t="s">
        <v>522</v>
      </c>
      <c r="D121">
        <v>2013</v>
      </c>
      <c r="E121" s="1" t="s">
        <v>127</v>
      </c>
      <c r="F121" s="1" t="s">
        <v>446</v>
      </c>
      <c r="G121" s="1" t="s">
        <v>447</v>
      </c>
      <c r="H121" s="1" t="s">
        <v>524</v>
      </c>
      <c r="I121" s="1" t="s">
        <v>525</v>
      </c>
      <c r="J121" s="3" t="s">
        <v>526</v>
      </c>
      <c r="K121" s="1">
        <v>-1</v>
      </c>
      <c r="L121" s="1"/>
      <c r="M121" s="1"/>
      <c r="N121" s="1"/>
      <c r="O121" s="1"/>
      <c r="P121" s="1"/>
      <c r="Q121" s="1"/>
      <c r="R121" s="1"/>
    </row>
    <row r="122" spans="1:18" hidden="1" x14ac:dyDescent="0.25">
      <c r="A122" s="1">
        <v>120</v>
      </c>
      <c r="B122" s="1" t="s">
        <v>528</v>
      </c>
      <c r="C122" s="1" t="s">
        <v>527</v>
      </c>
      <c r="D122">
        <v>2011</v>
      </c>
      <c r="E122" s="1" t="s">
        <v>116</v>
      </c>
      <c r="F122" s="1" t="s">
        <v>216</v>
      </c>
      <c r="G122" s="1" t="s">
        <v>1</v>
      </c>
      <c r="H122" s="1" t="s">
        <v>529</v>
      </c>
      <c r="I122" s="1" t="s">
        <v>530</v>
      </c>
      <c r="J122" s="3" t="s">
        <v>531</v>
      </c>
      <c r="K122" s="1">
        <v>1</v>
      </c>
      <c r="L122" s="1">
        <v>1</v>
      </c>
      <c r="M122" s="1"/>
      <c r="N122" s="1"/>
      <c r="O122" s="1"/>
      <c r="P122" s="1"/>
      <c r="Q122" s="1"/>
      <c r="R122" s="1"/>
    </row>
    <row r="123" spans="1:18" hidden="1" x14ac:dyDescent="0.25">
      <c r="A123" s="1">
        <v>121</v>
      </c>
      <c r="B123" s="1" t="s">
        <v>532</v>
      </c>
      <c r="C123" s="1" t="s">
        <v>217</v>
      </c>
      <c r="D123">
        <v>2011</v>
      </c>
      <c r="E123" s="1" t="s">
        <v>0</v>
      </c>
      <c r="F123" s="1" t="s">
        <v>1</v>
      </c>
      <c r="G123" s="1" t="s">
        <v>533</v>
      </c>
      <c r="H123" s="1" t="s">
        <v>534</v>
      </c>
      <c r="I123" s="1" t="s">
        <v>535</v>
      </c>
      <c r="J123" s="3" t="s">
        <v>536</v>
      </c>
      <c r="K123" s="1">
        <v>1</v>
      </c>
      <c r="L123" s="1">
        <v>1</v>
      </c>
      <c r="M123" s="1"/>
      <c r="N123" s="1"/>
      <c r="O123" s="1"/>
      <c r="P123" s="1"/>
      <c r="Q123" s="1"/>
      <c r="R123" s="1"/>
    </row>
    <row r="124" spans="1:18" hidden="1" x14ac:dyDescent="0.25">
      <c r="A124" s="1">
        <v>122</v>
      </c>
      <c r="B124" s="1" t="s">
        <v>538</v>
      </c>
      <c r="C124" s="1" t="s">
        <v>537</v>
      </c>
      <c r="D124">
        <v>2013</v>
      </c>
      <c r="E124" s="1" t="s">
        <v>0</v>
      </c>
      <c r="F124" s="1" t="s">
        <v>1</v>
      </c>
      <c r="G124" s="1" t="s">
        <v>1</v>
      </c>
      <c r="H124" s="1" t="s">
        <v>539</v>
      </c>
      <c r="I124" s="1" t="s">
        <v>540</v>
      </c>
      <c r="J124" s="3" t="s">
        <v>541</v>
      </c>
      <c r="K124" s="1">
        <v>-1</v>
      </c>
      <c r="L124" s="1"/>
      <c r="M124" s="1"/>
      <c r="N124" s="1"/>
      <c r="O124" s="1"/>
      <c r="P124" s="1"/>
      <c r="Q124" s="1"/>
      <c r="R124" s="1"/>
    </row>
    <row r="125" spans="1:18" hidden="1" x14ac:dyDescent="0.25">
      <c r="A125" s="1">
        <v>123</v>
      </c>
      <c r="B125" s="1" t="s">
        <v>169</v>
      </c>
      <c r="C125" s="1" t="s">
        <v>542</v>
      </c>
      <c r="D125">
        <v>2014</v>
      </c>
      <c r="E125" s="1" t="s">
        <v>116</v>
      </c>
      <c r="F125" s="1" t="s">
        <v>160</v>
      </c>
      <c r="G125" s="1" t="s">
        <v>1</v>
      </c>
      <c r="H125" s="1" t="s">
        <v>543</v>
      </c>
      <c r="I125" s="1" t="s">
        <v>544</v>
      </c>
      <c r="J125" s="3" t="s">
        <v>545</v>
      </c>
      <c r="K125" s="1">
        <v>1</v>
      </c>
      <c r="L125" s="1">
        <v>1</v>
      </c>
      <c r="M125" s="1"/>
      <c r="N125" s="1"/>
      <c r="O125" s="1"/>
      <c r="P125" s="1"/>
      <c r="Q125" s="1"/>
      <c r="R125" s="1"/>
    </row>
    <row r="126" spans="1:18" hidden="1" x14ac:dyDescent="0.25">
      <c r="A126" s="1">
        <v>124</v>
      </c>
      <c r="B126" s="1" t="s">
        <v>547</v>
      </c>
      <c r="C126" s="1" t="s">
        <v>546</v>
      </c>
      <c r="D126">
        <v>2017</v>
      </c>
      <c r="E126" s="1" t="s">
        <v>0</v>
      </c>
      <c r="F126" s="1" t="s">
        <v>1</v>
      </c>
      <c r="G126" s="1" t="s">
        <v>336</v>
      </c>
      <c r="H126" s="1" t="s">
        <v>548</v>
      </c>
      <c r="I126" s="1" t="s">
        <v>549</v>
      </c>
      <c r="J126" s="3" t="s">
        <v>550</v>
      </c>
      <c r="K126" s="1">
        <v>-1</v>
      </c>
      <c r="L126" s="1"/>
      <c r="M126" s="1"/>
      <c r="N126" s="1"/>
      <c r="O126" s="1"/>
      <c r="P126" s="1"/>
      <c r="Q126" s="1"/>
      <c r="R126" s="1"/>
    </row>
    <row r="127" spans="1:18" hidden="1" x14ac:dyDescent="0.25">
      <c r="A127" s="1">
        <v>125</v>
      </c>
      <c r="B127" s="1" t="s">
        <v>552</v>
      </c>
      <c r="C127" s="1" t="s">
        <v>551</v>
      </c>
      <c r="D127">
        <v>2014</v>
      </c>
      <c r="E127" s="1" t="s">
        <v>244</v>
      </c>
      <c r="F127" s="1" t="s">
        <v>1</v>
      </c>
      <c r="G127" s="1" t="s">
        <v>247</v>
      </c>
      <c r="H127" s="1" t="s">
        <v>553</v>
      </c>
      <c r="I127" s="1" t="s">
        <v>554</v>
      </c>
      <c r="J127" s="3" t="s">
        <v>555</v>
      </c>
      <c r="K127" s="1">
        <v>-1</v>
      </c>
      <c r="L127" s="1"/>
      <c r="M127" s="1"/>
      <c r="N127" s="1"/>
      <c r="O127" s="1"/>
      <c r="P127" s="1"/>
      <c r="Q127" s="1"/>
      <c r="R127" s="1"/>
    </row>
    <row r="128" spans="1:18" hidden="1" x14ac:dyDescent="0.25">
      <c r="A128" s="1">
        <v>126</v>
      </c>
      <c r="B128" s="1" t="s">
        <v>557</v>
      </c>
      <c r="C128" s="1" t="s">
        <v>556</v>
      </c>
      <c r="D128">
        <v>2013</v>
      </c>
      <c r="E128" s="1" t="s">
        <v>244</v>
      </c>
      <c r="F128" s="1" t="s">
        <v>1</v>
      </c>
      <c r="G128" s="1" t="s">
        <v>247</v>
      </c>
      <c r="H128" s="1" t="s">
        <v>558</v>
      </c>
      <c r="I128" s="1" t="s">
        <v>559</v>
      </c>
      <c r="J128" s="3" t="s">
        <v>560</v>
      </c>
      <c r="K128" s="1">
        <v>1</v>
      </c>
      <c r="L128" s="1">
        <v>1</v>
      </c>
      <c r="M128" s="1"/>
      <c r="N128" s="1"/>
      <c r="O128" s="1"/>
      <c r="P128" s="1"/>
      <c r="Q128" s="1"/>
      <c r="R128" s="1"/>
    </row>
    <row r="129" spans="1:18" hidden="1" x14ac:dyDescent="0.25">
      <c r="A129" s="1">
        <v>127</v>
      </c>
      <c r="B129" s="1" t="s">
        <v>562</v>
      </c>
      <c r="C129" s="1" t="s">
        <v>561</v>
      </c>
      <c r="D129">
        <v>2013</v>
      </c>
      <c r="E129" s="1" t="s">
        <v>0</v>
      </c>
      <c r="F129" s="1" t="s">
        <v>1</v>
      </c>
      <c r="G129" s="1" t="s">
        <v>1</v>
      </c>
      <c r="H129" s="1" t="s">
        <v>563</v>
      </c>
      <c r="I129" s="1" t="s">
        <v>564</v>
      </c>
      <c r="J129" s="3" t="s">
        <v>565</v>
      </c>
      <c r="K129" s="1">
        <v>-1</v>
      </c>
      <c r="L129" s="1"/>
      <c r="M129" s="1"/>
      <c r="N129" s="1"/>
      <c r="O129" s="1"/>
      <c r="P129" s="1"/>
      <c r="Q129" s="1"/>
      <c r="R129" s="1"/>
    </row>
    <row r="130" spans="1:18" hidden="1" x14ac:dyDescent="0.25">
      <c r="A130" s="1">
        <v>128</v>
      </c>
      <c r="B130" s="1" t="s">
        <v>566</v>
      </c>
      <c r="C130" s="1" t="s">
        <v>561</v>
      </c>
      <c r="D130">
        <v>2015</v>
      </c>
      <c r="E130" s="1" t="s">
        <v>0</v>
      </c>
      <c r="F130" s="1" t="s">
        <v>1</v>
      </c>
      <c r="G130" s="1" t="s">
        <v>567</v>
      </c>
      <c r="H130" s="1" t="s">
        <v>568</v>
      </c>
      <c r="I130" s="1" t="s">
        <v>569</v>
      </c>
      <c r="J130" s="3" t="s">
        <v>570</v>
      </c>
      <c r="K130" s="1">
        <v>-1</v>
      </c>
      <c r="L130" s="1"/>
      <c r="M130" s="1"/>
      <c r="N130" s="1"/>
      <c r="O130" s="1"/>
      <c r="P130" s="1"/>
      <c r="Q130" s="1"/>
      <c r="R130" s="1"/>
    </row>
    <row r="131" spans="1:18" hidden="1" x14ac:dyDescent="0.25">
      <c r="A131" s="1">
        <v>129</v>
      </c>
      <c r="B131" s="1" t="s">
        <v>572</v>
      </c>
      <c r="C131" s="1" t="s">
        <v>571</v>
      </c>
      <c r="D131">
        <v>2014</v>
      </c>
      <c r="E131" s="1" t="s">
        <v>244</v>
      </c>
      <c r="F131" s="1" t="s">
        <v>1</v>
      </c>
      <c r="G131" s="1" t="s">
        <v>247</v>
      </c>
      <c r="H131" s="1" t="s">
        <v>573</v>
      </c>
      <c r="I131" s="1" t="s">
        <v>574</v>
      </c>
      <c r="J131" s="3" t="s">
        <v>575</v>
      </c>
      <c r="K131" s="1">
        <v>-1</v>
      </c>
      <c r="L131" s="1"/>
      <c r="M131" s="1"/>
      <c r="N131" s="1"/>
      <c r="O131" s="1"/>
      <c r="P131" s="1"/>
      <c r="Q131" s="1"/>
      <c r="R131" s="1"/>
    </row>
    <row r="132" spans="1:18" hidden="1" x14ac:dyDescent="0.25">
      <c r="A132" s="1">
        <v>130</v>
      </c>
      <c r="B132" s="1" t="s">
        <v>577</v>
      </c>
      <c r="C132" s="1" t="s">
        <v>576</v>
      </c>
      <c r="D132">
        <v>2012</v>
      </c>
      <c r="E132" s="1" t="s">
        <v>244</v>
      </c>
      <c r="F132" s="1" t="s">
        <v>1</v>
      </c>
      <c r="G132" s="1" t="s">
        <v>1</v>
      </c>
      <c r="H132" s="1" t="s">
        <v>578</v>
      </c>
      <c r="I132" s="1" t="s">
        <v>579</v>
      </c>
      <c r="J132" s="3" t="s">
        <v>580</v>
      </c>
      <c r="K132" s="1">
        <v>-1</v>
      </c>
      <c r="L132" s="1"/>
      <c r="M132" s="1"/>
      <c r="N132" s="1"/>
      <c r="O132" s="1"/>
      <c r="P132" s="1"/>
      <c r="Q132" s="1"/>
      <c r="R132" s="1"/>
    </row>
    <row r="133" spans="1:18" hidden="1" x14ac:dyDescent="0.25">
      <c r="A133" s="1">
        <v>131</v>
      </c>
      <c r="B133" s="1" t="s">
        <v>581</v>
      </c>
      <c r="C133" s="1" t="s">
        <v>223</v>
      </c>
      <c r="D133">
        <v>2012</v>
      </c>
      <c r="E133" s="1" t="s">
        <v>244</v>
      </c>
      <c r="F133" s="1" t="s">
        <v>1</v>
      </c>
      <c r="G133" s="1" t="s">
        <v>247</v>
      </c>
      <c r="H133" s="1" t="s">
        <v>582</v>
      </c>
      <c r="I133" s="1" t="s">
        <v>583</v>
      </c>
      <c r="J133" s="3" t="s">
        <v>584</v>
      </c>
      <c r="K133" s="1">
        <v>-1</v>
      </c>
      <c r="L133" s="1"/>
      <c r="M133" s="1"/>
      <c r="N133" s="1"/>
      <c r="O133" s="1"/>
      <c r="P133" s="1"/>
      <c r="Q133" s="1"/>
      <c r="R133" s="1"/>
    </row>
    <row r="134" spans="1:18" hidden="1" x14ac:dyDescent="0.25">
      <c r="A134" s="1">
        <v>132</v>
      </c>
      <c r="B134" s="1" t="s">
        <v>585</v>
      </c>
      <c r="C134" s="1" t="s">
        <v>229</v>
      </c>
      <c r="D134">
        <v>2010</v>
      </c>
      <c r="E134" s="1" t="s">
        <v>244</v>
      </c>
      <c r="F134" s="1" t="s">
        <v>1</v>
      </c>
      <c r="G134" s="1" t="s">
        <v>1</v>
      </c>
      <c r="H134" s="1" t="s">
        <v>586</v>
      </c>
      <c r="I134" s="1" t="s">
        <v>587</v>
      </c>
      <c r="J134" s="3" t="s">
        <v>588</v>
      </c>
      <c r="K134" s="1">
        <v>-1</v>
      </c>
      <c r="L134" s="1"/>
      <c r="M134" s="1"/>
      <c r="N134" s="1"/>
      <c r="O134" s="1"/>
      <c r="P134" s="1"/>
      <c r="Q134" s="1"/>
      <c r="R134" s="1"/>
    </row>
    <row r="135" spans="1:18" hidden="1" x14ac:dyDescent="0.25">
      <c r="A135" s="1">
        <v>133</v>
      </c>
      <c r="B135" s="1" t="s">
        <v>590</v>
      </c>
      <c r="C135" s="1" t="s">
        <v>589</v>
      </c>
      <c r="D135">
        <v>2015</v>
      </c>
      <c r="E135" s="1" t="s">
        <v>0</v>
      </c>
      <c r="F135" s="1" t="s">
        <v>1</v>
      </c>
      <c r="G135" s="1" t="s">
        <v>259</v>
      </c>
      <c r="H135" s="1" t="s">
        <v>591</v>
      </c>
      <c r="I135" s="1" t="s">
        <v>592</v>
      </c>
      <c r="J135" s="3" t="s">
        <v>593</v>
      </c>
      <c r="K135" s="1">
        <v>-1</v>
      </c>
      <c r="L135" s="1"/>
      <c r="M135" s="1"/>
      <c r="N135" s="1"/>
      <c r="O135" s="1"/>
      <c r="P135" s="1"/>
      <c r="Q135" s="1"/>
      <c r="R135" s="1"/>
    </row>
    <row r="136" spans="1:18" hidden="1" x14ac:dyDescent="0.25">
      <c r="A136" s="1">
        <v>134</v>
      </c>
      <c r="B136" s="1" t="s">
        <v>594</v>
      </c>
      <c r="C136" s="1" t="s">
        <v>171</v>
      </c>
      <c r="D136">
        <v>2015</v>
      </c>
      <c r="E136" s="1" t="s">
        <v>0</v>
      </c>
      <c r="F136" s="1" t="s">
        <v>1</v>
      </c>
      <c r="G136" s="1" t="s">
        <v>595</v>
      </c>
      <c r="H136" s="1" t="s">
        <v>596</v>
      </c>
      <c r="I136" s="1" t="s">
        <v>597</v>
      </c>
      <c r="J136" s="3" t="s">
        <v>598</v>
      </c>
      <c r="K136" s="1">
        <v>-1</v>
      </c>
      <c r="L136" s="1"/>
      <c r="M136" s="1"/>
      <c r="N136" s="1"/>
      <c r="O136" s="1"/>
      <c r="P136" s="1"/>
      <c r="Q136" s="1"/>
      <c r="R136" s="1"/>
    </row>
    <row r="137" spans="1:18" hidden="1" x14ac:dyDescent="0.25">
      <c r="A137" s="1">
        <v>135</v>
      </c>
      <c r="B137" s="1" t="s">
        <v>599</v>
      </c>
      <c r="C137" s="1" t="s">
        <v>79</v>
      </c>
      <c r="D137">
        <v>2015</v>
      </c>
      <c r="E137" s="1" t="s">
        <v>244</v>
      </c>
      <c r="F137" s="1" t="s">
        <v>1</v>
      </c>
      <c r="G137" s="1" t="s">
        <v>247</v>
      </c>
      <c r="H137" s="1" t="s">
        <v>600</v>
      </c>
      <c r="I137" s="1" t="s">
        <v>601</v>
      </c>
      <c r="J137" s="3" t="s">
        <v>602</v>
      </c>
      <c r="K137" s="1">
        <v>-1</v>
      </c>
      <c r="L137" s="1"/>
      <c r="M137" s="1"/>
      <c r="N137" s="1"/>
      <c r="O137" s="1"/>
      <c r="P137" s="1"/>
      <c r="Q137" s="1"/>
      <c r="R137" s="1"/>
    </row>
    <row r="138" spans="1:18" hidden="1" x14ac:dyDescent="0.25">
      <c r="A138" s="1">
        <v>136</v>
      </c>
      <c r="B138" s="1" t="s">
        <v>604</v>
      </c>
      <c r="C138" s="1" t="s">
        <v>603</v>
      </c>
      <c r="D138">
        <v>2012</v>
      </c>
      <c r="E138" s="1" t="s">
        <v>138</v>
      </c>
      <c r="F138" s="1" t="s">
        <v>605</v>
      </c>
      <c r="G138" s="1" t="s">
        <v>447</v>
      </c>
      <c r="H138" s="1" t="s">
        <v>606</v>
      </c>
      <c r="I138" s="1" t="s">
        <v>1</v>
      </c>
      <c r="J138" s="3" t="s">
        <v>607</v>
      </c>
      <c r="K138" s="1">
        <v>-1</v>
      </c>
      <c r="L138" s="1"/>
      <c r="M138" s="1"/>
      <c r="N138" s="1"/>
      <c r="O138" s="1"/>
      <c r="P138" s="1"/>
      <c r="Q138" s="1"/>
      <c r="R138" s="1"/>
    </row>
    <row r="139" spans="1:18" hidden="1" x14ac:dyDescent="0.25">
      <c r="A139" s="1">
        <v>137</v>
      </c>
      <c r="B139" s="1" t="s">
        <v>609</v>
      </c>
      <c r="C139" s="1" t="s">
        <v>608</v>
      </c>
      <c r="D139">
        <v>2011</v>
      </c>
      <c r="E139" s="1" t="s">
        <v>116</v>
      </c>
      <c r="F139" s="1" t="s">
        <v>610</v>
      </c>
      <c r="G139" s="1" t="s">
        <v>1</v>
      </c>
      <c r="H139" s="1" t="s">
        <v>611</v>
      </c>
      <c r="I139" s="1" t="s">
        <v>612</v>
      </c>
      <c r="J139" s="3" t="s">
        <v>613</v>
      </c>
      <c r="K139" s="1">
        <v>-1</v>
      </c>
      <c r="L139" s="1"/>
      <c r="M139" s="1"/>
      <c r="N139" s="1"/>
      <c r="O139" s="1"/>
      <c r="P139" s="1"/>
      <c r="Q139" s="1"/>
      <c r="R139" s="1"/>
    </row>
    <row r="140" spans="1:18" hidden="1" x14ac:dyDescent="0.25">
      <c r="A140" s="1">
        <v>138</v>
      </c>
      <c r="B140" s="1" t="s">
        <v>615</v>
      </c>
      <c r="C140" s="1" t="s">
        <v>614</v>
      </c>
      <c r="D140">
        <v>2015</v>
      </c>
      <c r="E140" s="1" t="s">
        <v>244</v>
      </c>
      <c r="F140" s="1" t="s">
        <v>1</v>
      </c>
      <c r="G140" s="1" t="s">
        <v>247</v>
      </c>
      <c r="H140" s="1" t="s">
        <v>616</v>
      </c>
      <c r="I140" s="1" t="s">
        <v>617</v>
      </c>
      <c r="J140" s="3" t="s">
        <v>618</v>
      </c>
      <c r="K140" s="1">
        <v>1</v>
      </c>
      <c r="L140" s="1">
        <v>1</v>
      </c>
      <c r="M140" s="1"/>
      <c r="N140" s="1"/>
      <c r="O140" s="1"/>
      <c r="P140" s="1"/>
      <c r="Q140" s="1"/>
      <c r="R140" s="1"/>
    </row>
    <row r="141" spans="1:18" hidden="1" x14ac:dyDescent="0.25">
      <c r="A141" s="1">
        <v>139</v>
      </c>
      <c r="B141" s="1" t="s">
        <v>620</v>
      </c>
      <c r="C141" s="1" t="s">
        <v>619</v>
      </c>
      <c r="D141">
        <v>2010</v>
      </c>
      <c r="E141" s="1" t="s">
        <v>138</v>
      </c>
      <c r="F141" s="1" t="s">
        <v>621</v>
      </c>
      <c r="G141" s="1" t="s">
        <v>622</v>
      </c>
      <c r="H141" s="1" t="s">
        <v>623</v>
      </c>
      <c r="I141" s="1" t="s">
        <v>624</v>
      </c>
      <c r="J141" s="3" t="s">
        <v>625</v>
      </c>
      <c r="K141" s="1">
        <v>-1</v>
      </c>
      <c r="L141" s="1"/>
      <c r="M141" s="1"/>
      <c r="N141" s="1"/>
      <c r="O141" s="1"/>
      <c r="P141" s="1"/>
      <c r="Q141" s="1"/>
      <c r="R141" s="1"/>
    </row>
    <row r="142" spans="1:18" hidden="1" x14ac:dyDescent="0.25">
      <c r="A142" s="1">
        <v>140</v>
      </c>
      <c r="B142" s="1" t="s">
        <v>627</v>
      </c>
      <c r="C142" s="1" t="s">
        <v>626</v>
      </c>
      <c r="D142">
        <v>2012</v>
      </c>
      <c r="E142" s="1" t="s">
        <v>0</v>
      </c>
      <c r="F142" s="1" t="s">
        <v>1</v>
      </c>
      <c r="G142" s="1" t="s">
        <v>1</v>
      </c>
      <c r="H142" s="1" t="s">
        <v>628</v>
      </c>
      <c r="I142" s="1" t="s">
        <v>629</v>
      </c>
      <c r="J142" s="3" t="s">
        <v>630</v>
      </c>
      <c r="K142" s="1">
        <v>1</v>
      </c>
      <c r="L142" s="1">
        <v>1</v>
      </c>
      <c r="M142" s="1"/>
      <c r="N142" s="1"/>
      <c r="O142" s="1"/>
      <c r="P142" s="1"/>
      <c r="Q142" s="1"/>
      <c r="R142" s="1"/>
    </row>
    <row r="143" spans="1:18" hidden="1" x14ac:dyDescent="0.25">
      <c r="A143" s="1">
        <v>141</v>
      </c>
      <c r="B143" s="1" t="s">
        <v>632</v>
      </c>
      <c r="C143" s="1" t="s">
        <v>631</v>
      </c>
      <c r="D143">
        <v>2016</v>
      </c>
      <c r="E143" s="1" t="s">
        <v>244</v>
      </c>
      <c r="F143" s="1" t="s">
        <v>1</v>
      </c>
      <c r="G143" s="1" t="s">
        <v>247</v>
      </c>
      <c r="H143" s="1" t="s">
        <v>633</v>
      </c>
      <c r="I143" s="1" t="s">
        <v>634</v>
      </c>
      <c r="J143" s="3" t="s">
        <v>635</v>
      </c>
      <c r="K143" s="1">
        <v>-1</v>
      </c>
      <c r="L143" s="1"/>
      <c r="M143" s="1"/>
      <c r="N143" s="1"/>
      <c r="O143" s="1"/>
      <c r="P143" s="1"/>
      <c r="Q143" s="1"/>
      <c r="R143" s="1"/>
    </row>
    <row r="144" spans="1:18" hidden="1" x14ac:dyDescent="0.25">
      <c r="A144" s="1">
        <v>142</v>
      </c>
      <c r="B144" s="1" t="s">
        <v>637</v>
      </c>
      <c r="C144" s="1" t="s">
        <v>636</v>
      </c>
      <c r="D144">
        <v>2016</v>
      </c>
      <c r="E144" s="1" t="s">
        <v>116</v>
      </c>
      <c r="F144" s="1" t="s">
        <v>178</v>
      </c>
      <c r="G144" s="1" t="s">
        <v>638</v>
      </c>
      <c r="H144" s="1" t="s">
        <v>639</v>
      </c>
      <c r="I144" s="1" t="s">
        <v>640</v>
      </c>
      <c r="J144" s="3" t="s">
        <v>641</v>
      </c>
      <c r="K144" s="1">
        <v>1</v>
      </c>
      <c r="L144" s="1">
        <v>1</v>
      </c>
      <c r="M144" s="1"/>
      <c r="N144" s="1"/>
      <c r="O144" s="1"/>
      <c r="P144" s="1"/>
      <c r="Q144" s="1"/>
      <c r="R144" s="1"/>
    </row>
    <row r="145" spans="1:18" hidden="1" x14ac:dyDescent="0.25">
      <c r="A145" s="1">
        <v>143</v>
      </c>
      <c r="B145" s="1" t="s">
        <v>643</v>
      </c>
      <c r="C145" s="1" t="s">
        <v>642</v>
      </c>
      <c r="D145">
        <v>2013</v>
      </c>
      <c r="E145" s="1" t="s">
        <v>0</v>
      </c>
      <c r="F145" s="1" t="s">
        <v>1</v>
      </c>
      <c r="G145" s="1" t="s">
        <v>1</v>
      </c>
      <c r="H145" s="1" t="s">
        <v>644</v>
      </c>
      <c r="I145" s="1" t="s">
        <v>645</v>
      </c>
      <c r="J145" s="3" t="s">
        <v>646</v>
      </c>
      <c r="K145" s="1">
        <v>-1</v>
      </c>
      <c r="L145" s="1"/>
      <c r="M145" s="1"/>
      <c r="N145" s="1"/>
      <c r="O145" s="1"/>
      <c r="P145" s="1"/>
      <c r="Q145" s="1"/>
      <c r="R145" s="1"/>
    </row>
    <row r="146" spans="1:18" hidden="1" x14ac:dyDescent="0.25">
      <c r="A146" s="1">
        <v>144</v>
      </c>
      <c r="B146" s="1" t="s">
        <v>648</v>
      </c>
      <c r="C146" s="1" t="s">
        <v>647</v>
      </c>
      <c r="D146">
        <v>2013</v>
      </c>
      <c r="E146" s="1" t="s">
        <v>244</v>
      </c>
      <c r="F146" s="1" t="s">
        <v>1</v>
      </c>
      <c r="G146" s="1" t="s">
        <v>1</v>
      </c>
      <c r="H146" s="1" t="s">
        <v>649</v>
      </c>
      <c r="I146" s="1" t="s">
        <v>650</v>
      </c>
      <c r="J146" s="3" t="s">
        <v>651</v>
      </c>
      <c r="K146" s="1">
        <v>-1</v>
      </c>
      <c r="L146" s="1"/>
      <c r="M146" s="1"/>
      <c r="N146" s="1"/>
      <c r="O146" s="1"/>
      <c r="P146" s="1"/>
      <c r="Q146" s="1"/>
      <c r="R146" s="1"/>
    </row>
    <row r="147" spans="1:18" hidden="1" x14ac:dyDescent="0.25">
      <c r="A147" s="1">
        <v>145</v>
      </c>
      <c r="B147" s="1" t="s">
        <v>653</v>
      </c>
      <c r="C147" s="1" t="s">
        <v>652</v>
      </c>
      <c r="D147">
        <v>2012</v>
      </c>
      <c r="E147" s="1" t="s">
        <v>116</v>
      </c>
      <c r="F147" s="1" t="s">
        <v>654</v>
      </c>
      <c r="G147" s="1" t="s">
        <v>1</v>
      </c>
      <c r="H147" s="1" t="s">
        <v>655</v>
      </c>
      <c r="I147" s="1" t="s">
        <v>656</v>
      </c>
      <c r="J147" s="3" t="s">
        <v>657</v>
      </c>
      <c r="K147" s="1">
        <v>1</v>
      </c>
      <c r="L147" s="1">
        <v>1</v>
      </c>
      <c r="M147" s="1"/>
      <c r="N147" s="1"/>
      <c r="O147" s="1"/>
      <c r="P147" s="1"/>
      <c r="Q147" s="1"/>
      <c r="R147" s="1"/>
    </row>
    <row r="148" spans="1:18" hidden="1" x14ac:dyDescent="0.25">
      <c r="A148" s="1">
        <v>146</v>
      </c>
      <c r="B148" s="1" t="s">
        <v>660</v>
      </c>
      <c r="C148" s="1" t="s">
        <v>659</v>
      </c>
      <c r="D148">
        <v>2011</v>
      </c>
      <c r="E148" s="1" t="s">
        <v>658</v>
      </c>
      <c r="F148" s="1" t="s">
        <v>661</v>
      </c>
      <c r="G148" s="1" t="s">
        <v>662</v>
      </c>
      <c r="H148" s="1" t="s">
        <v>1</v>
      </c>
      <c r="I148" s="1" t="s">
        <v>1</v>
      </c>
      <c r="J148" s="3" t="s">
        <v>748</v>
      </c>
      <c r="K148" s="1">
        <v>-1</v>
      </c>
      <c r="L148" s="1"/>
      <c r="M148" s="1"/>
      <c r="N148" s="1"/>
      <c r="O148" s="1"/>
      <c r="P148" s="1"/>
      <c r="Q148" s="1"/>
      <c r="R148" s="1"/>
    </row>
    <row r="149" spans="1:18" hidden="1" x14ac:dyDescent="0.25">
      <c r="A149" s="1">
        <v>147</v>
      </c>
      <c r="B149" s="1" t="s">
        <v>664</v>
      </c>
      <c r="C149" s="1" t="s">
        <v>663</v>
      </c>
      <c r="D149">
        <v>2012</v>
      </c>
      <c r="E149" s="1" t="s">
        <v>658</v>
      </c>
      <c r="F149" s="1" t="s">
        <v>665</v>
      </c>
      <c r="G149" s="1" t="s">
        <v>666</v>
      </c>
      <c r="H149" s="1" t="s">
        <v>667</v>
      </c>
      <c r="I149" s="1" t="s">
        <v>1</v>
      </c>
      <c r="J149" s="3" t="s">
        <v>749</v>
      </c>
      <c r="K149" s="1">
        <v>-1</v>
      </c>
      <c r="L149" s="1"/>
      <c r="M149" s="1"/>
      <c r="N149" s="1"/>
      <c r="O149" s="1"/>
      <c r="P149" s="1"/>
      <c r="Q149" s="1"/>
      <c r="R149" s="1"/>
    </row>
    <row r="150" spans="1:18" hidden="1" x14ac:dyDescent="0.25">
      <c r="A150" s="1">
        <v>148</v>
      </c>
      <c r="B150" s="1" t="s">
        <v>669</v>
      </c>
      <c r="C150" s="1" t="s">
        <v>668</v>
      </c>
      <c r="D150">
        <v>2014</v>
      </c>
      <c r="E150" s="1" t="s">
        <v>658</v>
      </c>
      <c r="F150" s="1" t="s">
        <v>670</v>
      </c>
      <c r="G150" s="1" t="s">
        <v>666</v>
      </c>
      <c r="H150" s="1" t="s">
        <v>671</v>
      </c>
      <c r="I150" s="1" t="s">
        <v>1</v>
      </c>
      <c r="J150" s="3" t="s">
        <v>750</v>
      </c>
      <c r="K150" s="1">
        <v>-1</v>
      </c>
      <c r="L150" s="1"/>
      <c r="M150" s="1"/>
      <c r="N150" s="1"/>
      <c r="O150" s="1"/>
      <c r="P150" s="1"/>
      <c r="Q150" s="1"/>
      <c r="R150" s="1"/>
    </row>
    <row r="151" spans="1:18" hidden="1" x14ac:dyDescent="0.25">
      <c r="A151" s="1">
        <v>149</v>
      </c>
      <c r="B151" s="1" t="s">
        <v>673</v>
      </c>
      <c r="C151" s="1" t="s">
        <v>672</v>
      </c>
      <c r="D151">
        <v>2013</v>
      </c>
      <c r="E151" s="1" t="s">
        <v>658</v>
      </c>
      <c r="F151" s="1" t="s">
        <v>674</v>
      </c>
      <c r="G151" s="1" t="s">
        <v>666</v>
      </c>
      <c r="H151" s="1" t="s">
        <v>675</v>
      </c>
      <c r="I151" s="1" t="s">
        <v>1</v>
      </c>
      <c r="J151" s="3" t="s">
        <v>751</v>
      </c>
      <c r="K151" s="1">
        <v>1</v>
      </c>
      <c r="L151" s="1">
        <v>1</v>
      </c>
      <c r="M151" s="1"/>
      <c r="N151" s="1"/>
      <c r="O151" s="1"/>
      <c r="P151" s="1"/>
      <c r="Q151" s="1"/>
      <c r="R151" s="1"/>
    </row>
    <row r="152" spans="1:18" hidden="1" x14ac:dyDescent="0.25">
      <c r="A152" s="1">
        <v>150</v>
      </c>
      <c r="B152" s="1" t="s">
        <v>676</v>
      </c>
      <c r="C152" s="1" t="s">
        <v>273</v>
      </c>
      <c r="D152">
        <v>2017</v>
      </c>
      <c r="E152" s="1" t="s">
        <v>658</v>
      </c>
      <c r="F152" s="1" t="s">
        <v>677</v>
      </c>
      <c r="G152" s="1" t="s">
        <v>666</v>
      </c>
      <c r="H152" s="1" t="s">
        <v>678</v>
      </c>
      <c r="I152" s="1" t="s">
        <v>1</v>
      </c>
      <c r="J152" s="3" t="s">
        <v>752</v>
      </c>
      <c r="K152" s="1">
        <v>1</v>
      </c>
      <c r="L152" s="1">
        <v>1</v>
      </c>
      <c r="M152" s="1"/>
      <c r="N152" s="1"/>
      <c r="O152" s="1"/>
      <c r="P152" s="1"/>
      <c r="Q152" s="1"/>
      <c r="R152" s="1"/>
    </row>
    <row r="153" spans="1:18" hidden="1" x14ac:dyDescent="0.25">
      <c r="A153" s="1">
        <v>151</v>
      </c>
      <c r="B153" s="1" t="s">
        <v>680</v>
      </c>
      <c r="C153" s="1" t="s">
        <v>679</v>
      </c>
      <c r="D153">
        <v>2012</v>
      </c>
      <c r="E153" s="1" t="s">
        <v>116</v>
      </c>
      <c r="F153" s="1" t="s">
        <v>681</v>
      </c>
      <c r="G153" s="1" t="s">
        <v>1</v>
      </c>
      <c r="H153" s="1" t="s">
        <v>682</v>
      </c>
      <c r="I153" s="1" t="s">
        <v>683</v>
      </c>
      <c r="J153" s="3" t="s">
        <v>684</v>
      </c>
      <c r="K153" s="1">
        <v>1</v>
      </c>
      <c r="L153" s="1">
        <v>1</v>
      </c>
      <c r="M153" s="1"/>
      <c r="N153" s="1"/>
      <c r="O153" s="1"/>
      <c r="P153" s="1"/>
      <c r="Q153" s="1"/>
      <c r="R153" s="1"/>
    </row>
    <row r="154" spans="1:18" hidden="1" x14ac:dyDescent="0.25">
      <c r="A154" s="1">
        <v>152</v>
      </c>
      <c r="B154" s="1" t="s">
        <v>686</v>
      </c>
      <c r="C154" s="1" t="s">
        <v>685</v>
      </c>
      <c r="D154">
        <v>2014</v>
      </c>
      <c r="E154" s="1" t="s">
        <v>127</v>
      </c>
      <c r="F154" s="1" t="s">
        <v>687</v>
      </c>
      <c r="G154" s="1" t="s">
        <v>688</v>
      </c>
      <c r="H154" s="1" t="s">
        <v>689</v>
      </c>
      <c r="I154" s="1" t="s">
        <v>690</v>
      </c>
      <c r="J154" s="3" t="s">
        <v>691</v>
      </c>
      <c r="K154" s="1">
        <v>-1</v>
      </c>
      <c r="L154" s="1"/>
      <c r="M154" s="1"/>
      <c r="N154" s="1"/>
      <c r="O154" s="1"/>
      <c r="P154" s="1"/>
      <c r="Q154" s="1"/>
      <c r="R154" s="1"/>
    </row>
    <row r="155" spans="1:18" hidden="1" x14ac:dyDescent="0.25">
      <c r="A155" s="1">
        <v>153</v>
      </c>
      <c r="B155" s="1" t="s">
        <v>692</v>
      </c>
      <c r="C155" s="1" t="s">
        <v>685</v>
      </c>
      <c r="D155">
        <v>2014</v>
      </c>
      <c r="E155" s="1" t="s">
        <v>127</v>
      </c>
      <c r="F155" s="1" t="s">
        <v>687</v>
      </c>
      <c r="G155" s="1" t="s">
        <v>688</v>
      </c>
      <c r="H155" s="1" t="s">
        <v>693</v>
      </c>
      <c r="I155" s="1" t="s">
        <v>694</v>
      </c>
      <c r="J155" s="3" t="s">
        <v>695</v>
      </c>
      <c r="K155" s="1">
        <v>-1</v>
      </c>
      <c r="L155" s="1"/>
      <c r="M155" s="1"/>
      <c r="N155" s="1"/>
      <c r="O155" s="1"/>
      <c r="P155" s="1"/>
      <c r="Q155" s="1"/>
      <c r="R155" s="1"/>
    </row>
    <row r="156" spans="1:18" hidden="1" x14ac:dyDescent="0.25">
      <c r="A156" s="1">
        <v>154</v>
      </c>
      <c r="B156" s="1" t="s">
        <v>697</v>
      </c>
      <c r="C156" s="1" t="s">
        <v>696</v>
      </c>
      <c r="D156">
        <v>2017</v>
      </c>
      <c r="E156" s="1" t="s">
        <v>116</v>
      </c>
      <c r="F156" s="1" t="s">
        <v>698</v>
      </c>
      <c r="G156" s="1" t="s">
        <v>1</v>
      </c>
      <c r="H156" s="1" t="s">
        <v>699</v>
      </c>
      <c r="I156" s="1" t="s">
        <v>700</v>
      </c>
      <c r="J156" s="3" t="s">
        <v>701</v>
      </c>
      <c r="K156" s="1">
        <v>-1</v>
      </c>
      <c r="L156" s="1"/>
      <c r="M156" s="1"/>
      <c r="N156" s="1"/>
      <c r="O156" s="1"/>
      <c r="P156" s="1"/>
      <c r="Q156" s="1"/>
      <c r="R156" s="1"/>
    </row>
    <row r="157" spans="1:18" hidden="1" x14ac:dyDescent="0.25">
      <c r="A157" s="1">
        <v>155</v>
      </c>
      <c r="B157" s="1" t="s">
        <v>704</v>
      </c>
      <c r="C157" s="1" t="s">
        <v>703</v>
      </c>
      <c r="D157">
        <v>2011</v>
      </c>
      <c r="E157" s="1" t="s">
        <v>116</v>
      </c>
      <c r="F157" s="1" t="s">
        <v>702</v>
      </c>
      <c r="G157" s="1" t="s">
        <v>1</v>
      </c>
      <c r="H157" s="1" t="s">
        <v>705</v>
      </c>
      <c r="I157" s="1" t="s">
        <v>706</v>
      </c>
      <c r="J157" s="3" t="s">
        <v>707</v>
      </c>
      <c r="K157" s="1">
        <v>-1</v>
      </c>
      <c r="L157" s="1"/>
      <c r="M157" s="1"/>
      <c r="N157" s="1"/>
      <c r="O157" s="1"/>
      <c r="P157" s="1"/>
      <c r="Q157" s="1"/>
      <c r="R157" s="1"/>
    </row>
    <row r="158" spans="1:18" ht="14.25" customHeight="1" x14ac:dyDescent="0.25">
      <c r="A158" s="1">
        <v>236</v>
      </c>
      <c r="B158" s="1" t="s">
        <v>5725</v>
      </c>
      <c r="C158" s="1"/>
      <c r="D158">
        <v>2018</v>
      </c>
      <c r="E158" s="1" t="s">
        <v>244</v>
      </c>
      <c r="F158" s="1"/>
      <c r="G158" s="1"/>
      <c r="H158" s="1" t="s">
        <v>5726</v>
      </c>
      <c r="I158" s="1"/>
      <c r="J158" s="3" t="s">
        <v>5727</v>
      </c>
      <c r="K158" s="1">
        <v>-1</v>
      </c>
      <c r="L158" s="1" t="s">
        <v>5036</v>
      </c>
      <c r="M158" s="1" t="s">
        <v>5036</v>
      </c>
      <c r="N158" s="1" t="s">
        <v>5036</v>
      </c>
      <c r="O158" s="1"/>
      <c r="P158" s="1"/>
      <c r="Q158" s="1"/>
      <c r="R158" s="1"/>
    </row>
    <row r="159" spans="1:18" ht="14.25" customHeight="1" x14ac:dyDescent="0.25">
      <c r="A159" s="1">
        <v>207</v>
      </c>
      <c r="B159" s="1" t="s">
        <v>5605</v>
      </c>
      <c r="C159" s="1" t="s">
        <v>5606</v>
      </c>
      <c r="D159">
        <v>2018</v>
      </c>
      <c r="E159" s="1" t="s">
        <v>127</v>
      </c>
      <c r="F159" s="1" t="s">
        <v>5607</v>
      </c>
      <c r="G159" s="1" t="s">
        <v>1232</v>
      </c>
      <c r="H159" s="1" t="s">
        <v>5608</v>
      </c>
      <c r="I159" s="47" t="s">
        <v>5609</v>
      </c>
      <c r="J159" s="3" t="s">
        <v>5610</v>
      </c>
      <c r="K159" s="1">
        <v>-1</v>
      </c>
      <c r="L159" s="1" t="s">
        <v>5036</v>
      </c>
      <c r="M159" s="1" t="s">
        <v>5036</v>
      </c>
      <c r="N159" s="1" t="s">
        <v>5036</v>
      </c>
      <c r="O159" s="1"/>
      <c r="P159" s="1"/>
      <c r="Q159" s="1"/>
      <c r="R159" s="1"/>
    </row>
    <row r="160" spans="1:18" ht="14.25" customHeight="1" x14ac:dyDescent="0.25">
      <c r="A160" s="1">
        <v>228</v>
      </c>
      <c r="B160" s="1" t="s">
        <v>5698</v>
      </c>
      <c r="C160" s="1" t="s">
        <v>5699</v>
      </c>
      <c r="D160">
        <v>2018</v>
      </c>
      <c r="E160" s="1" t="s">
        <v>0</v>
      </c>
      <c r="F160" s="1" t="s">
        <v>5372</v>
      </c>
      <c r="G160" s="1"/>
      <c r="H160" s="1"/>
      <c r="I160" s="47" t="s">
        <v>5700</v>
      </c>
      <c r="J160" s="3" t="s">
        <v>5701</v>
      </c>
      <c r="K160" s="1">
        <v>-1</v>
      </c>
      <c r="L160" s="1" t="s">
        <v>5036</v>
      </c>
      <c r="M160" s="1" t="s">
        <v>5036</v>
      </c>
      <c r="N160" s="1" t="s">
        <v>5036</v>
      </c>
      <c r="O160" s="1"/>
      <c r="P160" s="1"/>
      <c r="Q160" s="1"/>
      <c r="R160" s="1"/>
    </row>
    <row r="161" spans="1:18" ht="14.25" customHeight="1" x14ac:dyDescent="0.25">
      <c r="A161" s="1">
        <v>211</v>
      </c>
      <c r="B161" s="1" t="s">
        <v>5622</v>
      </c>
      <c r="C161" s="1" t="s">
        <v>5623</v>
      </c>
      <c r="D161">
        <v>2018</v>
      </c>
      <c r="E161" s="1" t="s">
        <v>0</v>
      </c>
      <c r="F161" s="1" t="s">
        <v>5367</v>
      </c>
      <c r="G161" s="1"/>
      <c r="H161" s="1"/>
      <c r="I161" s="47" t="s">
        <v>5624</v>
      </c>
      <c r="J161" s="3" t="s">
        <v>5625</v>
      </c>
      <c r="K161" s="1">
        <v>-1</v>
      </c>
      <c r="L161" s="1" t="s">
        <v>5036</v>
      </c>
      <c r="M161" s="1" t="s">
        <v>5036</v>
      </c>
      <c r="N161" s="1" t="s">
        <v>5036</v>
      </c>
      <c r="O161" s="1"/>
      <c r="P161" s="1"/>
      <c r="Q161" s="1"/>
      <c r="R161" s="1"/>
    </row>
    <row r="162" spans="1:18" ht="14.25" customHeight="1" x14ac:dyDescent="0.25">
      <c r="A162" s="1">
        <v>200</v>
      </c>
      <c r="B162" s="1" t="s">
        <v>5576</v>
      </c>
      <c r="C162" s="1" t="s">
        <v>5577</v>
      </c>
      <c r="D162">
        <v>2018</v>
      </c>
      <c r="E162" s="1" t="s">
        <v>0</v>
      </c>
      <c r="F162" s="1" t="s">
        <v>5402</v>
      </c>
      <c r="G162" s="1"/>
      <c r="H162" s="1"/>
      <c r="I162" s="47" t="s">
        <v>5578</v>
      </c>
      <c r="J162" s="3" t="s">
        <v>5579</v>
      </c>
      <c r="K162" s="1">
        <v>-1</v>
      </c>
      <c r="L162" s="1" t="s">
        <v>5036</v>
      </c>
      <c r="M162" s="1" t="s">
        <v>5036</v>
      </c>
      <c r="N162" s="1" t="s">
        <v>5036</v>
      </c>
      <c r="O162" s="1"/>
      <c r="P162" s="1"/>
      <c r="Q162" s="1"/>
      <c r="R162" s="1"/>
    </row>
    <row r="163" spans="1:18" ht="14.25" customHeight="1" x14ac:dyDescent="0.25">
      <c r="A163" s="1">
        <v>218</v>
      </c>
      <c r="B163" s="1" t="s">
        <v>5653</v>
      </c>
      <c r="C163" s="1" t="s">
        <v>5654</v>
      </c>
      <c r="D163">
        <v>2018</v>
      </c>
      <c r="E163" s="1" t="s">
        <v>0</v>
      </c>
      <c r="F163" s="1" t="s">
        <v>5372</v>
      </c>
      <c r="G163" s="1"/>
      <c r="H163" s="1"/>
      <c r="I163" s="47" t="s">
        <v>5655</v>
      </c>
      <c r="J163" s="3" t="s">
        <v>5656</v>
      </c>
      <c r="K163" s="1">
        <v>1</v>
      </c>
      <c r="L163" s="1" t="s">
        <v>5036</v>
      </c>
      <c r="M163" s="1" t="s">
        <v>5036</v>
      </c>
      <c r="N163" s="1" t="s">
        <v>5036</v>
      </c>
      <c r="O163" s="1"/>
      <c r="P163" s="1"/>
      <c r="Q163" s="1"/>
      <c r="R163" s="1"/>
    </row>
    <row r="164" spans="1:18" ht="14.25" customHeight="1" x14ac:dyDescent="0.25">
      <c r="A164" s="1">
        <v>172</v>
      </c>
      <c r="B164" s="1" t="s">
        <v>5442</v>
      </c>
      <c r="C164" s="1" t="s">
        <v>5443</v>
      </c>
      <c r="D164">
        <v>2018</v>
      </c>
      <c r="E164" s="1" t="s">
        <v>116</v>
      </c>
      <c r="F164" s="1" t="s">
        <v>5444</v>
      </c>
      <c r="G164" s="1"/>
      <c r="H164" s="1"/>
      <c r="I164" s="47" t="s">
        <v>5445</v>
      </c>
      <c r="J164" s="3" t="s">
        <v>5446</v>
      </c>
      <c r="K164" s="1">
        <v>-1</v>
      </c>
      <c r="L164" s="1" t="s">
        <v>5036</v>
      </c>
      <c r="M164" s="1" t="s">
        <v>5036</v>
      </c>
      <c r="N164" s="1" t="s">
        <v>5036</v>
      </c>
      <c r="O164" s="1"/>
      <c r="P164" s="1"/>
      <c r="Q164" s="1"/>
      <c r="R164" s="1"/>
    </row>
    <row r="165" spans="1:18" ht="14.25" customHeight="1" x14ac:dyDescent="0.25">
      <c r="A165" s="1">
        <v>202</v>
      </c>
      <c r="B165" s="1" t="s">
        <v>5582</v>
      </c>
      <c r="C165" s="1" t="s">
        <v>5583</v>
      </c>
      <c r="D165">
        <v>2018</v>
      </c>
      <c r="E165" s="1" t="s">
        <v>116</v>
      </c>
      <c r="F165" s="1" t="s">
        <v>5584</v>
      </c>
      <c r="G165" s="1"/>
      <c r="H165" s="1"/>
      <c r="I165" s="47" t="s">
        <v>5585</v>
      </c>
      <c r="J165" s="3" t="s">
        <v>5586</v>
      </c>
      <c r="K165" s="1">
        <v>-1</v>
      </c>
      <c r="L165" s="1" t="s">
        <v>5036</v>
      </c>
      <c r="M165" s="1" t="s">
        <v>5036</v>
      </c>
      <c r="N165" s="1" t="s">
        <v>5036</v>
      </c>
      <c r="O165" s="1"/>
      <c r="P165" s="1"/>
      <c r="Q165" s="1"/>
      <c r="R165" s="1"/>
    </row>
    <row r="166" spans="1:18" ht="14.25" customHeight="1" x14ac:dyDescent="0.25">
      <c r="A166" s="1">
        <v>205</v>
      </c>
      <c r="B166" s="1" t="s">
        <v>5596</v>
      </c>
      <c r="C166" s="1" t="s">
        <v>1069</v>
      </c>
      <c r="D166">
        <v>2018</v>
      </c>
      <c r="E166" s="1" t="s">
        <v>116</v>
      </c>
      <c r="F166" s="1" t="s">
        <v>702</v>
      </c>
      <c r="G166" s="1"/>
      <c r="H166" s="1" t="s">
        <v>5597</v>
      </c>
      <c r="I166" s="47" t="s">
        <v>5598</v>
      </c>
      <c r="J166" s="3" t="s">
        <v>5599</v>
      </c>
      <c r="K166" s="1">
        <v>-1</v>
      </c>
      <c r="L166" s="1" t="s">
        <v>5036</v>
      </c>
      <c r="M166" s="1" t="s">
        <v>5036</v>
      </c>
      <c r="N166" s="1" t="s">
        <v>5036</v>
      </c>
      <c r="O166" s="1"/>
      <c r="P166" s="1"/>
      <c r="Q166" s="1"/>
      <c r="R166" s="1"/>
    </row>
    <row r="167" spans="1:18" ht="14.25" customHeight="1" x14ac:dyDescent="0.25">
      <c r="A167" s="1">
        <v>209</v>
      </c>
      <c r="B167" s="1" t="s">
        <v>5613</v>
      </c>
      <c r="C167" s="1" t="s">
        <v>90</v>
      </c>
      <c r="D167">
        <v>2018</v>
      </c>
      <c r="E167" s="1" t="s">
        <v>116</v>
      </c>
      <c r="F167" s="1" t="s">
        <v>5614</v>
      </c>
      <c r="G167" s="1"/>
      <c r="H167" s="1" t="s">
        <v>5615</v>
      </c>
      <c r="I167" s="47" t="s">
        <v>5616</v>
      </c>
      <c r="J167" s="3" t="s">
        <v>5617</v>
      </c>
      <c r="K167" s="1">
        <v>-1</v>
      </c>
      <c r="L167" s="1" t="s">
        <v>5036</v>
      </c>
      <c r="M167" s="1" t="s">
        <v>5036</v>
      </c>
      <c r="N167" s="1" t="s">
        <v>5036</v>
      </c>
      <c r="O167" s="1"/>
      <c r="P167" s="1"/>
      <c r="Q167" s="1"/>
      <c r="R167" s="1"/>
    </row>
    <row r="168" spans="1:18" ht="14.25" customHeight="1" x14ac:dyDescent="0.25">
      <c r="A168" s="1">
        <v>217</v>
      </c>
      <c r="B168" s="1" t="s">
        <v>5649</v>
      </c>
      <c r="C168" s="1" t="s">
        <v>5650</v>
      </c>
      <c r="D168">
        <v>2018</v>
      </c>
      <c r="E168" s="1" t="s">
        <v>0</v>
      </c>
      <c r="F168" s="1" t="s">
        <v>5449</v>
      </c>
      <c r="G168" s="1"/>
      <c r="H168" s="1"/>
      <c r="I168" s="47" t="s">
        <v>5651</v>
      </c>
      <c r="J168" s="3" t="s">
        <v>5652</v>
      </c>
      <c r="K168" s="1">
        <v>-1</v>
      </c>
      <c r="L168" s="1" t="s">
        <v>5036</v>
      </c>
      <c r="M168" s="1" t="s">
        <v>5036</v>
      </c>
      <c r="N168" s="1" t="s">
        <v>5036</v>
      </c>
      <c r="O168" s="1"/>
      <c r="P168" s="1"/>
      <c r="Q168" s="1"/>
      <c r="R168" s="1"/>
    </row>
    <row r="169" spans="1:18" ht="14.25" customHeight="1" x14ac:dyDescent="0.25">
      <c r="A169" s="1">
        <v>176</v>
      </c>
      <c r="B169" s="1" t="s">
        <v>5461</v>
      </c>
      <c r="C169" s="1" t="s">
        <v>5462</v>
      </c>
      <c r="D169">
        <v>2018</v>
      </c>
      <c r="E169" s="1" t="s">
        <v>0</v>
      </c>
      <c r="F169" s="1" t="s">
        <v>5402</v>
      </c>
      <c r="G169" s="1"/>
      <c r="H169" s="1"/>
      <c r="I169" s="47" t="s">
        <v>5463</v>
      </c>
      <c r="J169" s="3" t="s">
        <v>5464</v>
      </c>
      <c r="K169" s="1">
        <v>0</v>
      </c>
      <c r="L169" s="1" t="s">
        <v>5036</v>
      </c>
      <c r="M169" s="1" t="s">
        <v>5036</v>
      </c>
      <c r="N169" s="1" t="s">
        <v>5036</v>
      </c>
      <c r="O169" s="1"/>
      <c r="P169" s="1"/>
      <c r="Q169" s="1"/>
      <c r="R169" s="1"/>
    </row>
    <row r="170" spans="1:18" ht="14.25" customHeight="1" x14ac:dyDescent="0.25">
      <c r="A170" s="1">
        <v>213</v>
      </c>
      <c r="B170" s="1" t="s">
        <v>5631</v>
      </c>
      <c r="C170" s="1" t="s">
        <v>5632</v>
      </c>
      <c r="D170">
        <v>2018</v>
      </c>
      <c r="E170" s="1" t="s">
        <v>0</v>
      </c>
      <c r="F170" s="1" t="s">
        <v>5402</v>
      </c>
      <c r="G170" s="1"/>
      <c r="H170" s="1"/>
      <c r="I170" s="47" t="s">
        <v>5633</v>
      </c>
      <c r="J170" s="3" t="s">
        <v>5634</v>
      </c>
      <c r="K170" s="1">
        <v>-1</v>
      </c>
      <c r="L170" s="1" t="s">
        <v>5036</v>
      </c>
      <c r="M170" s="1" t="s">
        <v>5036</v>
      </c>
      <c r="N170" s="1" t="s">
        <v>5036</v>
      </c>
      <c r="O170" s="1"/>
      <c r="P170" s="1"/>
      <c r="Q170" s="1"/>
      <c r="R170" s="1"/>
    </row>
    <row r="171" spans="1:18" ht="14.25" customHeight="1" x14ac:dyDescent="0.25">
      <c r="A171" s="1">
        <v>186</v>
      </c>
      <c r="B171" s="1" t="s">
        <v>5509</v>
      </c>
      <c r="C171" s="1" t="s">
        <v>5510</v>
      </c>
      <c r="D171">
        <v>2018</v>
      </c>
      <c r="E171" s="1" t="s">
        <v>0</v>
      </c>
      <c r="F171" s="1" t="s">
        <v>5511</v>
      </c>
      <c r="G171" s="1"/>
      <c r="H171" s="1"/>
      <c r="I171" s="47" t="s">
        <v>5512</v>
      </c>
      <c r="J171" s="3" t="s">
        <v>5513</v>
      </c>
      <c r="K171" s="1">
        <v>-1</v>
      </c>
      <c r="L171" s="1" t="s">
        <v>5036</v>
      </c>
      <c r="M171" s="1" t="s">
        <v>5036</v>
      </c>
      <c r="N171" s="1" t="s">
        <v>5036</v>
      </c>
      <c r="O171" s="1"/>
      <c r="P171" s="1"/>
      <c r="Q171" s="1"/>
      <c r="R171" s="1"/>
    </row>
    <row r="172" spans="1:18" ht="14.25" customHeight="1" x14ac:dyDescent="0.25">
      <c r="A172" s="1">
        <v>195</v>
      </c>
      <c r="B172" s="1" t="s">
        <v>5552</v>
      </c>
      <c r="C172" s="1" t="s">
        <v>5553</v>
      </c>
      <c r="D172">
        <v>2018</v>
      </c>
      <c r="E172" s="1" t="s">
        <v>0</v>
      </c>
      <c r="F172" s="1" t="s">
        <v>5402</v>
      </c>
      <c r="G172" s="1"/>
      <c r="H172" s="1"/>
      <c r="I172" s="47" t="s">
        <v>5554</v>
      </c>
      <c r="J172" s="3" t="s">
        <v>5555</v>
      </c>
      <c r="K172" s="1">
        <v>-1</v>
      </c>
      <c r="L172" s="1" t="s">
        <v>5036</v>
      </c>
      <c r="M172" s="1" t="s">
        <v>5036</v>
      </c>
      <c r="N172" s="1" t="s">
        <v>5036</v>
      </c>
      <c r="O172" s="1"/>
      <c r="P172" s="1"/>
      <c r="Q172" s="1"/>
      <c r="R172" s="1"/>
    </row>
    <row r="173" spans="1:18" ht="14.25" customHeight="1" x14ac:dyDescent="0.25">
      <c r="A173" s="1">
        <v>215</v>
      </c>
      <c r="B173" s="1" t="s">
        <v>5640</v>
      </c>
      <c r="C173" s="1" t="s">
        <v>5641</v>
      </c>
      <c r="D173">
        <v>2018</v>
      </c>
      <c r="E173" s="1" t="s">
        <v>0</v>
      </c>
      <c r="F173" s="1"/>
      <c r="G173" s="1"/>
      <c r="H173" s="1" t="s">
        <v>5642</v>
      </c>
      <c r="I173" s="47" t="s">
        <v>5643</v>
      </c>
      <c r="J173" s="3" t="s">
        <v>5644</v>
      </c>
      <c r="K173" s="1">
        <v>-1</v>
      </c>
      <c r="L173" s="1" t="s">
        <v>5036</v>
      </c>
      <c r="M173" s="1" t="s">
        <v>5036</v>
      </c>
      <c r="N173" s="1" t="s">
        <v>5036</v>
      </c>
      <c r="O173" s="1"/>
      <c r="P173" s="1"/>
      <c r="Q173" s="1"/>
      <c r="R173" s="1"/>
    </row>
    <row r="174" spans="1:18" ht="14.25" customHeight="1" x14ac:dyDescent="0.25">
      <c r="A174" s="1">
        <v>188</v>
      </c>
      <c r="B174" s="1" t="s">
        <v>5519</v>
      </c>
      <c r="C174" s="1" t="s">
        <v>5520</v>
      </c>
      <c r="D174">
        <v>2018</v>
      </c>
      <c r="E174" s="1" t="s">
        <v>0</v>
      </c>
      <c r="F174" s="1" t="s">
        <v>5521</v>
      </c>
      <c r="G174" s="1"/>
      <c r="H174" s="1"/>
      <c r="I174" s="47" t="s">
        <v>5522</v>
      </c>
      <c r="J174" s="3" t="s">
        <v>5523</v>
      </c>
      <c r="K174" s="1">
        <v>-1</v>
      </c>
      <c r="L174" s="1" t="s">
        <v>5036</v>
      </c>
      <c r="M174" s="1" t="s">
        <v>5036</v>
      </c>
      <c r="N174" s="1" t="s">
        <v>5036</v>
      </c>
      <c r="O174" s="1"/>
      <c r="P174" s="1"/>
      <c r="Q174" s="1"/>
      <c r="R174" s="1"/>
    </row>
    <row r="175" spans="1:18" ht="14.25" customHeight="1" x14ac:dyDescent="0.25">
      <c r="A175" s="1">
        <v>212</v>
      </c>
      <c r="B175" s="1" t="s">
        <v>5626</v>
      </c>
      <c r="C175" s="1" t="s">
        <v>3907</v>
      </c>
      <c r="D175">
        <v>2018</v>
      </c>
      <c r="E175" s="1" t="s">
        <v>116</v>
      </c>
      <c r="F175" s="1" t="s">
        <v>5627</v>
      </c>
      <c r="G175" s="1"/>
      <c r="H175" s="1" t="s">
        <v>5628</v>
      </c>
      <c r="I175" s="47" t="s">
        <v>5629</v>
      </c>
      <c r="J175" s="3" t="s">
        <v>5630</v>
      </c>
      <c r="K175" s="1">
        <v>-1</v>
      </c>
      <c r="L175" s="1" t="s">
        <v>5036</v>
      </c>
      <c r="M175" s="1" t="s">
        <v>5036</v>
      </c>
      <c r="N175" s="1" t="s">
        <v>5036</v>
      </c>
      <c r="O175" s="1"/>
      <c r="P175" s="1"/>
      <c r="Q175" s="1"/>
      <c r="R175" s="1"/>
    </row>
    <row r="176" spans="1:18" ht="14.25" customHeight="1" x14ac:dyDescent="0.25">
      <c r="A176" s="1">
        <v>225</v>
      </c>
      <c r="B176" s="1" t="s">
        <v>5684</v>
      </c>
      <c r="C176" s="1" t="s">
        <v>5685</v>
      </c>
      <c r="D176">
        <v>2018</v>
      </c>
      <c r="E176" s="1" t="s">
        <v>244</v>
      </c>
      <c r="F176" s="1"/>
      <c r="G176" s="1"/>
      <c r="H176" s="1" t="s">
        <v>5686</v>
      </c>
      <c r="I176" s="47" t="s">
        <v>5687</v>
      </c>
      <c r="J176" s="3" t="s">
        <v>5688</v>
      </c>
      <c r="K176" s="1">
        <v>-1</v>
      </c>
      <c r="L176" s="1" t="s">
        <v>5036</v>
      </c>
      <c r="M176" s="1" t="s">
        <v>5036</v>
      </c>
      <c r="N176" s="1" t="s">
        <v>5036</v>
      </c>
      <c r="O176" s="1"/>
      <c r="P176" s="1"/>
      <c r="Q176" s="1"/>
      <c r="R176" s="1"/>
    </row>
    <row r="177" spans="1:18" ht="14.25" customHeight="1" x14ac:dyDescent="0.25">
      <c r="A177" s="1">
        <v>187</v>
      </c>
      <c r="B177" s="1" t="s">
        <v>5514</v>
      </c>
      <c r="C177" s="1" t="s">
        <v>5515</v>
      </c>
      <c r="D177">
        <v>2018</v>
      </c>
      <c r="E177" s="1" t="s">
        <v>0</v>
      </c>
      <c r="F177" s="1"/>
      <c r="G177" s="1"/>
      <c r="H177" s="1" t="s">
        <v>5516</v>
      </c>
      <c r="I177" s="47" t="s">
        <v>5517</v>
      </c>
      <c r="J177" s="3" t="s">
        <v>5518</v>
      </c>
      <c r="K177" s="1">
        <v>-1</v>
      </c>
      <c r="L177" s="1" t="s">
        <v>5036</v>
      </c>
      <c r="M177" s="1" t="s">
        <v>5036</v>
      </c>
      <c r="N177" s="1" t="s">
        <v>5036</v>
      </c>
      <c r="O177" s="1"/>
      <c r="P177" s="1"/>
      <c r="Q177" s="1"/>
      <c r="R177" s="1"/>
    </row>
    <row r="178" spans="1:18" ht="14.25" customHeight="1" x14ac:dyDescent="0.25">
      <c r="A178" s="1">
        <v>193</v>
      </c>
      <c r="B178" s="1" t="s">
        <v>5542</v>
      </c>
      <c r="C178" s="1" t="s">
        <v>5543</v>
      </c>
      <c r="D178">
        <v>2018</v>
      </c>
      <c r="E178" s="1" t="s">
        <v>0</v>
      </c>
      <c r="F178" s="1" t="s">
        <v>5544</v>
      </c>
      <c r="G178" s="1"/>
      <c r="H178" s="1"/>
      <c r="I178" s="47" t="s">
        <v>5545</v>
      </c>
      <c r="J178" s="3" t="s">
        <v>5546</v>
      </c>
      <c r="K178" s="1">
        <v>1</v>
      </c>
      <c r="L178" s="1">
        <v>1</v>
      </c>
      <c r="M178" s="1" t="s">
        <v>5036</v>
      </c>
      <c r="N178" s="1" t="s">
        <v>5036</v>
      </c>
      <c r="O178" s="1"/>
      <c r="P178" s="1"/>
      <c r="Q178" s="1"/>
      <c r="R178" s="1"/>
    </row>
    <row r="179" spans="1:18" ht="14.25" customHeight="1" x14ac:dyDescent="0.25">
      <c r="A179" s="1">
        <v>220</v>
      </c>
      <c r="B179" s="1" t="s">
        <v>5661</v>
      </c>
      <c r="C179" s="1" t="s">
        <v>5662</v>
      </c>
      <c r="D179">
        <v>2018</v>
      </c>
      <c r="E179" s="1" t="s">
        <v>116</v>
      </c>
      <c r="F179" s="1" t="s">
        <v>5663</v>
      </c>
      <c r="G179" s="1"/>
      <c r="H179" s="1" t="s">
        <v>5664</v>
      </c>
      <c r="I179" s="47" t="s">
        <v>5665</v>
      </c>
      <c r="J179" s="3" t="s">
        <v>5666</v>
      </c>
      <c r="K179" s="1">
        <v>-1</v>
      </c>
      <c r="L179" s="1" t="s">
        <v>5036</v>
      </c>
      <c r="M179" s="1" t="s">
        <v>5036</v>
      </c>
      <c r="N179" s="1" t="s">
        <v>5036</v>
      </c>
      <c r="O179" s="1"/>
      <c r="P179" s="1"/>
      <c r="Q179" s="1"/>
      <c r="R179" s="1"/>
    </row>
    <row r="180" spans="1:18" ht="14.25" customHeight="1" x14ac:dyDescent="0.25">
      <c r="A180" s="1">
        <v>227</v>
      </c>
      <c r="B180" s="1" t="s">
        <v>5693</v>
      </c>
      <c r="C180" s="1" t="s">
        <v>5694</v>
      </c>
      <c r="D180">
        <v>2018</v>
      </c>
      <c r="E180" s="1" t="s">
        <v>0</v>
      </c>
      <c r="F180" s="1" t="s">
        <v>5695</v>
      </c>
      <c r="G180" s="1"/>
      <c r="H180" s="1"/>
      <c r="I180" s="47" t="s">
        <v>5696</v>
      </c>
      <c r="J180" s="3" t="s">
        <v>5697</v>
      </c>
      <c r="K180" s="1">
        <v>-1</v>
      </c>
      <c r="L180" s="1" t="s">
        <v>5036</v>
      </c>
      <c r="M180" s="1" t="s">
        <v>5036</v>
      </c>
      <c r="N180" s="1" t="s">
        <v>5036</v>
      </c>
      <c r="O180" s="1"/>
      <c r="P180" s="1"/>
      <c r="Q180" s="1"/>
      <c r="R180" s="1"/>
    </row>
    <row r="181" spans="1:18" ht="14.25" customHeight="1" x14ac:dyDescent="0.25">
      <c r="A181" s="1">
        <v>214</v>
      </c>
      <c r="B181" s="1" t="s">
        <v>5635</v>
      </c>
      <c r="C181" s="1" t="s">
        <v>5636</v>
      </c>
      <c r="D181">
        <v>2018</v>
      </c>
      <c r="E181" s="1" t="s">
        <v>116</v>
      </c>
      <c r="F181" s="1" t="s">
        <v>2396</v>
      </c>
      <c r="G181" s="1"/>
      <c r="H181" s="1" t="s">
        <v>5637</v>
      </c>
      <c r="I181" s="47" t="s">
        <v>5638</v>
      </c>
      <c r="J181" s="3" t="s">
        <v>5639</v>
      </c>
      <c r="K181" s="1">
        <v>-1</v>
      </c>
      <c r="L181" s="1" t="s">
        <v>5036</v>
      </c>
      <c r="M181" s="1" t="s">
        <v>5036</v>
      </c>
      <c r="N181" s="1" t="s">
        <v>5036</v>
      </c>
      <c r="O181" s="1"/>
      <c r="P181" s="1"/>
      <c r="Q181" s="1"/>
      <c r="R181" s="1"/>
    </row>
    <row r="182" spans="1:18" ht="14.25" customHeight="1" x14ac:dyDescent="0.25">
      <c r="A182" s="1">
        <v>210</v>
      </c>
      <c r="B182" s="1" t="s">
        <v>5618</v>
      </c>
      <c r="C182" s="1" t="s">
        <v>5619</v>
      </c>
      <c r="D182">
        <v>2018</v>
      </c>
      <c r="E182" s="1" t="s">
        <v>0</v>
      </c>
      <c r="F182" s="1" t="s">
        <v>5367</v>
      </c>
      <c r="G182" s="1"/>
      <c r="H182" s="1"/>
      <c r="I182" s="47" t="s">
        <v>5620</v>
      </c>
      <c r="J182" s="3" t="s">
        <v>5621</v>
      </c>
      <c r="K182" s="1">
        <v>1</v>
      </c>
      <c r="L182" s="1" t="s">
        <v>5036</v>
      </c>
      <c r="M182" s="1" t="s">
        <v>5036</v>
      </c>
      <c r="N182" s="1" t="s">
        <v>5036</v>
      </c>
      <c r="O182" s="1"/>
      <c r="P182" s="1"/>
      <c r="Q182" s="1"/>
      <c r="R182" s="1"/>
    </row>
    <row r="183" spans="1:18" ht="14.25" customHeight="1" x14ac:dyDescent="0.25">
      <c r="A183" s="1">
        <v>199</v>
      </c>
      <c r="B183" s="1" t="s">
        <v>5571</v>
      </c>
      <c r="C183" s="1" t="s">
        <v>5572</v>
      </c>
      <c r="D183">
        <v>2018</v>
      </c>
      <c r="E183" s="1" t="s">
        <v>0</v>
      </c>
      <c r="F183" s="1" t="s">
        <v>5573</v>
      </c>
      <c r="G183" s="1"/>
      <c r="H183" s="1"/>
      <c r="I183" s="47" t="s">
        <v>5574</v>
      </c>
      <c r="J183" s="3" t="s">
        <v>5575</v>
      </c>
      <c r="K183" s="1">
        <v>-1</v>
      </c>
      <c r="L183" s="1" t="s">
        <v>5036</v>
      </c>
      <c r="M183" s="1" t="s">
        <v>5036</v>
      </c>
      <c r="N183" s="1" t="s">
        <v>5036</v>
      </c>
      <c r="O183" s="1"/>
      <c r="P183" s="1"/>
      <c r="Q183" s="1"/>
      <c r="R183" s="1"/>
    </row>
    <row r="184" spans="1:18" ht="14.25" customHeight="1" x14ac:dyDescent="0.25">
      <c r="A184" s="1">
        <v>157</v>
      </c>
      <c r="B184" s="1" t="s">
        <v>5370</v>
      </c>
      <c r="C184" s="1" t="s">
        <v>5371</v>
      </c>
      <c r="D184">
        <v>2018</v>
      </c>
      <c r="E184" s="1" t="s">
        <v>0</v>
      </c>
      <c r="F184" s="1" t="s">
        <v>5372</v>
      </c>
      <c r="G184" s="1"/>
      <c r="H184" s="1"/>
      <c r="I184" s="47" t="s">
        <v>5373</v>
      </c>
      <c r="J184" s="3" t="s">
        <v>5374</v>
      </c>
      <c r="K184" s="1">
        <v>1</v>
      </c>
      <c r="L184" s="1" t="s">
        <v>5036</v>
      </c>
      <c r="M184" s="1" t="s">
        <v>5036</v>
      </c>
      <c r="N184" s="1" t="s">
        <v>5036</v>
      </c>
      <c r="O184" s="1"/>
      <c r="P184" s="1"/>
      <c r="Q184" s="1"/>
      <c r="R184" s="1"/>
    </row>
    <row r="185" spans="1:18" ht="14.25" customHeight="1" x14ac:dyDescent="0.25">
      <c r="A185" s="1">
        <v>219</v>
      </c>
      <c r="B185" s="1" t="s">
        <v>5657</v>
      </c>
      <c r="C185" s="1" t="s">
        <v>5658</v>
      </c>
      <c r="D185">
        <v>2018</v>
      </c>
      <c r="E185" s="1" t="s">
        <v>0</v>
      </c>
      <c r="F185" s="1" t="s">
        <v>5449</v>
      </c>
      <c r="G185" s="1"/>
      <c r="H185" s="1"/>
      <c r="I185" s="47" t="s">
        <v>5659</v>
      </c>
      <c r="J185" s="3" t="s">
        <v>5660</v>
      </c>
      <c r="K185" s="1">
        <v>-1</v>
      </c>
      <c r="L185" s="1" t="s">
        <v>5036</v>
      </c>
      <c r="M185" s="1" t="s">
        <v>5036</v>
      </c>
      <c r="N185" s="1" t="s">
        <v>5036</v>
      </c>
      <c r="O185" s="1"/>
      <c r="P185" s="1"/>
      <c r="Q185" s="1"/>
      <c r="R185" s="1"/>
    </row>
    <row r="186" spans="1:18" ht="14.25" customHeight="1" x14ac:dyDescent="0.25">
      <c r="A186" s="1">
        <v>170</v>
      </c>
      <c r="B186" s="1" t="s">
        <v>5434</v>
      </c>
      <c r="C186" s="1" t="s">
        <v>5435</v>
      </c>
      <c r="D186">
        <v>2018</v>
      </c>
      <c r="E186" s="1" t="s">
        <v>0</v>
      </c>
      <c r="F186" s="1" t="s">
        <v>5436</v>
      </c>
      <c r="G186" s="1"/>
      <c r="H186" s="1"/>
      <c r="I186" s="47" t="s">
        <v>5437</v>
      </c>
      <c r="J186" s="3" t="s">
        <v>5438</v>
      </c>
      <c r="K186" s="1">
        <v>-1</v>
      </c>
      <c r="L186" s="1" t="s">
        <v>5036</v>
      </c>
      <c r="M186" s="1" t="s">
        <v>5036</v>
      </c>
      <c r="N186" s="1" t="s">
        <v>5036</v>
      </c>
      <c r="O186" s="1"/>
      <c r="P186" s="1"/>
      <c r="Q186" s="1"/>
      <c r="R186" s="1"/>
    </row>
    <row r="187" spans="1:18" ht="14.25" customHeight="1" x14ac:dyDescent="0.25">
      <c r="A187" s="1">
        <v>185</v>
      </c>
      <c r="B187" s="1" t="s">
        <v>5505</v>
      </c>
      <c r="C187" s="1" t="s">
        <v>5506</v>
      </c>
      <c r="D187">
        <v>2018</v>
      </c>
      <c r="E187" s="1" t="s">
        <v>0</v>
      </c>
      <c r="F187" s="1" t="s">
        <v>5402</v>
      </c>
      <c r="G187" s="1"/>
      <c r="H187" s="1"/>
      <c r="I187" s="47" t="s">
        <v>5507</v>
      </c>
      <c r="J187" s="3" t="s">
        <v>5508</v>
      </c>
      <c r="K187" s="1">
        <v>-1</v>
      </c>
      <c r="L187" s="1" t="s">
        <v>5036</v>
      </c>
      <c r="M187" s="1" t="s">
        <v>5036</v>
      </c>
      <c r="N187" s="1" t="s">
        <v>5036</v>
      </c>
      <c r="O187" s="1"/>
      <c r="P187" s="1"/>
      <c r="Q187" s="1"/>
      <c r="R187" s="1"/>
    </row>
    <row r="188" spans="1:18" ht="14.25" customHeight="1" x14ac:dyDescent="0.25">
      <c r="A188" s="1">
        <v>160</v>
      </c>
      <c r="B188" s="1" t="s">
        <v>5385</v>
      </c>
      <c r="C188" s="1" t="s">
        <v>5386</v>
      </c>
      <c r="D188">
        <v>2018</v>
      </c>
      <c r="E188" s="1" t="s">
        <v>0</v>
      </c>
      <c r="F188" s="1"/>
      <c r="G188" s="1"/>
      <c r="H188" s="1" t="s">
        <v>5387</v>
      </c>
      <c r="I188" s="47" t="s">
        <v>5388</v>
      </c>
      <c r="J188" s="3" t="s">
        <v>5389</v>
      </c>
      <c r="K188" s="1">
        <v>-1</v>
      </c>
      <c r="L188" s="1" t="s">
        <v>5036</v>
      </c>
      <c r="M188" s="1" t="s">
        <v>5036</v>
      </c>
      <c r="N188" s="1" t="s">
        <v>5036</v>
      </c>
      <c r="O188" s="1"/>
      <c r="P188" s="1"/>
      <c r="Q188" s="1"/>
      <c r="R188" s="1"/>
    </row>
    <row r="189" spans="1:18" ht="14.25" customHeight="1" x14ac:dyDescent="0.25">
      <c r="A189" s="1">
        <v>175</v>
      </c>
      <c r="B189" s="1" t="s">
        <v>5457</v>
      </c>
      <c r="C189" s="1" t="s">
        <v>5458</v>
      </c>
      <c r="D189">
        <v>2018</v>
      </c>
      <c r="E189" s="1" t="s">
        <v>0</v>
      </c>
      <c r="F189" s="1" t="s">
        <v>5372</v>
      </c>
      <c r="G189" s="1"/>
      <c r="H189" s="1"/>
      <c r="I189" s="47" t="s">
        <v>5459</v>
      </c>
      <c r="J189" s="3" t="s">
        <v>5460</v>
      </c>
      <c r="K189" s="1">
        <v>-1</v>
      </c>
      <c r="L189" s="1" t="s">
        <v>5036</v>
      </c>
      <c r="M189" s="1" t="s">
        <v>5036</v>
      </c>
      <c r="N189" s="1" t="s">
        <v>5036</v>
      </c>
      <c r="O189" s="1"/>
      <c r="P189" s="1"/>
      <c r="Q189" s="1"/>
      <c r="R189" s="1"/>
    </row>
    <row r="190" spans="1:18" ht="14.25" customHeight="1" x14ac:dyDescent="0.25">
      <c r="A190" s="1">
        <v>164</v>
      </c>
      <c r="B190" s="1" t="s">
        <v>5405</v>
      </c>
      <c r="C190" s="1" t="s">
        <v>5406</v>
      </c>
      <c r="D190">
        <v>2018</v>
      </c>
      <c r="E190" s="1" t="s">
        <v>244</v>
      </c>
      <c r="F190" s="1"/>
      <c r="G190" s="1"/>
      <c r="H190" s="1" t="s">
        <v>5407</v>
      </c>
      <c r="I190" s="47" t="s">
        <v>5408</v>
      </c>
      <c r="J190" s="3" t="s">
        <v>5409</v>
      </c>
      <c r="K190" s="1">
        <v>1</v>
      </c>
      <c r="L190" s="1" t="s">
        <v>5036</v>
      </c>
      <c r="M190" s="1" t="s">
        <v>5036</v>
      </c>
      <c r="N190" s="1" t="s">
        <v>5036</v>
      </c>
      <c r="O190" s="1"/>
      <c r="P190" s="1"/>
      <c r="Q190" s="1"/>
      <c r="R190" s="1"/>
    </row>
    <row r="191" spans="1:18" ht="14.25" customHeight="1" x14ac:dyDescent="0.25">
      <c r="A191" s="1">
        <v>189</v>
      </c>
      <c r="B191" s="1" t="s">
        <v>5524</v>
      </c>
      <c r="C191" s="1" t="s">
        <v>5525</v>
      </c>
      <c r="D191">
        <v>2018</v>
      </c>
      <c r="E191" s="1" t="s">
        <v>116</v>
      </c>
      <c r="F191" s="1" t="s">
        <v>5526</v>
      </c>
      <c r="G191" s="1"/>
      <c r="H191" s="1" t="s">
        <v>5527</v>
      </c>
      <c r="I191" s="47" t="s">
        <v>5528</v>
      </c>
      <c r="J191" s="3" t="s">
        <v>5529</v>
      </c>
      <c r="K191" s="1">
        <v>-1</v>
      </c>
      <c r="L191" s="1" t="s">
        <v>5036</v>
      </c>
      <c r="M191" s="1" t="s">
        <v>5036</v>
      </c>
      <c r="N191" s="1" t="s">
        <v>5036</v>
      </c>
      <c r="O191" s="1"/>
      <c r="P191" s="1"/>
      <c r="Q191" s="1"/>
      <c r="R191" s="1"/>
    </row>
    <row r="192" spans="1:18" ht="14.25" customHeight="1" x14ac:dyDescent="0.25">
      <c r="A192" s="1">
        <v>177</v>
      </c>
      <c r="B192" s="1" t="s">
        <v>5465</v>
      </c>
      <c r="C192" s="1" t="s">
        <v>5466</v>
      </c>
      <c r="D192">
        <v>2018</v>
      </c>
      <c r="E192" s="1" t="s">
        <v>244</v>
      </c>
      <c r="F192" s="1"/>
      <c r="G192" s="1"/>
      <c r="H192" s="1" t="s">
        <v>5467</v>
      </c>
      <c r="I192" s="47" t="s">
        <v>5468</v>
      </c>
      <c r="J192" s="3" t="s">
        <v>5469</v>
      </c>
      <c r="K192" s="1">
        <v>-1</v>
      </c>
      <c r="L192" s="1" t="s">
        <v>5036</v>
      </c>
      <c r="M192" s="1" t="s">
        <v>5036</v>
      </c>
      <c r="N192" s="1" t="s">
        <v>5036</v>
      </c>
      <c r="O192" s="1"/>
      <c r="P192" s="1"/>
      <c r="Q192" s="1"/>
      <c r="R192" s="1"/>
    </row>
    <row r="193" spans="1:18" ht="14.25" customHeight="1" x14ac:dyDescent="0.25">
      <c r="A193" s="1">
        <v>163</v>
      </c>
      <c r="B193" s="1" t="s">
        <v>5400</v>
      </c>
      <c r="C193" s="1" t="s">
        <v>5401</v>
      </c>
      <c r="D193">
        <v>2018</v>
      </c>
      <c r="E193" s="1" t="s">
        <v>0</v>
      </c>
      <c r="F193" s="1" t="s">
        <v>5402</v>
      </c>
      <c r="G193" s="1"/>
      <c r="H193" s="1"/>
      <c r="I193" s="47" t="s">
        <v>5403</v>
      </c>
      <c r="J193" s="3" t="s">
        <v>5404</v>
      </c>
      <c r="K193" s="1">
        <v>-1</v>
      </c>
      <c r="L193" s="1" t="s">
        <v>5036</v>
      </c>
      <c r="M193" s="1" t="s">
        <v>5036</v>
      </c>
      <c r="N193" s="1" t="s">
        <v>5036</v>
      </c>
      <c r="O193" s="1"/>
      <c r="P193" s="1"/>
      <c r="Q193" s="1"/>
      <c r="R193" s="1"/>
    </row>
    <row r="194" spans="1:18" ht="14.25" customHeight="1" x14ac:dyDescent="0.25">
      <c r="A194" s="1">
        <v>203</v>
      </c>
      <c r="B194" s="1" t="s">
        <v>5587</v>
      </c>
      <c r="C194" s="1" t="s">
        <v>5588</v>
      </c>
      <c r="D194">
        <v>2018</v>
      </c>
      <c r="E194" s="1" t="s">
        <v>116</v>
      </c>
      <c r="F194" s="1" t="s">
        <v>5584</v>
      </c>
      <c r="G194" s="1"/>
      <c r="H194" s="1"/>
      <c r="I194" s="47" t="s">
        <v>5589</v>
      </c>
      <c r="J194" s="3" t="s">
        <v>5590</v>
      </c>
      <c r="K194" s="1">
        <v>1</v>
      </c>
      <c r="L194" s="1" t="s">
        <v>5036</v>
      </c>
      <c r="M194" s="1" t="s">
        <v>5036</v>
      </c>
      <c r="N194" s="1" t="s">
        <v>5036</v>
      </c>
      <c r="O194" s="1"/>
      <c r="P194" s="1"/>
      <c r="Q194" s="1"/>
      <c r="R194" s="1"/>
    </row>
    <row r="195" spans="1:18" ht="14.25" customHeight="1" x14ac:dyDescent="0.25">
      <c r="A195" s="1">
        <v>194</v>
      </c>
      <c r="B195" s="1" t="s">
        <v>5547</v>
      </c>
      <c r="C195" s="1" t="s">
        <v>5548</v>
      </c>
      <c r="D195">
        <v>2018</v>
      </c>
      <c r="E195" s="1" t="s">
        <v>0</v>
      </c>
      <c r="F195" s="1"/>
      <c r="G195" s="1"/>
      <c r="H195" s="1" t="s">
        <v>5549</v>
      </c>
      <c r="I195" s="47" t="s">
        <v>5550</v>
      </c>
      <c r="J195" s="3" t="s">
        <v>5551</v>
      </c>
      <c r="K195" s="1">
        <v>1</v>
      </c>
      <c r="L195" s="1" t="s">
        <v>5036</v>
      </c>
      <c r="M195" s="1" t="s">
        <v>5036</v>
      </c>
      <c r="N195" s="1" t="s">
        <v>5036</v>
      </c>
      <c r="O195" s="1"/>
      <c r="P195" s="1"/>
      <c r="Q195" s="1"/>
      <c r="R195" s="1"/>
    </row>
    <row r="196" spans="1:18" ht="14.25" customHeight="1" x14ac:dyDescent="0.25">
      <c r="A196" s="1">
        <v>229</v>
      </c>
      <c r="B196" s="1" t="s">
        <v>5702</v>
      </c>
      <c r="C196" s="1" t="s">
        <v>5703</v>
      </c>
      <c r="D196">
        <v>2018</v>
      </c>
      <c r="E196" s="1" t="s">
        <v>116</v>
      </c>
      <c r="F196" s="1" t="s">
        <v>5704</v>
      </c>
      <c r="G196" s="1"/>
      <c r="H196" s="1"/>
      <c r="I196" s="47" t="s">
        <v>5705</v>
      </c>
      <c r="J196" s="3" t="s">
        <v>5706</v>
      </c>
      <c r="K196" s="1">
        <v>-1</v>
      </c>
      <c r="L196" s="1" t="s">
        <v>5036</v>
      </c>
      <c r="M196" s="1" t="s">
        <v>5036</v>
      </c>
      <c r="N196" s="1" t="s">
        <v>5036</v>
      </c>
      <c r="O196" s="1"/>
      <c r="P196" s="1"/>
      <c r="Q196" s="1"/>
      <c r="R196" s="1"/>
    </row>
    <row r="197" spans="1:18" ht="14.25" customHeight="1" x14ac:dyDescent="0.25">
      <c r="A197" s="1">
        <v>181</v>
      </c>
      <c r="B197" s="1" t="s">
        <v>5486</v>
      </c>
      <c r="C197" s="1" t="s">
        <v>5487</v>
      </c>
      <c r="D197">
        <v>2018</v>
      </c>
      <c r="E197" s="1" t="s">
        <v>0</v>
      </c>
      <c r="F197" s="1"/>
      <c r="G197" s="1"/>
      <c r="H197" s="1" t="s">
        <v>5488</v>
      </c>
      <c r="I197" s="47" t="s">
        <v>5489</v>
      </c>
      <c r="J197" s="3" t="s">
        <v>5490</v>
      </c>
      <c r="K197" s="1">
        <v>-1</v>
      </c>
      <c r="L197" s="1" t="s">
        <v>5036</v>
      </c>
      <c r="M197" s="1" t="s">
        <v>5036</v>
      </c>
      <c r="N197" s="1" t="s">
        <v>5036</v>
      </c>
      <c r="O197" s="1"/>
      <c r="P197" s="1"/>
      <c r="Q197" s="1"/>
      <c r="R197" s="1"/>
    </row>
    <row r="198" spans="1:18" ht="14.25" customHeight="1" x14ac:dyDescent="0.25">
      <c r="A198" s="1">
        <v>159</v>
      </c>
      <c r="B198" s="1" t="s">
        <v>5379</v>
      </c>
      <c r="C198" s="1" t="s">
        <v>5380</v>
      </c>
      <c r="D198">
        <v>2018</v>
      </c>
      <c r="E198" s="1" t="s">
        <v>116</v>
      </c>
      <c r="F198" s="1" t="s">
        <v>5381</v>
      </c>
      <c r="G198" s="1"/>
      <c r="H198" s="1" t="s">
        <v>5382</v>
      </c>
      <c r="I198" s="47" t="s">
        <v>5383</v>
      </c>
      <c r="J198" s="3" t="s">
        <v>5384</v>
      </c>
      <c r="K198" s="1">
        <v>-1</v>
      </c>
      <c r="L198" s="1" t="s">
        <v>5036</v>
      </c>
      <c r="M198" s="1" t="s">
        <v>5036</v>
      </c>
      <c r="N198" s="1" t="s">
        <v>5036</v>
      </c>
      <c r="O198" s="1"/>
      <c r="P198" s="1"/>
      <c r="Q198" s="1"/>
      <c r="R198" s="1"/>
    </row>
    <row r="199" spans="1:18" ht="14.25" customHeight="1" x14ac:dyDescent="0.25">
      <c r="A199" s="1">
        <v>235</v>
      </c>
      <c r="B199" s="1" t="s">
        <v>5722</v>
      </c>
      <c r="C199" s="1"/>
      <c r="D199">
        <v>2018</v>
      </c>
      <c r="E199" s="1" t="s">
        <v>116</v>
      </c>
      <c r="F199" s="1" t="s">
        <v>5723</v>
      </c>
      <c r="G199" s="1"/>
      <c r="H199" s="1"/>
      <c r="I199" s="47" t="s">
        <v>5724</v>
      </c>
      <c r="J199" s="3" t="s">
        <v>5721</v>
      </c>
      <c r="K199" s="1">
        <v>-1</v>
      </c>
      <c r="L199" s="1" t="s">
        <v>5036</v>
      </c>
      <c r="M199" s="1" t="s">
        <v>5036</v>
      </c>
      <c r="N199" s="1" t="s">
        <v>5036</v>
      </c>
      <c r="O199" s="1"/>
      <c r="P199" s="1"/>
      <c r="Q199" s="1"/>
      <c r="R199" s="1"/>
    </row>
    <row r="200" spans="1:18" ht="14.25" customHeight="1" x14ac:dyDescent="0.25">
      <c r="A200" s="1">
        <v>232</v>
      </c>
      <c r="B200" s="1" t="s">
        <v>5710</v>
      </c>
      <c r="C200" s="1"/>
      <c r="D200">
        <v>2018</v>
      </c>
      <c r="E200" s="1" t="s">
        <v>116</v>
      </c>
      <c r="F200" s="1" t="s">
        <v>5711</v>
      </c>
      <c r="G200" s="1"/>
      <c r="H200" s="1"/>
      <c r="I200" s="47" t="s">
        <v>5712</v>
      </c>
      <c r="J200" s="3" t="s">
        <v>5713</v>
      </c>
      <c r="K200" s="1">
        <v>-1</v>
      </c>
      <c r="L200" s="1" t="s">
        <v>5036</v>
      </c>
      <c r="M200" s="1" t="s">
        <v>5036</v>
      </c>
      <c r="N200" s="1" t="s">
        <v>5036</v>
      </c>
      <c r="O200" s="1"/>
      <c r="P200" s="1"/>
      <c r="Q200" s="1"/>
      <c r="R200" s="1"/>
    </row>
    <row r="201" spans="1:18" ht="14.25" customHeight="1" x14ac:dyDescent="0.25">
      <c r="A201" s="1">
        <v>234</v>
      </c>
      <c r="B201" s="1" t="s">
        <v>5718</v>
      </c>
      <c r="C201" s="1"/>
      <c r="D201">
        <v>2018</v>
      </c>
      <c r="E201" s="1" t="s">
        <v>116</v>
      </c>
      <c r="F201" s="1" t="s">
        <v>5719</v>
      </c>
      <c r="G201" s="1"/>
      <c r="H201" s="1"/>
      <c r="I201" s="47" t="s">
        <v>5720</v>
      </c>
      <c r="J201" s="3" t="s">
        <v>5721</v>
      </c>
      <c r="K201" s="1">
        <v>-1</v>
      </c>
      <c r="L201" s="1" t="s">
        <v>5036</v>
      </c>
      <c r="M201" s="1" t="s">
        <v>5036</v>
      </c>
      <c r="N201" s="1" t="s">
        <v>5036</v>
      </c>
      <c r="O201" s="1"/>
      <c r="P201" s="1"/>
      <c r="Q201" s="1"/>
      <c r="R201" s="1"/>
    </row>
    <row r="202" spans="1:18" ht="14.25" customHeight="1" x14ac:dyDescent="0.25">
      <c r="A202" s="1">
        <v>233</v>
      </c>
      <c r="B202" s="1" t="s">
        <v>5714</v>
      </c>
      <c r="C202" s="1"/>
      <c r="D202">
        <v>2018</v>
      </c>
      <c r="E202" s="1" t="s">
        <v>116</v>
      </c>
      <c r="F202" s="1" t="s">
        <v>5715</v>
      </c>
      <c r="G202" s="1"/>
      <c r="H202" s="1"/>
      <c r="I202" s="47" t="s">
        <v>5716</v>
      </c>
      <c r="J202" s="3" t="s">
        <v>5717</v>
      </c>
      <c r="K202" s="1">
        <v>-1</v>
      </c>
      <c r="L202" s="1" t="s">
        <v>5036</v>
      </c>
      <c r="M202" s="1" t="s">
        <v>5036</v>
      </c>
      <c r="N202" s="1" t="s">
        <v>5036</v>
      </c>
      <c r="O202" s="1"/>
      <c r="P202" s="1"/>
      <c r="Q202" s="1"/>
      <c r="R202" s="1"/>
    </row>
    <row r="203" spans="1:18" ht="14.25" customHeight="1" x14ac:dyDescent="0.25">
      <c r="A203" s="1">
        <v>184</v>
      </c>
      <c r="B203" s="1" t="s">
        <v>5500</v>
      </c>
      <c r="C203" s="1" t="s">
        <v>5501</v>
      </c>
      <c r="D203">
        <v>2018</v>
      </c>
      <c r="E203" s="1" t="s">
        <v>127</v>
      </c>
      <c r="F203" s="1" t="s">
        <v>5502</v>
      </c>
      <c r="G203" s="1"/>
      <c r="H203" s="1" t="s">
        <v>5503</v>
      </c>
      <c r="I203" s="1"/>
      <c r="J203" s="3" t="s">
        <v>5504</v>
      </c>
      <c r="K203" s="1">
        <v>-1</v>
      </c>
      <c r="L203" s="1" t="s">
        <v>5036</v>
      </c>
      <c r="M203" s="1" t="s">
        <v>5036</v>
      </c>
      <c r="N203" s="1" t="s">
        <v>5036</v>
      </c>
      <c r="O203" s="1"/>
      <c r="P203" s="1"/>
      <c r="Q203" s="1"/>
      <c r="R203" s="1"/>
    </row>
    <row r="204" spans="1:18" ht="14.25" customHeight="1" x14ac:dyDescent="0.25">
      <c r="A204" s="1">
        <v>190</v>
      </c>
      <c r="B204" s="1" t="s">
        <v>5530</v>
      </c>
      <c r="C204" s="1" t="s">
        <v>5531</v>
      </c>
      <c r="D204">
        <v>2018</v>
      </c>
      <c r="E204" s="1" t="s">
        <v>0</v>
      </c>
      <c r="F204" s="1" t="s">
        <v>5367</v>
      </c>
      <c r="G204" s="1"/>
      <c r="H204" s="1"/>
      <c r="I204" s="47" t="s">
        <v>5532</v>
      </c>
      <c r="J204" s="3" t="s">
        <v>5533</v>
      </c>
      <c r="K204" s="1">
        <v>-1</v>
      </c>
      <c r="L204" s="1" t="s">
        <v>5036</v>
      </c>
      <c r="M204" s="1" t="s">
        <v>5036</v>
      </c>
      <c r="N204" s="1" t="s">
        <v>5036</v>
      </c>
      <c r="O204" s="1"/>
      <c r="P204" s="1"/>
      <c r="Q204" s="1"/>
      <c r="R204" s="1"/>
    </row>
    <row r="205" spans="1:18" ht="14.25" customHeight="1" x14ac:dyDescent="0.25">
      <c r="A205" s="1">
        <v>169</v>
      </c>
      <c r="B205" s="1" t="s">
        <v>5429</v>
      </c>
      <c r="C205" s="1" t="s">
        <v>5430</v>
      </c>
      <c r="D205">
        <v>2018</v>
      </c>
      <c r="E205" s="1" t="s">
        <v>244</v>
      </c>
      <c r="F205" s="1"/>
      <c r="G205" s="1"/>
      <c r="H205" s="1" t="s">
        <v>5431</v>
      </c>
      <c r="I205" s="47" t="s">
        <v>5432</v>
      </c>
      <c r="J205" s="3" t="s">
        <v>5433</v>
      </c>
      <c r="K205" s="1">
        <v>-1</v>
      </c>
      <c r="L205" s="1" t="s">
        <v>5036</v>
      </c>
      <c r="M205" s="1" t="s">
        <v>5036</v>
      </c>
      <c r="N205" s="1" t="s">
        <v>5036</v>
      </c>
      <c r="O205" s="1"/>
      <c r="P205" s="1"/>
      <c r="Q205" s="1"/>
      <c r="R205" s="1"/>
    </row>
    <row r="206" spans="1:18" ht="14.25" customHeight="1" x14ac:dyDescent="0.25">
      <c r="A206" s="1">
        <v>198</v>
      </c>
      <c r="B206" s="1" t="s">
        <v>5566</v>
      </c>
      <c r="C206" s="1" t="s">
        <v>5567</v>
      </c>
      <c r="D206">
        <v>2018</v>
      </c>
      <c r="E206" s="1" t="s">
        <v>244</v>
      </c>
      <c r="F206" s="1"/>
      <c r="G206" s="1"/>
      <c r="H206" s="1" t="s">
        <v>5568</v>
      </c>
      <c r="I206" s="47" t="s">
        <v>5569</v>
      </c>
      <c r="J206" s="3" t="s">
        <v>5570</v>
      </c>
      <c r="K206" s="1">
        <v>1</v>
      </c>
      <c r="L206" s="1" t="s">
        <v>5036</v>
      </c>
      <c r="M206" s="1" t="s">
        <v>5036</v>
      </c>
      <c r="N206" s="1" t="s">
        <v>5036</v>
      </c>
      <c r="O206" s="1"/>
      <c r="P206" s="1"/>
      <c r="Q206" s="1"/>
      <c r="R206" s="1"/>
    </row>
    <row r="207" spans="1:18" ht="14.25" customHeight="1" x14ac:dyDescent="0.25">
      <c r="A207" s="1">
        <v>204</v>
      </c>
      <c r="B207" s="1" t="s">
        <v>5591</v>
      </c>
      <c r="C207" s="1" t="s">
        <v>5592</v>
      </c>
      <c r="D207">
        <v>2018</v>
      </c>
      <c r="E207" s="1" t="s">
        <v>244</v>
      </c>
      <c r="F207" s="1"/>
      <c r="G207" s="1"/>
      <c r="H207" s="1" t="s">
        <v>5593</v>
      </c>
      <c r="I207" s="47" t="s">
        <v>5594</v>
      </c>
      <c r="J207" s="3" t="s">
        <v>5595</v>
      </c>
      <c r="K207" s="1">
        <v>-1</v>
      </c>
      <c r="L207" s="1" t="s">
        <v>5036</v>
      </c>
      <c r="M207" s="1" t="s">
        <v>5036</v>
      </c>
      <c r="N207" s="1" t="s">
        <v>5036</v>
      </c>
      <c r="O207" s="1"/>
      <c r="P207" s="1"/>
      <c r="Q207" s="1"/>
      <c r="R207" s="1"/>
    </row>
    <row r="208" spans="1:18" ht="14.25" customHeight="1" x14ac:dyDescent="0.25">
      <c r="A208" s="1">
        <v>156</v>
      </c>
      <c r="B208" s="1" t="s">
        <v>5365</v>
      </c>
      <c r="C208" s="1" t="s">
        <v>5366</v>
      </c>
      <c r="D208">
        <v>2018</v>
      </c>
      <c r="E208" s="1" t="s">
        <v>0</v>
      </c>
      <c r="F208" s="1" t="s">
        <v>5367</v>
      </c>
      <c r="G208" s="1"/>
      <c r="H208" s="1"/>
      <c r="I208" s="47" t="s">
        <v>5368</v>
      </c>
      <c r="J208" s="3" t="s">
        <v>5369</v>
      </c>
      <c r="K208" s="1">
        <v>1</v>
      </c>
      <c r="L208" s="1" t="s">
        <v>5036</v>
      </c>
      <c r="M208" s="1" t="s">
        <v>5036</v>
      </c>
      <c r="N208" s="1" t="s">
        <v>5036</v>
      </c>
      <c r="O208" s="1"/>
      <c r="P208" s="1"/>
      <c r="Q208" s="1"/>
      <c r="R208" s="1"/>
    </row>
    <row r="209" spans="1:18" ht="14.25" customHeight="1" x14ac:dyDescent="0.25">
      <c r="A209" s="1">
        <v>197</v>
      </c>
      <c r="B209" s="1" t="s">
        <v>5561</v>
      </c>
      <c r="C209" s="1" t="s">
        <v>5562</v>
      </c>
      <c r="D209">
        <v>2018</v>
      </c>
      <c r="E209" s="1" t="s">
        <v>0</v>
      </c>
      <c r="F209" s="1" t="s">
        <v>5563</v>
      </c>
      <c r="G209" s="1"/>
      <c r="H209" s="1"/>
      <c r="I209" s="47" t="s">
        <v>5564</v>
      </c>
      <c r="J209" s="3" t="s">
        <v>5565</v>
      </c>
      <c r="K209" s="1">
        <v>-1</v>
      </c>
      <c r="L209" s="1" t="s">
        <v>5036</v>
      </c>
      <c r="M209" s="1" t="s">
        <v>5036</v>
      </c>
      <c r="N209" s="1" t="s">
        <v>5036</v>
      </c>
      <c r="O209" s="1"/>
      <c r="P209" s="1"/>
      <c r="Q209" s="1"/>
      <c r="R209" s="1"/>
    </row>
    <row r="210" spans="1:18" ht="14.25" customHeight="1" x14ac:dyDescent="0.25">
      <c r="A210" s="1">
        <v>168</v>
      </c>
      <c r="B210" s="1" t="s">
        <v>5424</v>
      </c>
      <c r="C210" s="1" t="s">
        <v>5425</v>
      </c>
      <c r="D210">
        <v>2018</v>
      </c>
      <c r="E210" s="1" t="s">
        <v>0</v>
      </c>
      <c r="F210" s="1" t="s">
        <v>5426</v>
      </c>
      <c r="G210" s="1"/>
      <c r="H210" s="1"/>
      <c r="I210" s="47" t="s">
        <v>5427</v>
      </c>
      <c r="J210" s="3" t="s">
        <v>5428</v>
      </c>
      <c r="K210" s="1">
        <v>-1</v>
      </c>
      <c r="L210" s="1" t="s">
        <v>5036</v>
      </c>
      <c r="M210" s="1" t="s">
        <v>5036</v>
      </c>
      <c r="N210" s="1" t="s">
        <v>5036</v>
      </c>
      <c r="O210" s="1"/>
      <c r="P210" s="1"/>
      <c r="Q210" s="1"/>
      <c r="R210" s="1"/>
    </row>
    <row r="211" spans="1:18" ht="14.25" customHeight="1" x14ac:dyDescent="0.25">
      <c r="A211" s="1">
        <v>224</v>
      </c>
      <c r="B211" s="1" t="s">
        <v>5680</v>
      </c>
      <c r="C211" s="1" t="s">
        <v>5681</v>
      </c>
      <c r="D211">
        <v>2018</v>
      </c>
      <c r="E211" s="1" t="s">
        <v>0</v>
      </c>
      <c r="F211" s="1" t="s">
        <v>5372</v>
      </c>
      <c r="G211" s="1"/>
      <c r="H211" s="1"/>
      <c r="I211" s="47" t="s">
        <v>5682</v>
      </c>
      <c r="J211" s="3" t="s">
        <v>5683</v>
      </c>
      <c r="K211" s="1">
        <v>-1</v>
      </c>
      <c r="L211" s="1" t="s">
        <v>5036</v>
      </c>
      <c r="M211" s="1" t="s">
        <v>5036</v>
      </c>
      <c r="N211" s="1" t="s">
        <v>5036</v>
      </c>
      <c r="O211" s="1"/>
      <c r="P211" s="1"/>
      <c r="Q211" s="1"/>
      <c r="R211" s="1"/>
    </row>
    <row r="212" spans="1:18" ht="14.25" customHeight="1" x14ac:dyDescent="0.25">
      <c r="A212" s="1">
        <v>223</v>
      </c>
      <c r="B212" s="1" t="s">
        <v>5675</v>
      </c>
      <c r="C212" s="1" t="s">
        <v>5676</v>
      </c>
      <c r="D212">
        <v>2018</v>
      </c>
      <c r="E212" s="1" t="s">
        <v>244</v>
      </c>
      <c r="F212" s="1"/>
      <c r="G212" s="1"/>
      <c r="H212" s="1" t="s">
        <v>5677</v>
      </c>
      <c r="I212" s="47" t="s">
        <v>5678</v>
      </c>
      <c r="J212" s="3" t="s">
        <v>5679</v>
      </c>
      <c r="K212" s="1">
        <v>-1</v>
      </c>
      <c r="L212" s="1" t="s">
        <v>5036</v>
      </c>
      <c r="M212" s="1" t="s">
        <v>5036</v>
      </c>
      <c r="N212" s="1" t="s">
        <v>5036</v>
      </c>
      <c r="O212" s="1"/>
      <c r="P212" s="1"/>
      <c r="Q212" s="1"/>
      <c r="R212" s="1"/>
    </row>
    <row r="213" spans="1:18" ht="14.25" customHeight="1" x14ac:dyDescent="0.25">
      <c r="A213" s="1">
        <v>206</v>
      </c>
      <c r="B213" s="1" t="s">
        <v>5600</v>
      </c>
      <c r="C213" s="1" t="s">
        <v>5601</v>
      </c>
      <c r="D213">
        <v>2018</v>
      </c>
      <c r="E213" s="1" t="s">
        <v>116</v>
      </c>
      <c r="F213" s="1" t="s">
        <v>5602</v>
      </c>
      <c r="G213" s="1"/>
      <c r="H213" s="1"/>
      <c r="I213" s="47" t="s">
        <v>5603</v>
      </c>
      <c r="J213" s="3" t="s">
        <v>5604</v>
      </c>
      <c r="K213" s="1">
        <v>-1</v>
      </c>
      <c r="L213" s="1" t="s">
        <v>5036</v>
      </c>
      <c r="M213" s="1" t="s">
        <v>5036</v>
      </c>
      <c r="N213" s="1" t="s">
        <v>5036</v>
      </c>
      <c r="O213" s="1"/>
      <c r="P213" s="1"/>
      <c r="Q213" s="1"/>
      <c r="R213" s="1"/>
    </row>
    <row r="214" spans="1:18" ht="14.25" customHeight="1" x14ac:dyDescent="0.25">
      <c r="A214" s="1">
        <v>201</v>
      </c>
      <c r="B214" s="1" t="s">
        <v>5580</v>
      </c>
      <c r="C214" s="1" t="s">
        <v>5581</v>
      </c>
      <c r="D214">
        <v>2018</v>
      </c>
      <c r="E214" s="1" t="s">
        <v>658</v>
      </c>
      <c r="F214" s="1" t="s">
        <v>5441</v>
      </c>
      <c r="G214" s="1" t="s">
        <v>666</v>
      </c>
      <c r="H214" s="1"/>
      <c r="I214" s="1"/>
      <c r="J214" s="3"/>
      <c r="K214" s="1">
        <v>-1</v>
      </c>
      <c r="L214" s="1" t="s">
        <v>5036</v>
      </c>
      <c r="M214" s="1" t="s">
        <v>5036</v>
      </c>
      <c r="N214" s="1" t="s">
        <v>5036</v>
      </c>
      <c r="O214" s="1"/>
      <c r="P214" s="1"/>
      <c r="Q214" s="1"/>
      <c r="R214" s="1"/>
    </row>
    <row r="215" spans="1:18" ht="14.25" customHeight="1" x14ac:dyDescent="0.25">
      <c r="A215" s="1">
        <v>179</v>
      </c>
      <c r="B215" s="1" t="s">
        <v>5475</v>
      </c>
      <c r="C215" s="1" t="s">
        <v>5476</v>
      </c>
      <c r="D215">
        <v>2018</v>
      </c>
      <c r="E215" s="1" t="s">
        <v>116</v>
      </c>
      <c r="F215" s="1" t="s">
        <v>1045</v>
      </c>
      <c r="G215" s="1"/>
      <c r="H215" s="1" t="s">
        <v>5477</v>
      </c>
      <c r="I215" s="47" t="s">
        <v>5478</v>
      </c>
      <c r="J215" s="3" t="s">
        <v>5479</v>
      </c>
      <c r="K215" s="1">
        <v>-1</v>
      </c>
      <c r="L215" s="1" t="s">
        <v>5036</v>
      </c>
      <c r="M215" s="1" t="s">
        <v>5036</v>
      </c>
      <c r="N215" s="1" t="s">
        <v>5036</v>
      </c>
      <c r="O215" s="1"/>
      <c r="P215" s="1"/>
      <c r="Q215" s="1"/>
      <c r="R215" s="1"/>
    </row>
    <row r="216" spans="1:18" ht="14.25" customHeight="1" x14ac:dyDescent="0.25">
      <c r="A216" s="1">
        <v>230</v>
      </c>
      <c r="B216" s="1" t="s">
        <v>5707</v>
      </c>
      <c r="C216" s="1"/>
      <c r="D216">
        <v>2018</v>
      </c>
      <c r="E216" s="1" t="s">
        <v>0</v>
      </c>
      <c r="F216" s="1" t="s">
        <v>5421</v>
      </c>
      <c r="G216" s="1"/>
      <c r="H216" s="1"/>
      <c r="I216" s="1"/>
      <c r="J216" s="3" t="s">
        <v>5707</v>
      </c>
      <c r="K216" s="1">
        <v>-1</v>
      </c>
      <c r="L216" s="1" t="s">
        <v>5036</v>
      </c>
      <c r="M216" s="1" t="s">
        <v>5036</v>
      </c>
      <c r="N216" s="1" t="s">
        <v>5036</v>
      </c>
      <c r="O216" s="1"/>
      <c r="P216" s="1"/>
      <c r="Q216" s="1"/>
      <c r="R216" s="1"/>
    </row>
    <row r="217" spans="1:18" ht="14.25" customHeight="1" x14ac:dyDescent="0.25">
      <c r="A217" s="1">
        <v>182</v>
      </c>
      <c r="B217" s="1" t="s">
        <v>5491</v>
      </c>
      <c r="C217" s="1" t="s">
        <v>5492</v>
      </c>
      <c r="D217">
        <v>2018</v>
      </c>
      <c r="E217" s="1" t="s">
        <v>0</v>
      </c>
      <c r="F217" s="1" t="s">
        <v>5402</v>
      </c>
      <c r="G217" s="1"/>
      <c r="H217" s="1"/>
      <c r="I217" s="47" t="s">
        <v>5493</v>
      </c>
      <c r="J217" s="3" t="s">
        <v>5494</v>
      </c>
      <c r="K217" s="1">
        <v>1</v>
      </c>
      <c r="L217" s="1" t="s">
        <v>5036</v>
      </c>
      <c r="M217" s="1" t="s">
        <v>5036</v>
      </c>
      <c r="N217" s="1" t="s">
        <v>5036</v>
      </c>
      <c r="O217" s="1"/>
      <c r="P217" s="1"/>
      <c r="Q217" s="1"/>
      <c r="R217" s="1"/>
    </row>
    <row r="218" spans="1:18" ht="14.25" customHeight="1" x14ac:dyDescent="0.25">
      <c r="A218" s="1">
        <v>196</v>
      </c>
      <c r="B218" s="1" t="s">
        <v>5556</v>
      </c>
      <c r="C218" s="1" t="s">
        <v>5557</v>
      </c>
      <c r="D218">
        <v>2018</v>
      </c>
      <c r="E218" s="1" t="s">
        <v>244</v>
      </c>
      <c r="F218" s="1"/>
      <c r="G218" s="1"/>
      <c r="H218" s="1" t="s">
        <v>5558</v>
      </c>
      <c r="I218" s="47" t="s">
        <v>5559</v>
      </c>
      <c r="J218" s="3" t="s">
        <v>5560</v>
      </c>
      <c r="K218" s="1">
        <v>-1</v>
      </c>
      <c r="L218" s="1" t="s">
        <v>5036</v>
      </c>
      <c r="M218" s="1" t="s">
        <v>5036</v>
      </c>
      <c r="N218" s="1" t="s">
        <v>5036</v>
      </c>
      <c r="O218" s="1"/>
      <c r="P218" s="1"/>
      <c r="Q218" s="1"/>
      <c r="R218" s="1"/>
    </row>
    <row r="219" spans="1:18" ht="14.25" customHeight="1" x14ac:dyDescent="0.25">
      <c r="A219" s="1">
        <v>162</v>
      </c>
      <c r="B219" s="1" t="s">
        <v>5395</v>
      </c>
      <c r="C219" s="1" t="s">
        <v>5396</v>
      </c>
      <c r="D219">
        <v>2018</v>
      </c>
      <c r="E219" s="1" t="s">
        <v>0</v>
      </c>
      <c r="F219" s="1"/>
      <c r="G219" s="1"/>
      <c r="H219" s="1" t="s">
        <v>5397</v>
      </c>
      <c r="I219" s="47" t="s">
        <v>5398</v>
      </c>
      <c r="J219" s="3" t="s">
        <v>5399</v>
      </c>
      <c r="K219" s="1">
        <v>1</v>
      </c>
      <c r="L219" s="1" t="s">
        <v>5036</v>
      </c>
      <c r="M219" s="1" t="s">
        <v>5036</v>
      </c>
      <c r="N219" s="1" t="s">
        <v>5036</v>
      </c>
      <c r="O219" s="1"/>
      <c r="P219" s="1"/>
      <c r="Q219" s="1"/>
      <c r="R219" s="1"/>
    </row>
    <row r="220" spans="1:18" ht="14.25" customHeight="1" x14ac:dyDescent="0.25">
      <c r="A220" s="1">
        <v>226</v>
      </c>
      <c r="B220" s="1" t="s">
        <v>5689</v>
      </c>
      <c r="C220" s="1" t="s">
        <v>5690</v>
      </c>
      <c r="D220">
        <v>2018</v>
      </c>
      <c r="E220" s="1" t="s">
        <v>0</v>
      </c>
      <c r="F220" s="1" t="s">
        <v>5436</v>
      </c>
      <c r="G220" s="1"/>
      <c r="H220" s="1"/>
      <c r="I220" s="47" t="s">
        <v>5691</v>
      </c>
      <c r="J220" s="3" t="s">
        <v>5692</v>
      </c>
      <c r="K220" s="1">
        <v>-1</v>
      </c>
      <c r="L220" s="1" t="s">
        <v>5036</v>
      </c>
      <c r="M220" s="1" t="s">
        <v>5036</v>
      </c>
      <c r="N220" s="1" t="s">
        <v>5036</v>
      </c>
      <c r="O220" s="1"/>
      <c r="P220" s="1"/>
      <c r="Q220" s="1"/>
      <c r="R220" s="1"/>
    </row>
    <row r="221" spans="1:18" ht="14.25" customHeight="1" x14ac:dyDescent="0.25">
      <c r="A221" s="1">
        <v>161</v>
      </c>
      <c r="B221" s="1" t="s">
        <v>5390</v>
      </c>
      <c r="C221" s="1" t="s">
        <v>5391</v>
      </c>
      <c r="D221">
        <v>2018</v>
      </c>
      <c r="E221" s="1" t="s">
        <v>0</v>
      </c>
      <c r="F221" s="1" t="s">
        <v>5392</v>
      </c>
      <c r="G221" s="1"/>
      <c r="H221" s="1"/>
      <c r="I221" s="47" t="s">
        <v>5393</v>
      </c>
      <c r="J221" s="3" t="s">
        <v>5394</v>
      </c>
      <c r="K221" s="1">
        <v>-1</v>
      </c>
      <c r="L221" s="1" t="s">
        <v>5036</v>
      </c>
      <c r="M221" s="1" t="s">
        <v>5036</v>
      </c>
      <c r="N221" s="1" t="s">
        <v>5036</v>
      </c>
      <c r="O221" s="1"/>
      <c r="P221" s="1"/>
      <c r="Q221" s="1"/>
      <c r="R221" s="1"/>
    </row>
    <row r="222" spans="1:18" ht="14.25" customHeight="1" x14ac:dyDescent="0.25">
      <c r="A222" s="1">
        <v>173</v>
      </c>
      <c r="B222" s="1" t="s">
        <v>5447</v>
      </c>
      <c r="C222" s="1" t="s">
        <v>5448</v>
      </c>
      <c r="D222">
        <v>2018</v>
      </c>
      <c r="E222" s="1" t="s">
        <v>0</v>
      </c>
      <c r="F222" s="1" t="s">
        <v>5449</v>
      </c>
      <c r="G222" s="1"/>
      <c r="H222" s="1"/>
      <c r="I222" s="47" t="s">
        <v>5450</v>
      </c>
      <c r="J222" s="3" t="s">
        <v>5451</v>
      </c>
      <c r="K222" s="1">
        <v>-1</v>
      </c>
      <c r="L222" s="1" t="s">
        <v>5036</v>
      </c>
      <c r="M222" s="1" t="s">
        <v>5036</v>
      </c>
      <c r="N222" s="1" t="s">
        <v>5036</v>
      </c>
      <c r="O222" s="1"/>
      <c r="P222" s="1"/>
      <c r="Q222" s="1"/>
      <c r="R222" s="1"/>
    </row>
    <row r="223" spans="1:18" ht="14.25" customHeight="1" x14ac:dyDescent="0.25">
      <c r="A223" s="1">
        <v>165</v>
      </c>
      <c r="B223" s="1" t="s">
        <v>5410</v>
      </c>
      <c r="C223" s="1" t="s">
        <v>5411</v>
      </c>
      <c r="D223">
        <v>2018</v>
      </c>
      <c r="E223" s="1" t="s">
        <v>0</v>
      </c>
      <c r="F223" s="1" t="s">
        <v>5412</v>
      </c>
      <c r="G223" s="1"/>
      <c r="H223" s="1"/>
      <c r="I223" s="47" t="s">
        <v>5413</v>
      </c>
      <c r="J223" s="3" t="s">
        <v>5414</v>
      </c>
      <c r="K223" s="1">
        <v>-1</v>
      </c>
      <c r="L223" s="1" t="s">
        <v>5036</v>
      </c>
      <c r="M223" s="1" t="s">
        <v>5036</v>
      </c>
      <c r="N223" s="1" t="s">
        <v>5036</v>
      </c>
      <c r="O223" s="1"/>
      <c r="P223" s="1"/>
      <c r="Q223" s="1"/>
      <c r="R223" s="1"/>
    </row>
    <row r="224" spans="1:18" ht="14.25" customHeight="1" x14ac:dyDescent="0.25">
      <c r="A224" s="1">
        <v>231</v>
      </c>
      <c r="B224" s="1" t="s">
        <v>2</v>
      </c>
      <c r="C224" s="1"/>
      <c r="D224">
        <v>2018</v>
      </c>
      <c r="E224" s="1" t="s">
        <v>0</v>
      </c>
      <c r="F224" s="1" t="s">
        <v>5372</v>
      </c>
      <c r="G224" s="1"/>
      <c r="H224" s="1"/>
      <c r="I224" s="47" t="s">
        <v>5708</v>
      </c>
      <c r="J224" s="3" t="s">
        <v>5709</v>
      </c>
      <c r="K224" s="1">
        <v>-1</v>
      </c>
      <c r="L224" s="1" t="s">
        <v>5036</v>
      </c>
      <c r="M224" s="1" t="s">
        <v>5036</v>
      </c>
      <c r="N224" s="1" t="s">
        <v>5036</v>
      </c>
      <c r="O224" s="1"/>
      <c r="P224" s="1"/>
      <c r="Q224" s="1"/>
      <c r="R224" s="1"/>
    </row>
    <row r="225" spans="1:18" ht="14.25" customHeight="1" x14ac:dyDescent="0.25">
      <c r="A225" s="1">
        <v>221</v>
      </c>
      <c r="B225" s="1" t="s">
        <v>5667</v>
      </c>
      <c r="C225" s="1" t="s">
        <v>5668</v>
      </c>
      <c r="D225">
        <v>2018</v>
      </c>
      <c r="E225" s="1" t="s">
        <v>244</v>
      </c>
      <c r="F225" s="1" t="s">
        <v>5669</v>
      </c>
      <c r="G225" s="1"/>
      <c r="H225" s="1" t="s">
        <v>5670</v>
      </c>
      <c r="I225" s="47" t="s">
        <v>5671</v>
      </c>
      <c r="J225" s="3" t="s">
        <v>5672</v>
      </c>
      <c r="K225" s="1">
        <v>-1</v>
      </c>
      <c r="L225" s="1" t="s">
        <v>5036</v>
      </c>
      <c r="M225" s="1" t="s">
        <v>5036</v>
      </c>
      <c r="N225" s="1" t="s">
        <v>5036</v>
      </c>
      <c r="O225" s="1"/>
      <c r="P225" s="1"/>
      <c r="Q225" s="1"/>
      <c r="R225" s="1"/>
    </row>
    <row r="226" spans="1:18" ht="14.25" customHeight="1" x14ac:dyDescent="0.25">
      <c r="A226" s="1">
        <v>208</v>
      </c>
      <c r="B226" s="1" t="s">
        <v>1230</v>
      </c>
      <c r="C226" s="1" t="s">
        <v>5606</v>
      </c>
      <c r="D226">
        <v>2018</v>
      </c>
      <c r="E226" s="1" t="s">
        <v>127</v>
      </c>
      <c r="F226" s="1" t="s">
        <v>5607</v>
      </c>
      <c r="G226" s="1" t="s">
        <v>1232</v>
      </c>
      <c r="H226" s="1" t="s">
        <v>5611</v>
      </c>
      <c r="I226" s="47" t="s">
        <v>3466</v>
      </c>
      <c r="J226" s="3" t="s">
        <v>5612</v>
      </c>
      <c r="K226" s="1">
        <v>-1</v>
      </c>
      <c r="L226" s="1" t="s">
        <v>5036</v>
      </c>
      <c r="M226" s="1" t="s">
        <v>5036</v>
      </c>
      <c r="N226" s="1" t="s">
        <v>5036</v>
      </c>
      <c r="O226" s="1"/>
      <c r="P226" s="1"/>
      <c r="Q226" s="1"/>
      <c r="R226" s="1"/>
    </row>
    <row r="227" spans="1:18" ht="14.25" customHeight="1" x14ac:dyDescent="0.25">
      <c r="A227" s="1">
        <v>183</v>
      </c>
      <c r="B227" s="1" t="s">
        <v>5495</v>
      </c>
      <c r="C227" s="1" t="s">
        <v>5496</v>
      </c>
      <c r="D227">
        <v>2018</v>
      </c>
      <c r="E227" s="1" t="s">
        <v>244</v>
      </c>
      <c r="F227" s="1"/>
      <c r="G227" s="1"/>
      <c r="H227" s="1" t="s">
        <v>5497</v>
      </c>
      <c r="I227" s="47" t="s">
        <v>5498</v>
      </c>
      <c r="J227" s="3" t="s">
        <v>5499</v>
      </c>
      <c r="K227" s="1">
        <v>-1</v>
      </c>
      <c r="L227" s="1" t="s">
        <v>5036</v>
      </c>
      <c r="M227" s="1" t="s">
        <v>5036</v>
      </c>
      <c r="N227" s="1" t="s">
        <v>5036</v>
      </c>
      <c r="O227" s="1"/>
      <c r="P227" s="1"/>
      <c r="Q227" s="1"/>
      <c r="R227" s="1"/>
    </row>
    <row r="228" spans="1:18" ht="14.25" customHeight="1" x14ac:dyDescent="0.25">
      <c r="A228" s="1">
        <v>180</v>
      </c>
      <c r="B228" s="1" t="s">
        <v>5480</v>
      </c>
      <c r="C228" s="1" t="s">
        <v>5481</v>
      </c>
      <c r="D228">
        <v>2018</v>
      </c>
      <c r="E228" s="1" t="s">
        <v>116</v>
      </c>
      <c r="F228" s="1" t="s">
        <v>5482</v>
      </c>
      <c r="G228" s="1"/>
      <c r="H228" s="1" t="s">
        <v>5483</v>
      </c>
      <c r="I228" s="47" t="s">
        <v>5484</v>
      </c>
      <c r="J228" s="3" t="s">
        <v>5485</v>
      </c>
      <c r="K228" s="1">
        <v>-1</v>
      </c>
      <c r="L228" s="1" t="s">
        <v>5036</v>
      </c>
      <c r="M228" s="1" t="s">
        <v>5036</v>
      </c>
      <c r="N228" s="1" t="s">
        <v>5036</v>
      </c>
      <c r="O228" s="1"/>
      <c r="P228" s="1"/>
      <c r="Q228" s="1"/>
      <c r="R228" s="1"/>
    </row>
    <row r="229" spans="1:18" ht="14.25" customHeight="1" x14ac:dyDescent="0.25">
      <c r="A229" s="1">
        <v>158</v>
      </c>
      <c r="B229" s="1" t="s">
        <v>5375</v>
      </c>
      <c r="C229" s="1" t="s">
        <v>5376</v>
      </c>
      <c r="D229">
        <v>2018</v>
      </c>
      <c r="E229" s="1" t="s">
        <v>0</v>
      </c>
      <c r="F229" s="1" t="s">
        <v>5367</v>
      </c>
      <c r="G229" s="1"/>
      <c r="H229" s="1"/>
      <c r="I229" s="47" t="s">
        <v>5377</v>
      </c>
      <c r="J229" s="3" t="s">
        <v>5378</v>
      </c>
      <c r="K229" s="1">
        <v>1</v>
      </c>
      <c r="L229" s="1" t="s">
        <v>5036</v>
      </c>
      <c r="M229" s="1" t="s">
        <v>5036</v>
      </c>
      <c r="N229" s="1" t="s">
        <v>5036</v>
      </c>
      <c r="O229" s="1"/>
      <c r="P229" s="1"/>
      <c r="Q229" s="1"/>
      <c r="R229" s="1"/>
    </row>
    <row r="230" spans="1:18" ht="14.25" customHeight="1" x14ac:dyDescent="0.25">
      <c r="A230" s="1">
        <v>191</v>
      </c>
      <c r="B230" s="1" t="s">
        <v>5534</v>
      </c>
      <c r="C230" s="1" t="s">
        <v>5535</v>
      </c>
      <c r="D230">
        <v>2018</v>
      </c>
      <c r="E230" s="1" t="s">
        <v>0</v>
      </c>
      <c r="F230" s="1" t="s">
        <v>5536</v>
      </c>
      <c r="G230" s="1"/>
      <c r="H230" s="1"/>
      <c r="I230" s="47" t="s">
        <v>5537</v>
      </c>
      <c r="J230" s="3" t="s">
        <v>5538</v>
      </c>
      <c r="K230" s="1">
        <v>-1</v>
      </c>
      <c r="L230" s="1" t="s">
        <v>5036</v>
      </c>
      <c r="M230" s="1" t="s">
        <v>5036</v>
      </c>
      <c r="N230" s="1" t="s">
        <v>5036</v>
      </c>
      <c r="O230" s="1"/>
      <c r="P230" s="1"/>
      <c r="Q230" s="1"/>
      <c r="R230" s="1"/>
    </row>
    <row r="231" spans="1:18" ht="14.25" customHeight="1" x14ac:dyDescent="0.25">
      <c r="A231" s="1">
        <v>167</v>
      </c>
      <c r="B231" s="1" t="s">
        <v>5419</v>
      </c>
      <c r="C231" s="1" t="s">
        <v>5420</v>
      </c>
      <c r="D231">
        <v>2018</v>
      </c>
      <c r="E231" s="1" t="s">
        <v>0</v>
      </c>
      <c r="F231" s="1" t="s">
        <v>5421</v>
      </c>
      <c r="G231" s="1"/>
      <c r="H231" s="1"/>
      <c r="I231" s="47" t="s">
        <v>5422</v>
      </c>
      <c r="J231" s="3" t="s">
        <v>5423</v>
      </c>
      <c r="K231" s="1">
        <v>-1</v>
      </c>
      <c r="L231" s="1" t="s">
        <v>5036</v>
      </c>
      <c r="M231" s="1" t="s">
        <v>5036</v>
      </c>
      <c r="N231" s="1" t="s">
        <v>5036</v>
      </c>
      <c r="O231" s="1"/>
      <c r="P231" s="1"/>
      <c r="Q231" s="1"/>
      <c r="R231" s="1"/>
    </row>
    <row r="232" spans="1:18" ht="14.25" customHeight="1" x14ac:dyDescent="0.25">
      <c r="A232" s="1">
        <v>166</v>
      </c>
      <c r="B232" s="1" t="s">
        <v>5415</v>
      </c>
      <c r="C232" s="1" t="s">
        <v>3674</v>
      </c>
      <c r="D232">
        <v>2018</v>
      </c>
      <c r="E232" s="1" t="s">
        <v>0</v>
      </c>
      <c r="F232" s="1"/>
      <c r="G232" s="1"/>
      <c r="H232" s="1" t="s">
        <v>5416</v>
      </c>
      <c r="I232" s="47" t="s">
        <v>5417</v>
      </c>
      <c r="J232" s="3" t="s">
        <v>5418</v>
      </c>
      <c r="K232" s="1">
        <v>-1</v>
      </c>
      <c r="L232" s="1" t="s">
        <v>5036</v>
      </c>
      <c r="M232" s="1" t="s">
        <v>5036</v>
      </c>
      <c r="N232" s="1" t="s">
        <v>5036</v>
      </c>
      <c r="O232" s="1"/>
      <c r="P232" s="1"/>
      <c r="Q232" s="1"/>
      <c r="R232" s="1"/>
    </row>
    <row r="233" spans="1:18" ht="14.25" customHeight="1" x14ac:dyDescent="0.25">
      <c r="A233" s="1">
        <v>216</v>
      </c>
      <c r="B233" s="1" t="s">
        <v>5645</v>
      </c>
      <c r="C233" s="1" t="s">
        <v>5646</v>
      </c>
      <c r="D233">
        <v>2018</v>
      </c>
      <c r="E233" s="1" t="s">
        <v>0</v>
      </c>
      <c r="F233" s="1" t="s">
        <v>5367</v>
      </c>
      <c r="G233" s="1"/>
      <c r="H233" s="1"/>
      <c r="I233" s="47" t="s">
        <v>5647</v>
      </c>
      <c r="J233" s="3" t="s">
        <v>5648</v>
      </c>
      <c r="K233" s="1">
        <v>-1</v>
      </c>
      <c r="L233" s="1" t="s">
        <v>5036</v>
      </c>
      <c r="M233" s="1" t="s">
        <v>5036</v>
      </c>
      <c r="N233" s="1" t="s">
        <v>5036</v>
      </c>
      <c r="O233" s="1"/>
      <c r="P233" s="1"/>
      <c r="Q233" s="1"/>
      <c r="R233" s="1"/>
    </row>
    <row r="234" spans="1:18" ht="14.25" customHeight="1" x14ac:dyDescent="0.25">
      <c r="A234" s="1">
        <v>192</v>
      </c>
      <c r="B234" s="1" t="s">
        <v>5539</v>
      </c>
      <c r="C234" s="1" t="s">
        <v>5540</v>
      </c>
      <c r="D234">
        <v>2018</v>
      </c>
      <c r="E234" s="1" t="s">
        <v>658</v>
      </c>
      <c r="F234" s="1" t="s">
        <v>5541</v>
      </c>
      <c r="G234" s="1" t="s">
        <v>666</v>
      </c>
      <c r="H234" s="1"/>
      <c r="I234" s="1"/>
      <c r="J234" s="3"/>
      <c r="K234" s="1">
        <v>-1</v>
      </c>
      <c r="L234" s="1" t="s">
        <v>5036</v>
      </c>
      <c r="M234" s="1" t="s">
        <v>5036</v>
      </c>
      <c r="N234" s="1" t="s">
        <v>5036</v>
      </c>
      <c r="O234" s="1"/>
      <c r="P234" s="1"/>
      <c r="Q234" s="1"/>
      <c r="R234" s="1"/>
    </row>
    <row r="235" spans="1:18" ht="14.25" customHeight="1" x14ac:dyDescent="0.25">
      <c r="A235" s="1">
        <v>178</v>
      </c>
      <c r="B235" s="1" t="s">
        <v>5470</v>
      </c>
      <c r="C235" s="1" t="s">
        <v>5471</v>
      </c>
      <c r="D235">
        <v>2018</v>
      </c>
      <c r="E235" s="1" t="s">
        <v>0</v>
      </c>
      <c r="F235" s="1"/>
      <c r="G235" s="1"/>
      <c r="H235" s="1" t="s">
        <v>5472</v>
      </c>
      <c r="I235" s="47" t="s">
        <v>5473</v>
      </c>
      <c r="J235" s="3" t="s">
        <v>5474</v>
      </c>
      <c r="K235" s="1">
        <v>-1</v>
      </c>
      <c r="L235" s="1" t="s">
        <v>5036</v>
      </c>
      <c r="M235" s="1" t="s">
        <v>5036</v>
      </c>
      <c r="N235" s="1" t="s">
        <v>5036</v>
      </c>
      <c r="O235" s="1"/>
      <c r="P235" s="1"/>
      <c r="Q235" s="1"/>
      <c r="R235" s="1"/>
    </row>
    <row r="236" spans="1:18" ht="14.25" customHeight="1" x14ac:dyDescent="0.25">
      <c r="A236" s="1">
        <v>222</v>
      </c>
      <c r="B236" s="1" t="s">
        <v>5673</v>
      </c>
      <c r="C236" s="1" t="s">
        <v>5674</v>
      </c>
      <c r="D236">
        <v>2018</v>
      </c>
      <c r="E236" s="1" t="s">
        <v>658</v>
      </c>
      <c r="F236" s="1" t="s">
        <v>5541</v>
      </c>
      <c r="G236" s="1" t="s">
        <v>666</v>
      </c>
      <c r="H236" s="1"/>
      <c r="I236" s="1"/>
      <c r="J236" s="3"/>
      <c r="K236" s="1">
        <v>-1</v>
      </c>
      <c r="L236" s="1" t="s">
        <v>5036</v>
      </c>
      <c r="M236" s="1" t="s">
        <v>5036</v>
      </c>
      <c r="N236" s="1" t="s">
        <v>5036</v>
      </c>
      <c r="O236" s="1"/>
      <c r="P236" s="1"/>
      <c r="Q236" s="1"/>
      <c r="R236" s="1"/>
    </row>
    <row r="237" spans="1:18" ht="14.25" customHeight="1" x14ac:dyDescent="0.25">
      <c r="A237" s="1">
        <v>171</v>
      </c>
      <c r="B237" s="1" t="s">
        <v>5439</v>
      </c>
      <c r="C237" s="1" t="s">
        <v>5440</v>
      </c>
      <c r="D237">
        <v>2018</v>
      </c>
      <c r="E237" s="1" t="s">
        <v>658</v>
      </c>
      <c r="F237" s="1" t="s">
        <v>5441</v>
      </c>
      <c r="G237" s="1" t="s">
        <v>666</v>
      </c>
      <c r="H237" s="1"/>
      <c r="I237" s="1"/>
      <c r="J237" s="3"/>
      <c r="K237" s="1">
        <v>-1</v>
      </c>
      <c r="L237" s="1" t="s">
        <v>5036</v>
      </c>
      <c r="M237" s="1" t="s">
        <v>5036</v>
      </c>
      <c r="N237" s="1" t="s">
        <v>5036</v>
      </c>
      <c r="O237" s="1"/>
      <c r="P237" s="1"/>
      <c r="Q237" s="1"/>
      <c r="R237" s="1"/>
    </row>
    <row r="238" spans="1:18" ht="14.25" customHeight="1" x14ac:dyDescent="0.25">
      <c r="A238" s="1">
        <v>174</v>
      </c>
      <c r="B238" s="1" t="s">
        <v>5452</v>
      </c>
      <c r="C238" s="1" t="s">
        <v>5453</v>
      </c>
      <c r="D238">
        <v>2018</v>
      </c>
      <c r="E238" s="1" t="s">
        <v>244</v>
      </c>
      <c r="F238" s="1"/>
      <c r="G238" s="1"/>
      <c r="H238" s="1" t="s">
        <v>5454</v>
      </c>
      <c r="I238" s="47" t="s">
        <v>5455</v>
      </c>
      <c r="J238" s="3" t="s">
        <v>5456</v>
      </c>
      <c r="K238" s="1">
        <v>-1</v>
      </c>
      <c r="L238" s="1" t="s">
        <v>5036</v>
      </c>
      <c r="M238" s="1" t="s">
        <v>5036</v>
      </c>
      <c r="N238" s="1" t="s">
        <v>5036</v>
      </c>
      <c r="O238" s="1"/>
      <c r="P238" s="1"/>
      <c r="Q238" s="1"/>
      <c r="R238" s="1"/>
    </row>
  </sheetData>
  <conditionalFormatting sqref="K3:N238">
    <cfRule type="iconSet" priority="54">
      <iconSet iconSet="3Symbols2">
        <cfvo type="percent" val="0"/>
        <cfvo type="percent" val="33"/>
        <cfvo type="percent" val="67"/>
      </iconSet>
    </cfRule>
  </conditionalFormatting>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0000000}">
          <x14:formula1>
            <xm:f>param!$A$2:$A$30</xm:f>
          </x14:formula1>
          <xm:sqref>O3:O238</xm:sqref>
        </x14:dataValidation>
        <x14:dataValidation type="list" allowBlank="1" showInputMessage="1" showErrorMessage="1" xr:uid="{00000000-0002-0000-0000-000001000000}">
          <x14:formula1>
            <xm:f>param!$D$2:$D$30</xm:f>
          </x14:formula1>
          <xm:sqref>R3:R238</xm:sqref>
        </x14:dataValidation>
        <x14:dataValidation type="list" allowBlank="1" showInputMessage="1" showErrorMessage="1" xr:uid="{00000000-0002-0000-0000-000002000000}">
          <x14:formula1>
            <xm:f>param!$E$2:$E$29</xm:f>
          </x14:formula1>
          <xm:sqref>E3:E238</xm:sqref>
        </x14:dataValidation>
        <x14:dataValidation type="list" allowBlank="1" showInputMessage="1" showErrorMessage="1" xr:uid="{00000000-0002-0000-0000-000003000000}">
          <x14:formula1>
            <xm:f>param!$C$2:$C$30</xm:f>
          </x14:formula1>
          <xm:sqref>P3:P238</xm:sqref>
        </x14:dataValidation>
        <x14:dataValidation type="list" allowBlank="1" showInputMessage="1" showErrorMessage="1" xr:uid="{00000000-0002-0000-0000-000004000000}">
          <x14:formula1>
            <xm:f>param!$B$2:$B$30</xm:f>
          </x14:formula1>
          <xm:sqref>Q3:Q238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34"/>
  <sheetViews>
    <sheetView topLeftCell="A11" workbookViewId="0">
      <selection activeCell="C19" sqref="C19"/>
    </sheetView>
  </sheetViews>
  <sheetFormatPr baseColWidth="10" defaultRowHeight="15" x14ac:dyDescent="0.25"/>
  <cols>
    <col min="1" max="1" width="22.85546875" bestFit="1" customWidth="1"/>
    <col min="2" max="2" width="22.85546875" customWidth="1"/>
    <col min="3" max="3" width="11.85546875" bestFit="1" customWidth="1"/>
  </cols>
  <sheetData>
    <row r="1" spans="1:3" x14ac:dyDescent="0.25">
      <c r="A1" s="4" t="s">
        <v>4968</v>
      </c>
      <c r="B1" s="4" t="s">
        <v>4968</v>
      </c>
      <c r="C1" s="4" t="s">
        <v>5195</v>
      </c>
    </row>
    <row r="2" spans="1:3" x14ac:dyDescent="0.25">
      <c r="A2" t="s">
        <v>658</v>
      </c>
      <c r="B2" t="s">
        <v>5232</v>
      </c>
      <c r="C2">
        <f>COUNTIF(Tabla7[Type of Publication],Type!A2)</f>
        <v>26</v>
      </c>
    </row>
    <row r="3" spans="1:3" x14ac:dyDescent="0.25">
      <c r="A3" t="s">
        <v>5012</v>
      </c>
      <c r="B3" t="s">
        <v>5012</v>
      </c>
      <c r="C3">
        <f>COUNTIF(Tabla7[Type of Publication],Type!A3)</f>
        <v>9</v>
      </c>
    </row>
    <row r="4" spans="1:3" x14ac:dyDescent="0.25">
      <c r="A4" t="s">
        <v>116</v>
      </c>
      <c r="B4" t="s">
        <v>5234</v>
      </c>
      <c r="C4">
        <f>COUNTIF(Tabla7[Type of Publication],Type!A4)</f>
        <v>6</v>
      </c>
    </row>
    <row r="5" spans="1:3" x14ac:dyDescent="0.25">
      <c r="A5" t="s">
        <v>127</v>
      </c>
      <c r="B5" t="s">
        <v>5233</v>
      </c>
      <c r="C5">
        <f>COUNTIF(Tabla7[Type of Publication],Type!A5)</f>
        <v>4</v>
      </c>
    </row>
    <row r="17" spans="1:3" x14ac:dyDescent="0.25">
      <c r="A17" s="4" t="s">
        <v>4972</v>
      </c>
      <c r="B17" s="4" t="s">
        <v>4972</v>
      </c>
      <c r="C17" s="4" t="s">
        <v>5195</v>
      </c>
    </row>
    <row r="18" spans="1:3" x14ac:dyDescent="0.25">
      <c r="A18" t="s">
        <v>4974</v>
      </c>
      <c r="B18" t="s">
        <v>4974</v>
      </c>
      <c r="C18">
        <f>COUNTIF(Tabla7[Type of Research],Type!A18)</f>
        <v>34</v>
      </c>
    </row>
    <row r="19" spans="1:3" x14ac:dyDescent="0.25">
      <c r="A19" t="s">
        <v>4976</v>
      </c>
      <c r="B19" t="s">
        <v>4976</v>
      </c>
      <c r="C19">
        <f>COUNTIF(Tabla7[Type of Research],Type!A19)</f>
        <v>7</v>
      </c>
    </row>
    <row r="20" spans="1:3" x14ac:dyDescent="0.25">
      <c r="A20" t="s">
        <v>4973</v>
      </c>
      <c r="B20" t="s">
        <v>4973</v>
      </c>
      <c r="C20">
        <f>COUNTIF(Tabla7[Type of Research],Type!A20)</f>
        <v>3</v>
      </c>
    </row>
    <row r="21" spans="1:3" x14ac:dyDescent="0.25">
      <c r="A21" t="s">
        <v>4975</v>
      </c>
      <c r="B21" t="s">
        <v>4975</v>
      </c>
      <c r="C21">
        <f>COUNTIF(Tabla7[Type of Research],Type!A21)</f>
        <v>1</v>
      </c>
    </row>
    <row r="22" spans="1:3" x14ac:dyDescent="0.25">
      <c r="A22" t="s">
        <v>4977</v>
      </c>
      <c r="B22" t="s">
        <v>4977</v>
      </c>
      <c r="C22">
        <f>COUNTIF(Tabla7[Type of Research],Type!A22)</f>
        <v>0</v>
      </c>
    </row>
    <row r="23" spans="1:3" x14ac:dyDescent="0.25">
      <c r="A23" t="s">
        <v>4978</v>
      </c>
      <c r="B23" t="s">
        <v>4978</v>
      </c>
      <c r="C23">
        <f>COUNTIF(Tabla7[Type of Research],Type!A23)</f>
        <v>0</v>
      </c>
    </row>
    <row r="31" spans="1:3" x14ac:dyDescent="0.25">
      <c r="A31" s="4" t="s">
        <v>5318</v>
      </c>
      <c r="B31" s="4" t="s">
        <v>5318</v>
      </c>
      <c r="C31" s="4" t="s">
        <v>5195</v>
      </c>
    </row>
    <row r="32" spans="1:3" x14ac:dyDescent="0.25">
      <c r="A32" t="s">
        <v>5221</v>
      </c>
      <c r="B32" t="s">
        <v>5218</v>
      </c>
      <c r="C32">
        <f>COUNTIF(Tabla7[Industry / Academia],Type!A32)</f>
        <v>32</v>
      </c>
    </row>
    <row r="33" spans="1:3" x14ac:dyDescent="0.25">
      <c r="A33" t="s">
        <v>5222</v>
      </c>
      <c r="B33" t="s">
        <v>5219</v>
      </c>
      <c r="C33">
        <f>COUNTIF(Tabla7[Industry / Academia],Type!A33)</f>
        <v>11</v>
      </c>
    </row>
    <row r="34" spans="1:3" x14ac:dyDescent="0.25">
      <c r="A34" t="s">
        <v>5223</v>
      </c>
      <c r="B34" t="s">
        <v>5226</v>
      </c>
      <c r="C34">
        <f>COUNTIF(Tabla7[Industry / Academia],Type!A34)</f>
        <v>2</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29"/>
  <sheetViews>
    <sheetView topLeftCell="A10" zoomScaleNormal="100" workbookViewId="0">
      <selection activeCell="H1" sqref="H1:H1048576"/>
    </sheetView>
  </sheetViews>
  <sheetFormatPr baseColWidth="10" defaultRowHeight="15" x14ac:dyDescent="0.25"/>
  <cols>
    <col min="1" max="1" width="35.7109375" customWidth="1"/>
    <col min="7" max="7" width="11.42578125" customWidth="1"/>
  </cols>
  <sheetData>
    <row r="1" spans="1:12" x14ac:dyDescent="0.25">
      <c r="D1">
        <f>PRIMARY!AL1</f>
        <v>1</v>
      </c>
      <c r="E1">
        <f>PRIMARY!AG1</f>
        <v>6</v>
      </c>
      <c r="F1">
        <f>PRIMARY!AD1</f>
        <v>6</v>
      </c>
      <c r="G1">
        <f>PRIMARY!AJ1</f>
        <v>6</v>
      </c>
      <c r="H1">
        <f>PRIMARY!AI1</f>
        <v>7</v>
      </c>
      <c r="I1">
        <f>PRIMARY!AF1</f>
        <v>8</v>
      </c>
      <c r="J1">
        <f>PRIMARY!AH1</f>
        <v>8</v>
      </c>
      <c r="K1">
        <f>PRIMARY!AK1</f>
        <v>9</v>
      </c>
      <c r="L1">
        <f>PRIMARY!AE1</f>
        <v>14</v>
      </c>
    </row>
    <row r="2" spans="1:12" x14ac:dyDescent="0.25">
      <c r="A2" s="4" t="s">
        <v>5238</v>
      </c>
      <c r="D2" s="4" t="s">
        <v>5063</v>
      </c>
      <c r="E2" s="4" t="s">
        <v>5324</v>
      </c>
      <c r="F2" s="4" t="s">
        <v>5258</v>
      </c>
      <c r="G2" s="4" t="s">
        <v>5323</v>
      </c>
      <c r="H2" s="4" t="s">
        <v>5322</v>
      </c>
      <c r="I2" s="4" t="s">
        <v>728</v>
      </c>
      <c r="J2" s="4" t="s">
        <v>5262</v>
      </c>
      <c r="K2" s="4" t="s">
        <v>5321</v>
      </c>
      <c r="L2" s="4" t="s">
        <v>5363</v>
      </c>
    </row>
    <row r="3" spans="1:12" x14ac:dyDescent="0.25">
      <c r="A3" t="s">
        <v>5005</v>
      </c>
      <c r="B3">
        <f>COUNTIF(Tabla7[Source IS artifacts],'Source Artifacts'!A3)</f>
        <v>1</v>
      </c>
      <c r="D3" t="s">
        <v>5063</v>
      </c>
      <c r="E3" t="s">
        <v>2135</v>
      </c>
      <c r="F3" t="s">
        <v>5257</v>
      </c>
      <c r="G3" t="s">
        <v>5240</v>
      </c>
      <c r="H3" t="s">
        <v>5039</v>
      </c>
      <c r="I3" t="s">
        <v>728</v>
      </c>
      <c r="J3" t="s">
        <v>5014</v>
      </c>
      <c r="K3" t="s">
        <v>5244</v>
      </c>
      <c r="L3" t="s">
        <v>4995</v>
      </c>
    </row>
    <row r="4" spans="1:12" x14ac:dyDescent="0.25">
      <c r="A4" t="s">
        <v>5257</v>
      </c>
      <c r="B4">
        <f>COUNTIF(Tabla7[Source IS artifacts],'Source Artifacts'!A4)</f>
        <v>2</v>
      </c>
      <c r="E4" t="s">
        <v>5243</v>
      </c>
      <c r="F4" t="s">
        <v>5242</v>
      </c>
      <c r="G4" t="s">
        <v>5241</v>
      </c>
      <c r="H4" t="s">
        <v>5247</v>
      </c>
      <c r="I4" t="s">
        <v>5245</v>
      </c>
      <c r="J4" t="s">
        <v>5248</v>
      </c>
      <c r="K4" t="s">
        <v>1464</v>
      </c>
      <c r="L4" t="s">
        <v>5246</v>
      </c>
    </row>
    <row r="5" spans="1:12" x14ac:dyDescent="0.25">
      <c r="A5" t="s">
        <v>4995</v>
      </c>
      <c r="B5">
        <f>COUNTIF(Tabla7[Source IS artifacts],'Source Artifacts'!A5)</f>
        <v>10</v>
      </c>
      <c r="E5" t="s">
        <v>5253</v>
      </c>
      <c r="G5" t="s">
        <v>5256</v>
      </c>
      <c r="H5" t="s">
        <v>5037</v>
      </c>
      <c r="I5" t="s">
        <v>5251</v>
      </c>
      <c r="J5" t="s">
        <v>5252</v>
      </c>
      <c r="K5" t="s">
        <v>5076</v>
      </c>
      <c r="L5" t="s">
        <v>5249</v>
      </c>
    </row>
    <row r="6" spans="1:12" x14ac:dyDescent="0.25">
      <c r="A6" t="s">
        <v>728</v>
      </c>
      <c r="B6">
        <f>COUNTIF(Tabla7[Source IS artifacts],'Source Artifacts'!A6)</f>
        <v>5</v>
      </c>
      <c r="E6" t="s">
        <v>5254</v>
      </c>
      <c r="G6" t="s">
        <v>5026</v>
      </c>
      <c r="H6" t="s">
        <v>5005</v>
      </c>
      <c r="J6" t="s">
        <v>5250</v>
      </c>
      <c r="K6" t="s">
        <v>5255</v>
      </c>
    </row>
    <row r="7" spans="1:12" x14ac:dyDescent="0.25">
      <c r="A7" t="s">
        <v>5009</v>
      </c>
      <c r="B7">
        <f>COUNTIF(Tabla7[Source IS artifacts],'Source Artifacts'!A7)</f>
        <v>0</v>
      </c>
      <c r="H7" t="s">
        <v>5239</v>
      </c>
      <c r="J7" t="s">
        <v>5081</v>
      </c>
      <c r="K7" t="s">
        <v>5023</v>
      </c>
    </row>
    <row r="8" spans="1:12" x14ac:dyDescent="0.25">
      <c r="A8" t="s">
        <v>2135</v>
      </c>
      <c r="B8">
        <f>COUNTIF(Tabla7[Source IS artifacts],'Source Artifacts'!A8)</f>
        <v>1</v>
      </c>
    </row>
    <row r="9" spans="1:12" x14ac:dyDescent="0.25">
      <c r="A9" t="s">
        <v>5014</v>
      </c>
      <c r="B9">
        <f>COUNTIF(Tabla7[Source IS artifacts],'Source Artifacts'!A9)</f>
        <v>2</v>
      </c>
    </row>
    <row r="10" spans="1:12" x14ac:dyDescent="0.25">
      <c r="A10" t="s">
        <v>5023</v>
      </c>
      <c r="B10">
        <f>COUNTIF(Tabla7[Source IS artifacts],'Source Artifacts'!A10)</f>
        <v>1</v>
      </c>
    </row>
    <row r="11" spans="1:12" x14ac:dyDescent="0.25">
      <c r="A11" t="s">
        <v>5026</v>
      </c>
      <c r="B11">
        <f>COUNTIF(Tabla7[Source IS artifacts],'Source Artifacts'!A11)</f>
        <v>4</v>
      </c>
    </row>
    <row r="12" spans="1:12" x14ac:dyDescent="0.25">
      <c r="A12" t="s">
        <v>5028</v>
      </c>
      <c r="B12">
        <f>COUNTIF(Tabla7[Source IS artifacts],'Source Artifacts'!A12)</f>
        <v>1</v>
      </c>
    </row>
    <row r="13" spans="1:12" x14ac:dyDescent="0.25">
      <c r="A13" t="s">
        <v>5039</v>
      </c>
      <c r="B13">
        <f>COUNTIF(Tabla7[Source IS artifacts],'Source Artifacts'!A13)</f>
        <v>2</v>
      </c>
    </row>
    <row r="14" spans="1:12" x14ac:dyDescent="0.25">
      <c r="A14" t="s">
        <v>5040</v>
      </c>
      <c r="B14">
        <f>COUNTIF(Tabla7[Source IS artifacts],'Source Artifacts'!A14)</f>
        <v>1</v>
      </c>
    </row>
    <row r="15" spans="1:12" x14ac:dyDescent="0.25">
      <c r="A15" t="s">
        <v>5045</v>
      </c>
      <c r="B15">
        <f>COUNTIF(Tabla7[Source IS artifacts],'Source Artifacts'!A15)</f>
        <v>2</v>
      </c>
    </row>
    <row r="16" spans="1:12" x14ac:dyDescent="0.25">
      <c r="A16" t="s">
        <v>5048</v>
      </c>
      <c r="B16">
        <f>COUNTIF(Tabla7[Source IS artifacts],'Source Artifacts'!A16)</f>
        <v>1</v>
      </c>
    </row>
    <row r="17" spans="1:2" x14ac:dyDescent="0.25">
      <c r="A17" t="s">
        <v>5055</v>
      </c>
      <c r="B17">
        <f>COUNTIF(Tabla7[Source IS artifacts],'Source Artifacts'!A17)</f>
        <v>1</v>
      </c>
    </row>
    <row r="18" spans="1:2" x14ac:dyDescent="0.25">
      <c r="A18" t="s">
        <v>5056</v>
      </c>
      <c r="B18">
        <f>COUNTIF(Tabla7[Source IS artifacts],'Source Artifacts'!A18)</f>
        <v>1</v>
      </c>
    </row>
    <row r="19" spans="1:2" x14ac:dyDescent="0.25">
      <c r="A19" t="s">
        <v>5059</v>
      </c>
      <c r="B19">
        <f>COUNTIF(Tabla7[Source IS artifacts],'Source Artifacts'!A19)</f>
        <v>1</v>
      </c>
    </row>
    <row r="20" spans="1:2" x14ac:dyDescent="0.25">
      <c r="A20" t="s">
        <v>728</v>
      </c>
      <c r="B20">
        <f>COUNTIF(Tabla7[Source IS artifacts],'Source Artifacts'!A20)</f>
        <v>5</v>
      </c>
    </row>
    <row r="21" spans="1:2" x14ac:dyDescent="0.25">
      <c r="A21" t="s">
        <v>5064</v>
      </c>
      <c r="B21">
        <f>COUNTIF(Tabla7[Source IS artifacts],'Source Artifacts'!A21)</f>
        <v>1</v>
      </c>
    </row>
    <row r="22" spans="1:2" x14ac:dyDescent="0.25">
      <c r="A22" t="s">
        <v>5068</v>
      </c>
      <c r="B22">
        <f>COUNTIF(Tabla7[Source IS artifacts],'Source Artifacts'!A22)</f>
        <v>1</v>
      </c>
    </row>
    <row r="23" spans="1:2" x14ac:dyDescent="0.25">
      <c r="A23" t="s">
        <v>5072</v>
      </c>
      <c r="B23">
        <f>COUNTIF(Tabla7[Source IS artifacts],'Source Artifacts'!A23)</f>
        <v>0</v>
      </c>
    </row>
    <row r="24" spans="1:2" x14ac:dyDescent="0.25">
      <c r="A24" t="s">
        <v>5074</v>
      </c>
      <c r="B24">
        <f>COUNTIF(Tabla7[Source IS artifacts],'Source Artifacts'!A24)</f>
        <v>1</v>
      </c>
    </row>
    <row r="25" spans="1:2" x14ac:dyDescent="0.25">
      <c r="A25" t="s">
        <v>5076</v>
      </c>
      <c r="B25">
        <f>COUNTIF(Tabla7[Source IS artifacts],'Source Artifacts'!A25)</f>
        <v>1</v>
      </c>
    </row>
    <row r="26" spans="1:2" x14ac:dyDescent="0.25">
      <c r="A26" t="s">
        <v>5077</v>
      </c>
      <c r="B26">
        <f>COUNTIF(Tabla7[Source IS artifacts],'Source Artifacts'!A26)</f>
        <v>1</v>
      </c>
    </row>
    <row r="27" spans="1:2" x14ac:dyDescent="0.25">
      <c r="A27" t="s">
        <v>5014</v>
      </c>
      <c r="B27">
        <f>COUNTIF(Tabla7[Source IS artifacts],'Source Artifacts'!A27)</f>
        <v>2</v>
      </c>
    </row>
    <row r="28" spans="1:2" x14ac:dyDescent="0.25">
      <c r="A28" t="s">
        <v>5081</v>
      </c>
      <c r="B28">
        <f>COUNTIF(Tabla7[Source IS artifacts],'Source Artifacts'!A28)</f>
        <v>1</v>
      </c>
    </row>
    <row r="29" spans="1:2" x14ac:dyDescent="0.25">
      <c r="B29">
        <f>SUM(B3:B28)</f>
        <v>49</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24"/>
  <sheetViews>
    <sheetView topLeftCell="B1" workbookViewId="0">
      <selection activeCell="E1" sqref="E1:E1048576"/>
    </sheetView>
  </sheetViews>
  <sheetFormatPr baseColWidth="10" defaultRowHeight="15" x14ac:dyDescent="0.25"/>
  <cols>
    <col min="1" max="1" width="61" customWidth="1"/>
    <col min="2" max="2" width="11.85546875" bestFit="1" customWidth="1"/>
    <col min="6" max="9" width="14.140625" customWidth="1"/>
    <col min="10" max="10" width="9.42578125" customWidth="1"/>
    <col min="11" max="11" width="14.140625" customWidth="1"/>
  </cols>
  <sheetData>
    <row r="1" spans="1:12" x14ac:dyDescent="0.25">
      <c r="D1">
        <f>PRIMARY!AS1</f>
        <v>2</v>
      </c>
      <c r="E1">
        <f>PRIMARY!AT1</f>
        <v>3</v>
      </c>
      <c r="F1">
        <f>PRIMARY!AR1</f>
        <v>3</v>
      </c>
      <c r="G1">
        <f>PRIMARY!AQ1</f>
        <v>4</v>
      </c>
      <c r="H1">
        <f>PRIMARY!AO1</f>
        <v>5</v>
      </c>
      <c r="I1">
        <f>PRIMARY!AM1</f>
        <v>7</v>
      </c>
      <c r="J1">
        <f>PRIMARY!AP1</f>
        <v>8</v>
      </c>
      <c r="K1">
        <f>PRIMARY!AN1</f>
        <v>21</v>
      </c>
    </row>
    <row r="2" spans="1:12" x14ac:dyDescent="0.25">
      <c r="A2" s="4" t="s">
        <v>4971</v>
      </c>
      <c r="D2" s="4" t="s">
        <v>5327</v>
      </c>
      <c r="E2" s="4" t="s">
        <v>5275</v>
      </c>
      <c r="F2" s="4" t="s">
        <v>5343</v>
      </c>
      <c r="G2" s="4" t="s">
        <v>5273</v>
      </c>
      <c r="H2" s="4" t="s">
        <v>5328</v>
      </c>
      <c r="I2" s="4" t="s">
        <v>5364</v>
      </c>
      <c r="J2" s="4" t="s">
        <v>5272</v>
      </c>
      <c r="K2" s="4" t="s">
        <v>5015</v>
      </c>
      <c r="L2" s="4" t="s">
        <v>5036</v>
      </c>
    </row>
    <row r="3" spans="1:12" x14ac:dyDescent="0.25">
      <c r="A3" t="s">
        <v>727</v>
      </c>
      <c r="B3">
        <f>COUNTIF(Tabla7[Mining techniques],Techniques!A3)</f>
        <v>1</v>
      </c>
      <c r="D3" t="s">
        <v>5060</v>
      </c>
      <c r="E3" t="s">
        <v>5067</v>
      </c>
      <c r="F3" t="s">
        <v>5029</v>
      </c>
      <c r="G3" t="s">
        <v>5004</v>
      </c>
      <c r="H3" t="s">
        <v>5022</v>
      </c>
      <c r="I3" t="s">
        <v>730</v>
      </c>
      <c r="J3" t="s">
        <v>731</v>
      </c>
      <c r="K3" t="s">
        <v>5266</v>
      </c>
      <c r="L3" t="s">
        <v>5036</v>
      </c>
    </row>
    <row r="4" spans="1:12" x14ac:dyDescent="0.25">
      <c r="A4" t="s">
        <v>730</v>
      </c>
      <c r="B4">
        <f>COUNTIF(Tabla7[Mining techniques],Techniques!A4)</f>
        <v>1</v>
      </c>
      <c r="D4" t="s">
        <v>5271</v>
      </c>
      <c r="E4" t="s">
        <v>5268</v>
      </c>
      <c r="F4" t="s">
        <v>5061</v>
      </c>
      <c r="G4" t="s">
        <v>5062</v>
      </c>
      <c r="H4" t="s">
        <v>5038</v>
      </c>
      <c r="I4" t="s">
        <v>5031</v>
      </c>
      <c r="J4" t="s">
        <v>5036</v>
      </c>
      <c r="K4" t="s">
        <v>5267</v>
      </c>
      <c r="L4" t="s">
        <v>5036</v>
      </c>
    </row>
    <row r="5" spans="1:12" x14ac:dyDescent="0.25">
      <c r="A5" t="s">
        <v>731</v>
      </c>
      <c r="B5">
        <f>COUNTIF(Tabla7[Mining techniques],Techniques!A5)</f>
        <v>5</v>
      </c>
      <c r="I5" t="s">
        <v>5259</v>
      </c>
      <c r="K5" t="s">
        <v>5269</v>
      </c>
    </row>
    <row r="6" spans="1:12" x14ac:dyDescent="0.25">
      <c r="A6" t="s">
        <v>5031</v>
      </c>
      <c r="B6">
        <f>COUNTIF(Tabla7[Mining techniques],Techniques!A6)</f>
        <v>2</v>
      </c>
      <c r="I6" t="s">
        <v>5054</v>
      </c>
      <c r="K6" t="s">
        <v>5270</v>
      </c>
    </row>
    <row r="7" spans="1:12" x14ac:dyDescent="0.25">
      <c r="A7" t="s">
        <v>5004</v>
      </c>
      <c r="B7">
        <f>COUNTIF(Tabla7[Mining techniques],Techniques!A7)</f>
        <v>2</v>
      </c>
      <c r="I7" t="s">
        <v>727</v>
      </c>
      <c r="K7" t="s">
        <v>727</v>
      </c>
    </row>
    <row r="8" spans="1:12" x14ac:dyDescent="0.25">
      <c r="A8" t="s">
        <v>5015</v>
      </c>
      <c r="B8">
        <f>COUNTIF(Tabla7[Mining techniques],Techniques!A8)</f>
        <v>12</v>
      </c>
    </row>
    <row r="9" spans="1:12" x14ac:dyDescent="0.25">
      <c r="A9" t="s">
        <v>5019</v>
      </c>
      <c r="B9">
        <f>COUNTIF(Tabla7[Mining techniques],Techniques!A9)</f>
        <v>1</v>
      </c>
    </row>
    <row r="10" spans="1:12" x14ac:dyDescent="0.25">
      <c r="A10" t="s">
        <v>5022</v>
      </c>
      <c r="B10">
        <f>COUNTIF(Tabla7[Mining techniques],Techniques!A10)</f>
        <v>2</v>
      </c>
    </row>
    <row r="11" spans="1:12" x14ac:dyDescent="0.25">
      <c r="A11" t="s">
        <v>5030</v>
      </c>
      <c r="B11">
        <f>COUNTIF(Tabla7[Mining techniques],Techniques!A11)</f>
        <v>2</v>
      </c>
    </row>
    <row r="12" spans="1:12" x14ac:dyDescent="0.25">
      <c r="A12" t="s">
        <v>5038</v>
      </c>
      <c r="B12">
        <f>COUNTIF(Tabla7[Mining techniques],Techniques!A12)</f>
        <v>2</v>
      </c>
    </row>
    <row r="13" spans="1:12" x14ac:dyDescent="0.25">
      <c r="A13" t="s">
        <v>5044</v>
      </c>
      <c r="B13">
        <f>COUNTIF(Tabla7[Mining techniques],Techniques!A13)</f>
        <v>2</v>
      </c>
    </row>
    <row r="14" spans="1:12" x14ac:dyDescent="0.25">
      <c r="A14" t="s">
        <v>5050</v>
      </c>
      <c r="B14">
        <f>COUNTIF(Tabla7[Mining techniques],Techniques!A14)</f>
        <v>1</v>
      </c>
    </row>
    <row r="15" spans="1:12" x14ac:dyDescent="0.25">
      <c r="A15" t="s">
        <v>5054</v>
      </c>
      <c r="B15">
        <f>COUNTIF(Tabla7[Mining techniques],Techniques!A15)</f>
        <v>1</v>
      </c>
    </row>
    <row r="16" spans="1:12" x14ac:dyDescent="0.25">
      <c r="A16" t="s">
        <v>5058</v>
      </c>
      <c r="B16">
        <f>COUNTIF(Tabla7[Mining techniques],Techniques!A16)</f>
        <v>1</v>
      </c>
    </row>
    <row r="17" spans="1:2" x14ac:dyDescent="0.25">
      <c r="A17" t="s">
        <v>5060</v>
      </c>
      <c r="B17">
        <f>COUNTIF(Tabla7[Mining techniques],Techniques!A17)</f>
        <v>1</v>
      </c>
    </row>
    <row r="18" spans="1:2" x14ac:dyDescent="0.25">
      <c r="A18" t="s">
        <v>5061</v>
      </c>
      <c r="B18">
        <f>COUNTIF(Tabla7[Mining techniques],Techniques!A18)</f>
        <v>1</v>
      </c>
    </row>
    <row r="19" spans="1:2" x14ac:dyDescent="0.25">
      <c r="A19" t="s">
        <v>5062</v>
      </c>
      <c r="B19">
        <f>COUNTIF(Tabla7[Mining techniques],Techniques!A19)</f>
        <v>2</v>
      </c>
    </row>
    <row r="20" spans="1:2" x14ac:dyDescent="0.25">
      <c r="A20" t="s">
        <v>5065</v>
      </c>
      <c r="B20">
        <f>COUNTIF(Tabla7[Mining techniques],Techniques!A20)</f>
        <v>1</v>
      </c>
    </row>
    <row r="21" spans="1:2" x14ac:dyDescent="0.25">
      <c r="A21" t="s">
        <v>5067</v>
      </c>
      <c r="B21">
        <f>COUNTIF(Tabla7[Mining techniques],Techniques!A21)</f>
        <v>2</v>
      </c>
    </row>
    <row r="22" spans="1:2" x14ac:dyDescent="0.25">
      <c r="A22" t="s">
        <v>5078</v>
      </c>
      <c r="B22">
        <f>COUNTIF(Tabla7[Mining techniques],Techniques!A22)</f>
        <v>1</v>
      </c>
    </row>
    <row r="23" spans="1:2" x14ac:dyDescent="0.25">
      <c r="A23" t="s">
        <v>5079</v>
      </c>
      <c r="B23">
        <f>COUNTIF(Tabla7[Mining techniques],Techniques!A23)</f>
        <v>1</v>
      </c>
    </row>
    <row r="24" spans="1:2" x14ac:dyDescent="0.25">
      <c r="B24">
        <f>SUM(B3:B23)</f>
        <v>44</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4"/>
  <sheetViews>
    <sheetView workbookViewId="0">
      <selection activeCell="D2" sqref="D2:I2"/>
    </sheetView>
  </sheetViews>
  <sheetFormatPr baseColWidth="10" defaultRowHeight="15" x14ac:dyDescent="0.25"/>
  <cols>
    <col min="1" max="1" width="51.42578125" bestFit="1" customWidth="1"/>
  </cols>
  <sheetData>
    <row r="1" spans="1:9" x14ac:dyDescent="0.25">
      <c r="D1">
        <f>PRIMARY!AZ1</f>
        <v>3</v>
      </c>
      <c r="E1">
        <f>PRIMARY!AW1</f>
        <v>4</v>
      </c>
      <c r="F1">
        <f>PRIMARY!AY1</f>
        <v>5</v>
      </c>
      <c r="G1">
        <f>PRIMARY!AV1</f>
        <v>8</v>
      </c>
      <c r="H1">
        <f>PRIMARY!AX1</f>
        <v>11</v>
      </c>
      <c r="I1">
        <f>PRIMARY!AU1</f>
        <v>17</v>
      </c>
    </row>
    <row r="2" spans="1:9" x14ac:dyDescent="0.25">
      <c r="A2" s="4" t="s">
        <v>4970</v>
      </c>
      <c r="D2" s="4" t="s">
        <v>5281</v>
      </c>
      <c r="E2" s="4" t="s">
        <v>5279</v>
      </c>
      <c r="F2" s="4" t="s">
        <v>5292</v>
      </c>
      <c r="G2" s="4" t="s">
        <v>724</v>
      </c>
      <c r="H2" s="4" t="s">
        <v>5280</v>
      </c>
      <c r="I2" s="4" t="s">
        <v>5278</v>
      </c>
    </row>
    <row r="3" spans="1:9" x14ac:dyDescent="0.25">
      <c r="A3" t="s">
        <v>5282</v>
      </c>
      <c r="B3">
        <f>COUNTIF(Tabla7[EA concern],'EA Concern'!A3)</f>
        <v>4</v>
      </c>
      <c r="D3" t="s">
        <v>4997</v>
      </c>
      <c r="E3" t="s">
        <v>2135</v>
      </c>
      <c r="F3" t="s">
        <v>5282</v>
      </c>
      <c r="G3" t="s">
        <v>4999</v>
      </c>
      <c r="H3" t="s">
        <v>4996</v>
      </c>
      <c r="I3" t="s">
        <v>5277</v>
      </c>
    </row>
    <row r="4" spans="1:9" x14ac:dyDescent="0.25">
      <c r="A4" t="s">
        <v>2135</v>
      </c>
      <c r="B4">
        <f>COUNTIF(Tabla7[EA concern],'EA Concern'!A4)</f>
        <v>4</v>
      </c>
      <c r="D4" t="s">
        <v>5049</v>
      </c>
      <c r="F4" t="s">
        <v>5283</v>
      </c>
      <c r="G4" t="s">
        <v>5071</v>
      </c>
      <c r="H4" t="s">
        <v>5011</v>
      </c>
    </row>
    <row r="5" spans="1:9" x14ac:dyDescent="0.25">
      <c r="A5" t="s">
        <v>4996</v>
      </c>
      <c r="B5">
        <f>COUNTIF(Tabla7[EA concern],'EA Concern'!A5)</f>
        <v>7</v>
      </c>
      <c r="D5" t="s">
        <v>5009</v>
      </c>
    </row>
    <row r="6" spans="1:9" x14ac:dyDescent="0.25">
      <c r="A6" t="s">
        <v>4997</v>
      </c>
      <c r="B6">
        <f>COUNTIF(Tabla7[EA concern],'EA Concern'!A6)</f>
        <v>1</v>
      </c>
    </row>
    <row r="7" spans="1:9" x14ac:dyDescent="0.25">
      <c r="A7" t="s">
        <v>4999</v>
      </c>
      <c r="B7">
        <f>COUNTIF(Tabla7[EA concern],'EA Concern'!A7)</f>
        <v>6</v>
      </c>
    </row>
    <row r="8" spans="1:9" x14ac:dyDescent="0.25">
      <c r="A8" t="s">
        <v>5277</v>
      </c>
      <c r="B8">
        <f>COUNTIF(Tabla7[EA concern],'EA Concern'!A8)</f>
        <v>17</v>
      </c>
    </row>
    <row r="9" spans="1:9" x14ac:dyDescent="0.25">
      <c r="A9" t="s">
        <v>5011</v>
      </c>
      <c r="B9">
        <f>COUNTIF(Tabla7[EA concern],'EA Concern'!A9)</f>
        <v>1</v>
      </c>
    </row>
    <row r="10" spans="1:9" x14ac:dyDescent="0.25">
      <c r="A10" t="s">
        <v>5009</v>
      </c>
      <c r="B10">
        <f>COUNTIF(Tabla7[EA concern],'EA Concern'!A10)</f>
        <v>1</v>
      </c>
    </row>
    <row r="11" spans="1:9" x14ac:dyDescent="0.25">
      <c r="A11" t="s">
        <v>5049</v>
      </c>
      <c r="B11">
        <f>COUNTIF(Tabla7[EA concern],'EA Concern'!A11)</f>
        <v>2</v>
      </c>
    </row>
    <row r="12" spans="1:9" x14ac:dyDescent="0.25">
      <c r="A12" t="s">
        <v>5283</v>
      </c>
      <c r="B12">
        <f>COUNTIF(Tabla7[EA concern],'EA Concern'!A12)</f>
        <v>1</v>
      </c>
    </row>
    <row r="13" spans="1:9" x14ac:dyDescent="0.25">
      <c r="A13" t="s">
        <v>5071</v>
      </c>
      <c r="B13">
        <f>COUNTIF(Tabla7[EA concern],'EA Concern'!A13)</f>
        <v>1</v>
      </c>
    </row>
    <row r="14" spans="1:9" x14ac:dyDescent="0.25">
      <c r="B14">
        <f>SUM(B3:B13)</f>
        <v>45</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12"/>
  <sheetViews>
    <sheetView topLeftCell="C1" workbookViewId="0">
      <selection activeCell="J8" sqref="J8"/>
    </sheetView>
  </sheetViews>
  <sheetFormatPr baseColWidth="10" defaultRowHeight="15" x14ac:dyDescent="0.25"/>
  <cols>
    <col min="1" max="1" width="36" bestFit="1" customWidth="1"/>
    <col min="5" max="5" width="17.5703125" customWidth="1"/>
  </cols>
  <sheetData>
    <row r="1" spans="1:10" x14ac:dyDescent="0.25">
      <c r="D1">
        <f>PRIMARY!BG1</f>
        <v>1</v>
      </c>
      <c r="E1">
        <f>PRIMARY!BE1</f>
        <v>1</v>
      </c>
      <c r="F1">
        <f>PRIMARY!BC1</f>
        <v>1</v>
      </c>
      <c r="G1">
        <f>PRIMARY!BF1</f>
        <v>2</v>
      </c>
      <c r="H1">
        <f>PRIMARY!BD1</f>
        <v>2</v>
      </c>
      <c r="I1">
        <f>PRIMARY!BB1</f>
        <v>11</v>
      </c>
      <c r="J1">
        <f>PRIMARY!BA1</f>
        <v>28</v>
      </c>
    </row>
    <row r="2" spans="1:10" x14ac:dyDescent="0.25">
      <c r="A2" s="4" t="s">
        <v>4993</v>
      </c>
      <c r="D2" s="4" t="s">
        <v>5284</v>
      </c>
      <c r="E2" s="4" t="s">
        <v>5285</v>
      </c>
      <c r="F2" s="4" t="s">
        <v>1042</v>
      </c>
      <c r="G2" s="4" t="s">
        <v>2133</v>
      </c>
      <c r="H2" s="4" t="s">
        <v>3111</v>
      </c>
      <c r="I2" s="4" t="s">
        <v>834</v>
      </c>
      <c r="J2" s="4" t="s">
        <v>5003</v>
      </c>
    </row>
    <row r="3" spans="1:10" x14ac:dyDescent="0.25">
      <c r="A3" t="s">
        <v>834</v>
      </c>
      <c r="B3">
        <f>COUNTIF(Tabla7[Framework/Methodology],'EA Framework'!A3)</f>
        <v>9</v>
      </c>
      <c r="D3" t="s">
        <v>5284</v>
      </c>
      <c r="E3" t="s">
        <v>5051</v>
      </c>
      <c r="F3" t="s">
        <v>1042</v>
      </c>
      <c r="G3" t="s">
        <v>2133</v>
      </c>
      <c r="H3" t="s">
        <v>3111</v>
      </c>
      <c r="I3" t="s">
        <v>834</v>
      </c>
      <c r="J3" t="s">
        <v>5003</v>
      </c>
    </row>
    <row r="4" spans="1:10" x14ac:dyDescent="0.25">
      <c r="A4" t="s">
        <v>1042</v>
      </c>
      <c r="B4">
        <f>COUNTIF(Tabla7[Framework/Methodology],'EA Framework'!A4)</f>
        <v>1</v>
      </c>
      <c r="J4" t="s">
        <v>5066</v>
      </c>
    </row>
    <row r="5" spans="1:10" x14ac:dyDescent="0.25">
      <c r="A5" t="s">
        <v>5003</v>
      </c>
      <c r="B5">
        <f>COUNTIF(Tabla7[Framework/Methodology],'EA Framework'!A5)</f>
        <v>27</v>
      </c>
    </row>
    <row r="6" spans="1:10" x14ac:dyDescent="0.25">
      <c r="A6" t="s">
        <v>2133</v>
      </c>
      <c r="B6">
        <f>COUNTIF(Tabla7[Framework/Methodology],'EA Framework'!A6)</f>
        <v>1</v>
      </c>
    </row>
    <row r="7" spans="1:10" x14ac:dyDescent="0.25">
      <c r="A7" t="s">
        <v>3111</v>
      </c>
      <c r="B7">
        <f>COUNTIF(Tabla7[Framework/Methodology],'EA Framework'!A7)</f>
        <v>2</v>
      </c>
    </row>
    <row r="8" spans="1:10" x14ac:dyDescent="0.25">
      <c r="A8" t="s">
        <v>5018</v>
      </c>
      <c r="B8">
        <f>COUNTIF(Tabla7[Framework/Methodology],'EA Framework'!A8)</f>
        <v>1</v>
      </c>
    </row>
    <row r="9" spans="1:10" x14ac:dyDescent="0.25">
      <c r="A9" t="s">
        <v>5021</v>
      </c>
      <c r="B9">
        <f>COUNTIF(Tabla7[Framework/Methodology],'EA Framework'!A9)</f>
        <v>2</v>
      </c>
    </row>
    <row r="10" spans="1:10" x14ac:dyDescent="0.25">
      <c r="A10" t="s">
        <v>5052</v>
      </c>
      <c r="B10">
        <f>COUNTIF(Tabla7[Framework/Methodology],'EA Framework'!A10)</f>
        <v>1</v>
      </c>
    </row>
    <row r="11" spans="1:10" x14ac:dyDescent="0.25">
      <c r="A11" t="s">
        <v>5066</v>
      </c>
      <c r="B11">
        <f>COUNTIF(Tabla7[Framework/Methodology],'EA Framework'!A11)</f>
        <v>1</v>
      </c>
    </row>
    <row r="12" spans="1:10" x14ac:dyDescent="0.25">
      <c r="B12">
        <f>SUM(B3:B11)</f>
        <v>45</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24"/>
  <sheetViews>
    <sheetView topLeftCell="B1" workbookViewId="0">
      <selection activeCell="H1" sqref="H1:H1048576"/>
    </sheetView>
  </sheetViews>
  <sheetFormatPr baseColWidth="10" defaultRowHeight="15" x14ac:dyDescent="0.25"/>
  <cols>
    <col min="1" max="1" width="48.42578125" bestFit="1" customWidth="1"/>
    <col min="11" max="11" width="11.42578125" customWidth="1"/>
  </cols>
  <sheetData>
    <row r="1" spans="1:13" x14ac:dyDescent="0.25">
      <c r="D1">
        <f>PRIMARY!BL1</f>
        <v>1</v>
      </c>
      <c r="E1">
        <f>PRIMARY!BP1</f>
        <v>1</v>
      </c>
      <c r="F1">
        <f>PRIMARY!BO1</f>
        <v>1</v>
      </c>
      <c r="G1">
        <f>PRIMARY!BN1</f>
        <v>1</v>
      </c>
      <c r="H1">
        <f>PRIMARY!BQ1</f>
        <v>2</v>
      </c>
      <c r="I1">
        <f>PRIMARY!BM1</f>
        <v>2</v>
      </c>
      <c r="J1">
        <f>PRIMARY!BI1</f>
        <v>4</v>
      </c>
      <c r="K1">
        <f>PRIMARY!BK1</f>
        <v>4</v>
      </c>
      <c r="L1">
        <f>PRIMARY!BJ1</f>
        <v>6</v>
      </c>
      <c r="M1">
        <f>PRIMARY!BH1</f>
        <v>8</v>
      </c>
    </row>
    <row r="2" spans="1:13" x14ac:dyDescent="0.25">
      <c r="A2" s="4" t="s">
        <v>5001</v>
      </c>
      <c r="D2" s="4" t="s">
        <v>5024</v>
      </c>
      <c r="E2" s="4" t="s">
        <v>2134</v>
      </c>
      <c r="F2" s="4" t="s">
        <v>1781</v>
      </c>
      <c r="G2" s="4" t="s">
        <v>5288</v>
      </c>
      <c r="H2" s="4" t="s">
        <v>1090</v>
      </c>
      <c r="I2" s="4" t="s">
        <v>1464</v>
      </c>
      <c r="J2" s="4" t="s">
        <v>4998</v>
      </c>
      <c r="K2" s="4" t="s">
        <v>5290</v>
      </c>
      <c r="L2" s="4" t="s">
        <v>5013</v>
      </c>
      <c r="M2" s="4" t="s">
        <v>726</v>
      </c>
    </row>
    <row r="3" spans="1:13" x14ac:dyDescent="0.25">
      <c r="A3" t="s">
        <v>726</v>
      </c>
      <c r="B3">
        <f>COUNTIF(Tabla7[Language],'Modelling Language'!A3)</f>
        <v>6</v>
      </c>
      <c r="D3" t="s">
        <v>5024</v>
      </c>
      <c r="E3" t="s">
        <v>2134</v>
      </c>
      <c r="F3" t="s">
        <v>1781</v>
      </c>
      <c r="G3" t="s">
        <v>5288</v>
      </c>
      <c r="H3" t="s">
        <v>1090</v>
      </c>
      <c r="I3" t="s">
        <v>1464</v>
      </c>
      <c r="J3" t="s">
        <v>4998</v>
      </c>
      <c r="K3" t="s">
        <v>942</v>
      </c>
      <c r="L3" t="s">
        <v>1148</v>
      </c>
      <c r="M3" t="s">
        <v>726</v>
      </c>
    </row>
    <row r="4" spans="1:13" x14ac:dyDescent="0.25">
      <c r="A4" t="s">
        <v>1148</v>
      </c>
      <c r="B4">
        <f>COUNTIF(Tabla7[Language],'Modelling Language'!A4)</f>
        <v>0</v>
      </c>
      <c r="J4" t="s">
        <v>5289</v>
      </c>
      <c r="K4" t="s">
        <v>5287</v>
      </c>
      <c r="L4" t="s">
        <v>5286</v>
      </c>
      <c r="M4" t="s">
        <v>5073</v>
      </c>
    </row>
    <row r="5" spans="1:13" x14ac:dyDescent="0.25">
      <c r="A5" t="s">
        <v>4998</v>
      </c>
      <c r="B5">
        <f>COUNTIF(Tabla7[Language],'Modelling Language'!A5)</f>
        <v>1</v>
      </c>
      <c r="M5" t="s">
        <v>5033</v>
      </c>
    </row>
    <row r="6" spans="1:13" x14ac:dyDescent="0.25">
      <c r="A6" t="s">
        <v>1781</v>
      </c>
      <c r="B6">
        <f>COUNTIF(Tabla7[Language],'Modelling Language'!A6)</f>
        <v>0</v>
      </c>
    </row>
    <row r="7" spans="1:13" x14ac:dyDescent="0.25">
      <c r="A7" t="s">
        <v>2134</v>
      </c>
      <c r="B7">
        <f>COUNTIF(Tabla7[Language],'Modelling Language'!A7)</f>
        <v>0</v>
      </c>
    </row>
    <row r="8" spans="1:13" x14ac:dyDescent="0.25">
      <c r="A8" t="s">
        <v>5010</v>
      </c>
      <c r="B8">
        <f>COUNTIF(Tabla7[Language],'Modelling Language'!A8)</f>
        <v>1</v>
      </c>
    </row>
    <row r="9" spans="1:13" x14ac:dyDescent="0.25">
      <c r="A9" t="s">
        <v>1090</v>
      </c>
      <c r="B9">
        <f>COUNTIF(Tabla7[Language],'Modelling Language'!A9)</f>
        <v>2</v>
      </c>
    </row>
    <row r="10" spans="1:13" x14ac:dyDescent="0.25">
      <c r="A10" t="s">
        <v>5013</v>
      </c>
      <c r="B10">
        <f>COUNTIF(Tabla7[Language],'Modelling Language'!A10)</f>
        <v>2</v>
      </c>
    </row>
    <row r="11" spans="1:13" x14ac:dyDescent="0.25">
      <c r="A11" t="s">
        <v>5017</v>
      </c>
      <c r="B11">
        <f>COUNTIF(Tabla7[Language],'Modelling Language'!A11)</f>
        <v>1</v>
      </c>
    </row>
    <row r="12" spans="1:13" x14ac:dyDescent="0.25">
      <c r="A12" t="s">
        <v>5020</v>
      </c>
      <c r="B12">
        <f>COUNTIF(Tabla7[Language],'Modelling Language'!A12)</f>
        <v>1</v>
      </c>
    </row>
    <row r="13" spans="1:13" x14ac:dyDescent="0.25">
      <c r="A13" t="s">
        <v>5024</v>
      </c>
      <c r="B13">
        <f>COUNTIF(Tabla7[Language],'Modelling Language'!A13)</f>
        <v>1</v>
      </c>
    </row>
    <row r="14" spans="1:13" x14ac:dyDescent="0.25">
      <c r="A14" t="s">
        <v>942</v>
      </c>
      <c r="B14">
        <f>COUNTIF(Tabla7[Language],'Modelling Language'!A14)</f>
        <v>1</v>
      </c>
    </row>
    <row r="15" spans="1:13" x14ac:dyDescent="0.25">
      <c r="A15" t="s">
        <v>5034</v>
      </c>
      <c r="B15">
        <f>COUNTIF(Tabla7[Language],'Modelling Language'!A15)</f>
        <v>1</v>
      </c>
    </row>
    <row r="16" spans="1:13" x14ac:dyDescent="0.25">
      <c r="A16" t="s">
        <v>5041</v>
      </c>
      <c r="B16">
        <f>COUNTIF(Tabla7[Language],'Modelling Language'!A16)</f>
        <v>1</v>
      </c>
    </row>
    <row r="17" spans="1:2" x14ac:dyDescent="0.25">
      <c r="A17" t="s">
        <v>5043</v>
      </c>
      <c r="B17">
        <f>COUNTIF(Tabla7[Language],'Modelling Language'!A17)</f>
        <v>1</v>
      </c>
    </row>
    <row r="18" spans="1:2" x14ac:dyDescent="0.25">
      <c r="A18" t="s">
        <v>5047</v>
      </c>
      <c r="B18">
        <f>COUNTIF(Tabla7[Language],'Modelling Language'!A18)</f>
        <v>1</v>
      </c>
    </row>
    <row r="19" spans="1:2" x14ac:dyDescent="0.25">
      <c r="A19" t="s">
        <v>5053</v>
      </c>
      <c r="B19">
        <f>COUNTIF(Tabla7[Language],'Modelling Language'!A19)</f>
        <v>1</v>
      </c>
    </row>
    <row r="20" spans="1:2" x14ac:dyDescent="0.25">
      <c r="A20" t="s">
        <v>5057</v>
      </c>
      <c r="B20">
        <f>COUNTIF(Tabla7[Language],'Modelling Language'!A20)</f>
        <v>2</v>
      </c>
    </row>
    <row r="21" spans="1:2" x14ac:dyDescent="0.25">
      <c r="A21" t="s">
        <v>5073</v>
      </c>
      <c r="B21">
        <f>COUNTIF(Tabla7[Language],'Modelling Language'!A21)</f>
        <v>0</v>
      </c>
    </row>
    <row r="22" spans="1:2" x14ac:dyDescent="0.25">
      <c r="A22" t="s">
        <v>5075</v>
      </c>
      <c r="B22">
        <f>COUNTIF(Tabla7[Language],'Modelling Language'!A22)</f>
        <v>1</v>
      </c>
    </row>
    <row r="23" spans="1:2" x14ac:dyDescent="0.25">
      <c r="A23" s="2" t="s">
        <v>5080</v>
      </c>
      <c r="B23">
        <f>COUNTIF(Tabla7[Language],'Modelling Language'!A23)</f>
        <v>1</v>
      </c>
    </row>
    <row r="24" spans="1:2" x14ac:dyDescent="0.25">
      <c r="B24">
        <f>SUM(B3:B23)</f>
        <v>25</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H12"/>
  <sheetViews>
    <sheetView workbookViewId="0">
      <selection activeCell="D2" sqref="D2:H2"/>
    </sheetView>
  </sheetViews>
  <sheetFormatPr baseColWidth="10" defaultRowHeight="15" x14ac:dyDescent="0.25"/>
  <cols>
    <col min="1" max="1" width="47.7109375" bestFit="1" customWidth="1"/>
  </cols>
  <sheetData>
    <row r="2" spans="1:8" x14ac:dyDescent="0.25">
      <c r="A2" s="4" t="s">
        <v>4986</v>
      </c>
      <c r="D2" s="4" t="s">
        <v>5006</v>
      </c>
      <c r="E2" s="4" t="s">
        <v>5007</v>
      </c>
      <c r="F2" s="4" t="s">
        <v>5291</v>
      </c>
      <c r="G2" s="4" t="s">
        <v>1275</v>
      </c>
      <c r="H2" s="4" t="s">
        <v>5008</v>
      </c>
    </row>
    <row r="3" spans="1:8" x14ac:dyDescent="0.25">
      <c r="A3" t="s">
        <v>4987</v>
      </c>
      <c r="B3">
        <f>COUNTIF(Tabla7[Application],applicability!A3)</f>
        <v>2</v>
      </c>
      <c r="D3" t="s">
        <v>5006</v>
      </c>
      <c r="E3" t="s">
        <v>5007</v>
      </c>
      <c r="F3" t="s">
        <v>2135</v>
      </c>
      <c r="G3" t="s">
        <v>5025</v>
      </c>
      <c r="H3" t="s">
        <v>5008</v>
      </c>
    </row>
    <row r="4" spans="1:8" x14ac:dyDescent="0.25">
      <c r="A4" t="s">
        <v>4988</v>
      </c>
      <c r="B4">
        <f>COUNTIF(Tabla7[Application],applicability!A4)</f>
        <v>2</v>
      </c>
      <c r="D4" t="s">
        <v>5035</v>
      </c>
      <c r="E4" t="s">
        <v>5036</v>
      </c>
      <c r="F4" s="2" t="s">
        <v>5070</v>
      </c>
      <c r="G4" s="2" t="s">
        <v>5036</v>
      </c>
      <c r="H4" s="2" t="s">
        <v>5036</v>
      </c>
    </row>
    <row r="5" spans="1:8" x14ac:dyDescent="0.25">
      <c r="A5" t="s">
        <v>5006</v>
      </c>
      <c r="B5">
        <f>COUNTIF(Tabla7[Application],applicability!A5)</f>
        <v>11</v>
      </c>
    </row>
    <row r="6" spans="1:8" x14ac:dyDescent="0.25">
      <c r="A6" t="s">
        <v>5007</v>
      </c>
      <c r="B6">
        <f>COUNTIF(Tabla7[Application],applicability!A6)</f>
        <v>8</v>
      </c>
    </row>
    <row r="7" spans="1:8" x14ac:dyDescent="0.25">
      <c r="A7" t="s">
        <v>5008</v>
      </c>
      <c r="B7">
        <f>COUNTIF(Tabla7[Application],applicability!A7)</f>
        <v>2</v>
      </c>
    </row>
    <row r="8" spans="1:8" x14ac:dyDescent="0.25">
      <c r="A8" t="s">
        <v>5025</v>
      </c>
      <c r="B8">
        <f>COUNTIF(Tabla7[Application],applicability!A8)</f>
        <v>1</v>
      </c>
    </row>
    <row r="9" spans="1:8" x14ac:dyDescent="0.25">
      <c r="A9" t="s">
        <v>5035</v>
      </c>
      <c r="B9">
        <f>COUNTIF(Tabla7[Application],applicability!A9)</f>
        <v>3</v>
      </c>
    </row>
    <row r="10" spans="1:8" x14ac:dyDescent="0.25">
      <c r="A10" t="s">
        <v>5042</v>
      </c>
      <c r="B10">
        <f>COUNTIF(Tabla7[Application],applicability!A10)</f>
        <v>1</v>
      </c>
    </row>
    <row r="11" spans="1:8" x14ac:dyDescent="0.25">
      <c r="A11" s="2" t="s">
        <v>5070</v>
      </c>
      <c r="B11">
        <f>COUNTIF(Tabla7[Application],applicability!A11)</f>
        <v>1</v>
      </c>
    </row>
    <row r="12" spans="1:8" x14ac:dyDescent="0.25">
      <c r="B12">
        <f>SUM(B3:B11)</f>
        <v>31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41"/>
  <sheetViews>
    <sheetView zoomScale="85" zoomScaleNormal="85" workbookViewId="0">
      <selection activeCell="G24" sqref="G24"/>
    </sheetView>
  </sheetViews>
  <sheetFormatPr baseColWidth="10" defaultRowHeight="15" x14ac:dyDescent="0.25"/>
  <cols>
    <col min="1" max="1" width="7.28515625" customWidth="1"/>
    <col min="2" max="6" width="20.85546875" customWidth="1"/>
    <col min="7" max="7" width="25.5703125" customWidth="1"/>
    <col min="10" max="10" width="19" bestFit="1" customWidth="1"/>
    <col min="11" max="12" width="8.28515625" customWidth="1"/>
    <col min="13" max="13" width="8.28515625" bestFit="1" customWidth="1"/>
    <col min="14" max="14" width="17.85546875" bestFit="1" customWidth="1"/>
  </cols>
  <sheetData>
    <row r="1" spans="1:14" s="38" customFormat="1" ht="30" customHeight="1" x14ac:dyDescent="0.25">
      <c r="A1" s="37" t="s">
        <v>5307</v>
      </c>
      <c r="B1" s="37" t="s">
        <v>5309</v>
      </c>
      <c r="C1" s="37" t="s">
        <v>5310</v>
      </c>
      <c r="D1" s="37" t="s">
        <v>5311</v>
      </c>
      <c r="E1" s="37" t="s">
        <v>5312</v>
      </c>
      <c r="F1" s="37" t="s">
        <v>5313</v>
      </c>
      <c r="G1" s="37" t="s">
        <v>5314</v>
      </c>
    </row>
    <row r="2" spans="1:14" x14ac:dyDescent="0.25">
      <c r="A2">
        <v>1</v>
      </c>
      <c r="B2">
        <f>COUNTIF(Tabla7[SysMeth],Quality!A2)</f>
        <v>7</v>
      </c>
      <c r="C2">
        <f>COUNTIF(Tabla7[tool],Quality!A2)</f>
        <v>17</v>
      </c>
      <c r="D2">
        <f>COUNTIF(Tabla7[empirical],Quality!A2)</f>
        <v>15</v>
      </c>
      <c r="E2">
        <f>COUNTIF(Tabla7[replicated],Quality!A2)</f>
        <v>5</v>
      </c>
      <c r="F2">
        <f>COUNTIF(Tabla7[Q-cited],Quality!A2)</f>
        <v>25</v>
      </c>
      <c r="G2">
        <f>COUNTIF(Tabla7[Relevance of Conference/Journal],Quality!A2)</f>
        <v>9</v>
      </c>
      <c r="J2" s="4" t="s">
        <v>5333</v>
      </c>
      <c r="K2" s="4" t="s">
        <v>5341</v>
      </c>
      <c r="L2" s="4" t="s">
        <v>5342</v>
      </c>
      <c r="M2" s="4" t="s">
        <v>5334</v>
      </c>
      <c r="N2" s="4" t="s">
        <v>5335</v>
      </c>
    </row>
    <row r="3" spans="1:14" x14ac:dyDescent="0.25">
      <c r="A3">
        <v>2</v>
      </c>
      <c r="B3">
        <f>COUNTIF(Tabla7[SysMeth],Quality!A3)</f>
        <v>6</v>
      </c>
      <c r="C3">
        <f>COUNTIF(Tabla7[tool],Quality!A3)</f>
        <v>8</v>
      </c>
      <c r="D3">
        <f>COUNTIF(Tabla7[empirical],Quality!A3)</f>
        <v>12</v>
      </c>
      <c r="E3">
        <f>COUNTIF(Tabla7[replicated],Quality!A3)</f>
        <v>6</v>
      </c>
      <c r="F3">
        <f>COUNTIF(Tabla7[Q-cited],Quality!A3)</f>
        <v>6</v>
      </c>
      <c r="G3">
        <f>COUNTIF(Tabla7[Relevance of Conference/Journal],Quality!A3)</f>
        <v>20</v>
      </c>
      <c r="J3" t="s">
        <v>5332</v>
      </c>
      <c r="K3" s="46">
        <f>B9</f>
        <v>4</v>
      </c>
      <c r="L3" s="46">
        <f>B10</f>
        <v>4</v>
      </c>
      <c r="M3" s="46">
        <f>B7</f>
        <v>3.2222222222222223</v>
      </c>
      <c r="N3" s="46">
        <f>B8</f>
        <v>1.2949006435891817</v>
      </c>
    </row>
    <row r="4" spans="1:14" x14ac:dyDescent="0.25">
      <c r="A4">
        <v>3</v>
      </c>
      <c r="B4">
        <f>COUNTIF(Tabla7[SysMeth],Quality!A4)</f>
        <v>8</v>
      </c>
      <c r="C4">
        <f>COUNTIF(Tabla7[tool],Quality!A4)</f>
        <v>6</v>
      </c>
      <c r="D4">
        <f>COUNTIF(Tabla7[empirical],Quality!A4)</f>
        <v>15</v>
      </c>
      <c r="E4">
        <f>COUNTIF(Tabla7[replicated],Quality!A4)</f>
        <v>12</v>
      </c>
      <c r="F4">
        <f>COUNTIF(Tabla7[Q-cited],Quality!A4)</f>
        <v>5</v>
      </c>
      <c r="G4">
        <f>COUNTIF(Tabla7[Relevance of Conference/Journal],Quality!A4)</f>
        <v>4</v>
      </c>
      <c r="J4" t="s">
        <v>5336</v>
      </c>
      <c r="K4" s="46">
        <f>C9</f>
        <v>1</v>
      </c>
      <c r="L4" s="46">
        <f>C10</f>
        <v>2</v>
      </c>
      <c r="M4" s="46">
        <f>C7</f>
        <v>2.4888888888888889</v>
      </c>
      <c r="N4" s="46">
        <f>C8</f>
        <v>1.4557444553189682</v>
      </c>
    </row>
    <row r="5" spans="1:14" x14ac:dyDescent="0.25">
      <c r="A5">
        <v>4</v>
      </c>
      <c r="B5">
        <f>COUNTIF(Tabla7[SysMeth],Quality!A5)</f>
        <v>18</v>
      </c>
      <c r="C5">
        <f>COUNTIF(Tabla7[tool],Quality!A5)</f>
        <v>9</v>
      </c>
      <c r="D5">
        <f>COUNTIF(Tabla7[empirical],Quality!A5)</f>
        <v>2</v>
      </c>
      <c r="E5">
        <f>COUNTIF(Tabla7[replicated],Quality!A5)</f>
        <v>21</v>
      </c>
      <c r="F5">
        <f>COUNTIF(Tabla7[Q-cited],Quality!A5)</f>
        <v>6</v>
      </c>
      <c r="G5">
        <f>COUNTIF(Tabla7[Relevance of Conference/Journal],Quality!A5)</f>
        <v>7</v>
      </c>
      <c r="J5" t="s">
        <v>5337</v>
      </c>
      <c r="K5" s="46">
        <f>D9</f>
        <v>1</v>
      </c>
      <c r="L5" s="46">
        <f>D10</f>
        <v>2</v>
      </c>
      <c r="M5" s="46">
        <f>D7</f>
        <v>2.1555555555555554</v>
      </c>
      <c r="N5" s="46">
        <f>D8</f>
        <v>1.0214863403072716</v>
      </c>
    </row>
    <row r="6" spans="1:14" x14ac:dyDescent="0.25">
      <c r="A6">
        <v>5</v>
      </c>
      <c r="B6">
        <f>COUNTIF(Tabla7[SysMeth],Quality!A6)</f>
        <v>6</v>
      </c>
      <c r="C6">
        <f>COUNTIF(Tabla7[tool],Quality!A6)</f>
        <v>5</v>
      </c>
      <c r="D6">
        <f>COUNTIF(Tabla7[empirical],Quality!A6)</f>
        <v>1</v>
      </c>
      <c r="E6">
        <f>COUNTIF(Tabla7[replicated],Quality!A6)</f>
        <v>1</v>
      </c>
      <c r="F6">
        <f>COUNTIF(Tabla7[Q-cited],Quality!A6)</f>
        <v>3</v>
      </c>
      <c r="G6">
        <f>COUNTIF(Tabla7[Relevance of Conference/Journal],Quality!A6)</f>
        <v>5</v>
      </c>
      <c r="J6" t="s">
        <v>5338</v>
      </c>
      <c r="K6" s="46">
        <f>E9</f>
        <v>4</v>
      </c>
      <c r="L6" s="46">
        <f>E10</f>
        <v>3</v>
      </c>
      <c r="M6" s="46">
        <f>E7</f>
        <v>3.1555555555555554</v>
      </c>
      <c r="N6" s="46">
        <f>E8</f>
        <v>1.0650556015267156</v>
      </c>
    </row>
    <row r="7" spans="1:14" x14ac:dyDescent="0.25">
      <c r="B7" s="46">
        <f>AVERAGE(Tabla7[SysMeth])</f>
        <v>3.2222222222222223</v>
      </c>
      <c r="C7" s="46">
        <f>AVERAGE(Tabla7[tool])</f>
        <v>2.4888888888888889</v>
      </c>
      <c r="D7" s="46">
        <f>AVERAGE(Tabla7[empirical])</f>
        <v>2.1555555555555554</v>
      </c>
      <c r="E7" s="46">
        <f>AVERAGE(Tabla7[replicated])</f>
        <v>3.1555555555555554</v>
      </c>
      <c r="F7" s="46">
        <f>AVERAGE(Tabla7[Q-cited])</f>
        <v>2.0222222222222221</v>
      </c>
      <c r="G7" s="46">
        <f>AVERAGE(Tabla7[Relevance of Conference/Journal])</f>
        <v>2.5333333333333332</v>
      </c>
      <c r="J7" t="s">
        <v>5339</v>
      </c>
      <c r="K7" s="46">
        <f>F9</f>
        <v>1</v>
      </c>
      <c r="L7" s="46">
        <f>F10</f>
        <v>1</v>
      </c>
      <c r="M7" s="46">
        <f>F7</f>
        <v>2.0222222222222221</v>
      </c>
      <c r="N7" s="46">
        <f>F8</f>
        <v>1.3566149197189454</v>
      </c>
    </row>
    <row r="8" spans="1:14" x14ac:dyDescent="0.25">
      <c r="B8" s="46">
        <f>STDEV(Tabla7[SysMeth])</f>
        <v>1.2949006435891817</v>
      </c>
      <c r="C8" s="46">
        <f>STDEV(Tabla7[tool])</f>
        <v>1.4557444553189682</v>
      </c>
      <c r="D8" s="46">
        <f>STDEV(Tabla7[empirical])</f>
        <v>1.0214863403072716</v>
      </c>
      <c r="E8" s="46">
        <f>STDEV(Tabla7[replicated])</f>
        <v>1.0650556015267156</v>
      </c>
      <c r="F8" s="46">
        <f>STDEV(Tabla7[Q-cited])</f>
        <v>1.3566149197189454</v>
      </c>
      <c r="G8" s="46">
        <f>STDEV(Tabla7[Relevance of Conference/Journal])</f>
        <v>1.289820283464469</v>
      </c>
      <c r="J8" t="s">
        <v>5340</v>
      </c>
      <c r="K8" s="46">
        <f>G9</f>
        <v>2</v>
      </c>
      <c r="L8" s="46">
        <f>G10</f>
        <v>2</v>
      </c>
      <c r="M8" s="46">
        <f>G7</f>
        <v>2.5333333333333332</v>
      </c>
      <c r="N8" s="46">
        <f>G8</f>
        <v>1.289820283464469</v>
      </c>
    </row>
    <row r="9" spans="1:14" x14ac:dyDescent="0.25">
      <c r="B9" s="46">
        <f>MODE(Tabla7[SysMeth])</f>
        <v>4</v>
      </c>
      <c r="C9" s="46">
        <f>MODE(Tabla7[tool])</f>
        <v>1</v>
      </c>
      <c r="D9" s="46">
        <f>MODE(Tabla7[empirical])</f>
        <v>1</v>
      </c>
      <c r="E9" s="46">
        <f>MODE(Tabla7[replicated])</f>
        <v>4</v>
      </c>
      <c r="F9" s="46">
        <f>MODE(Tabla7[Q-cited])</f>
        <v>1</v>
      </c>
      <c r="G9" s="46">
        <f>MODE(Tabla7[Relevance of Conference/Journal])</f>
        <v>2</v>
      </c>
      <c r="K9" s="46"/>
      <c r="L9" s="46"/>
      <c r="M9" s="46"/>
      <c r="N9" s="46"/>
    </row>
    <row r="10" spans="1:14" x14ac:dyDescent="0.25">
      <c r="B10" s="46">
        <f>MEDIAN(Tabla7[SysMeth])</f>
        <v>4</v>
      </c>
      <c r="C10" s="46">
        <f>MEDIAN(Tabla7[tool])</f>
        <v>2</v>
      </c>
      <c r="D10" s="46">
        <f>MEDIAN(Tabla7[empirical])</f>
        <v>2</v>
      </c>
      <c r="E10" s="46">
        <f>MEDIAN(Tabla7[replicated])</f>
        <v>3</v>
      </c>
      <c r="F10" s="46">
        <f>MEDIAN(Tabla7[Q-cited])</f>
        <v>1</v>
      </c>
      <c r="G10" s="46">
        <f>MEDIAN(Tabla7[Relevance of Conference/Journal])</f>
        <v>2</v>
      </c>
      <c r="K10" s="46"/>
      <c r="L10" s="46"/>
      <c r="M10" s="46"/>
      <c r="N10" s="46"/>
    </row>
    <row r="13" spans="1:14" x14ac:dyDescent="0.25">
      <c r="A13" s="4"/>
      <c r="B13" s="4"/>
    </row>
    <row r="20" spans="1:2" x14ac:dyDescent="0.25">
      <c r="A20" s="4"/>
      <c r="B20" s="4"/>
    </row>
    <row r="27" spans="1:2" x14ac:dyDescent="0.25">
      <c r="A27" s="4"/>
      <c r="B27" s="4"/>
    </row>
    <row r="34" spans="1:2" x14ac:dyDescent="0.25">
      <c r="A34" s="4"/>
      <c r="B34" s="4"/>
    </row>
    <row r="41" spans="1:2" x14ac:dyDescent="0.25">
      <c r="A41" s="4"/>
      <c r="B41" s="4"/>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137"/>
  <sheetViews>
    <sheetView zoomScale="85" zoomScaleNormal="85" workbookViewId="0">
      <selection activeCell="C25" sqref="C25"/>
    </sheetView>
  </sheetViews>
  <sheetFormatPr baseColWidth="10" defaultRowHeight="15" x14ac:dyDescent="0.25"/>
  <cols>
    <col min="3" max="3" width="11.85546875" bestFit="1" customWidth="1"/>
    <col min="5" max="5" width="20.5703125" customWidth="1"/>
    <col min="6" max="6" width="2" bestFit="1" customWidth="1"/>
    <col min="7" max="7" width="20.5703125" customWidth="1"/>
    <col min="8" max="8" width="3" bestFit="1" customWidth="1"/>
    <col min="9" max="9" width="20.5703125" customWidth="1"/>
    <col min="11" max="11" width="2" bestFit="1" customWidth="1"/>
    <col min="12" max="12" width="29.28515625" customWidth="1"/>
    <col min="13" max="13" width="2" bestFit="1" customWidth="1"/>
    <col min="14" max="14" width="20.85546875" customWidth="1"/>
    <col min="15" max="15" width="3" bestFit="1" customWidth="1"/>
    <col min="16" max="16" width="15.7109375" customWidth="1"/>
  </cols>
  <sheetData>
    <row r="1" spans="1:16" x14ac:dyDescent="0.25">
      <c r="A1" t="s">
        <v>5330</v>
      </c>
      <c r="B1" t="s">
        <v>5331</v>
      </c>
      <c r="C1" t="s">
        <v>5217</v>
      </c>
      <c r="L1" s="4" t="s">
        <v>5330</v>
      </c>
      <c r="M1" s="4"/>
      <c r="N1" s="4" t="s">
        <v>722</v>
      </c>
      <c r="O1" s="4"/>
      <c r="P1" s="4" t="s">
        <v>723</v>
      </c>
    </row>
    <row r="2" spans="1:16" x14ac:dyDescent="0.25">
      <c r="A2">
        <v>1</v>
      </c>
      <c r="B2">
        <v>1</v>
      </c>
      <c r="C2">
        <f>COUNTIFS(Tabla7[business intelligence /pattern matching],"X",Tabla7[application info],"X")</f>
        <v>0</v>
      </c>
      <c r="K2">
        <v>1</v>
      </c>
      <c r="L2" t="s">
        <v>5327</v>
      </c>
      <c r="M2">
        <v>1</v>
      </c>
      <c r="N2" t="s">
        <v>5322</v>
      </c>
      <c r="O2">
        <v>11</v>
      </c>
      <c r="P2" t="s">
        <v>5280</v>
      </c>
    </row>
    <row r="3" spans="1:16" x14ac:dyDescent="0.25">
      <c r="A3">
        <v>2</v>
      </c>
      <c r="B3">
        <v>1</v>
      </c>
      <c r="C3">
        <f>COUNTIFS(Tabla7[Data collection/Data mapping],"X",Tabla7[application info],"X")</f>
        <v>4</v>
      </c>
      <c r="K3">
        <v>2</v>
      </c>
      <c r="L3" t="s">
        <v>5015</v>
      </c>
      <c r="M3">
        <v>2</v>
      </c>
      <c r="N3" t="s">
        <v>5323</v>
      </c>
      <c r="O3">
        <v>12</v>
      </c>
      <c r="P3" t="s">
        <v>5281</v>
      </c>
    </row>
    <row r="4" spans="1:16" x14ac:dyDescent="0.25">
      <c r="A4">
        <v>3</v>
      </c>
      <c r="B4">
        <v>1</v>
      </c>
      <c r="C4">
        <f>COUNTIFS(Tabla7[EA Model annotations],"X",Tabla7[application info],"X")</f>
        <v>0</v>
      </c>
      <c r="K4">
        <v>3</v>
      </c>
      <c r="L4" t="s">
        <v>5273</v>
      </c>
      <c r="M4">
        <v>3</v>
      </c>
      <c r="N4" t="s">
        <v>5258</v>
      </c>
      <c r="O4">
        <v>13</v>
      </c>
      <c r="P4" t="s">
        <v>5278</v>
      </c>
    </row>
    <row r="5" spans="1:16" x14ac:dyDescent="0.25">
      <c r="A5">
        <v>4</v>
      </c>
      <c r="B5">
        <v>1</v>
      </c>
      <c r="C5">
        <f>COUNTIFS(Tabla7[expert interview / serious game],"X",Tabla7[application info],"X")</f>
        <v>2</v>
      </c>
      <c r="K5">
        <v>4</v>
      </c>
      <c r="L5" t="s">
        <v>5325</v>
      </c>
      <c r="M5">
        <v>4</v>
      </c>
      <c r="N5" t="s">
        <v>728</v>
      </c>
      <c r="O5">
        <v>14</v>
      </c>
      <c r="P5" t="s">
        <v>5292</v>
      </c>
    </row>
    <row r="6" spans="1:16" x14ac:dyDescent="0.25">
      <c r="A6">
        <v>5</v>
      </c>
      <c r="B6">
        <v>1</v>
      </c>
      <c r="C6">
        <f>COUNTIFS(Tabla7[MDE / Model transformations],"X",Tabla7[application info],"X")</f>
        <v>0</v>
      </c>
      <c r="K6">
        <v>5</v>
      </c>
      <c r="L6" t="s">
        <v>5272</v>
      </c>
      <c r="M6">
        <v>5</v>
      </c>
      <c r="N6" t="s">
        <v>5320</v>
      </c>
      <c r="O6">
        <v>15</v>
      </c>
      <c r="P6" t="s">
        <v>724</v>
      </c>
    </row>
    <row r="7" spans="1:16" x14ac:dyDescent="0.25">
      <c r="A7">
        <v>6</v>
      </c>
      <c r="B7">
        <v>1</v>
      </c>
      <c r="C7">
        <f>COUNTIFS(Tabla7[process mining],"X",Tabla7[application info],"X")</f>
        <v>2</v>
      </c>
      <c r="K7">
        <v>6</v>
      </c>
      <c r="L7" t="s">
        <v>5328</v>
      </c>
      <c r="M7">
        <v>6</v>
      </c>
      <c r="N7" t="s">
        <v>5262</v>
      </c>
      <c r="O7">
        <v>16</v>
      </c>
      <c r="P7" t="s">
        <v>5279</v>
      </c>
    </row>
    <row r="8" spans="1:16" x14ac:dyDescent="0.25">
      <c r="A8">
        <v>7</v>
      </c>
      <c r="B8">
        <v>1</v>
      </c>
      <c r="C8">
        <f>COUNTIFS(Tabla7[Runtime/Temporal Analysis],"X",Tabla7[application info],"X")</f>
        <v>1</v>
      </c>
      <c r="K8">
        <v>7</v>
      </c>
      <c r="L8" t="s">
        <v>5275</v>
      </c>
      <c r="M8">
        <v>7</v>
      </c>
      <c r="N8" t="s">
        <v>5321</v>
      </c>
    </row>
    <row r="9" spans="1:16" x14ac:dyDescent="0.25">
      <c r="A9">
        <v>8</v>
      </c>
      <c r="B9">
        <v>1</v>
      </c>
      <c r="C9">
        <f>COUNTIFS(Tabla7[social network analaysis],"X",Tabla7[application info],"X")</f>
        <v>1</v>
      </c>
      <c r="K9">
        <v>8</v>
      </c>
      <c r="L9" t="s">
        <v>5326</v>
      </c>
      <c r="M9">
        <v>8</v>
      </c>
      <c r="N9" t="s">
        <v>5324</v>
      </c>
    </row>
    <row r="10" spans="1:16" x14ac:dyDescent="0.25">
      <c r="A10">
        <v>1</v>
      </c>
      <c r="B10">
        <v>2</v>
      </c>
      <c r="C10">
        <f>COUNTIFS(Tabla7[business intelligence /pattern matching],"X",Tabla7[business knowledge / requirements],"X")</f>
        <v>0</v>
      </c>
      <c r="M10">
        <v>9</v>
      </c>
      <c r="N10" t="s">
        <v>5063</v>
      </c>
    </row>
    <row r="11" spans="1:16" x14ac:dyDescent="0.25">
      <c r="A11">
        <v>2</v>
      </c>
      <c r="B11">
        <v>2</v>
      </c>
      <c r="C11">
        <f>COUNTIFS(Tabla7[Data collection/Data mapping],"X",Tabla7[business knowledge / requirements],"X")</f>
        <v>5</v>
      </c>
    </row>
    <row r="12" spans="1:16" x14ac:dyDescent="0.25">
      <c r="A12">
        <v>3</v>
      </c>
      <c r="B12">
        <v>2</v>
      </c>
      <c r="C12">
        <f>COUNTIFS(Tabla7[EA Model annotations],"X",Tabla7[business knowledge / requirements],"X")</f>
        <v>0</v>
      </c>
    </row>
    <row r="13" spans="1:16" x14ac:dyDescent="0.25">
      <c r="A13">
        <v>4</v>
      </c>
      <c r="B13">
        <v>2</v>
      </c>
      <c r="C13">
        <f>COUNTIFS(Tabla7[expert interview / serious game],"X",Tabla7[business knowledge / requirements],"X")</f>
        <v>0</v>
      </c>
    </row>
    <row r="14" spans="1:16" x14ac:dyDescent="0.25">
      <c r="A14">
        <v>5</v>
      </c>
      <c r="B14">
        <v>2</v>
      </c>
      <c r="C14">
        <f>COUNTIFS(Tabla7[MDE / Model transformations],"X",Tabla7[business knowledge / requirements],"X")</f>
        <v>1</v>
      </c>
    </row>
    <row r="15" spans="1:16" x14ac:dyDescent="0.25">
      <c r="A15">
        <v>6</v>
      </c>
      <c r="B15">
        <v>2</v>
      </c>
      <c r="C15">
        <f>COUNTIFS(Tabla7[process mining],"X",Tabla7[business knowledge / requirements],"X")</f>
        <v>0</v>
      </c>
    </row>
    <row r="16" spans="1:16" x14ac:dyDescent="0.25">
      <c r="A16">
        <v>7</v>
      </c>
      <c r="B16">
        <v>2</v>
      </c>
      <c r="C16">
        <f>COUNTIFS(Tabla7[Runtime/Temporal Analysis],"X",Tabla7[business knowledge / requirements],"X")</f>
        <v>0</v>
      </c>
    </row>
    <row r="17" spans="1:3" x14ac:dyDescent="0.25">
      <c r="A17">
        <v>8</v>
      </c>
      <c r="B17">
        <v>2</v>
      </c>
      <c r="C17">
        <f>COUNTIFS(Tabla7[social network analaysis],"X",Tabla7[business knowledge / requirements],"X")</f>
        <v>0</v>
      </c>
    </row>
    <row r="18" spans="1:3" x14ac:dyDescent="0.25">
      <c r="A18">
        <v>1</v>
      </c>
      <c r="B18">
        <v>3</v>
      </c>
      <c r="C18">
        <f>COUNTIFS(Tabla7[business intelligence /pattern matching],"X",Tabla7[Database],"X")</f>
        <v>0</v>
      </c>
    </row>
    <row r="19" spans="1:3" x14ac:dyDescent="0.25">
      <c r="A19">
        <v>2</v>
      </c>
      <c r="B19">
        <v>3</v>
      </c>
      <c r="C19">
        <f>COUNTIFS(Tabla7[Data collection/Data mapping],"X",Tabla7[Database],"X")</f>
        <v>5</v>
      </c>
    </row>
    <row r="20" spans="1:3" x14ac:dyDescent="0.25">
      <c r="A20">
        <v>3</v>
      </c>
      <c r="B20">
        <v>3</v>
      </c>
      <c r="C20">
        <f>COUNTIFS(Tabla7[EA Model annotations],"X",Tabla7[Database],"X")</f>
        <v>0</v>
      </c>
    </row>
    <row r="21" spans="1:3" x14ac:dyDescent="0.25">
      <c r="A21">
        <v>4</v>
      </c>
      <c r="B21">
        <v>3</v>
      </c>
      <c r="C21">
        <f>COUNTIFS(Tabla7[expert interview / serious game],"X",Tabla7[Database],"X")</f>
        <v>1</v>
      </c>
    </row>
    <row r="22" spans="1:3" x14ac:dyDescent="0.25">
      <c r="A22">
        <v>5</v>
      </c>
      <c r="B22">
        <v>3</v>
      </c>
      <c r="C22">
        <f>COUNTIFS(Tabla7[MDE / Model transformations],"X",Tabla7[Database],"X")</f>
        <v>1</v>
      </c>
    </row>
    <row r="23" spans="1:3" x14ac:dyDescent="0.25">
      <c r="A23">
        <v>6</v>
      </c>
      <c r="B23">
        <v>3</v>
      </c>
      <c r="C23">
        <f>COUNTIFS(Tabla7[process mining],"X",Tabla7[Database],"X")</f>
        <v>0</v>
      </c>
    </row>
    <row r="24" spans="1:3" x14ac:dyDescent="0.25">
      <c r="A24">
        <v>7</v>
      </c>
      <c r="B24">
        <v>3</v>
      </c>
      <c r="C24">
        <f>COUNTIFS(Tabla7[Runtime/Temporal Analysis],"X",Tabla7[Database],"X")</f>
        <v>0</v>
      </c>
    </row>
    <row r="25" spans="1:3" x14ac:dyDescent="0.25">
      <c r="A25">
        <v>8</v>
      </c>
      <c r="B25">
        <v>3</v>
      </c>
      <c r="C25">
        <f>COUNTIFS(Tabla7[social network analaysis],"X",Tabla7[Database],"X")</f>
        <v>1</v>
      </c>
    </row>
    <row r="26" spans="1:3" x14ac:dyDescent="0.25">
      <c r="A26">
        <v>1</v>
      </c>
      <c r="B26">
        <v>4</v>
      </c>
      <c r="C26">
        <f>COUNTIFS(Tabla7[business intelligence /pattern matching],"X",Tabla7[EA Models],"X")</f>
        <v>0</v>
      </c>
    </row>
    <row r="27" spans="1:3" x14ac:dyDescent="0.25">
      <c r="A27">
        <v>2</v>
      </c>
      <c r="B27">
        <v>4</v>
      </c>
      <c r="C27">
        <f>COUNTIFS(Tabla7[Data collection/Data mapping],"X",Tabla7[EA Models],"X")</f>
        <v>4</v>
      </c>
    </row>
    <row r="28" spans="1:3" x14ac:dyDescent="0.25">
      <c r="A28">
        <v>3</v>
      </c>
      <c r="B28">
        <v>4</v>
      </c>
      <c r="C28">
        <f>COUNTIFS(Tabla7[EA Model annotations],"X",Tabla7[EA Models],"X")</f>
        <v>3</v>
      </c>
    </row>
    <row r="29" spans="1:3" x14ac:dyDescent="0.25">
      <c r="A29">
        <v>4</v>
      </c>
      <c r="B29">
        <v>4</v>
      </c>
      <c r="C29">
        <f>COUNTIFS(Tabla7[expert interview / serious game],"X",Tabla7[EA Models],"X")</f>
        <v>0</v>
      </c>
    </row>
    <row r="30" spans="1:3" x14ac:dyDescent="0.25">
      <c r="A30">
        <v>5</v>
      </c>
      <c r="B30">
        <v>4</v>
      </c>
      <c r="C30">
        <f>COUNTIFS(Tabla7[MDE / Model transformations],"X",Tabla7[EA Models],"X")</f>
        <v>2</v>
      </c>
    </row>
    <row r="31" spans="1:3" x14ac:dyDescent="0.25">
      <c r="A31">
        <v>6</v>
      </c>
      <c r="B31">
        <v>4</v>
      </c>
      <c r="C31">
        <f>COUNTIFS(Tabla7[process mining],"X",Tabla7[EA Models],"X")</f>
        <v>0</v>
      </c>
    </row>
    <row r="32" spans="1:3" x14ac:dyDescent="0.25">
      <c r="A32">
        <v>7</v>
      </c>
      <c r="B32">
        <v>4</v>
      </c>
      <c r="C32">
        <f>COUNTIFS(Tabla7[Runtime/Temporal Analysis],"X",Tabla7[EA Models],"X")</f>
        <v>0</v>
      </c>
    </row>
    <row r="33" spans="1:3" x14ac:dyDescent="0.25">
      <c r="A33">
        <v>8</v>
      </c>
      <c r="B33">
        <v>4</v>
      </c>
      <c r="C33">
        <f>COUNTIFS(Tabla7[social network analaysis],"X",Tabla7[EA Models],"X")</f>
        <v>0</v>
      </c>
    </row>
    <row r="34" spans="1:3" x14ac:dyDescent="0.25">
      <c r="A34">
        <v>1</v>
      </c>
      <c r="B34">
        <v>5</v>
      </c>
      <c r="C34">
        <f>COUNTIFS(Tabla7[business intelligence /pattern matching],"X",Tabla7[expert''s knowledge],"X")</f>
        <v>1</v>
      </c>
    </row>
    <row r="35" spans="1:3" x14ac:dyDescent="0.25">
      <c r="A35">
        <v>2</v>
      </c>
      <c r="B35">
        <v>5</v>
      </c>
      <c r="C35">
        <f>COUNTIFS(Tabla7[Data collection/Data mapping],"X",Tabla7[expert''s knowledge],"X")</f>
        <v>4</v>
      </c>
    </row>
    <row r="36" spans="1:3" x14ac:dyDescent="0.25">
      <c r="A36">
        <v>3</v>
      </c>
      <c r="B36">
        <v>5</v>
      </c>
      <c r="C36">
        <f>COUNTIFS(Tabla7[EA Model annotations],"X",Tabla7[expert''s knowledge],"X")</f>
        <v>1</v>
      </c>
    </row>
    <row r="37" spans="1:3" x14ac:dyDescent="0.25">
      <c r="A37">
        <v>4</v>
      </c>
      <c r="B37">
        <v>5</v>
      </c>
      <c r="C37">
        <f>COUNTIFS(Tabla7[expert interview / serious game],"X",Tabla7[expert''s knowledge],"X")</f>
        <v>4</v>
      </c>
    </row>
    <row r="38" spans="1:3" x14ac:dyDescent="0.25">
      <c r="A38">
        <v>5</v>
      </c>
      <c r="B38">
        <v>5</v>
      </c>
      <c r="C38">
        <f>COUNTIFS(Tabla7[MDE / Model transformations],"X",Tabla7[expert''s knowledge],"X")</f>
        <v>4</v>
      </c>
    </row>
    <row r="39" spans="1:3" x14ac:dyDescent="0.25">
      <c r="A39">
        <v>6</v>
      </c>
      <c r="B39">
        <v>5</v>
      </c>
      <c r="C39">
        <f>COUNTIFS(Tabla7[process mining],"X",Tabla7[expert''s knowledge],"X")</f>
        <v>1</v>
      </c>
    </row>
    <row r="40" spans="1:3" x14ac:dyDescent="0.25">
      <c r="A40">
        <v>7</v>
      </c>
      <c r="B40">
        <v>5</v>
      </c>
      <c r="C40">
        <f>COUNTIFS(Tabla7[Runtime/Temporal Analysis],"X",Tabla7[expert''s knowledge],"X")</f>
        <v>0</v>
      </c>
    </row>
    <row r="41" spans="1:3" x14ac:dyDescent="0.25">
      <c r="A41">
        <v>8</v>
      </c>
      <c r="B41">
        <v>5</v>
      </c>
      <c r="C41">
        <f>COUNTIFS(Tabla7[social network analaysis],"X",Tabla7[expert''s knowledge],"X")</f>
        <v>1</v>
      </c>
    </row>
    <row r="42" spans="1:3" x14ac:dyDescent="0.25">
      <c r="A42">
        <v>1</v>
      </c>
      <c r="B42">
        <v>6</v>
      </c>
      <c r="C42">
        <f>COUNTIFS(Tabla7[business intelligence /pattern matching],"X",Tabla7[IT knowledge and operational data],"X")</f>
        <v>1</v>
      </c>
    </row>
    <row r="43" spans="1:3" x14ac:dyDescent="0.25">
      <c r="A43">
        <v>2</v>
      </c>
      <c r="B43">
        <v>6</v>
      </c>
      <c r="C43">
        <f>COUNTIFS(Tabla7[Data collection/Data mapping],"X",Tabla7[IT knowledge and operational data],"X")</f>
        <v>6</v>
      </c>
    </row>
    <row r="44" spans="1:3" x14ac:dyDescent="0.25">
      <c r="A44">
        <v>3</v>
      </c>
      <c r="B44">
        <v>6</v>
      </c>
      <c r="C44">
        <f>COUNTIFS(Tabla7[EA Model annotations],"X",Tabla7[IT knowledge and operational data],"X")</f>
        <v>0</v>
      </c>
    </row>
    <row r="45" spans="1:3" x14ac:dyDescent="0.25">
      <c r="A45">
        <v>4</v>
      </c>
      <c r="B45">
        <v>6</v>
      </c>
      <c r="C45">
        <f>COUNTIFS(Tabla7[expert interview / serious game],"X",Tabla7[IT knowledge and operational data],"X")</f>
        <v>0</v>
      </c>
    </row>
    <row r="46" spans="1:3" x14ac:dyDescent="0.25">
      <c r="A46">
        <v>5</v>
      </c>
      <c r="B46">
        <v>6</v>
      </c>
      <c r="C46">
        <f>COUNTIFS(Tabla7[MDE / Model transformations],"X",Tabla7[IT knowledge and operational data],"X")</f>
        <v>1</v>
      </c>
    </row>
    <row r="47" spans="1:3" x14ac:dyDescent="0.25">
      <c r="A47">
        <v>6</v>
      </c>
      <c r="B47">
        <v>6</v>
      </c>
      <c r="C47">
        <f>COUNTIFS(Tabla7[process mining],"X",Tabla7[IT knowledge and operational data],"X")</f>
        <v>0</v>
      </c>
    </row>
    <row r="48" spans="1:3" x14ac:dyDescent="0.25">
      <c r="A48">
        <v>7</v>
      </c>
      <c r="B48">
        <v>6</v>
      </c>
      <c r="C48">
        <f>COUNTIFS(Tabla7[Runtime/Temporal Analysis],"X",Tabla7[IT knowledge and operational data],"X")</f>
        <v>1</v>
      </c>
    </row>
    <row r="49" spans="1:3" x14ac:dyDescent="0.25">
      <c r="A49">
        <v>8</v>
      </c>
      <c r="B49">
        <v>6</v>
      </c>
      <c r="C49">
        <f>COUNTIFS(Tabla7[social network analaysis],"X",Tabla7[IT knowledge and operational data],"X")</f>
        <v>0</v>
      </c>
    </row>
    <row r="50" spans="1:3" x14ac:dyDescent="0.25">
      <c r="A50">
        <v>1</v>
      </c>
      <c r="B50">
        <v>7</v>
      </c>
      <c r="C50">
        <f>COUNTIFS(Tabla7[business intelligence /pattern matching],"X",Tabla7[process logs],"X")</f>
        <v>0</v>
      </c>
    </row>
    <row r="51" spans="1:3" x14ac:dyDescent="0.25">
      <c r="A51">
        <v>2</v>
      </c>
      <c r="B51">
        <v>7</v>
      </c>
      <c r="C51">
        <f>COUNTIFS(Tabla7[Data collection/Data mapping],"X",Tabla7[process logs],"X")</f>
        <v>5</v>
      </c>
    </row>
    <row r="52" spans="1:3" x14ac:dyDescent="0.25">
      <c r="A52">
        <v>3</v>
      </c>
      <c r="B52">
        <v>7</v>
      </c>
      <c r="C52">
        <f>COUNTIFS(Tabla7[EA Model annotations],"X",Tabla7[process logs],"X")</f>
        <v>0</v>
      </c>
    </row>
    <row r="53" spans="1:3" x14ac:dyDescent="0.25">
      <c r="A53">
        <v>4</v>
      </c>
      <c r="B53">
        <v>7</v>
      </c>
      <c r="C53">
        <f>COUNTIFS(Tabla7[expert interview / serious game],"X",Tabla7[process logs],"X")</f>
        <v>0</v>
      </c>
    </row>
    <row r="54" spans="1:3" x14ac:dyDescent="0.25">
      <c r="A54">
        <v>5</v>
      </c>
      <c r="B54">
        <v>7</v>
      </c>
      <c r="C54">
        <f>COUNTIFS(Tabla7[MDE / Model transformations],"X",Tabla7[process logs],"X")</f>
        <v>1</v>
      </c>
    </row>
    <row r="55" spans="1:3" x14ac:dyDescent="0.25">
      <c r="A55">
        <v>6</v>
      </c>
      <c r="B55">
        <v>7</v>
      </c>
      <c r="C55">
        <f>COUNTIFS(Tabla7[process mining],"X",Tabla7[process logs],"X")</f>
        <v>3</v>
      </c>
    </row>
    <row r="56" spans="1:3" x14ac:dyDescent="0.25">
      <c r="A56">
        <v>7</v>
      </c>
      <c r="B56">
        <v>7</v>
      </c>
      <c r="C56">
        <f>COUNTIFS(Tabla7[Runtime/Temporal Analysis],"X",Tabla7[process logs],"X")</f>
        <v>2</v>
      </c>
    </row>
    <row r="57" spans="1:3" x14ac:dyDescent="0.25">
      <c r="A57">
        <v>8</v>
      </c>
      <c r="B57">
        <v>7</v>
      </c>
      <c r="C57">
        <f>COUNTIFS(Tabla7[social network analaysis],"X",Tabla7[process logs],"X")</f>
        <v>0</v>
      </c>
    </row>
    <row r="58" spans="1:3" x14ac:dyDescent="0.25">
      <c r="A58">
        <v>1</v>
      </c>
      <c r="B58">
        <v>8</v>
      </c>
      <c r="C58">
        <f>COUNTIFS(Tabla7[business intelligence /pattern matching],"X",Tabla7[services / ESB],"X")</f>
        <v>0</v>
      </c>
    </row>
    <row r="59" spans="1:3" x14ac:dyDescent="0.25">
      <c r="A59">
        <v>2</v>
      </c>
      <c r="B59">
        <v>8</v>
      </c>
      <c r="C59">
        <f>COUNTIFS(Tabla7[Data collection/Data mapping],"X",Tabla7[services / ESB],"X")</f>
        <v>4</v>
      </c>
    </row>
    <row r="60" spans="1:3" x14ac:dyDescent="0.25">
      <c r="A60">
        <v>3</v>
      </c>
      <c r="B60">
        <v>8</v>
      </c>
      <c r="C60">
        <f>COUNTIFS(Tabla7[EA Model annotations],"X",Tabla7[services / ESB],"X")</f>
        <v>0</v>
      </c>
    </row>
    <row r="61" spans="1:3" x14ac:dyDescent="0.25">
      <c r="A61">
        <v>4</v>
      </c>
      <c r="B61">
        <v>8</v>
      </c>
      <c r="C61">
        <f>COUNTIFS(Tabla7[expert interview / serious game],"X",Tabla7[services / ESB],"X")</f>
        <v>0</v>
      </c>
    </row>
    <row r="62" spans="1:3" x14ac:dyDescent="0.25">
      <c r="A62">
        <v>5</v>
      </c>
      <c r="B62">
        <v>8</v>
      </c>
      <c r="C62">
        <f>COUNTIFS(Tabla7[MDE / Model transformations],"X",Tabla7[services / ESB],"X")</f>
        <v>2</v>
      </c>
    </row>
    <row r="63" spans="1:3" x14ac:dyDescent="0.25">
      <c r="A63">
        <v>6</v>
      </c>
      <c r="B63">
        <v>8</v>
      </c>
      <c r="C63">
        <f>COUNTIFS(Tabla7[process mining],"X",Tabla7[services / ESB],"X")</f>
        <v>0</v>
      </c>
    </row>
    <row r="64" spans="1:3" x14ac:dyDescent="0.25">
      <c r="A64">
        <v>7</v>
      </c>
      <c r="B64">
        <v>8</v>
      </c>
      <c r="C64">
        <f>COUNTIFS(Tabla7[Runtime/Temporal Analysis],"X",Tabla7[services / ESB],"X")</f>
        <v>2</v>
      </c>
    </row>
    <row r="65" spans="1:3" x14ac:dyDescent="0.25">
      <c r="A65">
        <v>8</v>
      </c>
      <c r="B65">
        <v>8</v>
      </c>
      <c r="C65">
        <f>COUNTIFS(Tabla7[social network analaysis],"X",Tabla7[services / ESB],"X")</f>
        <v>0</v>
      </c>
    </row>
    <row r="66" spans="1:3" x14ac:dyDescent="0.25">
      <c r="A66">
        <v>1</v>
      </c>
      <c r="B66">
        <v>9</v>
      </c>
      <c r="C66">
        <f>COUNTIFS(Tabla7[business intelligence /pattern matching],"X",Tabla7[Social Media],"X")</f>
        <v>0</v>
      </c>
    </row>
    <row r="67" spans="1:3" x14ac:dyDescent="0.25">
      <c r="A67">
        <v>2</v>
      </c>
      <c r="B67">
        <v>9</v>
      </c>
      <c r="C67">
        <f>COUNTIFS(Tabla7[Data collection/Data mapping],"X",Tabla7[Social Media],"X")</f>
        <v>1</v>
      </c>
    </row>
    <row r="68" spans="1:3" x14ac:dyDescent="0.25">
      <c r="A68">
        <v>3</v>
      </c>
      <c r="B68">
        <v>9</v>
      </c>
      <c r="C68">
        <f>COUNTIFS(Tabla7[EA Model annotations],"X",Tabla7[Social Media],"X")</f>
        <v>0</v>
      </c>
    </row>
    <row r="69" spans="1:3" x14ac:dyDescent="0.25">
      <c r="A69">
        <v>4</v>
      </c>
      <c r="B69">
        <v>9</v>
      </c>
      <c r="C69">
        <f>COUNTIFS(Tabla7[expert interview / serious game],"X",Tabla7[Social Media],"X")</f>
        <v>0</v>
      </c>
    </row>
    <row r="70" spans="1:3" x14ac:dyDescent="0.25">
      <c r="A70">
        <v>5</v>
      </c>
      <c r="B70">
        <v>9</v>
      </c>
      <c r="C70">
        <f>COUNTIFS(Tabla7[MDE / Model transformations],"X",Tabla7[Social Media],"X")</f>
        <v>0</v>
      </c>
    </row>
    <row r="71" spans="1:3" x14ac:dyDescent="0.25">
      <c r="A71">
        <v>6</v>
      </c>
      <c r="B71">
        <v>9</v>
      </c>
      <c r="C71">
        <f>COUNTIFS(Tabla7[process mining],"X",Tabla7[Social Media],"X")</f>
        <v>0</v>
      </c>
    </row>
    <row r="72" spans="1:3" x14ac:dyDescent="0.25">
      <c r="A72">
        <v>7</v>
      </c>
      <c r="B72">
        <v>9</v>
      </c>
      <c r="C72">
        <f>COUNTIFS(Tabla7[Runtime/Temporal Analysis],"X",Tabla7[Social Media],"X")</f>
        <v>0</v>
      </c>
    </row>
    <row r="73" spans="1:3" x14ac:dyDescent="0.25">
      <c r="A73">
        <v>8</v>
      </c>
      <c r="B73">
        <v>9</v>
      </c>
      <c r="C73">
        <f>COUNTIFS(Tabla7[social network analaysis],"X",Tabla7[Social Media],"X")</f>
        <v>0</v>
      </c>
    </row>
    <row r="74" spans="1:3" x14ac:dyDescent="0.25">
      <c r="A74">
        <v>1</v>
      </c>
      <c r="B74">
        <v>10</v>
      </c>
      <c r="C74">
        <v>0</v>
      </c>
    </row>
    <row r="75" spans="1:3" x14ac:dyDescent="0.25">
      <c r="A75">
        <v>2</v>
      </c>
      <c r="B75">
        <v>10</v>
      </c>
      <c r="C75">
        <v>0</v>
      </c>
    </row>
    <row r="76" spans="1:3" x14ac:dyDescent="0.25">
      <c r="A76">
        <v>3</v>
      </c>
      <c r="B76">
        <v>10</v>
      </c>
      <c r="C76">
        <v>0</v>
      </c>
    </row>
    <row r="77" spans="1:3" x14ac:dyDescent="0.25">
      <c r="A77">
        <v>4</v>
      </c>
      <c r="B77">
        <v>10</v>
      </c>
      <c r="C77">
        <v>0</v>
      </c>
    </row>
    <row r="78" spans="1:3" x14ac:dyDescent="0.25">
      <c r="A78">
        <v>5</v>
      </c>
      <c r="B78">
        <v>10</v>
      </c>
      <c r="C78">
        <v>0</v>
      </c>
    </row>
    <row r="79" spans="1:3" x14ac:dyDescent="0.25">
      <c r="A79">
        <v>6</v>
      </c>
      <c r="B79">
        <v>10</v>
      </c>
      <c r="C79">
        <v>0</v>
      </c>
    </row>
    <row r="80" spans="1:3" x14ac:dyDescent="0.25">
      <c r="A80">
        <v>7</v>
      </c>
      <c r="B80">
        <v>10</v>
      </c>
      <c r="C80">
        <v>0</v>
      </c>
    </row>
    <row r="81" spans="1:3" x14ac:dyDescent="0.25">
      <c r="A81">
        <v>8</v>
      </c>
      <c r="B81">
        <v>10</v>
      </c>
      <c r="C81">
        <v>0</v>
      </c>
    </row>
    <row r="82" spans="1:3" x14ac:dyDescent="0.25">
      <c r="A82">
        <v>1</v>
      </c>
      <c r="B82">
        <v>11</v>
      </c>
      <c r="C82">
        <v>0</v>
      </c>
    </row>
    <row r="83" spans="1:3" x14ac:dyDescent="0.25">
      <c r="A83">
        <v>2</v>
      </c>
      <c r="B83">
        <v>11</v>
      </c>
      <c r="C83">
        <v>0</v>
      </c>
    </row>
    <row r="84" spans="1:3" x14ac:dyDescent="0.25">
      <c r="A84">
        <v>3</v>
      </c>
      <c r="B84">
        <v>11</v>
      </c>
      <c r="C84">
        <v>0</v>
      </c>
    </row>
    <row r="85" spans="1:3" x14ac:dyDescent="0.25">
      <c r="A85">
        <v>4</v>
      </c>
      <c r="B85">
        <v>11</v>
      </c>
      <c r="C85">
        <v>0</v>
      </c>
    </row>
    <row r="86" spans="1:3" x14ac:dyDescent="0.25">
      <c r="A86">
        <v>5</v>
      </c>
      <c r="B86">
        <v>11</v>
      </c>
      <c r="C86">
        <v>0</v>
      </c>
    </row>
    <row r="87" spans="1:3" x14ac:dyDescent="0.25">
      <c r="A87">
        <v>6</v>
      </c>
      <c r="B87">
        <v>11</v>
      </c>
      <c r="C87">
        <v>0</v>
      </c>
    </row>
    <row r="88" spans="1:3" x14ac:dyDescent="0.25">
      <c r="A88">
        <v>7</v>
      </c>
      <c r="B88">
        <v>11</v>
      </c>
      <c r="C88">
        <v>0</v>
      </c>
    </row>
    <row r="89" spans="1:3" x14ac:dyDescent="0.25">
      <c r="A89">
        <v>8</v>
      </c>
      <c r="B89">
        <v>11</v>
      </c>
      <c r="C89">
        <v>0</v>
      </c>
    </row>
    <row r="90" spans="1:3" x14ac:dyDescent="0.25">
      <c r="A90">
        <v>1</v>
      </c>
      <c r="B90">
        <v>12</v>
      </c>
      <c r="C90">
        <f>COUNTIFS(Tabla7[business intelligence /pattern matching],"X",Tabla7[Application concern],"X")</f>
        <v>0</v>
      </c>
    </row>
    <row r="91" spans="1:3" x14ac:dyDescent="0.25">
      <c r="A91">
        <v>2</v>
      </c>
      <c r="B91">
        <v>12</v>
      </c>
      <c r="C91">
        <f>COUNTIFS(Tabla7[Data collection/Data mapping],"X",Tabla7[Application concern],"X")</f>
        <v>5</v>
      </c>
    </row>
    <row r="92" spans="1:3" x14ac:dyDescent="0.25">
      <c r="A92">
        <v>3</v>
      </c>
      <c r="B92">
        <v>12</v>
      </c>
      <c r="C92">
        <f>COUNTIFS(Tabla7[EA Model annotations],"X",Tabla7[Application concern],"X")</f>
        <v>0</v>
      </c>
    </row>
    <row r="93" spans="1:3" x14ac:dyDescent="0.25">
      <c r="A93">
        <v>4</v>
      </c>
      <c r="B93">
        <v>12</v>
      </c>
      <c r="C93">
        <f>COUNTIFS(Tabla7[expert interview / serious game],"X",Tabla7[Application concern],"X")</f>
        <v>2</v>
      </c>
    </row>
    <row r="94" spans="1:3" x14ac:dyDescent="0.25">
      <c r="A94">
        <v>5</v>
      </c>
      <c r="B94">
        <v>12</v>
      </c>
      <c r="C94">
        <f>COUNTIFS(Tabla7[MDE / Model transformations],"X",Tabla7[Application concern],"X")</f>
        <v>1</v>
      </c>
    </row>
    <row r="95" spans="1:3" x14ac:dyDescent="0.25">
      <c r="A95">
        <v>6</v>
      </c>
      <c r="B95">
        <v>12</v>
      </c>
      <c r="C95">
        <f>COUNTIFS(Tabla7[process mining],"X",Tabla7[Application concern],"X")</f>
        <v>2</v>
      </c>
    </row>
    <row r="96" spans="1:3" x14ac:dyDescent="0.25">
      <c r="A96">
        <v>7</v>
      </c>
      <c r="B96">
        <v>12</v>
      </c>
      <c r="C96">
        <f>COUNTIFS(Tabla7[Runtime/Temporal Analysis],"X",Tabla7[Application concern],"X")</f>
        <v>3</v>
      </c>
    </row>
    <row r="97" spans="1:3" x14ac:dyDescent="0.25">
      <c r="A97">
        <v>8</v>
      </c>
      <c r="B97">
        <v>12</v>
      </c>
      <c r="C97">
        <f>COUNTIFS(Tabla7[social network analaysis],"X",Tabla7[Application concern],"X")</f>
        <v>1</v>
      </c>
    </row>
    <row r="98" spans="1:3" x14ac:dyDescent="0.25">
      <c r="A98">
        <v>1</v>
      </c>
      <c r="B98">
        <v>13</v>
      </c>
      <c r="C98">
        <f>COUNTIFS(Tabla7[business intelligence /pattern matching],"X",Tabla7[Business],"X")</f>
        <v>0</v>
      </c>
    </row>
    <row r="99" spans="1:3" x14ac:dyDescent="0.25">
      <c r="A99">
        <v>2</v>
      </c>
      <c r="B99">
        <v>13</v>
      </c>
      <c r="C99">
        <f>COUNTIFS(Tabla7[Data collection/Data mapping],"X",Tabla7[Business],"X")</f>
        <v>1</v>
      </c>
    </row>
    <row r="100" spans="1:3" x14ac:dyDescent="0.25">
      <c r="A100">
        <v>3</v>
      </c>
      <c r="B100">
        <v>13</v>
      </c>
      <c r="C100">
        <f>COUNTIFS(Tabla7[EA Model annotations],"X",Tabla7[Business],"X")</f>
        <v>0</v>
      </c>
    </row>
    <row r="101" spans="1:3" x14ac:dyDescent="0.25">
      <c r="A101">
        <v>4</v>
      </c>
      <c r="B101">
        <v>13</v>
      </c>
      <c r="C101">
        <f>COUNTIFS(Tabla7[expert interview / serious game],"X",Tabla7[Business],"X")</f>
        <v>1</v>
      </c>
    </row>
    <row r="102" spans="1:3" x14ac:dyDescent="0.25">
      <c r="A102">
        <v>5</v>
      </c>
      <c r="B102">
        <v>13</v>
      </c>
      <c r="C102">
        <f>COUNTIFS(Tabla7[MDE / Model transformations],"X",Tabla7[Business],"X")</f>
        <v>0</v>
      </c>
    </row>
    <row r="103" spans="1:3" x14ac:dyDescent="0.25">
      <c r="A103">
        <v>6</v>
      </c>
      <c r="B103">
        <v>13</v>
      </c>
      <c r="C103">
        <f>COUNTIFS(Tabla7[process mining],"X",Tabla7[Business],"X")</f>
        <v>0</v>
      </c>
    </row>
    <row r="104" spans="1:3" x14ac:dyDescent="0.25">
      <c r="A104">
        <v>7</v>
      </c>
      <c r="B104">
        <v>13</v>
      </c>
      <c r="C104">
        <f>COUNTIFS(Tabla7[Runtime/Temporal Analysis],"X",Tabla7[Business],"X")</f>
        <v>2</v>
      </c>
    </row>
    <row r="105" spans="1:3" x14ac:dyDescent="0.25">
      <c r="A105">
        <v>8</v>
      </c>
      <c r="B105">
        <v>13</v>
      </c>
      <c r="C105">
        <f>COUNTIFS(Tabla7[social network analaysis],"X",Tabla7[Business],"X")</f>
        <v>0</v>
      </c>
    </row>
    <row r="106" spans="1:3" x14ac:dyDescent="0.25">
      <c r="A106">
        <v>1</v>
      </c>
      <c r="B106">
        <v>14</v>
      </c>
      <c r="C106">
        <f>COUNTIFS(Tabla7[business intelligence /pattern matching],"X",Tabla7[Holistic],"X")</f>
        <v>1</v>
      </c>
    </row>
    <row r="107" spans="1:3" x14ac:dyDescent="0.25">
      <c r="A107">
        <v>2</v>
      </c>
      <c r="B107">
        <v>14</v>
      </c>
      <c r="C107">
        <f>COUNTIFS(Tabla7[Data collection/Data mapping],"X",Tabla7[Holistic],"X")</f>
        <v>7</v>
      </c>
    </row>
    <row r="108" spans="1:3" x14ac:dyDescent="0.25">
      <c r="A108">
        <v>3</v>
      </c>
      <c r="B108">
        <v>14</v>
      </c>
      <c r="C108">
        <f>COUNTIFS(Tabla7[EA Model annotations],"X",Tabla7[Holistic],"X")</f>
        <v>3</v>
      </c>
    </row>
    <row r="109" spans="1:3" x14ac:dyDescent="0.25">
      <c r="A109">
        <v>4</v>
      </c>
      <c r="B109">
        <v>14</v>
      </c>
      <c r="C109">
        <f>COUNTIFS(Tabla7[expert interview / serious game],"X",Tabla7[Holistic],"X")</f>
        <v>3</v>
      </c>
    </row>
    <row r="110" spans="1:3" x14ac:dyDescent="0.25">
      <c r="A110">
        <v>5</v>
      </c>
      <c r="B110">
        <v>14</v>
      </c>
      <c r="C110">
        <f>COUNTIFS(Tabla7[MDE / Model transformations],"X",Tabla7[Holistic],"X")</f>
        <v>3</v>
      </c>
    </row>
    <row r="111" spans="1:3" x14ac:dyDescent="0.25">
      <c r="A111">
        <v>6</v>
      </c>
      <c r="B111">
        <v>14</v>
      </c>
      <c r="C111">
        <f>COUNTIFS(Tabla7[process mining],"X",Tabla7[Holistic],"X")</f>
        <v>0</v>
      </c>
    </row>
    <row r="112" spans="1:3" x14ac:dyDescent="0.25">
      <c r="A112">
        <v>7</v>
      </c>
      <c r="B112">
        <v>14</v>
      </c>
      <c r="C112">
        <f>COUNTIFS(Tabla7[Runtime/Temporal Analysis],"X",Tabla7[Holistic],"X")</f>
        <v>0</v>
      </c>
    </row>
    <row r="113" spans="1:3" x14ac:dyDescent="0.25">
      <c r="A113">
        <v>8</v>
      </c>
      <c r="B113">
        <v>14</v>
      </c>
      <c r="C113">
        <f>COUNTIFS(Tabla7[social network analaysis],"X",Tabla7[Holistic],"X")</f>
        <v>2</v>
      </c>
    </row>
    <row r="114" spans="1:3" x14ac:dyDescent="0.25">
      <c r="A114">
        <v>1</v>
      </c>
      <c r="B114">
        <v>15</v>
      </c>
      <c r="C114">
        <f>COUNTIFS(Tabla7[business intelligence /pattern matching],"X",Tabla7[IT Infrastructure],"X")</f>
        <v>1</v>
      </c>
    </row>
    <row r="115" spans="1:3" x14ac:dyDescent="0.25">
      <c r="A115">
        <v>2</v>
      </c>
      <c r="B115">
        <v>15</v>
      </c>
      <c r="C115">
        <f>COUNTIFS(Tabla7[Data collection/Data mapping],"X",Tabla7[IT Infrastructure],"X")</f>
        <v>3</v>
      </c>
    </row>
    <row r="116" spans="1:3" x14ac:dyDescent="0.25">
      <c r="A116">
        <v>3</v>
      </c>
      <c r="B116">
        <v>15</v>
      </c>
      <c r="C116">
        <f>COUNTIFS(Tabla7[EA Model annotations],"X",Tabla7[IT Infrastructure],"X")</f>
        <v>1</v>
      </c>
    </row>
    <row r="117" spans="1:3" x14ac:dyDescent="0.25">
      <c r="A117">
        <v>4</v>
      </c>
      <c r="B117">
        <v>15</v>
      </c>
      <c r="C117">
        <f>COUNTIFS(Tabla7[expert interview / serious game],"X",Tabla7[IT Infrastructure],"X")</f>
        <v>0</v>
      </c>
    </row>
    <row r="118" spans="1:3" x14ac:dyDescent="0.25">
      <c r="A118">
        <v>5</v>
      </c>
      <c r="B118">
        <v>15</v>
      </c>
      <c r="C118">
        <f>COUNTIFS(Tabla7[MDE / Model transformations],"X",Tabla7[IT Infrastructure],"X")</f>
        <v>0</v>
      </c>
    </row>
    <row r="119" spans="1:3" x14ac:dyDescent="0.25">
      <c r="A119">
        <v>6</v>
      </c>
      <c r="B119">
        <v>15</v>
      </c>
      <c r="C119">
        <f>COUNTIFS(Tabla7[process mining],"X",Tabla7[IT Infrastructure],"X")</f>
        <v>0</v>
      </c>
    </row>
    <row r="120" spans="1:3" x14ac:dyDescent="0.25">
      <c r="A120">
        <v>7</v>
      </c>
      <c r="B120">
        <v>15</v>
      </c>
      <c r="C120">
        <f>COUNTIFS(Tabla7[Runtime/Temporal Analysis],"X",Tabla7[IT Infrastructure],"X")</f>
        <v>1</v>
      </c>
    </row>
    <row r="121" spans="1:3" x14ac:dyDescent="0.25">
      <c r="A121">
        <v>8</v>
      </c>
      <c r="B121">
        <v>15</v>
      </c>
      <c r="C121">
        <f>COUNTIFS(Tabla7[social network analaysis],"X",Tabla7[IT Infrastructure],"X")</f>
        <v>0</v>
      </c>
    </row>
    <row r="122" spans="1:3" x14ac:dyDescent="0.25">
      <c r="A122">
        <v>1</v>
      </c>
      <c r="B122">
        <v>16</v>
      </c>
      <c r="C122">
        <f>COUNTIFS(Tabla7[business intelligence /pattern matching],"X",Tabla7[Process],"X")</f>
        <v>0</v>
      </c>
    </row>
    <row r="123" spans="1:3" x14ac:dyDescent="0.25">
      <c r="A123">
        <v>2</v>
      </c>
      <c r="B123">
        <v>16</v>
      </c>
      <c r="C123">
        <f>COUNTIFS(Tabla7[Data collection/Data mapping],"X",Tabla7[Process],"X")</f>
        <v>4</v>
      </c>
    </row>
    <row r="124" spans="1:3" x14ac:dyDescent="0.25">
      <c r="A124">
        <v>3</v>
      </c>
      <c r="B124">
        <v>16</v>
      </c>
      <c r="C124">
        <f>COUNTIFS(Tabla7[EA Model annotations],"X",Tabla7[Process],"X")</f>
        <v>0</v>
      </c>
    </row>
    <row r="125" spans="1:3" x14ac:dyDescent="0.25">
      <c r="A125">
        <v>4</v>
      </c>
      <c r="B125">
        <v>16</v>
      </c>
      <c r="C125">
        <f>COUNTIFS(Tabla7[expert interview / serious game],"X",Tabla7[Process],"X")</f>
        <v>0</v>
      </c>
    </row>
    <row r="126" spans="1:3" x14ac:dyDescent="0.25">
      <c r="A126">
        <v>5</v>
      </c>
      <c r="B126">
        <v>16</v>
      </c>
      <c r="C126">
        <f>COUNTIFS(Tabla7[MDE / Model transformations],"X",Tabla7[Process],"X")</f>
        <v>0</v>
      </c>
    </row>
    <row r="127" spans="1:3" x14ac:dyDescent="0.25">
      <c r="A127">
        <v>6</v>
      </c>
      <c r="B127">
        <v>16</v>
      </c>
      <c r="C127">
        <f>COUNTIFS(Tabla7[process mining],"X",Tabla7[Process],"X")</f>
        <v>3</v>
      </c>
    </row>
    <row r="128" spans="1:3" x14ac:dyDescent="0.25">
      <c r="A128">
        <v>7</v>
      </c>
      <c r="B128">
        <v>16</v>
      </c>
      <c r="C128">
        <f>COUNTIFS(Tabla7[Runtime/Temporal Analysis],"X",Tabla7[Process],"X")</f>
        <v>1</v>
      </c>
    </row>
    <row r="129" spans="1:3" x14ac:dyDescent="0.25">
      <c r="A129">
        <v>8</v>
      </c>
      <c r="B129">
        <v>16</v>
      </c>
      <c r="C129">
        <f>COUNTIFS(Tabla7[social network analaysis],"X",Tabla7[Process],"X")</f>
        <v>0</v>
      </c>
    </row>
    <row r="130" spans="1:3" x14ac:dyDescent="0.25">
      <c r="A130">
        <v>1</v>
      </c>
      <c r="B130">
        <v>17</v>
      </c>
      <c r="C130">
        <f>COUNTIFS(Tabla7[business intelligence /pattern matching],"X",Tabla7[Service],"X")</f>
        <v>0</v>
      </c>
    </row>
    <row r="131" spans="1:3" x14ac:dyDescent="0.25">
      <c r="A131">
        <v>2</v>
      </c>
      <c r="B131">
        <v>17</v>
      </c>
      <c r="C131">
        <f>COUNTIFS(Tabla7[Data collection/Data mapping],"X",Tabla7[Service],"X")</f>
        <v>2</v>
      </c>
    </row>
    <row r="132" spans="1:3" x14ac:dyDescent="0.25">
      <c r="A132">
        <v>3</v>
      </c>
      <c r="B132">
        <v>17</v>
      </c>
      <c r="C132">
        <f>COUNTIFS(Tabla7[EA Model annotations],"X",Tabla7[Service],"X")</f>
        <v>0</v>
      </c>
    </row>
    <row r="133" spans="1:3" x14ac:dyDescent="0.25">
      <c r="A133">
        <v>4</v>
      </c>
      <c r="B133">
        <v>17</v>
      </c>
      <c r="C133">
        <f>COUNTIFS(Tabla7[expert interview / serious game],"X",Tabla7[Service],"X")</f>
        <v>0</v>
      </c>
    </row>
    <row r="134" spans="1:3" x14ac:dyDescent="0.25">
      <c r="A134">
        <v>5</v>
      </c>
      <c r="B134">
        <v>17</v>
      </c>
      <c r="C134">
        <f>COUNTIFS(Tabla7[MDE / Model transformations],"X",Tabla7[Service],"X")</f>
        <v>4</v>
      </c>
    </row>
    <row r="135" spans="1:3" x14ac:dyDescent="0.25">
      <c r="A135">
        <v>6</v>
      </c>
      <c r="B135">
        <v>17</v>
      </c>
      <c r="C135">
        <f>COUNTIFS(Tabla7[process mining],"X",Tabla7[Service],"X")</f>
        <v>0</v>
      </c>
    </row>
    <row r="136" spans="1:3" x14ac:dyDescent="0.25">
      <c r="A136">
        <v>7</v>
      </c>
      <c r="B136">
        <v>17</v>
      </c>
      <c r="C136">
        <f>COUNTIFS(Tabla7[Runtime/Temporal Analysis],"X",Tabla7[Service],"X")</f>
        <v>0</v>
      </c>
    </row>
    <row r="137" spans="1:3" x14ac:dyDescent="0.25">
      <c r="A137">
        <v>8</v>
      </c>
      <c r="B137">
        <v>17</v>
      </c>
      <c r="C137">
        <f>COUNTIFS(Tabla7[social network analaysis],"X",Tabla7[Service],"X")</f>
        <v>0</v>
      </c>
    </row>
  </sheetData>
  <sortState xmlns:xlrd2="http://schemas.microsoft.com/office/spreadsheetml/2017/richdata2" ref="R1:R6">
    <sortCondition ref="R6"/>
  </sortState>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F731"/>
  <sheetViews>
    <sheetView topLeftCell="A210" zoomScale="85" zoomScaleNormal="85" workbookViewId="0">
      <selection activeCell="B699" sqref="B699"/>
    </sheetView>
  </sheetViews>
  <sheetFormatPr baseColWidth="10" defaultRowHeight="15" x14ac:dyDescent="0.25"/>
  <cols>
    <col min="1" max="2" width="6.42578125" customWidth="1"/>
    <col min="3" max="3" width="76.85546875" customWidth="1"/>
    <col min="4" max="4" width="14.7109375" customWidth="1"/>
    <col min="5" max="5" width="8.7109375" bestFit="1" customWidth="1"/>
    <col min="6" max="6" width="17.7109375" hidden="1" customWidth="1"/>
    <col min="7" max="7" width="8.140625" hidden="1" customWidth="1"/>
    <col min="8" max="8" width="7.28515625" hidden="1" customWidth="1"/>
    <col min="9" max="9" width="15" hidden="1" customWidth="1"/>
    <col min="10" max="10" width="10.5703125" hidden="1" customWidth="1"/>
    <col min="11" max="11" width="13.7109375" hidden="1" customWidth="1"/>
    <col min="12" max="12" width="15" hidden="1" customWidth="1"/>
    <col min="13" max="13" width="11.140625" hidden="1" customWidth="1"/>
    <col min="14" max="14" width="13.7109375" hidden="1" customWidth="1"/>
    <col min="15" max="15" width="11.42578125" hidden="1" customWidth="1"/>
    <col min="16" max="16" width="10" customWidth="1"/>
    <col min="17" max="18" width="5.28515625" customWidth="1"/>
    <col min="19" max="19" width="6.140625" customWidth="1"/>
    <col min="20" max="20" width="20.85546875" customWidth="1"/>
    <col min="21" max="21" width="29.7109375" customWidth="1"/>
    <col min="22" max="22" width="30.85546875" customWidth="1"/>
    <col min="23" max="23" width="14.28515625" customWidth="1"/>
    <col min="24" max="24" width="13.42578125" customWidth="1"/>
    <col min="25" max="26" width="11.28515625" customWidth="1"/>
    <col min="27" max="27" width="29" customWidth="1"/>
    <col min="28" max="28" width="6.42578125" customWidth="1"/>
    <col min="29" max="32" width="6.5703125" customWidth="1"/>
    <col min="33" max="33" width="15.140625" customWidth="1"/>
  </cols>
  <sheetData>
    <row r="1" spans="1:32" x14ac:dyDescent="0.25">
      <c r="A1" t="s">
        <v>717</v>
      </c>
      <c r="B1" t="s">
        <v>5082</v>
      </c>
      <c r="C1" t="s">
        <v>711</v>
      </c>
      <c r="D1" t="s">
        <v>709</v>
      </c>
      <c r="E1" t="s">
        <v>710</v>
      </c>
      <c r="F1" t="s">
        <v>4953</v>
      </c>
      <c r="G1" t="s">
        <v>4959</v>
      </c>
      <c r="H1" t="s">
        <v>4954</v>
      </c>
      <c r="I1" t="s">
        <v>4955</v>
      </c>
      <c r="J1" t="s">
        <v>4956</v>
      </c>
      <c r="K1" t="s">
        <v>4957</v>
      </c>
      <c r="L1" t="s">
        <v>713</v>
      </c>
      <c r="M1" t="s">
        <v>4961</v>
      </c>
      <c r="N1" t="s">
        <v>4958</v>
      </c>
      <c r="O1" t="s">
        <v>4960</v>
      </c>
      <c r="P1" t="s">
        <v>716</v>
      </c>
      <c r="Q1" t="s">
        <v>718</v>
      </c>
      <c r="R1" t="s">
        <v>720</v>
      </c>
      <c r="S1" t="s">
        <v>4994</v>
      </c>
      <c r="T1" t="s">
        <v>4969</v>
      </c>
      <c r="U1" t="s">
        <v>4982</v>
      </c>
      <c r="V1" t="s">
        <v>4983</v>
      </c>
      <c r="W1" t="s">
        <v>4981</v>
      </c>
      <c r="X1" t="s">
        <v>4980</v>
      </c>
      <c r="Y1" t="s">
        <v>5002</v>
      </c>
      <c r="Z1" t="s">
        <v>5001</v>
      </c>
      <c r="AA1" t="s">
        <v>4986</v>
      </c>
      <c r="AB1" t="s">
        <v>4989</v>
      </c>
      <c r="AC1" t="s">
        <v>4990</v>
      </c>
      <c r="AD1" t="s">
        <v>4991</v>
      </c>
      <c r="AE1" t="s">
        <v>4992</v>
      </c>
      <c r="AF1" t="s">
        <v>4984</v>
      </c>
    </row>
    <row r="2" spans="1:32" hidden="1" x14ac:dyDescent="0.25">
      <c r="A2" s="1">
        <v>1</v>
      </c>
      <c r="B2" s="1"/>
      <c r="C2" s="1" t="s">
        <v>1201</v>
      </c>
      <c r="D2" s="1" t="s">
        <v>3449</v>
      </c>
      <c r="E2">
        <v>2016</v>
      </c>
      <c r="F2" s="1" t="s">
        <v>116</v>
      </c>
      <c r="G2" s="1" t="s">
        <v>3451</v>
      </c>
      <c r="H2" s="1" t="s">
        <v>846</v>
      </c>
      <c r="I2" s="1" t="s">
        <v>3450</v>
      </c>
      <c r="J2" s="1" t="s">
        <v>1</v>
      </c>
      <c r="K2" s="1" t="s">
        <v>1202</v>
      </c>
      <c r="L2" s="1" t="s">
        <v>1</v>
      </c>
      <c r="M2" s="1" t="s">
        <v>1</v>
      </c>
      <c r="N2" s="1" t="s">
        <v>1204</v>
      </c>
      <c r="O2" s="1" t="s">
        <v>3452</v>
      </c>
      <c r="P2" s="1" t="s">
        <v>1203</v>
      </c>
      <c r="Q2" s="1">
        <v>-1</v>
      </c>
      <c r="R2" s="1"/>
      <c r="S2" s="1"/>
      <c r="T2" s="1"/>
      <c r="U2" s="1"/>
      <c r="V2" s="1"/>
      <c r="W2" s="1"/>
      <c r="X2" s="1"/>
      <c r="Y2" s="1"/>
      <c r="Z2" s="1"/>
      <c r="AA2" s="1"/>
      <c r="AB2" s="1"/>
      <c r="AC2" s="1"/>
      <c r="AD2" s="1"/>
      <c r="AE2" s="1"/>
      <c r="AF2" s="1"/>
    </row>
    <row r="3" spans="1:32" hidden="1" x14ac:dyDescent="0.25">
      <c r="A3" s="1">
        <v>2</v>
      </c>
      <c r="B3" s="1"/>
      <c r="C3" s="1" t="s">
        <v>2861</v>
      </c>
      <c r="D3" s="1" t="s">
        <v>2860</v>
      </c>
      <c r="E3">
        <v>2011</v>
      </c>
      <c r="F3" s="1" t="s">
        <v>127</v>
      </c>
      <c r="G3" s="1" t="s">
        <v>4740</v>
      </c>
      <c r="H3" s="1" t="s">
        <v>2862</v>
      </c>
      <c r="I3" s="1" t="s">
        <v>1</v>
      </c>
      <c r="J3" s="1" t="s">
        <v>1</v>
      </c>
      <c r="K3" s="1" t="s">
        <v>2863</v>
      </c>
      <c r="L3" s="1" t="s">
        <v>688</v>
      </c>
      <c r="M3" s="1" t="s">
        <v>776</v>
      </c>
      <c r="N3" s="1" t="s">
        <v>2865</v>
      </c>
      <c r="O3" s="1" t="s">
        <v>1</v>
      </c>
      <c r="P3" s="1" t="s">
        <v>2864</v>
      </c>
      <c r="Q3" s="1">
        <v>-1</v>
      </c>
      <c r="R3" s="1"/>
      <c r="S3" s="1"/>
      <c r="T3" s="1"/>
      <c r="U3" s="1"/>
      <c r="V3" s="1"/>
      <c r="W3" s="1"/>
      <c r="X3" s="1"/>
      <c r="Y3" s="1"/>
      <c r="Z3" s="1"/>
      <c r="AA3" s="1"/>
      <c r="AB3" s="1"/>
      <c r="AC3" s="1"/>
      <c r="AD3" s="1"/>
      <c r="AE3" s="1"/>
      <c r="AF3" s="1"/>
    </row>
    <row r="4" spans="1:32" hidden="1" x14ac:dyDescent="0.25">
      <c r="A4" s="1">
        <v>3</v>
      </c>
      <c r="B4" s="1"/>
      <c r="C4" s="1" t="s">
        <v>1704</v>
      </c>
      <c r="D4" s="1" t="s">
        <v>3837</v>
      </c>
      <c r="E4">
        <v>2008</v>
      </c>
      <c r="F4" s="1" t="s">
        <v>127</v>
      </c>
      <c r="G4" s="1" t="s">
        <v>3838</v>
      </c>
      <c r="H4" s="1" t="s">
        <v>1705</v>
      </c>
      <c r="I4" s="1" t="s">
        <v>1</v>
      </c>
      <c r="J4" s="1" t="s">
        <v>1</v>
      </c>
      <c r="K4" s="1" t="s">
        <v>1707</v>
      </c>
      <c r="L4" s="1" t="s">
        <v>688</v>
      </c>
      <c r="M4" s="1" t="s">
        <v>1706</v>
      </c>
      <c r="N4" s="1" t="s">
        <v>1708</v>
      </c>
      <c r="O4" s="1" t="s">
        <v>1</v>
      </c>
      <c r="P4" s="1" t="s">
        <v>1</v>
      </c>
      <c r="Q4" s="1">
        <v>-1</v>
      </c>
      <c r="R4" s="1"/>
      <c r="S4" s="1"/>
      <c r="T4" s="1"/>
      <c r="U4" s="1"/>
      <c r="V4" s="1"/>
      <c r="W4" s="1"/>
      <c r="X4" s="1"/>
      <c r="Y4" s="1"/>
      <c r="Z4" s="1"/>
      <c r="AA4" s="1"/>
      <c r="AB4" s="1"/>
      <c r="AC4" s="1"/>
      <c r="AD4" s="1"/>
      <c r="AE4" s="1"/>
      <c r="AF4" s="1"/>
    </row>
    <row r="5" spans="1:32" hidden="1" x14ac:dyDescent="0.25">
      <c r="A5" s="1">
        <v>4</v>
      </c>
      <c r="B5" s="1"/>
      <c r="C5" s="1" t="s">
        <v>3063</v>
      </c>
      <c r="D5" s="1" t="s">
        <v>4892</v>
      </c>
      <c r="E5">
        <v>2010</v>
      </c>
      <c r="F5" s="1" t="s">
        <v>116</v>
      </c>
      <c r="G5" s="1" t="s">
        <v>4893</v>
      </c>
      <c r="H5" s="1" t="s">
        <v>876</v>
      </c>
      <c r="I5" s="1" t="s">
        <v>3248</v>
      </c>
      <c r="J5" s="1" t="s">
        <v>3142</v>
      </c>
      <c r="K5" s="1" t="s">
        <v>3064</v>
      </c>
      <c r="L5" s="1" t="s">
        <v>1</v>
      </c>
      <c r="M5" s="1" t="s">
        <v>1</v>
      </c>
      <c r="N5" s="1" t="s">
        <v>3066</v>
      </c>
      <c r="O5" s="1" t="s">
        <v>4894</v>
      </c>
      <c r="P5" s="1" t="s">
        <v>3065</v>
      </c>
      <c r="Q5" s="1">
        <v>-1</v>
      </c>
      <c r="R5" s="1"/>
      <c r="S5" s="1"/>
      <c r="T5" s="1"/>
      <c r="U5" s="1"/>
      <c r="V5" s="1"/>
      <c r="W5" s="1"/>
      <c r="X5" s="1"/>
      <c r="Y5" s="1"/>
      <c r="Z5" s="1"/>
      <c r="AA5" s="1"/>
      <c r="AB5" s="1"/>
      <c r="AC5" s="1"/>
      <c r="AD5" s="1"/>
      <c r="AE5" s="1"/>
      <c r="AF5" s="1"/>
    </row>
    <row r="6" spans="1:32" hidden="1" x14ac:dyDescent="0.25">
      <c r="A6" s="1">
        <v>5</v>
      </c>
      <c r="B6" s="1"/>
      <c r="C6" s="1" t="s">
        <v>1374</v>
      </c>
      <c r="D6" s="1" t="s">
        <v>3569</v>
      </c>
      <c r="E6">
        <v>2015</v>
      </c>
      <c r="F6" s="1" t="s">
        <v>0</v>
      </c>
      <c r="G6" s="1" t="s">
        <v>1</v>
      </c>
      <c r="H6" s="1" t="s">
        <v>1</v>
      </c>
      <c r="I6" s="1" t="s">
        <v>3141</v>
      </c>
      <c r="J6" s="1" t="s">
        <v>1</v>
      </c>
      <c r="K6" s="1" t="s">
        <v>1376</v>
      </c>
      <c r="L6" s="1" t="s">
        <v>1375</v>
      </c>
      <c r="M6" s="1" t="s">
        <v>1</v>
      </c>
      <c r="N6" s="1" t="s">
        <v>1378</v>
      </c>
      <c r="O6" s="1" t="s">
        <v>3570</v>
      </c>
      <c r="P6" s="1" t="s">
        <v>1377</v>
      </c>
      <c r="Q6" s="1">
        <v>1</v>
      </c>
      <c r="R6" s="1">
        <v>-1</v>
      </c>
      <c r="S6" s="1"/>
      <c r="T6" s="1"/>
      <c r="U6" s="1"/>
      <c r="V6" s="1"/>
      <c r="W6" s="1"/>
      <c r="X6" s="1"/>
      <c r="Y6" s="1"/>
      <c r="Z6" s="1"/>
      <c r="AA6" s="1"/>
      <c r="AB6" s="1"/>
      <c r="AC6" s="1"/>
      <c r="AD6" s="1"/>
      <c r="AE6" s="1"/>
      <c r="AF6" s="1"/>
    </row>
    <row r="7" spans="1:32" hidden="1" x14ac:dyDescent="0.25">
      <c r="A7" s="1">
        <v>6</v>
      </c>
      <c r="B7" s="1"/>
      <c r="C7" s="1" t="s">
        <v>3090</v>
      </c>
      <c r="D7" s="1" t="s">
        <v>4912</v>
      </c>
      <c r="E7">
        <v>2010</v>
      </c>
      <c r="F7" s="1" t="s">
        <v>0</v>
      </c>
      <c r="G7" s="1" t="s">
        <v>4913</v>
      </c>
      <c r="H7" s="1" t="s">
        <v>1</v>
      </c>
      <c r="I7" s="1" t="s">
        <v>1</v>
      </c>
      <c r="J7" s="1" t="s">
        <v>1</v>
      </c>
      <c r="K7" s="1" t="s">
        <v>3091</v>
      </c>
      <c r="L7" s="1" t="s">
        <v>1</v>
      </c>
      <c r="M7" s="1" t="s">
        <v>1</v>
      </c>
      <c r="N7" s="1" t="s">
        <v>3093</v>
      </c>
      <c r="O7" s="1" t="s">
        <v>4914</v>
      </c>
      <c r="P7" s="1" t="s">
        <v>3092</v>
      </c>
      <c r="Q7" s="1">
        <v>-1</v>
      </c>
      <c r="R7" s="1"/>
      <c r="S7" s="1"/>
      <c r="T7" s="1"/>
      <c r="U7" s="1"/>
      <c r="V7" s="1"/>
      <c r="W7" s="1"/>
      <c r="X7" s="1"/>
      <c r="Y7" s="1"/>
      <c r="Z7" s="1"/>
      <c r="AA7" s="1"/>
      <c r="AB7" s="1"/>
      <c r="AC7" s="1"/>
      <c r="AD7" s="1"/>
      <c r="AE7" s="1"/>
      <c r="AF7" s="1"/>
    </row>
    <row r="8" spans="1:32" hidden="1" x14ac:dyDescent="0.25">
      <c r="A8" s="1">
        <v>7</v>
      </c>
      <c r="B8" s="1"/>
      <c r="C8" s="1" t="s">
        <v>3094</v>
      </c>
      <c r="D8" s="1" t="s">
        <v>4912</v>
      </c>
      <c r="E8">
        <v>2011</v>
      </c>
      <c r="F8" s="1" t="s">
        <v>116</v>
      </c>
      <c r="G8" s="1" t="s">
        <v>4916</v>
      </c>
      <c r="H8" s="1" t="s">
        <v>3095</v>
      </c>
      <c r="I8" s="1" t="s">
        <v>4915</v>
      </c>
      <c r="J8" s="1" t="s">
        <v>3524</v>
      </c>
      <c r="K8" s="1" t="s">
        <v>3096</v>
      </c>
      <c r="L8" s="1" t="s">
        <v>1</v>
      </c>
      <c r="M8" s="1" t="s">
        <v>1</v>
      </c>
      <c r="N8" s="1" t="s">
        <v>3098</v>
      </c>
      <c r="O8" s="1" t="s">
        <v>4917</v>
      </c>
      <c r="P8" s="1" t="s">
        <v>3097</v>
      </c>
      <c r="Q8" s="1">
        <v>-1</v>
      </c>
      <c r="R8" s="1"/>
      <c r="S8" s="1"/>
      <c r="T8" s="1"/>
      <c r="U8" s="1"/>
      <c r="V8" s="1"/>
      <c r="W8" s="1"/>
      <c r="X8" s="1"/>
      <c r="Y8" s="1"/>
      <c r="Z8" s="1"/>
      <c r="AA8" s="1"/>
      <c r="AB8" s="1"/>
      <c r="AC8" s="1"/>
      <c r="AD8" s="1"/>
      <c r="AE8" s="1"/>
      <c r="AF8" s="1"/>
    </row>
    <row r="9" spans="1:32" x14ac:dyDescent="0.25">
      <c r="A9" s="1">
        <v>8</v>
      </c>
      <c r="B9" s="1">
        <v>1</v>
      </c>
      <c r="C9" s="1" t="s">
        <v>599</v>
      </c>
      <c r="D9" s="1" t="s">
        <v>79</v>
      </c>
      <c r="E9">
        <v>2015</v>
      </c>
      <c r="F9" s="1" t="s">
        <v>244</v>
      </c>
      <c r="G9" s="1" t="s">
        <v>4472</v>
      </c>
      <c r="H9" s="1" t="s">
        <v>1</v>
      </c>
      <c r="I9" s="1" t="s">
        <v>4471</v>
      </c>
      <c r="J9" s="1" t="s">
        <v>1</v>
      </c>
      <c r="K9" s="1" t="s">
        <v>2535</v>
      </c>
      <c r="L9" s="1" t="s">
        <v>247</v>
      </c>
      <c r="M9" s="1" t="s">
        <v>1</v>
      </c>
      <c r="N9" s="1" t="s">
        <v>2536</v>
      </c>
      <c r="O9" s="1" t="s">
        <v>601</v>
      </c>
      <c r="P9" s="1" t="s">
        <v>602</v>
      </c>
      <c r="Q9" s="1">
        <v>1</v>
      </c>
      <c r="R9" s="1">
        <v>1</v>
      </c>
      <c r="S9" s="1">
        <v>5.5</v>
      </c>
      <c r="T9" s="1" t="s">
        <v>4995</v>
      </c>
      <c r="U9" s="1" t="s">
        <v>5031</v>
      </c>
      <c r="V9" s="1" t="s">
        <v>4997</v>
      </c>
      <c r="W9" s="1" t="s">
        <v>4975</v>
      </c>
      <c r="X9" s="1" t="s">
        <v>116</v>
      </c>
      <c r="Y9" s="1" t="s">
        <v>1042</v>
      </c>
      <c r="Z9" s="1"/>
      <c r="AA9" s="1"/>
      <c r="AB9" s="1">
        <v>3</v>
      </c>
      <c r="AC9" s="1">
        <v>1</v>
      </c>
      <c r="AD9" s="1">
        <v>3</v>
      </c>
      <c r="AE9" s="1">
        <v>4</v>
      </c>
      <c r="AF9" s="1"/>
    </row>
    <row r="10" spans="1:32" hidden="1" x14ac:dyDescent="0.25">
      <c r="A10" s="1">
        <v>9</v>
      </c>
      <c r="B10" s="1"/>
      <c r="C10" s="1" t="s">
        <v>1686</v>
      </c>
      <c r="D10" s="1" t="s">
        <v>3824</v>
      </c>
      <c r="E10">
        <v>2017</v>
      </c>
      <c r="F10" s="1" t="s">
        <v>0</v>
      </c>
      <c r="G10" s="1" t="s">
        <v>3825</v>
      </c>
      <c r="H10" s="1" t="s">
        <v>1354</v>
      </c>
      <c r="I10" s="1" t="s">
        <v>1</v>
      </c>
      <c r="J10" s="1" t="s">
        <v>1</v>
      </c>
      <c r="K10" s="1" t="s">
        <v>1687</v>
      </c>
      <c r="L10" s="1" t="s">
        <v>1</v>
      </c>
      <c r="M10" s="1" t="s">
        <v>1</v>
      </c>
      <c r="N10" s="1" t="s">
        <v>1</v>
      </c>
      <c r="O10" s="1" t="s">
        <v>3826</v>
      </c>
      <c r="P10" s="1" t="s">
        <v>1688</v>
      </c>
      <c r="Q10" s="1">
        <v>-1</v>
      </c>
      <c r="R10" s="1"/>
      <c r="S10" s="1"/>
      <c r="T10" s="1"/>
      <c r="U10" s="1"/>
      <c r="V10" s="1"/>
      <c r="W10" s="1"/>
      <c r="X10" s="1"/>
      <c r="Y10" s="1"/>
      <c r="Z10" s="1"/>
      <c r="AA10" s="1"/>
      <c r="AB10" s="1"/>
      <c r="AC10" s="1"/>
      <c r="AD10" s="1"/>
      <c r="AE10" s="1"/>
      <c r="AF10" s="1"/>
    </row>
    <row r="11" spans="1:32" hidden="1" x14ac:dyDescent="0.25">
      <c r="A11" s="1">
        <v>10</v>
      </c>
      <c r="B11" s="1"/>
      <c r="C11" s="1" t="s">
        <v>1939</v>
      </c>
      <c r="D11" s="1" t="s">
        <v>4012</v>
      </c>
      <c r="E11">
        <v>2016</v>
      </c>
      <c r="F11" s="1" t="s">
        <v>0</v>
      </c>
      <c r="G11" s="1" t="s">
        <v>4013</v>
      </c>
      <c r="H11" s="1" t="s">
        <v>1940</v>
      </c>
      <c r="I11" s="1" t="s">
        <v>1</v>
      </c>
      <c r="J11" s="1" t="s">
        <v>1</v>
      </c>
      <c r="K11" s="1" t="s">
        <v>1941</v>
      </c>
      <c r="L11" s="1" t="s">
        <v>1</v>
      </c>
      <c r="M11" s="1" t="s">
        <v>1</v>
      </c>
      <c r="N11" s="1" t="s">
        <v>1</v>
      </c>
      <c r="O11" s="1" t="s">
        <v>4014</v>
      </c>
      <c r="P11" s="1" t="s">
        <v>1942</v>
      </c>
      <c r="Q11" s="1">
        <v>-1</v>
      </c>
      <c r="R11" s="1"/>
      <c r="S11" s="1"/>
      <c r="T11" s="1"/>
      <c r="U11" s="1"/>
      <c r="V11" s="1"/>
      <c r="W11" s="1"/>
      <c r="X11" s="1"/>
      <c r="Y11" s="1"/>
      <c r="Z11" s="1"/>
      <c r="AA11" s="1"/>
      <c r="AB11" s="1"/>
      <c r="AC11" s="1"/>
      <c r="AD11" s="1"/>
      <c r="AE11" s="1"/>
      <c r="AF11" s="1"/>
    </row>
    <row r="12" spans="1:32" hidden="1" x14ac:dyDescent="0.25">
      <c r="A12" s="1">
        <v>11</v>
      </c>
      <c r="B12" s="1"/>
      <c r="C12" s="1" t="s">
        <v>2778</v>
      </c>
      <c r="D12" s="1" t="s">
        <v>4670</v>
      </c>
      <c r="E12">
        <v>2004</v>
      </c>
      <c r="F12" s="1" t="s">
        <v>0</v>
      </c>
      <c r="G12" s="1" t="s">
        <v>4671</v>
      </c>
      <c r="H12" s="1" t="s">
        <v>2779</v>
      </c>
      <c r="I12" s="1" t="s">
        <v>1</v>
      </c>
      <c r="J12" s="1" t="s">
        <v>1</v>
      </c>
      <c r="K12" s="1" t="s">
        <v>2780</v>
      </c>
      <c r="L12" s="1" t="s">
        <v>1</v>
      </c>
      <c r="M12" s="1" t="s">
        <v>1</v>
      </c>
      <c r="N12" s="1" t="s">
        <v>1</v>
      </c>
      <c r="O12" s="1" t="s">
        <v>4672</v>
      </c>
      <c r="P12" s="1" t="s">
        <v>2781</v>
      </c>
      <c r="Q12" s="1">
        <v>-1</v>
      </c>
      <c r="R12" s="1"/>
      <c r="S12" s="1"/>
      <c r="T12" s="1"/>
      <c r="U12" s="1"/>
      <c r="V12" s="1"/>
      <c r="W12" s="1"/>
      <c r="X12" s="1"/>
      <c r="Y12" s="1"/>
      <c r="Z12" s="1"/>
      <c r="AA12" s="1"/>
      <c r="AB12" s="1"/>
      <c r="AC12" s="1"/>
      <c r="AD12" s="1"/>
      <c r="AE12" s="1"/>
      <c r="AF12" s="1"/>
    </row>
    <row r="13" spans="1:32" hidden="1" x14ac:dyDescent="0.25">
      <c r="A13" s="1">
        <v>12</v>
      </c>
      <c r="B13" s="1"/>
      <c r="C13" s="1" t="s">
        <v>2035</v>
      </c>
      <c r="D13" s="1" t="s">
        <v>4084</v>
      </c>
      <c r="E13">
        <v>2009</v>
      </c>
      <c r="F13" s="1" t="s">
        <v>0</v>
      </c>
      <c r="G13" s="1" t="s">
        <v>4085</v>
      </c>
      <c r="H13" s="1" t="s">
        <v>1534</v>
      </c>
      <c r="I13" s="1" t="s">
        <v>1</v>
      </c>
      <c r="J13" s="1" t="s">
        <v>1</v>
      </c>
      <c r="K13" s="1" t="s">
        <v>1399</v>
      </c>
      <c r="L13" s="1" t="s">
        <v>1</v>
      </c>
      <c r="M13" s="1" t="s">
        <v>1</v>
      </c>
      <c r="N13" s="1" t="s">
        <v>1</v>
      </c>
      <c r="O13" s="1" t="s">
        <v>4086</v>
      </c>
      <c r="P13" s="1" t="s">
        <v>2036</v>
      </c>
      <c r="Q13" s="1">
        <v>-1</v>
      </c>
      <c r="R13" s="1"/>
      <c r="S13" s="1"/>
      <c r="T13" s="1"/>
      <c r="U13" s="1"/>
      <c r="V13" s="1"/>
      <c r="W13" s="1"/>
      <c r="X13" s="1"/>
      <c r="Y13" s="1"/>
      <c r="Z13" s="1"/>
      <c r="AA13" s="1"/>
      <c r="AB13" s="1"/>
      <c r="AC13" s="1"/>
      <c r="AD13" s="1"/>
      <c r="AE13" s="1"/>
      <c r="AF13" s="1"/>
    </row>
    <row r="14" spans="1:32" hidden="1" x14ac:dyDescent="0.25">
      <c r="A14" s="1">
        <v>13</v>
      </c>
      <c r="B14" s="1"/>
      <c r="C14" s="8" t="s">
        <v>2541</v>
      </c>
      <c r="D14" s="1" t="s">
        <v>4475</v>
      </c>
      <c r="E14">
        <v>2013</v>
      </c>
      <c r="F14" s="1" t="s">
        <v>0</v>
      </c>
      <c r="G14" s="1" t="s">
        <v>4476</v>
      </c>
      <c r="H14" s="1" t="s">
        <v>2542</v>
      </c>
      <c r="I14" s="1" t="s">
        <v>1</v>
      </c>
      <c r="J14" s="1" t="s">
        <v>1</v>
      </c>
      <c r="K14" s="1" t="s">
        <v>3195</v>
      </c>
      <c r="L14" s="1" t="s">
        <v>1</v>
      </c>
      <c r="M14" s="1" t="s">
        <v>1</v>
      </c>
      <c r="N14" s="1" t="s">
        <v>1</v>
      </c>
      <c r="O14" s="1" t="s">
        <v>4477</v>
      </c>
      <c r="P14" s="1" t="s">
        <v>2543</v>
      </c>
      <c r="Q14" s="1">
        <v>-1</v>
      </c>
      <c r="R14" s="1"/>
      <c r="S14" s="1"/>
      <c r="T14" s="1"/>
      <c r="U14" s="1"/>
      <c r="V14" s="1"/>
      <c r="W14" s="1"/>
      <c r="X14" s="1"/>
      <c r="Y14" s="1"/>
      <c r="Z14" s="1"/>
      <c r="AA14" s="1"/>
      <c r="AB14" s="1"/>
      <c r="AC14" s="1"/>
      <c r="AD14" s="1"/>
      <c r="AE14" s="1"/>
      <c r="AF14" s="1"/>
    </row>
    <row r="15" spans="1:32" hidden="1" x14ac:dyDescent="0.25">
      <c r="A15" s="1">
        <v>14</v>
      </c>
      <c r="B15" s="1"/>
      <c r="C15" s="1" t="s">
        <v>2289</v>
      </c>
      <c r="D15" s="1" t="s">
        <v>2284</v>
      </c>
      <c r="E15">
        <v>2009</v>
      </c>
      <c r="F15" s="1" t="s">
        <v>116</v>
      </c>
      <c r="G15" s="1" t="s">
        <v>4284</v>
      </c>
      <c r="H15" s="1" t="s">
        <v>2290</v>
      </c>
      <c r="I15" s="1" t="s">
        <v>4282</v>
      </c>
      <c r="J15" s="1" t="s">
        <v>4283</v>
      </c>
      <c r="K15" s="1" t="s">
        <v>2291</v>
      </c>
      <c r="L15" s="1" t="s">
        <v>1</v>
      </c>
      <c r="M15" s="1" t="s">
        <v>1</v>
      </c>
      <c r="N15" s="1" t="s">
        <v>2293</v>
      </c>
      <c r="O15" s="1" t="s">
        <v>4285</v>
      </c>
      <c r="P15" s="1" t="s">
        <v>2292</v>
      </c>
      <c r="Q15" s="1">
        <v>-1</v>
      </c>
      <c r="R15" s="1"/>
      <c r="S15" s="1"/>
      <c r="T15" s="1"/>
      <c r="U15" s="1"/>
      <c r="V15" s="1"/>
      <c r="W15" s="1"/>
      <c r="X15" s="1"/>
      <c r="Y15" s="1"/>
      <c r="Z15" s="1"/>
      <c r="AA15" s="1"/>
      <c r="AB15" s="1"/>
      <c r="AC15" s="1"/>
      <c r="AD15" s="1"/>
      <c r="AE15" s="1"/>
      <c r="AF15" s="1"/>
    </row>
    <row r="16" spans="1:32" hidden="1" x14ac:dyDescent="0.25">
      <c r="A16" s="1">
        <v>15</v>
      </c>
      <c r="B16" s="1"/>
      <c r="C16" s="1" t="s">
        <v>1544</v>
      </c>
      <c r="D16" s="1" t="s">
        <v>3711</v>
      </c>
      <c r="E16">
        <v>2015</v>
      </c>
      <c r="F16" s="1" t="s">
        <v>0</v>
      </c>
      <c r="G16" s="1" t="s">
        <v>3712</v>
      </c>
      <c r="H16" s="1" t="s">
        <v>1545</v>
      </c>
      <c r="I16" s="1" t="s">
        <v>1</v>
      </c>
      <c r="J16" s="1" t="s">
        <v>1</v>
      </c>
      <c r="K16" s="1" t="s">
        <v>1546</v>
      </c>
      <c r="L16" s="1" t="s">
        <v>1</v>
      </c>
      <c r="M16" s="1" t="s">
        <v>1</v>
      </c>
      <c r="N16" s="1" t="s">
        <v>1</v>
      </c>
      <c r="O16" s="1" t="s">
        <v>3713</v>
      </c>
      <c r="P16" s="1" t="s">
        <v>1547</v>
      </c>
      <c r="Q16" s="1">
        <v>-1</v>
      </c>
      <c r="R16" s="1"/>
      <c r="S16" s="1"/>
      <c r="T16" s="1"/>
      <c r="U16" s="1"/>
      <c r="V16" s="1"/>
      <c r="W16" s="1"/>
      <c r="X16" s="1"/>
      <c r="Y16" s="1"/>
      <c r="Z16" s="1"/>
      <c r="AA16" s="1"/>
      <c r="AB16" s="1"/>
      <c r="AC16" s="1"/>
      <c r="AD16" s="1"/>
      <c r="AE16" s="1"/>
      <c r="AF16" s="1"/>
    </row>
    <row r="17" spans="1:32" hidden="1" x14ac:dyDescent="0.25">
      <c r="A17" s="1">
        <v>16</v>
      </c>
      <c r="B17" s="1"/>
      <c r="C17" s="1" t="s">
        <v>1700</v>
      </c>
      <c r="D17" s="1" t="s">
        <v>3834</v>
      </c>
      <c r="E17">
        <v>2016</v>
      </c>
      <c r="F17" s="1" t="s">
        <v>0</v>
      </c>
      <c r="G17" s="1" t="s">
        <v>3835</v>
      </c>
      <c r="H17" s="1" t="s">
        <v>1701</v>
      </c>
      <c r="I17" s="1" t="s">
        <v>1</v>
      </c>
      <c r="J17" s="1" t="s">
        <v>1</v>
      </c>
      <c r="K17" s="1" t="s">
        <v>1702</v>
      </c>
      <c r="L17" s="1" t="s">
        <v>1</v>
      </c>
      <c r="M17" s="1" t="s">
        <v>1</v>
      </c>
      <c r="N17" s="1" t="s">
        <v>1</v>
      </c>
      <c r="O17" s="1" t="s">
        <v>3836</v>
      </c>
      <c r="P17" s="1" t="s">
        <v>1703</v>
      </c>
      <c r="Q17" s="1">
        <v>-1</v>
      </c>
      <c r="R17" s="1"/>
      <c r="S17" s="1"/>
      <c r="T17" s="1"/>
      <c r="U17" s="1"/>
      <c r="V17" s="1"/>
      <c r="W17" s="1"/>
      <c r="X17" s="1"/>
      <c r="Y17" s="1"/>
      <c r="Z17" s="1"/>
      <c r="AA17" s="1"/>
      <c r="AB17" s="1"/>
      <c r="AC17" s="1"/>
      <c r="AD17" s="1"/>
      <c r="AE17" s="1"/>
      <c r="AF17" s="1"/>
    </row>
    <row r="18" spans="1:32" hidden="1" x14ac:dyDescent="0.25">
      <c r="A18" s="1">
        <v>17</v>
      </c>
      <c r="B18" s="1"/>
      <c r="C18" s="1" t="s">
        <v>960</v>
      </c>
      <c r="D18" s="1" t="s">
        <v>3284</v>
      </c>
      <c r="E18">
        <v>2017</v>
      </c>
      <c r="F18" s="1" t="s">
        <v>0</v>
      </c>
      <c r="G18" s="1" t="s">
        <v>3285</v>
      </c>
      <c r="H18" s="1" t="s">
        <v>97</v>
      </c>
      <c r="I18" s="1" t="s">
        <v>1</v>
      </c>
      <c r="J18" s="1" t="s">
        <v>1</v>
      </c>
      <c r="K18" s="1" t="s">
        <v>961</v>
      </c>
      <c r="L18" s="1" t="s">
        <v>1</v>
      </c>
      <c r="M18" s="1" t="s">
        <v>1</v>
      </c>
      <c r="N18" s="1" t="s">
        <v>1</v>
      </c>
      <c r="O18" s="1" t="s">
        <v>3286</v>
      </c>
      <c r="P18" s="1" t="s">
        <v>3287</v>
      </c>
      <c r="Q18" s="1">
        <v>-1</v>
      </c>
      <c r="R18" s="1"/>
      <c r="S18" s="1"/>
      <c r="T18" s="1"/>
      <c r="U18" s="1"/>
      <c r="V18" s="1"/>
      <c r="W18" s="1"/>
      <c r="X18" s="1"/>
      <c r="Y18" s="1"/>
      <c r="Z18" s="1"/>
      <c r="AA18" s="1"/>
      <c r="AB18" s="1"/>
      <c r="AC18" s="1"/>
      <c r="AD18" s="1"/>
      <c r="AE18" s="1"/>
      <c r="AF18" s="1"/>
    </row>
    <row r="19" spans="1:32" hidden="1" x14ac:dyDescent="0.25">
      <c r="A19" s="1">
        <v>18</v>
      </c>
      <c r="B19" s="1"/>
      <c r="C19" s="1" t="s">
        <v>1502</v>
      </c>
      <c r="D19" s="1" t="s">
        <v>3679</v>
      </c>
      <c r="E19">
        <v>2013</v>
      </c>
      <c r="F19" s="1" t="s">
        <v>244</v>
      </c>
      <c r="G19" s="1" t="s">
        <v>3681</v>
      </c>
      <c r="H19" s="1" t="s">
        <v>1</v>
      </c>
      <c r="I19" s="1" t="s">
        <v>1504</v>
      </c>
      <c r="J19" s="1" t="s">
        <v>1</v>
      </c>
      <c r="K19" s="1" t="s">
        <v>1503</v>
      </c>
      <c r="L19" s="1" t="s">
        <v>247</v>
      </c>
      <c r="M19" s="1" t="s">
        <v>1</v>
      </c>
      <c r="N19" s="1" t="s">
        <v>1506</v>
      </c>
      <c r="O19" s="1" t="s">
        <v>3682</v>
      </c>
      <c r="P19" s="1" t="s">
        <v>1505</v>
      </c>
      <c r="Q19" s="1">
        <v>-1</v>
      </c>
      <c r="R19" s="1"/>
      <c r="S19" s="1"/>
      <c r="T19" s="1"/>
      <c r="U19" s="1"/>
      <c r="V19" s="1"/>
      <c r="W19" s="1"/>
      <c r="X19" s="1"/>
      <c r="Y19" s="1"/>
      <c r="Z19" s="1"/>
      <c r="AA19" s="1"/>
      <c r="AB19" s="1"/>
      <c r="AC19" s="1"/>
      <c r="AD19" s="1"/>
      <c r="AE19" s="1"/>
      <c r="AF19" s="1"/>
    </row>
    <row r="20" spans="1:32" hidden="1" x14ac:dyDescent="0.25">
      <c r="A20" s="1">
        <v>19</v>
      </c>
      <c r="B20" s="1"/>
      <c r="C20" s="1" t="s">
        <v>2056</v>
      </c>
      <c r="D20" s="1" t="s">
        <v>4096</v>
      </c>
      <c r="E20">
        <v>2011</v>
      </c>
      <c r="F20" s="1" t="s">
        <v>244</v>
      </c>
      <c r="G20" s="1" t="s">
        <v>4097</v>
      </c>
      <c r="H20" s="1" t="s">
        <v>1</v>
      </c>
      <c r="I20" s="1" t="s">
        <v>2057</v>
      </c>
      <c r="J20" s="1" t="s">
        <v>1</v>
      </c>
      <c r="K20" s="1" t="s">
        <v>2058</v>
      </c>
      <c r="L20" s="1" t="s">
        <v>1</v>
      </c>
      <c r="M20" s="1" t="s">
        <v>1</v>
      </c>
      <c r="N20" s="1" t="s">
        <v>2060</v>
      </c>
      <c r="O20" s="1" t="s">
        <v>4098</v>
      </c>
      <c r="P20" s="1" t="s">
        <v>2059</v>
      </c>
      <c r="Q20" s="1">
        <v>-1</v>
      </c>
      <c r="R20" s="1"/>
      <c r="S20" s="1"/>
      <c r="T20" s="1"/>
      <c r="U20" s="1"/>
      <c r="V20" s="1"/>
      <c r="W20" s="1"/>
      <c r="X20" s="1"/>
      <c r="Y20" s="1"/>
      <c r="Z20" s="1"/>
      <c r="AA20" s="1"/>
      <c r="AB20" s="1"/>
      <c r="AC20" s="1"/>
      <c r="AD20" s="1"/>
      <c r="AE20" s="1"/>
      <c r="AF20" s="1"/>
    </row>
    <row r="21" spans="1:32" hidden="1" x14ac:dyDescent="0.25">
      <c r="A21" s="1">
        <v>20</v>
      </c>
      <c r="B21" s="1"/>
      <c r="C21" s="1" t="s">
        <v>1180</v>
      </c>
      <c r="D21" s="1" t="s">
        <v>3429</v>
      </c>
      <c r="E21">
        <v>2010</v>
      </c>
      <c r="F21" s="1" t="s">
        <v>0</v>
      </c>
      <c r="G21" s="1" t="s">
        <v>3431</v>
      </c>
      <c r="H21" s="1" t="s">
        <v>1175</v>
      </c>
      <c r="I21" s="1" t="s">
        <v>1</v>
      </c>
      <c r="J21" s="1" t="s">
        <v>1</v>
      </c>
      <c r="K21" s="1" t="s">
        <v>3430</v>
      </c>
      <c r="L21" s="1" t="s">
        <v>1</v>
      </c>
      <c r="M21" s="1" t="s">
        <v>1</v>
      </c>
      <c r="N21" s="1" t="s">
        <v>1</v>
      </c>
      <c r="O21" s="1" t="s">
        <v>3432</v>
      </c>
      <c r="P21" s="1" t="s">
        <v>1181</v>
      </c>
      <c r="Q21" s="1">
        <v>-1</v>
      </c>
      <c r="R21" s="1"/>
      <c r="S21" s="1"/>
      <c r="T21" s="1"/>
      <c r="U21" s="1"/>
      <c r="V21" s="1"/>
      <c r="W21" s="1"/>
      <c r="X21" s="1"/>
      <c r="Y21" s="1"/>
      <c r="Z21" s="1"/>
      <c r="AA21" s="1"/>
      <c r="AB21" s="1"/>
      <c r="AC21" s="1"/>
      <c r="AD21" s="1"/>
      <c r="AE21" s="1"/>
      <c r="AF21" s="1"/>
    </row>
    <row r="22" spans="1:32" hidden="1" x14ac:dyDescent="0.25">
      <c r="A22" s="1">
        <v>21</v>
      </c>
      <c r="B22" s="1"/>
      <c r="C22" s="1" t="s">
        <v>2728</v>
      </c>
      <c r="D22" s="1" t="s">
        <v>2727</v>
      </c>
      <c r="E22">
        <v>2009</v>
      </c>
      <c r="F22" s="1" t="s">
        <v>0</v>
      </c>
      <c r="G22" s="1" t="s">
        <v>4632</v>
      </c>
      <c r="H22" s="1" t="s">
        <v>2729</v>
      </c>
      <c r="I22" s="1" t="s">
        <v>1</v>
      </c>
      <c r="J22" s="1" t="s">
        <v>1</v>
      </c>
      <c r="K22" s="1" t="s">
        <v>2730</v>
      </c>
      <c r="L22" s="1" t="s">
        <v>1</v>
      </c>
      <c r="M22" s="1" t="s">
        <v>1</v>
      </c>
      <c r="N22" s="1" t="s">
        <v>1</v>
      </c>
      <c r="O22" s="1" t="s">
        <v>4633</v>
      </c>
      <c r="P22" s="1" t="s">
        <v>2731</v>
      </c>
      <c r="Q22" s="1">
        <v>-1</v>
      </c>
      <c r="R22" s="1"/>
      <c r="S22" s="1"/>
      <c r="T22" s="1"/>
      <c r="U22" s="1"/>
      <c r="V22" s="1"/>
      <c r="W22" s="1"/>
      <c r="X22" s="1"/>
      <c r="Y22" s="1"/>
      <c r="Z22" s="1"/>
      <c r="AA22" s="1"/>
      <c r="AB22" s="1"/>
      <c r="AC22" s="1"/>
      <c r="AD22" s="1"/>
      <c r="AE22" s="1"/>
      <c r="AF22" s="1"/>
    </row>
    <row r="23" spans="1:32" hidden="1" x14ac:dyDescent="0.25">
      <c r="A23" s="1">
        <v>22</v>
      </c>
      <c r="B23" s="1"/>
      <c r="C23" s="1" t="s">
        <v>982</v>
      </c>
      <c r="D23" s="1" t="s">
        <v>3304</v>
      </c>
      <c r="E23">
        <v>2005</v>
      </c>
      <c r="F23" s="1" t="s">
        <v>0</v>
      </c>
      <c r="G23" s="1" t="s">
        <v>3305</v>
      </c>
      <c r="H23" s="1" t="s">
        <v>983</v>
      </c>
      <c r="I23" s="1" t="s">
        <v>1</v>
      </c>
      <c r="J23" s="1" t="s">
        <v>1</v>
      </c>
      <c r="K23" s="1" t="s">
        <v>984</v>
      </c>
      <c r="L23" s="1" t="s">
        <v>1</v>
      </c>
      <c r="M23" s="1" t="s">
        <v>1</v>
      </c>
      <c r="N23" s="1" t="s">
        <v>1</v>
      </c>
      <c r="O23" s="1" t="s">
        <v>3306</v>
      </c>
      <c r="P23" s="1" t="s">
        <v>985</v>
      </c>
      <c r="Q23" s="1">
        <v>-1</v>
      </c>
      <c r="R23" s="1"/>
      <c r="S23" s="1"/>
      <c r="T23" s="1"/>
      <c r="U23" s="1"/>
      <c r="V23" s="1"/>
      <c r="W23" s="1"/>
      <c r="X23" s="1"/>
      <c r="Y23" s="1"/>
      <c r="Z23" s="1"/>
      <c r="AA23" s="1"/>
      <c r="AB23" s="1"/>
      <c r="AC23" s="1"/>
      <c r="AD23" s="1"/>
      <c r="AE23" s="1"/>
      <c r="AF23" s="1"/>
    </row>
    <row r="24" spans="1:32" hidden="1" x14ac:dyDescent="0.25">
      <c r="A24" s="1">
        <v>23</v>
      </c>
      <c r="B24" s="1"/>
      <c r="C24" s="1" t="s">
        <v>832</v>
      </c>
      <c r="D24" s="1" t="s">
        <v>3194</v>
      </c>
      <c r="E24">
        <v>2014</v>
      </c>
      <c r="F24" s="1" t="s">
        <v>0</v>
      </c>
      <c r="G24" s="1" t="s">
        <v>3196</v>
      </c>
      <c r="H24" s="1" t="s">
        <v>833</v>
      </c>
      <c r="I24" s="1" t="s">
        <v>1</v>
      </c>
      <c r="J24" s="1" t="s">
        <v>1</v>
      </c>
      <c r="K24" s="1" t="s">
        <v>3195</v>
      </c>
      <c r="L24" s="1" t="s">
        <v>1</v>
      </c>
      <c r="M24" s="1" t="s">
        <v>1</v>
      </c>
      <c r="N24" s="1" t="s">
        <v>1</v>
      </c>
      <c r="O24" s="1" t="s">
        <v>3197</v>
      </c>
      <c r="P24" s="1" t="s">
        <v>835</v>
      </c>
      <c r="Q24" s="1">
        <v>-1</v>
      </c>
      <c r="R24" s="1"/>
      <c r="S24" s="1"/>
      <c r="T24" s="1"/>
      <c r="U24" s="1"/>
      <c r="V24" s="1"/>
      <c r="W24" s="1"/>
      <c r="X24" s="1"/>
      <c r="Y24" s="1"/>
      <c r="Z24" s="1"/>
      <c r="AA24" s="1"/>
      <c r="AB24" s="1"/>
      <c r="AC24" s="1"/>
      <c r="AD24" s="1"/>
      <c r="AE24" s="1"/>
      <c r="AF24" s="1"/>
    </row>
    <row r="25" spans="1:32" hidden="1" x14ac:dyDescent="0.25">
      <c r="A25" s="1">
        <v>24</v>
      </c>
      <c r="B25" s="1"/>
      <c r="C25" s="1" t="s">
        <v>1783</v>
      </c>
      <c r="D25" s="1" t="s">
        <v>3887</v>
      </c>
      <c r="E25">
        <v>2013</v>
      </c>
      <c r="F25" s="1" t="s">
        <v>0</v>
      </c>
      <c r="G25" s="1" t="s">
        <v>3888</v>
      </c>
      <c r="H25" s="1" t="s">
        <v>1784</v>
      </c>
      <c r="I25" s="1" t="s">
        <v>1</v>
      </c>
      <c r="J25" s="1" t="s">
        <v>1</v>
      </c>
      <c r="K25" s="1" t="s">
        <v>1785</v>
      </c>
      <c r="L25" s="1" t="s">
        <v>1</v>
      </c>
      <c r="M25" s="1" t="s">
        <v>1</v>
      </c>
      <c r="N25" s="1" t="s">
        <v>1</v>
      </c>
      <c r="O25" s="1" t="s">
        <v>3889</v>
      </c>
      <c r="P25" s="1" t="s">
        <v>1786</v>
      </c>
      <c r="Q25" s="1">
        <v>-1</v>
      </c>
      <c r="R25" s="1"/>
      <c r="S25" s="1"/>
      <c r="T25" s="1"/>
      <c r="U25" s="1"/>
      <c r="V25" s="1"/>
      <c r="W25" s="1"/>
      <c r="X25" s="1"/>
      <c r="Y25" s="1"/>
      <c r="Z25" s="1"/>
      <c r="AA25" s="1"/>
      <c r="AB25" s="1"/>
      <c r="AC25" s="1"/>
      <c r="AD25" s="1"/>
      <c r="AE25" s="1"/>
      <c r="AF25" s="1"/>
    </row>
    <row r="26" spans="1:32" hidden="1" x14ac:dyDescent="0.25">
      <c r="A26" s="1">
        <v>25</v>
      </c>
      <c r="B26" s="1"/>
      <c r="C26" s="1" t="s">
        <v>1949</v>
      </c>
      <c r="D26" s="1" t="s">
        <v>4022</v>
      </c>
      <c r="E26">
        <v>2012</v>
      </c>
      <c r="F26" s="1" t="s">
        <v>244</v>
      </c>
      <c r="G26" s="1" t="s">
        <v>4024</v>
      </c>
      <c r="H26" s="1" t="s">
        <v>1</v>
      </c>
      <c r="I26" s="1" t="s">
        <v>1950</v>
      </c>
      <c r="J26" s="1" t="s">
        <v>1</v>
      </c>
      <c r="K26" s="1" t="s">
        <v>4023</v>
      </c>
      <c r="L26" s="1" t="s">
        <v>247</v>
      </c>
      <c r="M26" s="1" t="s">
        <v>1</v>
      </c>
      <c r="N26" s="1" t="s">
        <v>1952</v>
      </c>
      <c r="O26" s="1" t="s">
        <v>4025</v>
      </c>
      <c r="P26" s="1" t="s">
        <v>1951</v>
      </c>
      <c r="Q26" s="1">
        <v>-1</v>
      </c>
      <c r="R26" s="1"/>
      <c r="S26" s="1"/>
      <c r="T26" s="1"/>
      <c r="U26" s="1"/>
      <c r="V26" s="1"/>
      <c r="W26" s="1"/>
      <c r="X26" s="1"/>
      <c r="Y26" s="1"/>
      <c r="Z26" s="1"/>
      <c r="AA26" s="1"/>
      <c r="AB26" s="1"/>
      <c r="AC26" s="1"/>
      <c r="AD26" s="1"/>
      <c r="AE26" s="1"/>
      <c r="AF26" s="1"/>
    </row>
    <row r="27" spans="1:32" hidden="1" x14ac:dyDescent="0.25">
      <c r="A27" s="1">
        <v>26</v>
      </c>
      <c r="B27" s="1"/>
      <c r="C27" s="1" t="s">
        <v>2869</v>
      </c>
      <c r="D27" s="1" t="s">
        <v>4744</v>
      </c>
      <c r="E27">
        <v>2008</v>
      </c>
      <c r="F27" s="1" t="s">
        <v>0</v>
      </c>
      <c r="G27" s="1" t="s">
        <v>4745</v>
      </c>
      <c r="H27" s="1" t="s">
        <v>2803</v>
      </c>
      <c r="I27" s="1" t="s">
        <v>1</v>
      </c>
      <c r="J27" s="1" t="s">
        <v>1</v>
      </c>
      <c r="K27" s="1" t="s">
        <v>2870</v>
      </c>
      <c r="L27" s="1" t="s">
        <v>1</v>
      </c>
      <c r="M27" s="1" t="s">
        <v>1</v>
      </c>
      <c r="N27" s="1" t="s">
        <v>1</v>
      </c>
      <c r="O27" s="1" t="s">
        <v>4746</v>
      </c>
      <c r="P27" s="1" t="s">
        <v>2871</v>
      </c>
      <c r="Q27" s="1">
        <v>-1</v>
      </c>
      <c r="R27" s="1"/>
      <c r="S27" s="1"/>
      <c r="T27" s="1"/>
      <c r="U27" s="1"/>
      <c r="V27" s="1"/>
      <c r="W27" s="1"/>
      <c r="X27" s="1"/>
      <c r="Y27" s="1"/>
      <c r="Z27" s="1"/>
      <c r="AA27" s="1"/>
      <c r="AB27" s="1"/>
      <c r="AC27" s="1"/>
      <c r="AD27" s="1"/>
      <c r="AE27" s="1"/>
      <c r="AF27" s="1"/>
    </row>
    <row r="28" spans="1:32" hidden="1" x14ac:dyDescent="0.25">
      <c r="A28" s="1">
        <v>27</v>
      </c>
      <c r="B28" s="1"/>
      <c r="C28" s="1" t="s">
        <v>2872</v>
      </c>
      <c r="D28" s="1" t="s">
        <v>4747</v>
      </c>
      <c r="E28">
        <v>2008</v>
      </c>
      <c r="F28" s="1" t="s">
        <v>0</v>
      </c>
      <c r="G28" s="1" t="s">
        <v>4748</v>
      </c>
      <c r="H28" s="1" t="s">
        <v>1028</v>
      </c>
      <c r="I28" s="1" t="s">
        <v>3174</v>
      </c>
      <c r="J28" s="1" t="s">
        <v>1</v>
      </c>
      <c r="K28" s="1" t="s">
        <v>2873</v>
      </c>
      <c r="L28" s="1" t="s">
        <v>1</v>
      </c>
      <c r="M28" s="1" t="s">
        <v>1</v>
      </c>
      <c r="N28" s="1" t="s">
        <v>1</v>
      </c>
      <c r="O28" s="1" t="s">
        <v>4749</v>
      </c>
      <c r="P28" s="1" t="s">
        <v>2874</v>
      </c>
      <c r="Q28" s="1">
        <v>-1</v>
      </c>
      <c r="R28" s="1"/>
      <c r="S28" s="1"/>
      <c r="T28" s="1"/>
      <c r="U28" s="1"/>
      <c r="V28" s="1"/>
      <c r="W28" s="1"/>
      <c r="X28" s="1"/>
      <c r="Y28" s="1"/>
      <c r="Z28" s="1"/>
      <c r="AA28" s="1"/>
      <c r="AB28" s="1"/>
      <c r="AC28" s="1"/>
      <c r="AD28" s="1"/>
      <c r="AE28" s="1"/>
      <c r="AF28" s="1"/>
    </row>
    <row r="29" spans="1:32" hidden="1" x14ac:dyDescent="0.25">
      <c r="A29" s="1">
        <v>28</v>
      </c>
      <c r="B29" s="1"/>
      <c r="C29" s="1" t="s">
        <v>2875</v>
      </c>
      <c r="D29" s="1" t="s">
        <v>4750</v>
      </c>
      <c r="E29">
        <v>2010</v>
      </c>
      <c r="F29" s="1" t="s">
        <v>0</v>
      </c>
      <c r="G29" s="1" t="s">
        <v>1</v>
      </c>
      <c r="H29" s="1" t="s">
        <v>2876</v>
      </c>
      <c r="I29" s="1" t="s">
        <v>1</v>
      </c>
      <c r="J29" s="1" t="s">
        <v>1</v>
      </c>
      <c r="K29" s="1" t="s">
        <v>3767</v>
      </c>
      <c r="L29" s="1" t="s">
        <v>1</v>
      </c>
      <c r="M29" s="1" t="s">
        <v>1</v>
      </c>
      <c r="N29" s="1" t="s">
        <v>1</v>
      </c>
      <c r="O29" s="1" t="s">
        <v>4751</v>
      </c>
      <c r="P29" s="1" t="s">
        <v>2877</v>
      </c>
      <c r="Q29" s="1">
        <v>1</v>
      </c>
      <c r="R29" s="1">
        <v>-1</v>
      </c>
      <c r="S29" s="1"/>
      <c r="T29" s="1"/>
      <c r="U29" s="1"/>
      <c r="V29" s="1"/>
      <c r="W29" s="1"/>
      <c r="X29" s="1"/>
      <c r="Y29" s="1"/>
      <c r="Z29" s="1"/>
      <c r="AA29" s="1"/>
      <c r="AB29" s="1"/>
      <c r="AC29" s="1"/>
      <c r="AD29" s="1"/>
      <c r="AE29" s="1"/>
      <c r="AF29" s="1"/>
    </row>
    <row r="30" spans="1:32" hidden="1" x14ac:dyDescent="0.25">
      <c r="A30" s="1">
        <v>29</v>
      </c>
      <c r="B30" s="1"/>
      <c r="C30" s="1" t="s">
        <v>2607</v>
      </c>
      <c r="D30" s="1" t="s">
        <v>4534</v>
      </c>
      <c r="E30">
        <v>2013</v>
      </c>
      <c r="F30" s="1" t="s">
        <v>0</v>
      </c>
      <c r="G30" s="1" t="s">
        <v>4535</v>
      </c>
      <c r="H30" s="1" t="s">
        <v>2341</v>
      </c>
      <c r="I30" s="1" t="s">
        <v>1</v>
      </c>
      <c r="J30" s="1" t="s">
        <v>1</v>
      </c>
      <c r="K30" s="1" t="s">
        <v>3767</v>
      </c>
      <c r="L30" s="1" t="s">
        <v>1</v>
      </c>
      <c r="M30" s="1" t="s">
        <v>1</v>
      </c>
      <c r="N30" s="1" t="s">
        <v>1</v>
      </c>
      <c r="O30" s="1" t="s">
        <v>4536</v>
      </c>
      <c r="P30" s="1" t="s">
        <v>2608</v>
      </c>
      <c r="Q30" s="1">
        <v>-1</v>
      </c>
      <c r="R30" s="1"/>
      <c r="S30" s="1"/>
      <c r="T30" s="1"/>
      <c r="U30" s="1"/>
      <c r="V30" s="1"/>
      <c r="W30" s="1"/>
      <c r="X30" s="1"/>
      <c r="Y30" s="1"/>
      <c r="Z30" s="1"/>
      <c r="AA30" s="1"/>
      <c r="AB30" s="1"/>
      <c r="AC30" s="1"/>
      <c r="AD30" s="1"/>
      <c r="AE30" s="1"/>
      <c r="AF30" s="1"/>
    </row>
    <row r="31" spans="1:32" hidden="1" x14ac:dyDescent="0.25">
      <c r="A31" s="1">
        <v>30</v>
      </c>
      <c r="B31" s="1"/>
      <c r="C31" s="1" t="s">
        <v>2433</v>
      </c>
      <c r="D31" s="1" t="s">
        <v>4393</v>
      </c>
      <c r="E31">
        <v>2009</v>
      </c>
      <c r="F31" s="1" t="s">
        <v>0</v>
      </c>
      <c r="G31" s="1" t="s">
        <v>4392</v>
      </c>
      <c r="H31" s="1" t="s">
        <v>1</v>
      </c>
      <c r="I31" s="1" t="s">
        <v>1</v>
      </c>
      <c r="J31" s="1" t="s">
        <v>1</v>
      </c>
      <c r="K31" s="1" t="s">
        <v>3202</v>
      </c>
      <c r="L31" s="1" t="s">
        <v>1</v>
      </c>
      <c r="M31" s="1" t="s">
        <v>1</v>
      </c>
      <c r="N31" s="1" t="s">
        <v>2435</v>
      </c>
      <c r="O31" s="1" t="s">
        <v>4394</v>
      </c>
      <c r="P31" s="1" t="s">
        <v>2434</v>
      </c>
      <c r="Q31" s="1">
        <v>-1</v>
      </c>
      <c r="R31" s="1"/>
      <c r="S31" s="1"/>
      <c r="T31" s="1"/>
      <c r="U31" s="1"/>
      <c r="V31" s="1"/>
      <c r="W31" s="1"/>
      <c r="X31" s="1"/>
      <c r="Y31" s="1"/>
      <c r="Z31" s="1"/>
      <c r="AA31" s="1"/>
      <c r="AB31" s="1"/>
      <c r="AC31" s="1"/>
      <c r="AD31" s="1"/>
      <c r="AE31" s="1"/>
      <c r="AF31" s="1"/>
    </row>
    <row r="32" spans="1:32" hidden="1" x14ac:dyDescent="0.25">
      <c r="A32" s="1">
        <v>31</v>
      </c>
      <c r="B32" s="1"/>
      <c r="C32" s="1" t="s">
        <v>2483</v>
      </c>
      <c r="D32" s="1" t="s">
        <v>4434</v>
      </c>
      <c r="E32">
        <v>2009</v>
      </c>
      <c r="F32" s="1" t="s">
        <v>0</v>
      </c>
      <c r="G32" s="1" t="s">
        <v>4435</v>
      </c>
      <c r="H32" s="1" t="s">
        <v>2484</v>
      </c>
      <c r="I32" s="1" t="s">
        <v>1</v>
      </c>
      <c r="J32" s="1" t="s">
        <v>1</v>
      </c>
      <c r="K32" s="1" t="s">
        <v>2485</v>
      </c>
      <c r="L32" s="1" t="s">
        <v>1</v>
      </c>
      <c r="M32" s="1" t="s">
        <v>1</v>
      </c>
      <c r="N32" s="1" t="s">
        <v>1</v>
      </c>
      <c r="O32" s="1" t="s">
        <v>4436</v>
      </c>
      <c r="P32" s="1" t="s">
        <v>2486</v>
      </c>
      <c r="Q32" s="1">
        <v>-1</v>
      </c>
      <c r="R32" s="1"/>
      <c r="S32" s="1"/>
      <c r="T32" s="1"/>
      <c r="U32" s="1"/>
      <c r="V32" s="1"/>
      <c r="W32" s="1"/>
      <c r="X32" s="1"/>
      <c r="Y32" s="1"/>
      <c r="Z32" s="1"/>
      <c r="AA32" s="1"/>
      <c r="AB32" s="1"/>
      <c r="AC32" s="1"/>
      <c r="AD32" s="1"/>
      <c r="AE32" s="1"/>
      <c r="AF32" s="1"/>
    </row>
    <row r="33" spans="1:32" hidden="1" x14ac:dyDescent="0.25">
      <c r="A33" s="1">
        <v>32</v>
      </c>
      <c r="B33" s="1"/>
      <c r="C33" s="1" t="s">
        <v>2343</v>
      </c>
      <c r="D33" s="1" t="s">
        <v>4322</v>
      </c>
      <c r="E33">
        <v>2014</v>
      </c>
      <c r="F33" s="1" t="s">
        <v>0</v>
      </c>
      <c r="G33" s="1" t="s">
        <v>1</v>
      </c>
      <c r="H33" s="1" t="s">
        <v>2344</v>
      </c>
      <c r="I33" s="1" t="s">
        <v>1</v>
      </c>
      <c r="J33" s="1" t="s">
        <v>1</v>
      </c>
      <c r="K33" s="1" t="s">
        <v>2345</v>
      </c>
      <c r="L33" s="1" t="s">
        <v>1</v>
      </c>
      <c r="M33" s="1" t="s">
        <v>1</v>
      </c>
      <c r="N33" s="1" t="s">
        <v>1</v>
      </c>
      <c r="O33" s="1" t="s">
        <v>4323</v>
      </c>
      <c r="P33" s="1" t="s">
        <v>2346</v>
      </c>
      <c r="Q33" s="1">
        <v>-1</v>
      </c>
      <c r="R33" s="1"/>
      <c r="S33" s="1"/>
      <c r="T33" s="1"/>
      <c r="U33" s="1"/>
      <c r="V33" s="1"/>
      <c r="W33" s="1"/>
      <c r="X33" s="1"/>
      <c r="Y33" s="1"/>
      <c r="Z33" s="1"/>
      <c r="AA33" s="1"/>
      <c r="AB33" s="1"/>
      <c r="AC33" s="1"/>
      <c r="AD33" s="1"/>
      <c r="AE33" s="1"/>
      <c r="AF33" s="1"/>
    </row>
    <row r="34" spans="1:32" hidden="1" x14ac:dyDescent="0.25">
      <c r="A34" s="1">
        <v>33</v>
      </c>
      <c r="B34" s="1"/>
      <c r="C34" s="1" t="s">
        <v>2015</v>
      </c>
      <c r="D34" s="1" t="s">
        <v>2014</v>
      </c>
      <c r="E34">
        <v>2016</v>
      </c>
      <c r="F34" s="1" t="s">
        <v>116</v>
      </c>
      <c r="G34" s="1" t="s">
        <v>4072</v>
      </c>
      <c r="H34" s="1" t="s">
        <v>233</v>
      </c>
      <c r="I34" s="1" t="s">
        <v>4071</v>
      </c>
      <c r="J34" s="1" t="s">
        <v>3143</v>
      </c>
      <c r="K34" s="1" t="s">
        <v>2016</v>
      </c>
      <c r="L34" s="1" t="s">
        <v>1102</v>
      </c>
      <c r="M34" s="1" t="s">
        <v>1</v>
      </c>
      <c r="N34" s="1" t="s">
        <v>2018</v>
      </c>
      <c r="O34" s="1" t="s">
        <v>4073</v>
      </c>
      <c r="P34" s="1" t="s">
        <v>2017</v>
      </c>
      <c r="Q34" s="1">
        <v>1</v>
      </c>
      <c r="R34" s="1">
        <v>-1</v>
      </c>
      <c r="S34" s="1"/>
      <c r="T34" s="1"/>
      <c r="U34" s="1"/>
      <c r="V34" s="1"/>
      <c r="W34" s="1"/>
      <c r="X34" s="1"/>
      <c r="Y34" s="1"/>
      <c r="Z34" s="1"/>
      <c r="AA34" s="1"/>
      <c r="AB34" s="1"/>
      <c r="AC34" s="1"/>
      <c r="AD34" s="1"/>
      <c r="AE34" s="1"/>
      <c r="AF34" s="1"/>
    </row>
    <row r="35" spans="1:32" hidden="1" x14ac:dyDescent="0.25">
      <c r="A35" s="1">
        <v>34</v>
      </c>
      <c r="B35" s="1"/>
      <c r="C35" s="1" t="s">
        <v>1943</v>
      </c>
      <c r="D35" s="1" t="s">
        <v>4015</v>
      </c>
      <c r="E35">
        <v>2014</v>
      </c>
      <c r="F35" s="1" t="s">
        <v>0</v>
      </c>
      <c r="G35" s="1" t="s">
        <v>4016</v>
      </c>
      <c r="H35" s="1" t="s">
        <v>1944</v>
      </c>
      <c r="I35" s="1" t="s">
        <v>1</v>
      </c>
      <c r="J35" s="1" t="s">
        <v>1</v>
      </c>
      <c r="K35" s="1" t="s">
        <v>1945</v>
      </c>
      <c r="L35" s="1" t="s">
        <v>1</v>
      </c>
      <c r="M35" s="1" t="s">
        <v>1</v>
      </c>
      <c r="N35" s="1" t="s">
        <v>1</v>
      </c>
      <c r="O35" s="1" t="s">
        <v>4017</v>
      </c>
      <c r="P35" s="1" t="s">
        <v>4018</v>
      </c>
      <c r="Q35" s="1">
        <v>-1</v>
      </c>
      <c r="R35" s="1"/>
      <c r="S35" s="1"/>
      <c r="T35" s="1"/>
      <c r="U35" s="1"/>
      <c r="V35" s="1"/>
      <c r="W35" s="1"/>
      <c r="X35" s="1"/>
      <c r="Y35" s="1"/>
      <c r="Z35" s="1"/>
      <c r="AA35" s="1"/>
      <c r="AB35" s="1"/>
      <c r="AC35" s="1"/>
      <c r="AD35" s="1"/>
      <c r="AE35" s="1"/>
      <c r="AF35" s="1"/>
    </row>
    <row r="36" spans="1:32" hidden="1" x14ac:dyDescent="0.25">
      <c r="A36" s="1">
        <v>35</v>
      </c>
      <c r="B36" s="1"/>
      <c r="C36" s="1" t="s">
        <v>945</v>
      </c>
      <c r="D36" s="1" t="s">
        <v>3273</v>
      </c>
      <c r="E36">
        <v>2016</v>
      </c>
      <c r="F36" s="1" t="s">
        <v>0</v>
      </c>
      <c r="G36" s="1" t="s">
        <v>1</v>
      </c>
      <c r="H36" s="1" t="s">
        <v>1</v>
      </c>
      <c r="I36" s="1" t="s">
        <v>1</v>
      </c>
      <c r="J36" s="1" t="s">
        <v>1</v>
      </c>
      <c r="K36" s="1" t="s">
        <v>1</v>
      </c>
      <c r="L36" s="1" t="s">
        <v>237</v>
      </c>
      <c r="M36" s="1" t="s">
        <v>1</v>
      </c>
      <c r="N36" s="1" t="s">
        <v>947</v>
      </c>
      <c r="O36" s="1" t="s">
        <v>3274</v>
      </c>
      <c r="P36" s="1" t="s">
        <v>946</v>
      </c>
      <c r="Q36" s="1">
        <v>-1</v>
      </c>
      <c r="R36" s="1"/>
      <c r="S36" s="1"/>
      <c r="T36" s="1"/>
      <c r="U36" s="1"/>
      <c r="V36" s="1"/>
      <c r="W36" s="1"/>
      <c r="X36" s="1"/>
      <c r="Y36" s="1"/>
      <c r="Z36" s="1"/>
      <c r="AA36" s="1"/>
      <c r="AB36" s="1"/>
      <c r="AC36" s="1"/>
      <c r="AD36" s="1"/>
      <c r="AE36" s="1"/>
      <c r="AF36" s="1"/>
    </row>
    <row r="37" spans="1:32" hidden="1" x14ac:dyDescent="0.25">
      <c r="A37" s="1">
        <v>36</v>
      </c>
      <c r="B37" s="1"/>
      <c r="C37" s="1" t="s">
        <v>2392</v>
      </c>
      <c r="D37" s="1" t="s">
        <v>218</v>
      </c>
      <c r="E37">
        <v>2014</v>
      </c>
      <c r="F37" s="1" t="s">
        <v>0</v>
      </c>
      <c r="G37" s="1" t="s">
        <v>4360</v>
      </c>
      <c r="H37" s="1" t="s">
        <v>1032</v>
      </c>
      <c r="I37" s="1" t="s">
        <v>3174</v>
      </c>
      <c r="J37" s="1" t="s">
        <v>1</v>
      </c>
      <c r="K37" s="1" t="s">
        <v>2393</v>
      </c>
      <c r="L37" s="1" t="s">
        <v>1</v>
      </c>
      <c r="M37" s="1" t="s">
        <v>1</v>
      </c>
      <c r="N37" s="1" t="s">
        <v>1</v>
      </c>
      <c r="O37" s="1" t="s">
        <v>4361</v>
      </c>
      <c r="P37" s="1" t="s">
        <v>2394</v>
      </c>
      <c r="Q37" s="1">
        <v>-1</v>
      </c>
      <c r="R37" s="1"/>
      <c r="S37" s="1"/>
      <c r="T37" s="1"/>
      <c r="U37" s="1"/>
      <c r="V37" s="1"/>
      <c r="W37" s="1"/>
      <c r="X37" s="1"/>
      <c r="Y37" s="1"/>
      <c r="Z37" s="1"/>
      <c r="AA37" s="1"/>
      <c r="AB37" s="1"/>
      <c r="AC37" s="1"/>
      <c r="AD37" s="1"/>
      <c r="AE37" s="1"/>
      <c r="AF37" s="1"/>
    </row>
    <row r="38" spans="1:32" hidden="1" x14ac:dyDescent="0.25">
      <c r="A38" s="1">
        <v>37</v>
      </c>
      <c r="B38" s="1"/>
      <c r="C38" s="1" t="s">
        <v>440</v>
      </c>
      <c r="D38" s="1" t="s">
        <v>180</v>
      </c>
      <c r="E38">
        <v>2010</v>
      </c>
      <c r="F38" s="1" t="s">
        <v>244</v>
      </c>
      <c r="G38" s="1" t="s">
        <v>3428</v>
      </c>
      <c r="H38" s="1" t="s">
        <v>1</v>
      </c>
      <c r="I38" s="1" t="s">
        <v>1177</v>
      </c>
      <c r="J38" s="1" t="s">
        <v>1</v>
      </c>
      <c r="K38" s="1" t="s">
        <v>1178</v>
      </c>
      <c r="L38" s="1" t="s">
        <v>247</v>
      </c>
      <c r="M38" s="1" t="s">
        <v>1</v>
      </c>
      <c r="N38" s="1" t="s">
        <v>1179</v>
      </c>
      <c r="O38" s="1" t="s">
        <v>442</v>
      </c>
      <c r="P38" s="1" t="s">
        <v>443</v>
      </c>
      <c r="Q38" s="1">
        <v>-1</v>
      </c>
      <c r="R38" s="1"/>
      <c r="S38" s="1"/>
      <c r="T38" s="1"/>
      <c r="U38" s="1"/>
      <c r="V38" s="1"/>
      <c r="W38" s="1"/>
      <c r="X38" s="1"/>
      <c r="Y38" s="1"/>
      <c r="Z38" s="1"/>
      <c r="AA38" s="1"/>
      <c r="AB38" s="1"/>
      <c r="AC38" s="1"/>
      <c r="AD38" s="1"/>
      <c r="AE38" s="1"/>
      <c r="AF38" s="1"/>
    </row>
    <row r="39" spans="1:32" x14ac:dyDescent="0.25">
      <c r="A39" s="1">
        <v>38</v>
      </c>
      <c r="B39" s="1">
        <v>2</v>
      </c>
      <c r="C39" s="1" t="s">
        <v>1164</v>
      </c>
      <c r="D39" s="1" t="s">
        <v>3421</v>
      </c>
      <c r="E39">
        <v>2011</v>
      </c>
      <c r="F39" s="1" t="s">
        <v>244</v>
      </c>
      <c r="G39" s="1" t="s">
        <v>3422</v>
      </c>
      <c r="H39" s="1" t="s">
        <v>514</v>
      </c>
      <c r="I39" s="1" t="s">
        <v>1165</v>
      </c>
      <c r="J39" s="1" t="s">
        <v>1</v>
      </c>
      <c r="K39" s="1" t="s">
        <v>1166</v>
      </c>
      <c r="L39" s="1" t="s">
        <v>247</v>
      </c>
      <c r="M39" s="1" t="s">
        <v>1</v>
      </c>
      <c r="N39" s="1" t="s">
        <v>1168</v>
      </c>
      <c r="O39" s="1" t="s">
        <v>3423</v>
      </c>
      <c r="P39" s="1" t="s">
        <v>1167</v>
      </c>
      <c r="Q39" s="1">
        <v>1</v>
      </c>
      <c r="R39" s="1">
        <v>1</v>
      </c>
      <c r="S39" s="1">
        <v>6</v>
      </c>
      <c r="T39" s="1" t="s">
        <v>728</v>
      </c>
      <c r="U39" s="1" t="s">
        <v>5004</v>
      </c>
      <c r="V39" s="1" t="s">
        <v>5000</v>
      </c>
      <c r="W39" s="1" t="s">
        <v>4974</v>
      </c>
      <c r="X39" s="1" t="s">
        <v>658</v>
      </c>
      <c r="Y39" s="1" t="s">
        <v>5003</v>
      </c>
      <c r="Z39" s="1" t="s">
        <v>4998</v>
      </c>
      <c r="AA39" s="1" t="s">
        <v>5007</v>
      </c>
      <c r="AB39" s="1">
        <v>4</v>
      </c>
      <c r="AC39" s="1">
        <v>1</v>
      </c>
      <c r="AD39" s="1">
        <v>1</v>
      </c>
      <c r="AE39" s="1">
        <v>4</v>
      </c>
      <c r="AF39" s="1"/>
    </row>
    <row r="40" spans="1:32" x14ac:dyDescent="0.25">
      <c r="A40" s="1">
        <v>39</v>
      </c>
      <c r="B40" s="1">
        <v>3</v>
      </c>
      <c r="C40" s="6" t="s">
        <v>1475</v>
      </c>
      <c r="D40" s="1" t="s">
        <v>3657</v>
      </c>
      <c r="E40">
        <v>2012</v>
      </c>
      <c r="F40" s="1" t="s">
        <v>0</v>
      </c>
      <c r="G40" s="1" t="s">
        <v>3658</v>
      </c>
      <c r="H40" s="1" t="s">
        <v>1476</v>
      </c>
      <c r="I40" s="1" t="s">
        <v>1</v>
      </c>
      <c r="J40" s="1" t="s">
        <v>1</v>
      </c>
      <c r="K40" s="1" t="s">
        <v>3272</v>
      </c>
      <c r="L40" s="1" t="s">
        <v>1</v>
      </c>
      <c r="M40" s="1" t="s">
        <v>1</v>
      </c>
      <c r="N40" s="1" t="s">
        <v>1</v>
      </c>
      <c r="O40" s="1" t="s">
        <v>3659</v>
      </c>
      <c r="P40" s="1" t="s">
        <v>1477</v>
      </c>
      <c r="Q40" s="1">
        <v>1</v>
      </c>
      <c r="R40" s="1">
        <v>1</v>
      </c>
      <c r="S40" s="1">
        <v>6</v>
      </c>
      <c r="T40" s="1" t="s">
        <v>4995</v>
      </c>
      <c r="U40" s="1" t="s">
        <v>5004</v>
      </c>
      <c r="V40" s="1" t="s">
        <v>5282</v>
      </c>
      <c r="W40" s="1" t="s">
        <v>4974</v>
      </c>
      <c r="X40" s="1" t="s">
        <v>658</v>
      </c>
      <c r="Y40" s="1" t="s">
        <v>834</v>
      </c>
      <c r="Z40" s="1" t="s">
        <v>726</v>
      </c>
      <c r="AA40" s="1" t="s">
        <v>5006</v>
      </c>
      <c r="AB40" s="1">
        <v>4</v>
      </c>
      <c r="AC40" s="1">
        <v>2</v>
      </c>
      <c r="AD40" s="1">
        <v>3</v>
      </c>
      <c r="AE40" s="1">
        <v>4</v>
      </c>
      <c r="AF40" s="1"/>
    </row>
    <row r="41" spans="1:32" hidden="1" x14ac:dyDescent="0.25">
      <c r="A41" s="1">
        <v>40</v>
      </c>
      <c r="B41" s="1"/>
      <c r="C41" s="1" t="s">
        <v>1049</v>
      </c>
      <c r="D41" s="1" t="s">
        <v>3342</v>
      </c>
      <c r="E41">
        <v>2010</v>
      </c>
      <c r="F41" s="1" t="s">
        <v>244</v>
      </c>
      <c r="G41" s="1" t="s">
        <v>3344</v>
      </c>
      <c r="H41" s="1" t="s">
        <v>1</v>
      </c>
      <c r="I41" s="1" t="s">
        <v>3343</v>
      </c>
      <c r="J41" s="1" t="s">
        <v>1</v>
      </c>
      <c r="K41" s="1" t="s">
        <v>1050</v>
      </c>
      <c r="L41" s="1" t="s">
        <v>1035</v>
      </c>
      <c r="M41" s="1" t="s">
        <v>1</v>
      </c>
      <c r="N41" s="1" t="s">
        <v>1052</v>
      </c>
      <c r="O41" s="1" t="s">
        <v>3345</v>
      </c>
      <c r="P41" s="1" t="s">
        <v>1051</v>
      </c>
      <c r="Q41" s="1">
        <v>-1</v>
      </c>
      <c r="R41" s="1"/>
      <c r="S41" s="1"/>
      <c r="T41" s="1"/>
      <c r="U41" s="1"/>
      <c r="V41" s="1"/>
      <c r="W41" s="1"/>
      <c r="X41" s="1"/>
      <c r="Y41" s="1"/>
      <c r="Z41" s="1"/>
      <c r="AA41" s="1"/>
      <c r="AB41" s="1"/>
      <c r="AC41" s="1"/>
      <c r="AD41" s="1"/>
      <c r="AE41" s="1"/>
      <c r="AF41" s="1"/>
    </row>
    <row r="42" spans="1:32" hidden="1" x14ac:dyDescent="0.25">
      <c r="A42" s="1">
        <v>41</v>
      </c>
      <c r="B42" s="1"/>
      <c r="C42" s="1" t="s">
        <v>1847</v>
      </c>
      <c r="D42" s="1" t="s">
        <v>3937</v>
      </c>
      <c r="E42">
        <v>2009</v>
      </c>
      <c r="F42" s="1" t="s">
        <v>0</v>
      </c>
      <c r="G42" s="1" t="s">
        <v>3938</v>
      </c>
      <c r="H42" s="1" t="s">
        <v>1534</v>
      </c>
      <c r="I42" s="1" t="s">
        <v>1</v>
      </c>
      <c r="J42" s="1" t="s">
        <v>1</v>
      </c>
      <c r="K42" s="1" t="s">
        <v>1848</v>
      </c>
      <c r="L42" s="1" t="s">
        <v>1</v>
      </c>
      <c r="M42" s="1" t="s">
        <v>1</v>
      </c>
      <c r="N42" s="1" t="s">
        <v>1</v>
      </c>
      <c r="O42" s="1" t="s">
        <v>3939</v>
      </c>
      <c r="P42" s="1" t="s">
        <v>1849</v>
      </c>
      <c r="Q42" s="1">
        <v>-1</v>
      </c>
      <c r="R42" s="1"/>
      <c r="S42" s="1"/>
      <c r="T42" s="1"/>
      <c r="U42" s="1"/>
      <c r="V42" s="1"/>
      <c r="W42" s="1"/>
      <c r="X42" s="1"/>
      <c r="Y42" s="1"/>
      <c r="Z42" s="1"/>
      <c r="AA42" s="1"/>
      <c r="AB42" s="1"/>
      <c r="AC42" s="1"/>
      <c r="AD42" s="1"/>
      <c r="AE42" s="1"/>
      <c r="AF42" s="1"/>
    </row>
    <row r="43" spans="1:32" hidden="1" x14ac:dyDescent="0.25">
      <c r="A43" s="1">
        <v>42</v>
      </c>
      <c r="B43" s="1"/>
      <c r="C43" s="1" t="s">
        <v>1990</v>
      </c>
      <c r="D43" s="1" t="s">
        <v>4052</v>
      </c>
      <c r="E43">
        <v>2009</v>
      </c>
      <c r="F43" s="1" t="s">
        <v>116</v>
      </c>
      <c r="G43" s="1" t="s">
        <v>1</v>
      </c>
      <c r="H43" s="1" t="s">
        <v>1991</v>
      </c>
      <c r="I43" s="1" t="s">
        <v>3166</v>
      </c>
      <c r="J43" s="1" t="s">
        <v>3512</v>
      </c>
      <c r="K43" s="1" t="s">
        <v>1992</v>
      </c>
      <c r="L43" s="1" t="s">
        <v>1</v>
      </c>
      <c r="M43" s="1" t="s">
        <v>1</v>
      </c>
      <c r="N43" s="1" t="s">
        <v>1994</v>
      </c>
      <c r="O43" s="1" t="s">
        <v>4053</v>
      </c>
      <c r="P43" s="1" t="s">
        <v>1993</v>
      </c>
      <c r="Q43" s="1">
        <v>-1</v>
      </c>
      <c r="R43" s="1"/>
      <c r="S43" s="1"/>
      <c r="T43" s="1"/>
      <c r="U43" s="1"/>
      <c r="V43" s="1"/>
      <c r="W43" s="1"/>
      <c r="X43" s="1"/>
      <c r="Y43" s="1"/>
      <c r="Z43" s="1"/>
      <c r="AA43" s="1"/>
      <c r="AB43" s="1"/>
      <c r="AC43" s="1"/>
      <c r="AD43" s="1"/>
      <c r="AE43" s="1"/>
      <c r="AF43" s="1"/>
    </row>
    <row r="44" spans="1:32" hidden="1" x14ac:dyDescent="0.25">
      <c r="A44" s="1">
        <v>43</v>
      </c>
      <c r="B44" s="1"/>
      <c r="C44" s="1" t="s">
        <v>1027</v>
      </c>
      <c r="D44" s="1" t="s">
        <v>3326</v>
      </c>
      <c r="E44">
        <v>2008</v>
      </c>
      <c r="F44" s="1" t="s">
        <v>0</v>
      </c>
      <c r="G44" s="1" t="s">
        <v>3327</v>
      </c>
      <c r="H44" s="1" t="s">
        <v>1028</v>
      </c>
      <c r="I44" s="1" t="s">
        <v>3174</v>
      </c>
      <c r="J44" s="1" t="s">
        <v>1</v>
      </c>
      <c r="K44" s="1" t="s">
        <v>1029</v>
      </c>
      <c r="L44" s="1" t="s">
        <v>1</v>
      </c>
      <c r="M44" s="1" t="s">
        <v>1</v>
      </c>
      <c r="N44" s="1" t="s">
        <v>1</v>
      </c>
      <c r="O44" s="1" t="s">
        <v>3328</v>
      </c>
      <c r="P44" s="1" t="s">
        <v>1030</v>
      </c>
      <c r="Q44" s="1">
        <v>-1</v>
      </c>
      <c r="R44" s="1"/>
      <c r="S44" s="1"/>
      <c r="T44" s="1"/>
      <c r="U44" s="1"/>
      <c r="V44" s="1"/>
      <c r="W44" s="1"/>
      <c r="X44" s="1"/>
      <c r="Y44" s="1"/>
      <c r="Z44" s="1"/>
      <c r="AA44" s="1"/>
      <c r="AB44" s="1"/>
      <c r="AC44" s="1"/>
      <c r="AD44" s="1"/>
      <c r="AE44" s="1"/>
      <c r="AF44" s="1"/>
    </row>
    <row r="45" spans="1:32" hidden="1" x14ac:dyDescent="0.25">
      <c r="A45" s="1">
        <v>44</v>
      </c>
      <c r="B45" s="1"/>
      <c r="C45" s="1" t="s">
        <v>2488</v>
      </c>
      <c r="D45" s="1" t="s">
        <v>2487</v>
      </c>
      <c r="E45">
        <v>2017</v>
      </c>
      <c r="F45" s="1" t="s">
        <v>0</v>
      </c>
      <c r="G45" s="1" t="s">
        <v>4437</v>
      </c>
      <c r="H45" s="1" t="s">
        <v>2489</v>
      </c>
      <c r="I45" s="1" t="s">
        <v>1</v>
      </c>
      <c r="J45" s="1" t="s">
        <v>1</v>
      </c>
      <c r="K45" s="1" t="s">
        <v>2490</v>
      </c>
      <c r="L45" s="1" t="s">
        <v>1</v>
      </c>
      <c r="M45" s="1" t="s">
        <v>1</v>
      </c>
      <c r="N45" s="1" t="s">
        <v>1</v>
      </c>
      <c r="O45" s="1" t="s">
        <v>4438</v>
      </c>
      <c r="P45" s="1" t="s">
        <v>2491</v>
      </c>
      <c r="Q45" s="1">
        <v>-1</v>
      </c>
      <c r="R45" s="1"/>
      <c r="S45" s="1"/>
      <c r="T45" s="1"/>
      <c r="U45" s="1"/>
      <c r="V45" s="1"/>
      <c r="W45" s="1"/>
      <c r="X45" s="1"/>
      <c r="Y45" s="1"/>
      <c r="Z45" s="1"/>
      <c r="AA45" s="1"/>
      <c r="AB45" s="1"/>
      <c r="AC45" s="1"/>
      <c r="AD45" s="1"/>
      <c r="AE45" s="1"/>
      <c r="AF45" s="1"/>
    </row>
    <row r="46" spans="1:32" hidden="1" x14ac:dyDescent="0.25">
      <c r="A46" s="1">
        <v>45</v>
      </c>
      <c r="B46" s="1"/>
      <c r="C46" s="1" t="s">
        <v>1211</v>
      </c>
      <c r="D46" s="1" t="s">
        <v>3455</v>
      </c>
      <c r="E46">
        <v>2009</v>
      </c>
      <c r="F46" s="1" t="s">
        <v>0</v>
      </c>
      <c r="G46" s="1" t="s">
        <v>3456</v>
      </c>
      <c r="H46" s="1" t="s">
        <v>1</v>
      </c>
      <c r="I46" s="1" t="s">
        <v>1</v>
      </c>
      <c r="J46" s="1" t="s">
        <v>1</v>
      </c>
      <c r="K46" s="1" t="s">
        <v>1212</v>
      </c>
      <c r="L46" s="1" t="s">
        <v>1</v>
      </c>
      <c r="M46" s="1" t="s">
        <v>1</v>
      </c>
      <c r="N46" s="1" t="s">
        <v>1214</v>
      </c>
      <c r="O46" s="1" t="s">
        <v>3457</v>
      </c>
      <c r="P46" s="1" t="s">
        <v>1213</v>
      </c>
      <c r="Q46" s="1">
        <v>-1</v>
      </c>
      <c r="R46" s="1"/>
      <c r="S46" s="1"/>
      <c r="T46" s="1"/>
      <c r="U46" s="1"/>
      <c r="V46" s="1"/>
      <c r="W46" s="1"/>
      <c r="X46" s="1"/>
      <c r="Y46" s="1"/>
      <c r="Z46" s="1"/>
      <c r="AA46" s="1"/>
      <c r="AB46" s="1"/>
      <c r="AC46" s="1"/>
      <c r="AD46" s="1"/>
      <c r="AE46" s="1"/>
      <c r="AF46" s="1"/>
    </row>
    <row r="47" spans="1:32" hidden="1" x14ac:dyDescent="0.25">
      <c r="A47" s="1">
        <v>46</v>
      </c>
      <c r="B47" s="1"/>
      <c r="C47" s="1" t="s">
        <v>3028</v>
      </c>
      <c r="D47" s="1" t="s">
        <v>4869</v>
      </c>
      <c r="E47">
        <v>2015</v>
      </c>
      <c r="F47" s="1" t="s">
        <v>0</v>
      </c>
      <c r="G47" s="1" t="s">
        <v>4870</v>
      </c>
      <c r="H47" s="1" t="s">
        <v>3029</v>
      </c>
      <c r="I47" s="1" t="s">
        <v>1</v>
      </c>
      <c r="J47" s="1" t="s">
        <v>1</v>
      </c>
      <c r="K47" s="1" t="s">
        <v>3030</v>
      </c>
      <c r="L47" s="1" t="s">
        <v>1</v>
      </c>
      <c r="M47" s="1" t="s">
        <v>1</v>
      </c>
      <c r="N47" s="1" t="s">
        <v>1</v>
      </c>
      <c r="O47" s="1" t="s">
        <v>4871</v>
      </c>
      <c r="P47" s="1" t="s">
        <v>3031</v>
      </c>
      <c r="Q47" s="1">
        <v>-1</v>
      </c>
      <c r="R47" s="1"/>
      <c r="S47" s="1"/>
      <c r="T47" s="1"/>
      <c r="U47" s="1"/>
      <c r="V47" s="1"/>
      <c r="W47" s="1"/>
      <c r="X47" s="1"/>
      <c r="Y47" s="1"/>
      <c r="Z47" s="1"/>
      <c r="AA47" s="1"/>
      <c r="AB47" s="1"/>
      <c r="AC47" s="1"/>
      <c r="AD47" s="1"/>
      <c r="AE47" s="1"/>
      <c r="AF47" s="1"/>
    </row>
    <row r="48" spans="1:32" hidden="1" x14ac:dyDescent="0.25">
      <c r="A48" s="1">
        <v>47</v>
      </c>
      <c r="B48" s="1"/>
      <c r="C48" s="1" t="s">
        <v>2631</v>
      </c>
      <c r="D48" s="1" t="s">
        <v>4555</v>
      </c>
      <c r="E48">
        <v>2015</v>
      </c>
      <c r="F48" s="1" t="s">
        <v>0</v>
      </c>
      <c r="G48" s="1" t="s">
        <v>4556</v>
      </c>
      <c r="H48" s="1" t="s">
        <v>2632</v>
      </c>
      <c r="I48" s="1" t="s">
        <v>1</v>
      </c>
      <c r="J48" s="1" t="s">
        <v>1</v>
      </c>
      <c r="K48" s="1" t="s">
        <v>2338</v>
      </c>
      <c r="L48" s="1" t="s">
        <v>1</v>
      </c>
      <c r="M48" s="1" t="s">
        <v>1</v>
      </c>
      <c r="N48" s="1" t="s">
        <v>1</v>
      </c>
      <c r="O48" s="1" t="s">
        <v>4557</v>
      </c>
      <c r="P48" s="1" t="s">
        <v>2633</v>
      </c>
      <c r="Q48" s="1">
        <v>-1</v>
      </c>
      <c r="R48" s="1"/>
      <c r="S48" s="1"/>
      <c r="T48" s="1"/>
      <c r="U48" s="1"/>
      <c r="V48" s="1"/>
      <c r="W48" s="1"/>
      <c r="X48" s="1"/>
      <c r="Y48" s="1"/>
      <c r="Z48" s="1"/>
      <c r="AA48" s="1"/>
      <c r="AB48" s="1"/>
      <c r="AC48" s="1"/>
      <c r="AD48" s="1"/>
      <c r="AE48" s="1"/>
      <c r="AF48" s="1"/>
    </row>
    <row r="49" spans="1:32" x14ac:dyDescent="0.25">
      <c r="A49" s="1">
        <v>48</v>
      </c>
      <c r="B49" s="1">
        <v>4</v>
      </c>
      <c r="C49" s="1" t="s">
        <v>1778</v>
      </c>
      <c r="D49" s="1" t="s">
        <v>3884</v>
      </c>
      <c r="E49">
        <v>2014</v>
      </c>
      <c r="F49" s="1" t="s">
        <v>0</v>
      </c>
      <c r="G49" s="1" t="s">
        <v>3885</v>
      </c>
      <c r="H49" s="1" t="s">
        <v>1779</v>
      </c>
      <c r="I49" s="1" t="s">
        <v>1</v>
      </c>
      <c r="J49" s="1" t="s">
        <v>1</v>
      </c>
      <c r="K49" s="1" t="s">
        <v>1780</v>
      </c>
      <c r="L49" s="1" t="s">
        <v>1</v>
      </c>
      <c r="M49" s="1" t="s">
        <v>1</v>
      </c>
      <c r="N49" s="1" t="s">
        <v>1</v>
      </c>
      <c r="O49" s="1" t="s">
        <v>3886</v>
      </c>
      <c r="P49" s="1" t="s">
        <v>1782</v>
      </c>
      <c r="Q49" s="1">
        <v>1</v>
      </c>
      <c r="R49" s="6">
        <v>1</v>
      </c>
      <c r="S49" s="1">
        <v>7</v>
      </c>
      <c r="T49" s="1" t="s">
        <v>4995</v>
      </c>
      <c r="U49" s="1" t="s">
        <v>731</v>
      </c>
      <c r="V49" s="1" t="s">
        <v>2135</v>
      </c>
      <c r="W49" s="1" t="s">
        <v>4974</v>
      </c>
      <c r="X49" s="1" t="s">
        <v>658</v>
      </c>
      <c r="Y49" s="1" t="s">
        <v>5003</v>
      </c>
      <c r="Z49" s="1" t="s">
        <v>5010</v>
      </c>
      <c r="AA49" s="1" t="s">
        <v>5008</v>
      </c>
      <c r="AB49" s="1">
        <v>5</v>
      </c>
      <c r="AC49" s="1">
        <v>4</v>
      </c>
      <c r="AD49" s="1">
        <v>2</v>
      </c>
      <c r="AE49" s="1">
        <v>4</v>
      </c>
      <c r="AF49" s="1"/>
    </row>
    <row r="50" spans="1:32" hidden="1" x14ac:dyDescent="0.25">
      <c r="A50" s="1">
        <v>49</v>
      </c>
      <c r="B50" s="1"/>
      <c r="C50" s="1" t="s">
        <v>3071</v>
      </c>
      <c r="D50" s="1" t="s">
        <v>4898</v>
      </c>
      <c r="E50">
        <v>2007</v>
      </c>
      <c r="F50" s="1" t="s">
        <v>0</v>
      </c>
      <c r="G50" s="1" t="s">
        <v>4899</v>
      </c>
      <c r="H50" s="1" t="s">
        <v>3072</v>
      </c>
      <c r="I50" s="1" t="s">
        <v>1</v>
      </c>
      <c r="J50" s="1" t="s">
        <v>1</v>
      </c>
      <c r="K50" s="1" t="s">
        <v>3073</v>
      </c>
      <c r="L50" s="1" t="s">
        <v>1</v>
      </c>
      <c r="M50" s="1" t="s">
        <v>1</v>
      </c>
      <c r="N50" s="1" t="s">
        <v>1</v>
      </c>
      <c r="O50" s="1" t="s">
        <v>4900</v>
      </c>
      <c r="P50" s="1" t="s">
        <v>3074</v>
      </c>
      <c r="Q50" s="1">
        <v>-1</v>
      </c>
      <c r="R50" s="1"/>
      <c r="S50" s="1"/>
      <c r="T50" s="1"/>
      <c r="U50" s="1"/>
      <c r="V50" s="1"/>
      <c r="W50" s="1"/>
      <c r="X50" s="1"/>
      <c r="Y50" s="1"/>
      <c r="Z50" s="1"/>
      <c r="AA50" s="1"/>
      <c r="AB50" s="1"/>
      <c r="AC50" s="1"/>
      <c r="AD50" s="1"/>
      <c r="AE50" s="1"/>
      <c r="AF50" s="1"/>
    </row>
    <row r="51" spans="1:32" hidden="1" x14ac:dyDescent="0.25">
      <c r="A51" s="1">
        <v>50</v>
      </c>
      <c r="B51" s="1"/>
      <c r="C51" s="1" t="s">
        <v>2759</v>
      </c>
      <c r="D51" s="1" t="s">
        <v>4656</v>
      </c>
      <c r="E51">
        <v>2016</v>
      </c>
      <c r="F51" s="1" t="s">
        <v>0</v>
      </c>
      <c r="G51" s="1" t="s">
        <v>4657</v>
      </c>
      <c r="H51" s="1" t="s">
        <v>2760</v>
      </c>
      <c r="I51" s="1" t="s">
        <v>1</v>
      </c>
      <c r="J51" s="1" t="s">
        <v>1</v>
      </c>
      <c r="K51" s="1" t="s">
        <v>3224</v>
      </c>
      <c r="L51" s="1" t="s">
        <v>1</v>
      </c>
      <c r="M51" s="1" t="s">
        <v>1</v>
      </c>
      <c r="N51" s="1" t="s">
        <v>1</v>
      </c>
      <c r="O51" s="1" t="s">
        <v>4658</v>
      </c>
      <c r="P51" s="1" t="s">
        <v>2761</v>
      </c>
      <c r="Q51" s="1">
        <v>-1</v>
      </c>
      <c r="R51" s="1"/>
      <c r="S51" s="1"/>
      <c r="T51" s="1"/>
      <c r="U51" s="1"/>
      <c r="V51" s="1"/>
      <c r="W51" s="1"/>
      <c r="X51" s="1"/>
      <c r="Y51" s="1"/>
      <c r="Z51" s="1"/>
      <c r="AA51" s="1"/>
      <c r="AB51" s="1"/>
      <c r="AC51" s="1"/>
      <c r="AD51" s="1"/>
      <c r="AE51" s="1"/>
      <c r="AF51" s="1"/>
    </row>
    <row r="52" spans="1:32" hidden="1" x14ac:dyDescent="0.25">
      <c r="A52" s="1">
        <v>51</v>
      </c>
      <c r="B52" s="1"/>
      <c r="C52" s="1" t="s">
        <v>2154</v>
      </c>
      <c r="D52" s="1" t="s">
        <v>4173</v>
      </c>
      <c r="E52">
        <v>2017</v>
      </c>
      <c r="F52" s="1" t="s">
        <v>116</v>
      </c>
      <c r="G52" s="1" t="s">
        <v>4174</v>
      </c>
      <c r="H52" s="1" t="s">
        <v>2155</v>
      </c>
      <c r="I52" s="1" t="s">
        <v>3141</v>
      </c>
      <c r="J52" s="1" t="s">
        <v>3143</v>
      </c>
      <c r="K52" s="1" t="s">
        <v>2156</v>
      </c>
      <c r="L52" s="1" t="s">
        <v>1</v>
      </c>
      <c r="M52" s="1" t="s">
        <v>1</v>
      </c>
      <c r="N52" s="1" t="s">
        <v>1</v>
      </c>
      <c r="O52" s="1" t="s">
        <v>4175</v>
      </c>
      <c r="P52" s="1" t="s">
        <v>2157</v>
      </c>
      <c r="Q52" s="1">
        <v>-1</v>
      </c>
      <c r="R52" s="1"/>
      <c r="S52" s="1"/>
      <c r="T52" s="1"/>
      <c r="U52" s="1"/>
      <c r="V52" s="1"/>
      <c r="W52" s="1"/>
      <c r="X52" s="1"/>
      <c r="Y52" s="1"/>
      <c r="Z52" s="1"/>
      <c r="AA52" s="1"/>
      <c r="AB52" s="1"/>
      <c r="AC52" s="1"/>
      <c r="AD52" s="1"/>
      <c r="AE52" s="1"/>
      <c r="AF52" s="1"/>
    </row>
    <row r="53" spans="1:32" hidden="1" x14ac:dyDescent="0.25">
      <c r="A53" s="1">
        <v>52</v>
      </c>
      <c r="B53" s="1"/>
      <c r="C53" s="1" t="s">
        <v>2359</v>
      </c>
      <c r="D53" s="1" t="s">
        <v>4333</v>
      </c>
      <c r="E53">
        <v>2017</v>
      </c>
      <c r="F53" s="1" t="s">
        <v>0</v>
      </c>
      <c r="G53" s="1" t="s">
        <v>4334</v>
      </c>
      <c r="H53" s="1" t="s">
        <v>2360</v>
      </c>
      <c r="I53" s="1" t="s">
        <v>1</v>
      </c>
      <c r="J53" s="1" t="s">
        <v>1</v>
      </c>
      <c r="K53" s="1" t="s">
        <v>1463</v>
      </c>
      <c r="L53" s="1" t="s">
        <v>1</v>
      </c>
      <c r="M53" s="1" t="s">
        <v>1</v>
      </c>
      <c r="N53" s="1" t="s">
        <v>1</v>
      </c>
      <c r="O53" s="1" t="s">
        <v>4335</v>
      </c>
      <c r="P53" s="1" t="s">
        <v>2361</v>
      </c>
      <c r="Q53" s="1">
        <v>1</v>
      </c>
      <c r="R53" s="1">
        <v>-1</v>
      </c>
      <c r="S53" s="1"/>
      <c r="T53" s="1"/>
      <c r="U53" s="1"/>
      <c r="V53" s="1"/>
      <c r="W53" s="1"/>
      <c r="X53" s="1"/>
      <c r="Y53" s="1"/>
      <c r="Z53" s="1"/>
      <c r="AA53" s="1"/>
      <c r="AB53" s="1"/>
      <c r="AC53" s="1"/>
      <c r="AD53" s="1"/>
      <c r="AE53" s="1"/>
      <c r="AF53" s="1"/>
    </row>
    <row r="54" spans="1:32" hidden="1" x14ac:dyDescent="0.25">
      <c r="A54" s="1">
        <v>53</v>
      </c>
      <c r="B54" s="1"/>
      <c r="C54" s="1" t="s">
        <v>2115</v>
      </c>
      <c r="D54" s="1" t="s">
        <v>2114</v>
      </c>
      <c r="E54">
        <v>2017</v>
      </c>
      <c r="F54" s="1" t="s">
        <v>0</v>
      </c>
      <c r="G54" s="1" t="s">
        <v>4142</v>
      </c>
      <c r="H54" s="1" t="s">
        <v>1199</v>
      </c>
      <c r="I54" s="1" t="s">
        <v>1</v>
      </c>
      <c r="J54" s="1" t="s">
        <v>1</v>
      </c>
      <c r="K54" s="1" t="s">
        <v>3195</v>
      </c>
      <c r="L54" s="1" t="s">
        <v>1</v>
      </c>
      <c r="M54" s="1" t="s">
        <v>1</v>
      </c>
      <c r="N54" s="1" t="s">
        <v>1</v>
      </c>
      <c r="O54" s="1" t="s">
        <v>4143</v>
      </c>
      <c r="P54" s="1" t="s">
        <v>2116</v>
      </c>
      <c r="Q54" s="1">
        <v>-1</v>
      </c>
      <c r="R54" s="1"/>
      <c r="S54" s="1"/>
      <c r="T54" s="1"/>
      <c r="U54" s="1"/>
      <c r="V54" s="1"/>
      <c r="W54" s="1"/>
      <c r="X54" s="1"/>
      <c r="Y54" s="1"/>
      <c r="Z54" s="1"/>
      <c r="AA54" s="1"/>
      <c r="AB54" s="1"/>
      <c r="AC54" s="1"/>
      <c r="AD54" s="1"/>
      <c r="AE54" s="1"/>
      <c r="AF54" s="1"/>
    </row>
    <row r="55" spans="1:32" hidden="1" x14ac:dyDescent="0.25">
      <c r="A55" s="1">
        <v>54</v>
      </c>
      <c r="B55" s="1"/>
      <c r="C55" s="1" t="s">
        <v>956</v>
      </c>
      <c r="D55" s="1" t="s">
        <v>3278</v>
      </c>
      <c r="E55">
        <v>2015</v>
      </c>
      <c r="F55" s="1" t="s">
        <v>116</v>
      </c>
      <c r="G55" s="1" t="s">
        <v>3282</v>
      </c>
      <c r="H55" s="1" t="s">
        <v>876</v>
      </c>
      <c r="I55" s="1" t="s">
        <v>3281</v>
      </c>
      <c r="J55" s="1" t="s">
        <v>1</v>
      </c>
      <c r="K55" s="1" t="s">
        <v>957</v>
      </c>
      <c r="L55" s="1" t="s">
        <v>1</v>
      </c>
      <c r="M55" s="1" t="s">
        <v>1</v>
      </c>
      <c r="N55" s="1" t="s">
        <v>959</v>
      </c>
      <c r="O55" s="1" t="s">
        <v>3283</v>
      </c>
      <c r="P55" s="1" t="s">
        <v>958</v>
      </c>
      <c r="Q55" s="1">
        <v>-1</v>
      </c>
      <c r="R55" s="1"/>
      <c r="S55" s="1"/>
      <c r="T55" s="1"/>
      <c r="U55" s="1"/>
      <c r="V55" s="1"/>
      <c r="W55" s="1"/>
      <c r="X55" s="1"/>
      <c r="Y55" s="1"/>
      <c r="Z55" s="1"/>
      <c r="AA55" s="1"/>
      <c r="AB55" s="1"/>
      <c r="AC55" s="1"/>
      <c r="AD55" s="1"/>
      <c r="AE55" s="1"/>
      <c r="AF55" s="1"/>
    </row>
    <row r="56" spans="1:32" hidden="1" x14ac:dyDescent="0.25">
      <c r="A56" s="1">
        <v>55</v>
      </c>
      <c r="B56" s="1"/>
      <c r="C56" s="1" t="s">
        <v>2833</v>
      </c>
      <c r="D56" s="1" t="s">
        <v>4715</v>
      </c>
      <c r="E56">
        <v>2017</v>
      </c>
      <c r="F56" s="1" t="s">
        <v>0</v>
      </c>
      <c r="G56" s="1" t="s">
        <v>4716</v>
      </c>
      <c r="H56" s="1" t="s">
        <v>2834</v>
      </c>
      <c r="I56" s="1" t="s">
        <v>1</v>
      </c>
      <c r="J56" s="1" t="s">
        <v>1</v>
      </c>
      <c r="K56" s="1" t="s">
        <v>2835</v>
      </c>
      <c r="L56" s="1" t="s">
        <v>1</v>
      </c>
      <c r="M56" s="1" t="s">
        <v>1</v>
      </c>
      <c r="N56" s="1" t="s">
        <v>1</v>
      </c>
      <c r="O56" s="1" t="s">
        <v>4717</v>
      </c>
      <c r="P56" s="1" t="s">
        <v>2836</v>
      </c>
      <c r="Q56" s="1">
        <v>-1</v>
      </c>
      <c r="R56" s="1"/>
      <c r="S56" s="1"/>
      <c r="T56" s="1"/>
      <c r="U56" s="1"/>
      <c r="V56" s="1"/>
      <c r="W56" s="1"/>
      <c r="X56" s="1"/>
      <c r="Y56" s="1"/>
      <c r="Z56" s="1"/>
      <c r="AA56" s="1"/>
      <c r="AB56" s="1"/>
      <c r="AC56" s="1"/>
      <c r="AD56" s="1"/>
      <c r="AE56" s="1"/>
      <c r="AF56" s="1"/>
    </row>
    <row r="57" spans="1:32" x14ac:dyDescent="0.25">
      <c r="A57" s="1">
        <v>56</v>
      </c>
      <c r="B57" s="1">
        <v>5</v>
      </c>
      <c r="C57" s="1" t="s">
        <v>1573</v>
      </c>
      <c r="D57" s="1" t="s">
        <v>3731</v>
      </c>
      <c r="E57">
        <v>2014</v>
      </c>
      <c r="F57" s="1" t="s">
        <v>116</v>
      </c>
      <c r="G57" s="1" t="s">
        <v>3734</v>
      </c>
      <c r="H57" s="1" t="s">
        <v>1266</v>
      </c>
      <c r="I57" s="1" t="s">
        <v>3732</v>
      </c>
      <c r="J57" s="1" t="s">
        <v>3141</v>
      </c>
      <c r="K57" s="1" t="s">
        <v>3733</v>
      </c>
      <c r="L57" s="1" t="s">
        <v>1</v>
      </c>
      <c r="M57" s="1" t="s">
        <v>1</v>
      </c>
      <c r="N57" s="1" t="s">
        <v>1</v>
      </c>
      <c r="O57" s="1" t="s">
        <v>3735</v>
      </c>
      <c r="P57" s="1" t="s">
        <v>1574</v>
      </c>
      <c r="Q57" s="1">
        <v>1</v>
      </c>
      <c r="R57" s="1">
        <v>1</v>
      </c>
      <c r="S57" s="1">
        <v>6</v>
      </c>
      <c r="T57" s="1" t="s">
        <v>4995</v>
      </c>
      <c r="U57" s="1" t="s">
        <v>731</v>
      </c>
      <c r="V57" s="1" t="s">
        <v>5011</v>
      </c>
      <c r="W57" s="1" t="s">
        <v>4974</v>
      </c>
      <c r="X57" s="1" t="s">
        <v>116</v>
      </c>
      <c r="Y57" s="1" t="s">
        <v>2133</v>
      </c>
      <c r="Z57" s="1" t="s">
        <v>1090</v>
      </c>
      <c r="AA57" s="1" t="s">
        <v>5008</v>
      </c>
      <c r="AB57" s="1">
        <v>5</v>
      </c>
      <c r="AC57" s="1">
        <v>4</v>
      </c>
      <c r="AD57" s="1">
        <v>2</v>
      </c>
      <c r="AE57" s="1">
        <v>4</v>
      </c>
      <c r="AF57" s="1"/>
    </row>
    <row r="58" spans="1:32" hidden="1" x14ac:dyDescent="0.25">
      <c r="A58" s="1">
        <v>57</v>
      </c>
      <c r="B58" s="1"/>
      <c r="C58" s="1" t="s">
        <v>1627</v>
      </c>
      <c r="D58" s="1" t="s">
        <v>3782</v>
      </c>
      <c r="E58">
        <v>2011</v>
      </c>
      <c r="F58" s="1" t="s">
        <v>0</v>
      </c>
      <c r="G58" s="1" t="s">
        <v>3783</v>
      </c>
      <c r="H58" s="1" t="s">
        <v>1187</v>
      </c>
      <c r="I58" s="1" t="s">
        <v>1</v>
      </c>
      <c r="J58" s="1" t="s">
        <v>1</v>
      </c>
      <c r="K58" s="1" t="s">
        <v>1284</v>
      </c>
      <c r="L58" s="1" t="s">
        <v>1</v>
      </c>
      <c r="M58" s="1" t="s">
        <v>1</v>
      </c>
      <c r="N58" s="1" t="s">
        <v>1</v>
      </c>
      <c r="O58" s="1" t="s">
        <v>3784</v>
      </c>
      <c r="P58" s="1" t="s">
        <v>1628</v>
      </c>
      <c r="Q58" s="1">
        <v>-1</v>
      </c>
      <c r="R58" s="1"/>
      <c r="S58" s="1"/>
      <c r="T58" s="1"/>
      <c r="U58" s="1"/>
      <c r="V58" s="1"/>
      <c r="W58" s="1"/>
      <c r="X58" s="1"/>
      <c r="Y58" s="1"/>
      <c r="Z58" s="1"/>
      <c r="AA58" s="1"/>
      <c r="AB58" s="1"/>
      <c r="AC58" s="1"/>
      <c r="AD58" s="1"/>
      <c r="AE58" s="1"/>
      <c r="AF58" s="1"/>
    </row>
    <row r="59" spans="1:32" hidden="1" x14ac:dyDescent="0.25">
      <c r="A59" s="1">
        <v>58</v>
      </c>
      <c r="B59" s="1"/>
      <c r="C59" s="1" t="s">
        <v>2766</v>
      </c>
      <c r="D59" s="1" t="s">
        <v>4661</v>
      </c>
      <c r="E59">
        <v>2017</v>
      </c>
      <c r="F59" s="1" t="s">
        <v>0</v>
      </c>
      <c r="G59" s="1" t="s">
        <v>4662</v>
      </c>
      <c r="H59" s="1" t="s">
        <v>2767</v>
      </c>
      <c r="I59" s="1" t="s">
        <v>1</v>
      </c>
      <c r="J59" s="1" t="s">
        <v>1</v>
      </c>
      <c r="K59" s="1" t="s">
        <v>2768</v>
      </c>
      <c r="L59" s="1" t="s">
        <v>1</v>
      </c>
      <c r="M59" s="1" t="s">
        <v>1</v>
      </c>
      <c r="N59" s="1" t="s">
        <v>1</v>
      </c>
      <c r="O59" s="1" t="s">
        <v>4663</v>
      </c>
      <c r="P59" s="1" t="s">
        <v>2769</v>
      </c>
      <c r="Q59" s="1">
        <v>-1</v>
      </c>
      <c r="R59" s="1"/>
      <c r="S59" s="1"/>
      <c r="T59" s="1"/>
      <c r="U59" s="1"/>
      <c r="V59" s="1"/>
      <c r="W59" s="1"/>
      <c r="X59" s="1"/>
      <c r="Y59" s="1"/>
      <c r="Z59" s="1"/>
      <c r="AA59" s="1"/>
      <c r="AB59" s="1"/>
      <c r="AC59" s="1"/>
      <c r="AD59" s="1"/>
      <c r="AE59" s="1"/>
      <c r="AF59" s="1"/>
    </row>
    <row r="60" spans="1:32" hidden="1" x14ac:dyDescent="0.25">
      <c r="A60" s="1">
        <v>59</v>
      </c>
      <c r="B60" s="1"/>
      <c r="C60" s="1" t="s">
        <v>2782</v>
      </c>
      <c r="D60" s="1" t="s">
        <v>4673</v>
      </c>
      <c r="E60">
        <v>2007</v>
      </c>
      <c r="F60" s="1" t="s">
        <v>116</v>
      </c>
      <c r="G60" s="1" t="s">
        <v>4675</v>
      </c>
      <c r="H60" s="1" t="s">
        <v>846</v>
      </c>
      <c r="I60" s="1" t="s">
        <v>4674</v>
      </c>
      <c r="J60" s="1" t="s">
        <v>3166</v>
      </c>
      <c r="K60" s="1" t="s">
        <v>2783</v>
      </c>
      <c r="L60" s="1" t="s">
        <v>1</v>
      </c>
      <c r="M60" s="1" t="s">
        <v>1</v>
      </c>
      <c r="N60" s="1" t="s">
        <v>2785</v>
      </c>
      <c r="O60" s="1" t="s">
        <v>4676</v>
      </c>
      <c r="P60" s="1" t="s">
        <v>2784</v>
      </c>
      <c r="Q60" s="1">
        <v>-1</v>
      </c>
      <c r="R60" s="1"/>
      <c r="S60" s="1"/>
      <c r="T60" s="1"/>
      <c r="U60" s="1"/>
      <c r="V60" s="1"/>
      <c r="W60" s="1"/>
      <c r="X60" s="1"/>
      <c r="Y60" s="1"/>
      <c r="Z60" s="1"/>
      <c r="AA60" s="1"/>
      <c r="AB60" s="1"/>
      <c r="AC60" s="1"/>
      <c r="AD60" s="1"/>
      <c r="AE60" s="1"/>
      <c r="AF60" s="1"/>
    </row>
    <row r="61" spans="1:32" hidden="1" x14ac:dyDescent="0.25">
      <c r="A61" s="1">
        <v>60</v>
      </c>
      <c r="B61" s="1"/>
      <c r="C61" s="1" t="s">
        <v>1576</v>
      </c>
      <c r="D61" s="1" t="s">
        <v>1575</v>
      </c>
      <c r="E61">
        <v>2013</v>
      </c>
      <c r="F61" s="1" t="s">
        <v>0</v>
      </c>
      <c r="G61" s="1" t="s">
        <v>3736</v>
      </c>
      <c r="H61" s="1" t="s">
        <v>1577</v>
      </c>
      <c r="I61" s="1" t="s">
        <v>1</v>
      </c>
      <c r="J61" s="1" t="s">
        <v>1</v>
      </c>
      <c r="K61" s="1" t="s">
        <v>1578</v>
      </c>
      <c r="L61" s="1" t="s">
        <v>1</v>
      </c>
      <c r="M61" s="1" t="s">
        <v>1</v>
      </c>
      <c r="N61" s="1" t="s">
        <v>1</v>
      </c>
      <c r="O61" s="1" t="s">
        <v>3737</v>
      </c>
      <c r="P61" s="1" t="s">
        <v>1579</v>
      </c>
      <c r="Q61" s="1">
        <v>-1</v>
      </c>
      <c r="R61" s="1"/>
      <c r="S61" s="1"/>
      <c r="T61" s="1"/>
      <c r="U61" s="1"/>
      <c r="V61" s="1"/>
      <c r="W61" s="1"/>
      <c r="X61" s="1"/>
      <c r="Y61" s="1"/>
      <c r="Z61" s="1"/>
      <c r="AA61" s="1"/>
      <c r="AB61" s="1"/>
      <c r="AC61" s="1"/>
      <c r="AD61" s="1"/>
      <c r="AE61" s="1"/>
      <c r="AF61" s="1"/>
    </row>
    <row r="62" spans="1:32" hidden="1" x14ac:dyDescent="0.25">
      <c r="A62" s="1">
        <v>61</v>
      </c>
      <c r="B62" s="1"/>
      <c r="C62" s="1" t="s">
        <v>1561</v>
      </c>
      <c r="D62" s="1" t="s">
        <v>3722</v>
      </c>
      <c r="E62">
        <v>2006</v>
      </c>
      <c r="F62" s="1" t="s">
        <v>0</v>
      </c>
      <c r="G62" s="1" t="s">
        <v>3723</v>
      </c>
      <c r="H62" s="1" t="s">
        <v>1562</v>
      </c>
      <c r="I62" s="1" t="s">
        <v>1</v>
      </c>
      <c r="J62" s="1" t="s">
        <v>1</v>
      </c>
      <c r="K62" s="1" t="s">
        <v>1563</v>
      </c>
      <c r="L62" s="1" t="s">
        <v>1</v>
      </c>
      <c r="M62" s="1" t="s">
        <v>1</v>
      </c>
      <c r="N62" s="1" t="s">
        <v>1</v>
      </c>
      <c r="O62" s="1" t="s">
        <v>3724</v>
      </c>
      <c r="P62" s="1" t="s">
        <v>1564</v>
      </c>
      <c r="Q62" s="1">
        <v>-1</v>
      </c>
      <c r="R62" s="1"/>
      <c r="S62" s="1"/>
      <c r="T62" s="1"/>
      <c r="U62" s="1"/>
      <c r="V62" s="1"/>
      <c r="W62" s="1"/>
      <c r="X62" s="1"/>
      <c r="Y62" s="1"/>
      <c r="Z62" s="1"/>
      <c r="AA62" s="1"/>
      <c r="AB62" s="1"/>
      <c r="AC62" s="1"/>
      <c r="AD62" s="1"/>
      <c r="AE62" s="1"/>
      <c r="AF62" s="1"/>
    </row>
    <row r="63" spans="1:32" hidden="1" x14ac:dyDescent="0.25">
      <c r="A63" s="1">
        <v>62</v>
      </c>
      <c r="B63" s="1"/>
      <c r="C63" s="1" t="s">
        <v>2770</v>
      </c>
      <c r="D63" s="1" t="s">
        <v>4664</v>
      </c>
      <c r="E63">
        <v>2014</v>
      </c>
      <c r="F63" s="1" t="s">
        <v>116</v>
      </c>
      <c r="G63" s="1" t="s">
        <v>4665</v>
      </c>
      <c r="H63" s="1" t="s">
        <v>1814</v>
      </c>
      <c r="I63" s="1" t="s">
        <v>3698</v>
      </c>
      <c r="J63" s="1" t="s">
        <v>3143</v>
      </c>
      <c r="K63" s="1" t="s">
        <v>2771</v>
      </c>
      <c r="L63" s="1" t="s">
        <v>247</v>
      </c>
      <c r="M63" s="1" t="s">
        <v>1</v>
      </c>
      <c r="N63" s="1" t="s">
        <v>2773</v>
      </c>
      <c r="O63" s="1" t="s">
        <v>4666</v>
      </c>
      <c r="P63" s="1" t="s">
        <v>2772</v>
      </c>
      <c r="Q63" s="1">
        <v>-1</v>
      </c>
      <c r="R63" s="1"/>
      <c r="S63" s="1"/>
      <c r="T63" s="1"/>
      <c r="U63" s="1"/>
      <c r="V63" s="1"/>
      <c r="W63" s="1"/>
      <c r="X63" s="1"/>
      <c r="Y63" s="1"/>
      <c r="Z63" s="1"/>
      <c r="AA63" s="1"/>
      <c r="AB63" s="1"/>
      <c r="AC63" s="1"/>
      <c r="AD63" s="1"/>
      <c r="AE63" s="1"/>
      <c r="AF63" s="1"/>
    </row>
    <row r="64" spans="1:32" x14ac:dyDescent="0.25">
      <c r="A64" s="1">
        <v>63</v>
      </c>
      <c r="B64" s="1">
        <v>6</v>
      </c>
      <c r="C64" s="5" t="s">
        <v>2896</v>
      </c>
      <c r="D64" s="1" t="s">
        <v>4767</v>
      </c>
      <c r="E64">
        <v>2015</v>
      </c>
      <c r="F64" s="1" t="s">
        <v>0</v>
      </c>
      <c r="G64" s="1" t="s">
        <v>4768</v>
      </c>
      <c r="H64" s="1" t="s">
        <v>2441</v>
      </c>
      <c r="I64" s="1" t="s">
        <v>1</v>
      </c>
      <c r="J64" s="1" t="s">
        <v>1</v>
      </c>
      <c r="K64" s="1" t="s">
        <v>2897</v>
      </c>
      <c r="L64" s="1" t="s">
        <v>1</v>
      </c>
      <c r="M64" s="1" t="s">
        <v>1</v>
      </c>
      <c r="N64" s="1" t="s">
        <v>1</v>
      </c>
      <c r="O64" s="1" t="s">
        <v>4769</v>
      </c>
      <c r="P64" s="1" t="s">
        <v>2898</v>
      </c>
      <c r="Q64" s="1">
        <v>1</v>
      </c>
      <c r="R64" s="1">
        <v>1</v>
      </c>
      <c r="S64" s="1">
        <v>7</v>
      </c>
      <c r="T64" s="1" t="s">
        <v>5014</v>
      </c>
      <c r="U64" s="1" t="s">
        <v>5015</v>
      </c>
      <c r="V64" s="1" t="s">
        <v>5282</v>
      </c>
      <c r="W64" s="1" t="s">
        <v>4974</v>
      </c>
      <c r="X64" s="1" t="s">
        <v>5012</v>
      </c>
      <c r="Y64" s="1" t="s">
        <v>5003</v>
      </c>
      <c r="Z64" s="1" t="s">
        <v>5013</v>
      </c>
      <c r="AA64" s="1"/>
      <c r="AB64" s="1">
        <v>5</v>
      </c>
      <c r="AC64" s="1">
        <v>5</v>
      </c>
      <c r="AD64" s="1">
        <v>3</v>
      </c>
      <c r="AE64" s="1">
        <v>4</v>
      </c>
      <c r="AF64" s="1"/>
    </row>
    <row r="65" spans="1:32" hidden="1" x14ac:dyDescent="0.25">
      <c r="A65" s="1">
        <v>64</v>
      </c>
      <c r="B65" s="1"/>
      <c r="C65" s="1" t="s">
        <v>1720</v>
      </c>
      <c r="D65" s="1" t="s">
        <v>3844</v>
      </c>
      <c r="E65">
        <v>2012</v>
      </c>
      <c r="F65" s="1" t="s">
        <v>0</v>
      </c>
      <c r="G65" s="1" t="s">
        <v>3845</v>
      </c>
      <c r="H65" s="1" t="s">
        <v>1721</v>
      </c>
      <c r="I65" s="1" t="s">
        <v>3141</v>
      </c>
      <c r="J65" s="1" t="s">
        <v>1</v>
      </c>
      <c r="K65" s="1" t="s">
        <v>1722</v>
      </c>
      <c r="L65" s="1" t="s">
        <v>1</v>
      </c>
      <c r="M65" s="1" t="s">
        <v>1</v>
      </c>
      <c r="N65" s="1" t="s">
        <v>1</v>
      </c>
      <c r="O65" s="1" t="s">
        <v>3846</v>
      </c>
      <c r="P65" s="1" t="s">
        <v>1723</v>
      </c>
      <c r="Q65" s="1">
        <v>-1</v>
      </c>
      <c r="R65" s="1"/>
      <c r="S65" s="1"/>
      <c r="T65" s="1"/>
      <c r="U65" s="1"/>
      <c r="V65" s="1"/>
      <c r="W65" s="1"/>
      <c r="X65" s="1"/>
      <c r="Y65" s="1"/>
      <c r="Z65" s="1"/>
      <c r="AA65" s="1"/>
      <c r="AB65" s="1"/>
      <c r="AC65" s="1"/>
      <c r="AD65" s="1"/>
      <c r="AE65" s="1"/>
      <c r="AF65" s="1"/>
    </row>
    <row r="66" spans="1:32" hidden="1" x14ac:dyDescent="0.25">
      <c r="A66" s="1">
        <v>65</v>
      </c>
      <c r="B66" s="1"/>
      <c r="C66" s="1" t="s">
        <v>1427</v>
      </c>
      <c r="D66" s="1" t="s">
        <v>3612</v>
      </c>
      <c r="E66">
        <v>2010</v>
      </c>
      <c r="F66" s="1" t="s">
        <v>0</v>
      </c>
      <c r="G66" s="1" t="s">
        <v>3613</v>
      </c>
      <c r="H66" s="1" t="s">
        <v>1067</v>
      </c>
      <c r="I66" s="1" t="s">
        <v>1</v>
      </c>
      <c r="J66" s="1" t="s">
        <v>1</v>
      </c>
      <c r="K66" s="1" t="s">
        <v>3272</v>
      </c>
      <c r="L66" s="1" t="s">
        <v>1</v>
      </c>
      <c r="M66" s="1" t="s">
        <v>1</v>
      </c>
      <c r="N66" s="1" t="s">
        <v>1</v>
      </c>
      <c r="O66" s="1" t="s">
        <v>3614</v>
      </c>
      <c r="P66" s="1" t="s">
        <v>1428</v>
      </c>
      <c r="Q66" s="1">
        <v>1</v>
      </c>
      <c r="R66" s="1">
        <v>-1</v>
      </c>
      <c r="S66" s="1"/>
      <c r="T66" s="1"/>
      <c r="U66" s="1"/>
      <c r="V66" s="1"/>
      <c r="W66" s="1"/>
      <c r="X66" s="1"/>
      <c r="Y66" s="1"/>
      <c r="Z66" s="1"/>
      <c r="AA66" s="1"/>
      <c r="AB66" s="1"/>
      <c r="AC66" s="1"/>
      <c r="AD66" s="1"/>
      <c r="AE66" s="1"/>
      <c r="AF66" s="1"/>
    </row>
    <row r="67" spans="1:32" hidden="1" x14ac:dyDescent="0.25">
      <c r="A67" s="1">
        <v>66</v>
      </c>
      <c r="B67" s="1"/>
      <c r="C67" s="1" t="s">
        <v>1448</v>
      </c>
      <c r="D67" s="1" t="s">
        <v>3632</v>
      </c>
      <c r="E67">
        <v>2012</v>
      </c>
      <c r="F67" s="1" t="s">
        <v>0</v>
      </c>
      <c r="G67" s="1" t="s">
        <v>3633</v>
      </c>
      <c r="H67" s="1" t="s">
        <v>1449</v>
      </c>
      <c r="I67" s="1" t="s">
        <v>1</v>
      </c>
      <c r="J67" s="1" t="s">
        <v>1</v>
      </c>
      <c r="K67" s="1" t="s">
        <v>1450</v>
      </c>
      <c r="L67" s="1" t="s">
        <v>1</v>
      </c>
      <c r="M67" s="1" t="s">
        <v>1</v>
      </c>
      <c r="N67" s="1" t="s">
        <v>1</v>
      </c>
      <c r="O67" s="1" t="s">
        <v>3634</v>
      </c>
      <c r="P67" s="1" t="s">
        <v>3635</v>
      </c>
      <c r="Q67" s="1">
        <v>-1</v>
      </c>
      <c r="R67" s="1"/>
      <c r="S67" s="1"/>
      <c r="T67" s="1"/>
      <c r="U67" s="1"/>
      <c r="V67" s="1"/>
      <c r="W67" s="1"/>
      <c r="X67" s="1"/>
      <c r="Y67" s="1"/>
      <c r="Z67" s="1"/>
      <c r="AA67" s="1"/>
      <c r="AB67" s="1"/>
      <c r="AC67" s="1"/>
      <c r="AD67" s="1"/>
      <c r="AE67" s="1"/>
      <c r="AF67" s="1"/>
    </row>
    <row r="68" spans="1:32" hidden="1" x14ac:dyDescent="0.25">
      <c r="A68" s="1">
        <v>67</v>
      </c>
      <c r="B68" s="1"/>
      <c r="C68" s="1" t="s">
        <v>907</v>
      </c>
      <c r="D68" s="1" t="s">
        <v>3245</v>
      </c>
      <c r="E68">
        <v>2008</v>
      </c>
      <c r="F68" s="1" t="s">
        <v>0</v>
      </c>
      <c r="G68" s="1" t="s">
        <v>3246</v>
      </c>
      <c r="H68" s="1" t="s">
        <v>908</v>
      </c>
      <c r="I68" s="1" t="s">
        <v>1</v>
      </c>
      <c r="J68" s="1" t="s">
        <v>1</v>
      </c>
      <c r="K68" s="1" t="s">
        <v>909</v>
      </c>
      <c r="L68" s="1" t="s">
        <v>1</v>
      </c>
      <c r="M68" s="1" t="s">
        <v>1</v>
      </c>
      <c r="N68" s="1" t="s">
        <v>1</v>
      </c>
      <c r="O68" s="1" t="s">
        <v>3247</v>
      </c>
      <c r="P68" s="1" t="s">
        <v>910</v>
      </c>
      <c r="Q68" s="1">
        <v>-1</v>
      </c>
      <c r="R68" s="1"/>
      <c r="S68" s="1"/>
      <c r="T68" s="1"/>
      <c r="U68" s="1"/>
      <c r="V68" s="1"/>
      <c r="W68" s="1"/>
      <c r="X68" s="1"/>
      <c r="Y68" s="1"/>
      <c r="Z68" s="1"/>
      <c r="AA68" s="1"/>
      <c r="AB68" s="1"/>
      <c r="AC68" s="1"/>
      <c r="AD68" s="1"/>
      <c r="AE68" s="1"/>
      <c r="AF68" s="1"/>
    </row>
    <row r="69" spans="1:32" hidden="1" x14ac:dyDescent="0.25">
      <c r="A69" s="1">
        <v>68</v>
      </c>
      <c r="B69" s="1"/>
      <c r="C69" s="1" t="s">
        <v>1411</v>
      </c>
      <c r="D69" s="1" t="s">
        <v>3598</v>
      </c>
      <c r="E69">
        <v>2009</v>
      </c>
      <c r="F69" s="1" t="s">
        <v>0</v>
      </c>
      <c r="G69" s="1" t="s">
        <v>1</v>
      </c>
      <c r="H69" s="1" t="s">
        <v>1</v>
      </c>
      <c r="I69" s="1" t="s">
        <v>1</v>
      </c>
      <c r="J69" s="1" t="s">
        <v>1</v>
      </c>
      <c r="K69" s="1" t="s">
        <v>1412</v>
      </c>
      <c r="L69" s="1" t="s">
        <v>1</v>
      </c>
      <c r="M69" s="1" t="s">
        <v>1</v>
      </c>
      <c r="N69" s="1" t="s">
        <v>1414</v>
      </c>
      <c r="O69" s="1" t="s">
        <v>3599</v>
      </c>
      <c r="P69" s="1" t="s">
        <v>1413</v>
      </c>
      <c r="Q69" s="1">
        <v>-1</v>
      </c>
      <c r="R69" s="1"/>
      <c r="S69" s="1"/>
      <c r="T69" s="1"/>
      <c r="U69" s="1"/>
      <c r="V69" s="1"/>
      <c r="W69" s="1"/>
      <c r="X69" s="1"/>
      <c r="Y69" s="1"/>
      <c r="Z69" s="1"/>
      <c r="AA69" s="1"/>
      <c r="AB69" s="1"/>
      <c r="AC69" s="1"/>
      <c r="AD69" s="1"/>
      <c r="AE69" s="1"/>
      <c r="AF69" s="1"/>
    </row>
    <row r="70" spans="1:32" hidden="1" x14ac:dyDescent="0.25">
      <c r="A70" s="1">
        <v>69</v>
      </c>
      <c r="B70" s="1"/>
      <c r="C70" s="1" t="s">
        <v>1735</v>
      </c>
      <c r="D70" s="1" t="s">
        <v>3854</v>
      </c>
      <c r="E70">
        <v>2017</v>
      </c>
      <c r="F70" s="1" t="s">
        <v>0</v>
      </c>
      <c r="G70" s="1" t="s">
        <v>3855</v>
      </c>
      <c r="H70" s="1" t="s">
        <v>1</v>
      </c>
      <c r="I70" s="1" t="s">
        <v>1</v>
      </c>
      <c r="J70" s="1" t="s">
        <v>1</v>
      </c>
      <c r="K70" s="1" t="s">
        <v>1736</v>
      </c>
      <c r="L70" s="1" t="s">
        <v>237</v>
      </c>
      <c r="M70" s="1" t="s">
        <v>1</v>
      </c>
      <c r="N70" s="1" t="s">
        <v>1738</v>
      </c>
      <c r="O70" s="1" t="s">
        <v>3856</v>
      </c>
      <c r="P70" s="1" t="s">
        <v>1737</v>
      </c>
      <c r="Q70" s="1">
        <v>-1</v>
      </c>
      <c r="R70" s="1"/>
      <c r="S70" s="1"/>
      <c r="T70" s="1"/>
      <c r="U70" s="1"/>
      <c r="V70" s="1"/>
      <c r="W70" s="1"/>
      <c r="X70" s="1"/>
      <c r="Y70" s="1"/>
      <c r="Z70" s="1"/>
      <c r="AA70" s="1"/>
      <c r="AB70" s="1"/>
      <c r="AC70" s="1"/>
      <c r="AD70" s="1"/>
      <c r="AE70" s="1"/>
      <c r="AF70" s="1"/>
    </row>
    <row r="71" spans="1:32" hidden="1" x14ac:dyDescent="0.25">
      <c r="A71" s="1">
        <v>70</v>
      </c>
      <c r="B71" s="1"/>
      <c r="C71" s="1" t="s">
        <v>2234</v>
      </c>
      <c r="D71" s="1" t="s">
        <v>4235</v>
      </c>
      <c r="E71">
        <v>2010</v>
      </c>
      <c r="F71" s="1" t="s">
        <v>0</v>
      </c>
      <c r="G71" s="1" t="s">
        <v>4236</v>
      </c>
      <c r="H71" s="1" t="s">
        <v>2235</v>
      </c>
      <c r="I71" s="1" t="s">
        <v>3141</v>
      </c>
      <c r="J71" s="1" t="s">
        <v>1</v>
      </c>
      <c r="K71" s="1" t="s">
        <v>3356</v>
      </c>
      <c r="L71" s="1" t="s">
        <v>1</v>
      </c>
      <c r="M71" s="1" t="s">
        <v>1</v>
      </c>
      <c r="N71" s="1" t="s">
        <v>1</v>
      </c>
      <c r="O71" s="1" t="s">
        <v>4237</v>
      </c>
      <c r="P71" s="1" t="s">
        <v>2237</v>
      </c>
      <c r="Q71" s="1">
        <v>-1</v>
      </c>
      <c r="R71" s="1"/>
      <c r="S71" s="1"/>
      <c r="T71" s="1"/>
      <c r="U71" s="1"/>
      <c r="V71" s="1"/>
      <c r="W71" s="1"/>
      <c r="X71" s="1"/>
      <c r="Y71" s="1"/>
      <c r="Z71" s="1"/>
      <c r="AA71" s="1"/>
      <c r="AB71" s="1"/>
      <c r="AC71" s="1"/>
      <c r="AD71" s="1"/>
      <c r="AE71" s="1"/>
      <c r="AF71" s="1"/>
    </row>
    <row r="72" spans="1:32" hidden="1" x14ac:dyDescent="0.25">
      <c r="A72" s="1">
        <v>71</v>
      </c>
      <c r="B72" s="1"/>
      <c r="C72" s="1" t="s">
        <v>2774</v>
      </c>
      <c r="D72" s="1" t="s">
        <v>4667</v>
      </c>
      <c r="E72">
        <v>2006</v>
      </c>
      <c r="F72" s="1" t="s">
        <v>0</v>
      </c>
      <c r="G72" s="1" t="s">
        <v>4668</v>
      </c>
      <c r="H72" s="1" t="s">
        <v>2775</v>
      </c>
      <c r="I72" s="1" t="s">
        <v>1</v>
      </c>
      <c r="J72" s="1" t="s">
        <v>1</v>
      </c>
      <c r="K72" s="1" t="s">
        <v>2776</v>
      </c>
      <c r="L72" s="1" t="s">
        <v>1</v>
      </c>
      <c r="M72" s="1" t="s">
        <v>1</v>
      </c>
      <c r="N72" s="1" t="s">
        <v>1</v>
      </c>
      <c r="O72" s="1" t="s">
        <v>4669</v>
      </c>
      <c r="P72" s="1" t="s">
        <v>2777</v>
      </c>
      <c r="Q72" s="1">
        <v>-1</v>
      </c>
      <c r="R72" s="1"/>
      <c r="S72" s="1"/>
      <c r="T72" s="1"/>
      <c r="U72" s="1"/>
      <c r="V72" s="1"/>
      <c r="W72" s="1"/>
      <c r="X72" s="1"/>
      <c r="Y72" s="1"/>
      <c r="Z72" s="1"/>
      <c r="AA72" s="1"/>
      <c r="AB72" s="1"/>
      <c r="AC72" s="1"/>
      <c r="AD72" s="1"/>
      <c r="AE72" s="1"/>
      <c r="AF72" s="1"/>
    </row>
    <row r="73" spans="1:32" hidden="1" x14ac:dyDescent="0.25">
      <c r="A73" s="1">
        <v>72</v>
      </c>
      <c r="B73" s="1"/>
      <c r="C73" s="1" t="s">
        <v>1088</v>
      </c>
      <c r="D73" s="1" t="s">
        <v>3366</v>
      </c>
      <c r="E73">
        <v>2014</v>
      </c>
      <c r="F73" s="1" t="s">
        <v>0</v>
      </c>
      <c r="G73" s="1" t="s">
        <v>3367</v>
      </c>
      <c r="H73" s="1" t="s">
        <v>1089</v>
      </c>
      <c r="I73" s="1" t="s">
        <v>1</v>
      </c>
      <c r="J73" s="1" t="s">
        <v>1</v>
      </c>
      <c r="K73" s="1" t="s">
        <v>3195</v>
      </c>
      <c r="L73" s="1" t="s">
        <v>1</v>
      </c>
      <c r="M73" s="1" t="s">
        <v>1</v>
      </c>
      <c r="N73" s="1" t="s">
        <v>1</v>
      </c>
      <c r="O73" s="1" t="s">
        <v>3368</v>
      </c>
      <c r="P73" s="1" t="s">
        <v>1091</v>
      </c>
      <c r="Q73" s="1">
        <v>-1</v>
      </c>
      <c r="R73" s="1"/>
      <c r="S73" s="1"/>
      <c r="T73" s="1"/>
      <c r="U73" s="1"/>
      <c r="V73" s="1"/>
      <c r="W73" s="1"/>
      <c r="X73" s="1"/>
      <c r="Y73" s="1"/>
      <c r="Z73" s="1"/>
      <c r="AA73" s="1"/>
      <c r="AB73" s="1"/>
      <c r="AC73" s="1"/>
      <c r="AD73" s="1"/>
      <c r="AE73" s="1"/>
      <c r="AF73" s="1"/>
    </row>
    <row r="74" spans="1:32" hidden="1" x14ac:dyDescent="0.25">
      <c r="A74" s="1">
        <v>73</v>
      </c>
      <c r="B74" s="1"/>
      <c r="C74" s="1" t="s">
        <v>1182</v>
      </c>
      <c r="D74" s="1" t="s">
        <v>3429</v>
      </c>
      <c r="E74">
        <v>2010</v>
      </c>
      <c r="F74" s="1" t="s">
        <v>0</v>
      </c>
      <c r="G74" s="1" t="s">
        <v>3433</v>
      </c>
      <c r="H74" s="1" t="s">
        <v>1183</v>
      </c>
      <c r="I74" s="1" t="s">
        <v>1</v>
      </c>
      <c r="J74" s="1" t="s">
        <v>1</v>
      </c>
      <c r="K74" s="1" t="s">
        <v>1184</v>
      </c>
      <c r="L74" s="1" t="s">
        <v>1</v>
      </c>
      <c r="M74" s="1" t="s">
        <v>1</v>
      </c>
      <c r="N74" s="1" t="s">
        <v>1</v>
      </c>
      <c r="O74" s="1" t="s">
        <v>3434</v>
      </c>
      <c r="P74" s="1" t="s">
        <v>1185</v>
      </c>
      <c r="Q74" s="1">
        <v>-1</v>
      </c>
      <c r="R74" s="1"/>
      <c r="S74" s="1"/>
      <c r="T74" s="1"/>
      <c r="U74" s="1"/>
      <c r="V74" s="1"/>
      <c r="W74" s="1"/>
      <c r="X74" s="1"/>
      <c r="Y74" s="1"/>
      <c r="Z74" s="1"/>
      <c r="AA74" s="1"/>
      <c r="AB74" s="1"/>
      <c r="AC74" s="1"/>
      <c r="AD74" s="1"/>
      <c r="AE74" s="1"/>
      <c r="AF74" s="1"/>
    </row>
    <row r="75" spans="1:32" hidden="1" x14ac:dyDescent="0.25">
      <c r="A75" s="1">
        <v>74</v>
      </c>
      <c r="B75" s="1"/>
      <c r="C75" s="1" t="s">
        <v>2010</v>
      </c>
      <c r="D75" s="1" t="s">
        <v>4069</v>
      </c>
      <c r="E75">
        <v>2017</v>
      </c>
      <c r="F75" s="1" t="s">
        <v>658</v>
      </c>
      <c r="G75" s="1" t="s">
        <v>4070</v>
      </c>
      <c r="H75" s="1" t="s">
        <v>2011</v>
      </c>
      <c r="I75" s="1" t="s">
        <v>1</v>
      </c>
      <c r="J75" s="1" t="s">
        <v>1</v>
      </c>
      <c r="K75" s="1" t="s">
        <v>2013</v>
      </c>
      <c r="L75" s="1" t="s">
        <v>666</v>
      </c>
      <c r="M75" s="1" t="s">
        <v>2012</v>
      </c>
      <c r="N75" s="1" t="s">
        <v>1</v>
      </c>
      <c r="O75" s="1" t="s">
        <v>1</v>
      </c>
      <c r="P75" s="1" t="s">
        <v>1</v>
      </c>
      <c r="Q75" s="1">
        <v>-1</v>
      </c>
      <c r="R75" s="1"/>
      <c r="S75" s="1"/>
      <c r="T75" s="1"/>
      <c r="U75" s="1"/>
      <c r="V75" s="1"/>
      <c r="W75" s="1"/>
      <c r="X75" s="1"/>
      <c r="Y75" s="1"/>
      <c r="Z75" s="1"/>
      <c r="AA75" s="1"/>
      <c r="AB75" s="1"/>
      <c r="AC75" s="1"/>
      <c r="AD75" s="1"/>
      <c r="AE75" s="1"/>
      <c r="AF75" s="1"/>
    </row>
    <row r="76" spans="1:32" hidden="1" x14ac:dyDescent="0.25">
      <c r="A76" s="1">
        <v>75</v>
      </c>
      <c r="B76" s="1"/>
      <c r="C76" s="1" t="s">
        <v>2104</v>
      </c>
      <c r="D76" s="1" t="s">
        <v>4134</v>
      </c>
      <c r="E76">
        <v>2017</v>
      </c>
      <c r="F76" s="1" t="s">
        <v>0</v>
      </c>
      <c r="G76" s="1" t="s">
        <v>4135</v>
      </c>
      <c r="H76" s="1" t="s">
        <v>2105</v>
      </c>
      <c r="I76" s="1" t="s">
        <v>1</v>
      </c>
      <c r="J76" s="1" t="s">
        <v>1</v>
      </c>
      <c r="K76" s="1" t="s">
        <v>3184</v>
      </c>
      <c r="L76" s="1" t="s">
        <v>1</v>
      </c>
      <c r="M76" s="1" t="s">
        <v>1</v>
      </c>
      <c r="N76" s="1" t="s">
        <v>1</v>
      </c>
      <c r="O76" s="1" t="s">
        <v>4136</v>
      </c>
      <c r="P76" s="1" t="s">
        <v>2106</v>
      </c>
      <c r="Q76" s="1">
        <v>-1</v>
      </c>
      <c r="R76" s="1"/>
      <c r="S76" s="1"/>
      <c r="T76" s="1"/>
      <c r="U76" s="1"/>
      <c r="V76" s="1"/>
      <c r="W76" s="1"/>
      <c r="X76" s="1"/>
      <c r="Y76" s="1"/>
      <c r="Z76" s="1"/>
      <c r="AA76" s="1"/>
      <c r="AB76" s="1"/>
      <c r="AC76" s="1"/>
      <c r="AD76" s="1"/>
      <c r="AE76" s="1"/>
      <c r="AF76" s="1"/>
    </row>
    <row r="77" spans="1:32" hidden="1" x14ac:dyDescent="0.25">
      <c r="A77" s="1">
        <v>76</v>
      </c>
      <c r="B77" s="1"/>
      <c r="C77" s="1" t="s">
        <v>916</v>
      </c>
      <c r="D77" s="1" t="s">
        <v>3251</v>
      </c>
      <c r="E77">
        <v>2010</v>
      </c>
      <c r="F77" s="1" t="s">
        <v>0</v>
      </c>
      <c r="G77" s="1" t="s">
        <v>3252</v>
      </c>
      <c r="H77" s="1" t="s">
        <v>917</v>
      </c>
      <c r="I77" s="1" t="s">
        <v>1</v>
      </c>
      <c r="J77" s="1" t="s">
        <v>1</v>
      </c>
      <c r="K77" s="1" t="s">
        <v>918</v>
      </c>
      <c r="L77" s="1" t="s">
        <v>1</v>
      </c>
      <c r="M77" s="1" t="s">
        <v>1</v>
      </c>
      <c r="N77" s="1" t="s">
        <v>1</v>
      </c>
      <c r="O77" s="1" t="s">
        <v>3253</v>
      </c>
      <c r="P77" s="1" t="s">
        <v>919</v>
      </c>
      <c r="Q77" s="1">
        <v>-1</v>
      </c>
      <c r="R77" s="1"/>
      <c r="S77" s="1"/>
      <c r="T77" s="1"/>
      <c r="U77" s="1"/>
      <c r="V77" s="1"/>
      <c r="W77" s="1"/>
      <c r="X77" s="1"/>
      <c r="Y77" s="1"/>
      <c r="Z77" s="1"/>
      <c r="AA77" s="1"/>
      <c r="AB77" s="1"/>
      <c r="AC77" s="1"/>
      <c r="AD77" s="1"/>
      <c r="AE77" s="1"/>
      <c r="AF77" s="1"/>
    </row>
    <row r="78" spans="1:32" hidden="1" x14ac:dyDescent="0.25">
      <c r="A78" s="1">
        <v>77</v>
      </c>
      <c r="B78" s="1"/>
      <c r="C78" s="1" t="s">
        <v>1235</v>
      </c>
      <c r="D78" s="1" t="s">
        <v>3467</v>
      </c>
      <c r="E78">
        <v>2010</v>
      </c>
      <c r="F78" s="1" t="s">
        <v>0</v>
      </c>
      <c r="G78" s="1" t="s">
        <v>3468</v>
      </c>
      <c r="H78" s="1" t="s">
        <v>1236</v>
      </c>
      <c r="I78" s="1" t="s">
        <v>1</v>
      </c>
      <c r="J78" s="1" t="s">
        <v>1</v>
      </c>
      <c r="K78" s="1" t="s">
        <v>1237</v>
      </c>
      <c r="L78" s="1" t="s">
        <v>1</v>
      </c>
      <c r="M78" s="1" t="s">
        <v>1</v>
      </c>
      <c r="N78" s="1" t="s">
        <v>1</v>
      </c>
      <c r="O78" s="1" t="s">
        <v>3469</v>
      </c>
      <c r="P78" s="1" t="s">
        <v>1238</v>
      </c>
      <c r="Q78" s="1">
        <v>-1</v>
      </c>
      <c r="R78" s="1"/>
      <c r="S78" s="1"/>
      <c r="T78" s="1"/>
      <c r="U78" s="1"/>
      <c r="V78" s="1"/>
      <c r="W78" s="1"/>
      <c r="X78" s="1"/>
      <c r="Y78" s="1"/>
      <c r="Z78" s="1"/>
      <c r="AA78" s="1"/>
      <c r="AB78" s="1"/>
      <c r="AC78" s="1"/>
      <c r="AD78" s="1"/>
      <c r="AE78" s="1"/>
      <c r="AF78" s="1"/>
    </row>
    <row r="79" spans="1:32" hidden="1" x14ac:dyDescent="0.25">
      <c r="A79" s="1">
        <v>78</v>
      </c>
      <c r="B79" s="1"/>
      <c r="C79" s="8" t="s">
        <v>1520</v>
      </c>
      <c r="D79" s="1" t="s">
        <v>3692</v>
      </c>
      <c r="E79">
        <v>2016</v>
      </c>
      <c r="F79" s="1" t="s">
        <v>116</v>
      </c>
      <c r="G79" s="1" t="s">
        <v>3693</v>
      </c>
      <c r="H79" s="1" t="s">
        <v>124</v>
      </c>
      <c r="I79" s="1" t="s">
        <v>3332</v>
      </c>
      <c r="J79" s="1" t="s">
        <v>3143</v>
      </c>
      <c r="K79" s="1" t="s">
        <v>1521</v>
      </c>
      <c r="L79" s="1" t="s">
        <v>1035</v>
      </c>
      <c r="M79" s="1" t="s">
        <v>1</v>
      </c>
      <c r="N79" s="1" t="s">
        <v>1523</v>
      </c>
      <c r="O79" s="1" t="s">
        <v>3694</v>
      </c>
      <c r="P79" s="1" t="s">
        <v>1522</v>
      </c>
      <c r="Q79" s="1">
        <v>-1</v>
      </c>
      <c r="R79" s="1"/>
      <c r="S79" s="1"/>
      <c r="T79" s="1"/>
      <c r="U79" s="1"/>
      <c r="V79" s="1"/>
      <c r="W79" s="1"/>
      <c r="X79" s="1"/>
      <c r="Y79" s="1"/>
      <c r="Z79" s="1"/>
      <c r="AA79" s="1"/>
      <c r="AB79" s="1"/>
      <c r="AC79" s="1"/>
      <c r="AD79" s="1"/>
      <c r="AE79" s="1"/>
      <c r="AF79" s="1"/>
    </row>
    <row r="80" spans="1:32" hidden="1" x14ac:dyDescent="0.25">
      <c r="A80" s="1">
        <v>79</v>
      </c>
      <c r="B80" s="1"/>
      <c r="C80" s="1" t="s">
        <v>2563</v>
      </c>
      <c r="D80" s="1" t="s">
        <v>4491</v>
      </c>
      <c r="E80">
        <v>2015</v>
      </c>
      <c r="F80" s="1" t="s">
        <v>0</v>
      </c>
      <c r="G80" s="1" t="s">
        <v>4496</v>
      </c>
      <c r="H80" s="1" t="s">
        <v>2564</v>
      </c>
      <c r="I80" s="1" t="s">
        <v>1</v>
      </c>
      <c r="J80" s="1" t="s">
        <v>1</v>
      </c>
      <c r="K80" s="1" t="s">
        <v>2565</v>
      </c>
      <c r="L80" s="1" t="s">
        <v>1</v>
      </c>
      <c r="M80" s="1" t="s">
        <v>1</v>
      </c>
      <c r="N80" s="1" t="s">
        <v>1</v>
      </c>
      <c r="O80" s="1" t="s">
        <v>4497</v>
      </c>
      <c r="P80" s="1" t="s">
        <v>2566</v>
      </c>
      <c r="Q80" s="1">
        <v>-1</v>
      </c>
      <c r="R80" s="1"/>
      <c r="S80" s="1"/>
      <c r="T80" s="1"/>
      <c r="U80" s="1"/>
      <c r="V80" s="1"/>
      <c r="W80" s="1"/>
      <c r="X80" s="1"/>
      <c r="Y80" s="1"/>
      <c r="Z80" s="1"/>
      <c r="AA80" s="1"/>
      <c r="AB80" s="1"/>
      <c r="AC80" s="1"/>
      <c r="AD80" s="1"/>
      <c r="AE80" s="1"/>
      <c r="AF80" s="1"/>
    </row>
    <row r="81" spans="1:32" hidden="1" x14ac:dyDescent="0.25">
      <c r="A81" s="1">
        <v>80</v>
      </c>
      <c r="B81" s="1"/>
      <c r="C81" s="1" t="s">
        <v>1831</v>
      </c>
      <c r="D81" s="1" t="s">
        <v>3922</v>
      </c>
      <c r="E81">
        <v>2007</v>
      </c>
      <c r="F81" s="1" t="s">
        <v>0</v>
      </c>
      <c r="G81" s="1" t="s">
        <v>3923</v>
      </c>
      <c r="H81" s="1" t="s">
        <v>1832</v>
      </c>
      <c r="I81" s="1" t="s">
        <v>1</v>
      </c>
      <c r="J81" s="1" t="s">
        <v>1</v>
      </c>
      <c r="K81" s="1" t="s">
        <v>1833</v>
      </c>
      <c r="L81" s="1" t="s">
        <v>1</v>
      </c>
      <c r="M81" s="1" t="s">
        <v>1</v>
      </c>
      <c r="N81" s="1" t="s">
        <v>1</v>
      </c>
      <c r="O81" s="1" t="s">
        <v>3924</v>
      </c>
      <c r="P81" s="1" t="s">
        <v>1834</v>
      </c>
      <c r="Q81" s="1">
        <v>-1</v>
      </c>
      <c r="R81" s="1"/>
      <c r="S81" s="1"/>
      <c r="T81" s="1"/>
      <c r="U81" s="1"/>
      <c r="V81" s="1"/>
      <c r="W81" s="1"/>
      <c r="X81" s="1"/>
      <c r="Y81" s="1"/>
      <c r="Z81" s="1"/>
      <c r="AA81" s="1"/>
      <c r="AB81" s="1"/>
      <c r="AC81" s="1"/>
      <c r="AD81" s="1"/>
      <c r="AE81" s="1"/>
      <c r="AF81" s="1"/>
    </row>
    <row r="82" spans="1:32" hidden="1" x14ac:dyDescent="0.25">
      <c r="A82" s="1">
        <v>81</v>
      </c>
      <c r="B82" s="1"/>
      <c r="C82" s="1" t="s">
        <v>2953</v>
      </c>
      <c r="D82" s="1" t="s">
        <v>4810</v>
      </c>
      <c r="E82">
        <v>2014</v>
      </c>
      <c r="F82" s="1" t="s">
        <v>0</v>
      </c>
      <c r="G82" s="1" t="s">
        <v>4811</v>
      </c>
      <c r="H82" s="1" t="s">
        <v>1085</v>
      </c>
      <c r="I82" s="1" t="s">
        <v>1</v>
      </c>
      <c r="J82" s="1" t="s">
        <v>1</v>
      </c>
      <c r="K82" s="1" t="s">
        <v>2954</v>
      </c>
      <c r="L82" s="1" t="s">
        <v>1</v>
      </c>
      <c r="M82" s="1" t="s">
        <v>1</v>
      </c>
      <c r="N82" s="1" t="s">
        <v>1</v>
      </c>
      <c r="O82" s="1" t="s">
        <v>4812</v>
      </c>
      <c r="P82" s="1" t="s">
        <v>2955</v>
      </c>
      <c r="Q82" s="1">
        <v>-1</v>
      </c>
      <c r="R82" s="1"/>
      <c r="S82" s="1"/>
      <c r="T82" s="1"/>
      <c r="U82" s="1"/>
      <c r="V82" s="1"/>
      <c r="W82" s="1"/>
      <c r="X82" s="1"/>
      <c r="Y82" s="1"/>
      <c r="Z82" s="1"/>
      <c r="AA82" s="1"/>
      <c r="AB82" s="1"/>
      <c r="AC82" s="1"/>
      <c r="AD82" s="1"/>
      <c r="AE82" s="1"/>
      <c r="AF82" s="1"/>
    </row>
    <row r="83" spans="1:32" hidden="1" x14ac:dyDescent="0.25">
      <c r="A83" s="1">
        <v>82</v>
      </c>
      <c r="B83" s="1"/>
      <c r="C83" s="1" t="s">
        <v>1998</v>
      </c>
      <c r="D83" s="1" t="s">
        <v>4057</v>
      </c>
      <c r="E83">
        <v>2014</v>
      </c>
      <c r="F83" s="1" t="s">
        <v>0</v>
      </c>
      <c r="G83" s="1" t="s">
        <v>4058</v>
      </c>
      <c r="H83" s="1" t="s">
        <v>1085</v>
      </c>
      <c r="I83" s="1" t="s">
        <v>1</v>
      </c>
      <c r="J83" s="1" t="s">
        <v>1</v>
      </c>
      <c r="K83" s="1" t="s">
        <v>1999</v>
      </c>
      <c r="L83" s="1" t="s">
        <v>1</v>
      </c>
      <c r="M83" s="1" t="s">
        <v>1</v>
      </c>
      <c r="N83" s="1" t="s">
        <v>1</v>
      </c>
      <c r="O83" s="1" t="s">
        <v>4059</v>
      </c>
      <c r="P83" s="1" t="s">
        <v>2000</v>
      </c>
      <c r="Q83" s="1">
        <v>-1</v>
      </c>
      <c r="R83" s="1"/>
      <c r="S83" s="1"/>
      <c r="T83" s="1"/>
      <c r="U83" s="1"/>
      <c r="V83" s="1"/>
      <c r="W83" s="1"/>
      <c r="X83" s="1"/>
      <c r="Y83" s="1"/>
      <c r="Z83" s="1"/>
      <c r="AA83" s="1"/>
      <c r="AB83" s="1"/>
      <c r="AC83" s="1"/>
      <c r="AD83" s="1"/>
      <c r="AE83" s="1"/>
      <c r="AF83" s="1"/>
    </row>
    <row r="84" spans="1:32" hidden="1" x14ac:dyDescent="0.25">
      <c r="A84" s="1">
        <v>83</v>
      </c>
      <c r="B84" s="1"/>
      <c r="C84" s="1" t="s">
        <v>1169</v>
      </c>
      <c r="D84" s="1" t="s">
        <v>180</v>
      </c>
      <c r="E84">
        <v>2009</v>
      </c>
      <c r="F84" s="1" t="s">
        <v>0</v>
      </c>
      <c r="G84" s="1" t="s">
        <v>3424</v>
      </c>
      <c r="H84" s="1" t="s">
        <v>1170</v>
      </c>
      <c r="I84" s="1" t="s">
        <v>1</v>
      </c>
      <c r="J84" s="1" t="s">
        <v>1</v>
      </c>
      <c r="K84" s="1" t="s">
        <v>1171</v>
      </c>
      <c r="L84" s="1" t="s">
        <v>1</v>
      </c>
      <c r="M84" s="1" t="s">
        <v>1</v>
      </c>
      <c r="N84" s="1" t="s">
        <v>1</v>
      </c>
      <c r="O84" s="1" t="s">
        <v>3425</v>
      </c>
      <c r="P84" s="1" t="s">
        <v>1172</v>
      </c>
      <c r="Q84" s="1">
        <v>-1</v>
      </c>
      <c r="R84" s="1"/>
      <c r="S84" s="1"/>
      <c r="T84" s="1"/>
      <c r="U84" s="1"/>
      <c r="V84" s="1"/>
      <c r="W84" s="1"/>
      <c r="X84" s="1"/>
      <c r="Y84" s="1"/>
      <c r="Z84" s="1"/>
      <c r="AA84" s="1"/>
      <c r="AB84" s="1"/>
      <c r="AC84" s="1"/>
      <c r="AD84" s="1"/>
      <c r="AE84" s="1"/>
      <c r="AF84" s="1"/>
    </row>
    <row r="85" spans="1:32" hidden="1" x14ac:dyDescent="0.25">
      <c r="A85" s="1">
        <v>84</v>
      </c>
      <c r="B85" s="1"/>
      <c r="C85" s="1" t="s">
        <v>1513</v>
      </c>
      <c r="D85" s="1" t="s">
        <v>3687</v>
      </c>
      <c r="E85">
        <v>2008</v>
      </c>
      <c r="F85" s="1" t="s">
        <v>0</v>
      </c>
      <c r="G85" s="1" t="s">
        <v>1</v>
      </c>
      <c r="H85" s="1" t="s">
        <v>1514</v>
      </c>
      <c r="I85" s="1" t="s">
        <v>1</v>
      </c>
      <c r="J85" s="1" t="s">
        <v>1</v>
      </c>
      <c r="K85" s="1" t="s">
        <v>3195</v>
      </c>
      <c r="L85" s="1" t="s">
        <v>1</v>
      </c>
      <c r="M85" s="1" t="s">
        <v>1</v>
      </c>
      <c r="N85" s="1" t="s">
        <v>1</v>
      </c>
      <c r="O85" s="1" t="s">
        <v>3688</v>
      </c>
      <c r="P85" s="1" t="s">
        <v>1515</v>
      </c>
      <c r="Q85" s="1">
        <v>-1</v>
      </c>
      <c r="R85" s="1"/>
      <c r="S85" s="1"/>
      <c r="T85" s="1"/>
      <c r="U85" s="1"/>
      <c r="V85" s="1"/>
      <c r="W85" s="1"/>
      <c r="X85" s="1"/>
      <c r="Y85" s="1"/>
      <c r="Z85" s="1"/>
      <c r="AA85" s="1"/>
      <c r="AB85" s="1"/>
      <c r="AC85" s="1"/>
      <c r="AD85" s="1"/>
      <c r="AE85" s="1"/>
      <c r="AF85" s="1"/>
    </row>
    <row r="86" spans="1:32" hidden="1" x14ac:dyDescent="0.25">
      <c r="A86" s="1">
        <v>85</v>
      </c>
      <c r="B86" s="1"/>
      <c r="C86" s="1" t="s">
        <v>1150</v>
      </c>
      <c r="D86" s="1" t="s">
        <v>3412</v>
      </c>
      <c r="E86">
        <v>2004</v>
      </c>
      <c r="F86" s="1" t="s">
        <v>116</v>
      </c>
      <c r="G86" s="1" t="s">
        <v>3413</v>
      </c>
      <c r="H86" s="1" t="s">
        <v>1151</v>
      </c>
      <c r="I86" s="1" t="s">
        <v>3332</v>
      </c>
      <c r="J86" s="1" t="s">
        <v>3143</v>
      </c>
      <c r="K86" s="1" t="s">
        <v>1152</v>
      </c>
      <c r="L86" s="1" t="s">
        <v>1</v>
      </c>
      <c r="M86" s="1" t="s">
        <v>1</v>
      </c>
      <c r="N86" s="1" t="s">
        <v>1154</v>
      </c>
      <c r="O86" s="1" t="s">
        <v>3414</v>
      </c>
      <c r="P86" s="1" t="s">
        <v>1153</v>
      </c>
      <c r="Q86" s="1">
        <v>-1</v>
      </c>
      <c r="R86" s="1"/>
      <c r="S86" s="1"/>
      <c r="T86" s="1"/>
      <c r="U86" s="1"/>
      <c r="V86" s="1"/>
      <c r="W86" s="1"/>
      <c r="X86" s="1"/>
      <c r="Y86" s="1"/>
      <c r="Z86" s="1"/>
      <c r="AA86" s="1"/>
      <c r="AB86" s="1"/>
      <c r="AC86" s="1"/>
      <c r="AD86" s="1"/>
      <c r="AE86" s="1"/>
      <c r="AF86" s="1"/>
    </row>
    <row r="87" spans="1:32" hidden="1" x14ac:dyDescent="0.25">
      <c r="A87" s="1">
        <v>86</v>
      </c>
      <c r="B87" s="1"/>
      <c r="C87" s="1" t="s">
        <v>2846</v>
      </c>
      <c r="D87" s="1" t="s">
        <v>4726</v>
      </c>
      <c r="E87">
        <v>2014</v>
      </c>
      <c r="F87" s="1" t="s">
        <v>116</v>
      </c>
      <c r="G87" s="1" t="s">
        <v>4727</v>
      </c>
      <c r="H87" s="1" t="s">
        <v>1010</v>
      </c>
      <c r="I87" s="1" t="s">
        <v>4426</v>
      </c>
      <c r="J87" s="1" t="s">
        <v>1</v>
      </c>
      <c r="K87" s="1" t="s">
        <v>2847</v>
      </c>
      <c r="L87" s="1" t="s">
        <v>1</v>
      </c>
      <c r="M87" s="1" t="s">
        <v>1</v>
      </c>
      <c r="N87" s="1" t="s">
        <v>2849</v>
      </c>
      <c r="O87" s="1" t="s">
        <v>4728</v>
      </c>
      <c r="P87" s="1" t="s">
        <v>2848</v>
      </c>
      <c r="Q87" s="1">
        <v>-1</v>
      </c>
      <c r="R87" s="1"/>
      <c r="S87" s="1"/>
      <c r="T87" s="1"/>
      <c r="U87" s="1"/>
      <c r="V87" s="1"/>
      <c r="W87" s="1"/>
      <c r="X87" s="1"/>
      <c r="Y87" s="1"/>
      <c r="Z87" s="1"/>
      <c r="AA87" s="1"/>
      <c r="AB87" s="1"/>
      <c r="AC87" s="1"/>
      <c r="AD87" s="1"/>
      <c r="AE87" s="1"/>
      <c r="AF87" s="1"/>
    </row>
    <row r="88" spans="1:32" hidden="1" x14ac:dyDescent="0.25">
      <c r="A88" s="1">
        <v>87</v>
      </c>
      <c r="B88" s="1"/>
      <c r="C88" s="1" t="s">
        <v>1009</v>
      </c>
      <c r="D88" s="1" t="s">
        <v>3318</v>
      </c>
      <c r="E88">
        <v>2013</v>
      </c>
      <c r="F88" s="1" t="s">
        <v>116</v>
      </c>
      <c r="G88" s="1" t="s">
        <v>3320</v>
      </c>
      <c r="H88" s="1" t="s">
        <v>1010</v>
      </c>
      <c r="I88" s="1" t="s">
        <v>3319</v>
      </c>
      <c r="J88" s="1" t="s">
        <v>1</v>
      </c>
      <c r="K88" s="1" t="s">
        <v>1011</v>
      </c>
      <c r="L88" s="1" t="s">
        <v>1</v>
      </c>
      <c r="M88" s="1" t="s">
        <v>1</v>
      </c>
      <c r="N88" s="1" t="s">
        <v>1013</v>
      </c>
      <c r="O88" s="1" t="s">
        <v>3321</v>
      </c>
      <c r="P88" s="1" t="s">
        <v>1012</v>
      </c>
      <c r="Q88" s="1">
        <v>-1</v>
      </c>
      <c r="R88" s="1"/>
      <c r="S88" s="1"/>
      <c r="T88" s="1"/>
      <c r="U88" s="1"/>
      <c r="V88" s="1"/>
      <c r="W88" s="1"/>
      <c r="X88" s="1"/>
      <c r="Y88" s="1"/>
      <c r="Z88" s="1"/>
      <c r="AA88" s="1"/>
      <c r="AB88" s="1"/>
      <c r="AC88" s="1"/>
      <c r="AD88" s="1"/>
      <c r="AE88" s="1"/>
      <c r="AF88" s="1"/>
    </row>
    <row r="89" spans="1:32" hidden="1" x14ac:dyDescent="0.25">
      <c r="A89" s="1">
        <v>88</v>
      </c>
      <c r="B89" s="1"/>
      <c r="C89" s="1" t="s">
        <v>2447</v>
      </c>
      <c r="D89" s="1" t="s">
        <v>4408</v>
      </c>
      <c r="E89">
        <v>2016</v>
      </c>
      <c r="F89" s="1" t="s">
        <v>0</v>
      </c>
      <c r="G89" s="1" t="s">
        <v>4409</v>
      </c>
      <c r="H89" s="1" t="s">
        <v>1</v>
      </c>
      <c r="I89" s="1" t="s">
        <v>1</v>
      </c>
      <c r="J89" s="1" t="s">
        <v>1</v>
      </c>
      <c r="K89" s="1" t="s">
        <v>1</v>
      </c>
      <c r="L89" s="1" t="s">
        <v>237</v>
      </c>
      <c r="M89" s="1" t="s">
        <v>1</v>
      </c>
      <c r="N89" s="1" t="s">
        <v>2449</v>
      </c>
      <c r="O89" s="1" t="s">
        <v>4410</v>
      </c>
      <c r="P89" s="1" t="s">
        <v>2448</v>
      </c>
      <c r="Q89" s="1">
        <v>-1</v>
      </c>
      <c r="R89" s="1"/>
      <c r="S89" s="1"/>
      <c r="T89" s="1"/>
      <c r="U89" s="1"/>
      <c r="V89" s="1"/>
      <c r="W89" s="1"/>
      <c r="X89" s="1"/>
      <c r="Y89" s="1"/>
      <c r="Z89" s="1"/>
      <c r="AA89" s="1"/>
      <c r="AB89" s="1"/>
      <c r="AC89" s="1"/>
      <c r="AD89" s="1"/>
      <c r="AE89" s="1"/>
      <c r="AF89" s="1"/>
    </row>
    <row r="90" spans="1:32" hidden="1" x14ac:dyDescent="0.25">
      <c r="A90" s="1">
        <v>89</v>
      </c>
      <c r="B90" s="1"/>
      <c r="C90" s="1" t="s">
        <v>2030</v>
      </c>
      <c r="D90" s="1" t="s">
        <v>4082</v>
      </c>
      <c r="E90">
        <v>2008</v>
      </c>
      <c r="F90" s="1" t="s">
        <v>138</v>
      </c>
      <c r="G90" s="1" t="s">
        <v>4083</v>
      </c>
      <c r="H90" s="1" t="s">
        <v>2031</v>
      </c>
      <c r="I90" s="1" t="s">
        <v>1</v>
      </c>
      <c r="J90" s="1" t="s">
        <v>1</v>
      </c>
      <c r="K90" s="1" t="s">
        <v>2032</v>
      </c>
      <c r="L90" s="1" t="s">
        <v>975</v>
      </c>
      <c r="M90" s="1" t="s">
        <v>1</v>
      </c>
      <c r="N90" s="1" t="s">
        <v>2034</v>
      </c>
      <c r="O90" s="1" t="s">
        <v>1</v>
      </c>
      <c r="P90" s="1" t="s">
        <v>2033</v>
      </c>
      <c r="Q90" s="1">
        <v>-1</v>
      </c>
      <c r="R90" s="1"/>
      <c r="S90" s="1"/>
      <c r="T90" s="1"/>
      <c r="U90" s="1"/>
      <c r="V90" s="1"/>
      <c r="W90" s="1"/>
      <c r="X90" s="1"/>
      <c r="Y90" s="1"/>
      <c r="Z90" s="1"/>
      <c r="AA90" s="1"/>
      <c r="AB90" s="1"/>
      <c r="AC90" s="1"/>
      <c r="AD90" s="1"/>
      <c r="AE90" s="1"/>
      <c r="AF90" s="1"/>
    </row>
    <row r="91" spans="1:32" hidden="1" x14ac:dyDescent="0.25">
      <c r="A91" s="1">
        <v>90</v>
      </c>
      <c r="B91" s="1"/>
      <c r="C91" s="6" t="s">
        <v>3113</v>
      </c>
      <c r="D91" s="1" t="s">
        <v>4927</v>
      </c>
      <c r="E91">
        <v>2014</v>
      </c>
      <c r="F91" s="1" t="s">
        <v>0</v>
      </c>
      <c r="G91" s="1" t="s">
        <v>4928</v>
      </c>
      <c r="H91" s="1" t="s">
        <v>1085</v>
      </c>
      <c r="I91" s="1" t="s">
        <v>1</v>
      </c>
      <c r="J91" s="1" t="s">
        <v>1</v>
      </c>
      <c r="K91" s="1" t="s">
        <v>1196</v>
      </c>
      <c r="L91" s="1" t="s">
        <v>1</v>
      </c>
      <c r="M91" s="1" t="s">
        <v>1</v>
      </c>
      <c r="N91" s="1" t="s">
        <v>1</v>
      </c>
      <c r="O91" s="1" t="s">
        <v>4929</v>
      </c>
      <c r="P91" s="1" t="s">
        <v>3114</v>
      </c>
      <c r="Q91" s="1">
        <v>1</v>
      </c>
      <c r="R91" s="1">
        <v>-1</v>
      </c>
      <c r="S91" s="1"/>
      <c r="T91" s="1"/>
      <c r="U91" s="1"/>
      <c r="V91" s="1"/>
      <c r="W91" s="1"/>
      <c r="X91" s="1"/>
      <c r="Y91" s="1"/>
      <c r="Z91" s="1"/>
      <c r="AA91" s="1"/>
      <c r="AB91" s="1"/>
      <c r="AC91" s="1"/>
      <c r="AD91" s="1"/>
      <c r="AE91" s="1"/>
      <c r="AF91" s="1"/>
    </row>
    <row r="92" spans="1:32" hidden="1" x14ac:dyDescent="0.25">
      <c r="A92" s="1">
        <v>91</v>
      </c>
      <c r="B92" s="1"/>
      <c r="C92" s="1" t="s">
        <v>2279</v>
      </c>
      <c r="D92" s="1" t="s">
        <v>4274</v>
      </c>
      <c r="E92">
        <v>2009</v>
      </c>
      <c r="F92" s="1" t="s">
        <v>0</v>
      </c>
      <c r="G92" s="1" t="s">
        <v>4275</v>
      </c>
      <c r="H92" s="1" t="s">
        <v>1452</v>
      </c>
      <c r="I92" s="1" t="s">
        <v>1</v>
      </c>
      <c r="J92" s="1" t="s">
        <v>1</v>
      </c>
      <c r="K92" s="1" t="s">
        <v>3272</v>
      </c>
      <c r="L92" s="1" t="s">
        <v>1</v>
      </c>
      <c r="M92" s="1" t="s">
        <v>1</v>
      </c>
      <c r="N92" s="1" t="s">
        <v>1</v>
      </c>
      <c r="O92" s="1" t="s">
        <v>4276</v>
      </c>
      <c r="P92" s="1" t="s">
        <v>2280</v>
      </c>
      <c r="Q92" s="1">
        <v>-1</v>
      </c>
      <c r="R92" s="1"/>
      <c r="S92" s="1"/>
      <c r="T92" s="1"/>
      <c r="U92" s="1"/>
      <c r="V92" s="1"/>
      <c r="W92" s="1"/>
      <c r="X92" s="1"/>
      <c r="Y92" s="1"/>
      <c r="Z92" s="1"/>
      <c r="AA92" s="1"/>
      <c r="AB92" s="1"/>
      <c r="AC92" s="1"/>
      <c r="AD92" s="1"/>
      <c r="AE92" s="1"/>
      <c r="AF92" s="1"/>
    </row>
    <row r="93" spans="1:32" hidden="1" x14ac:dyDescent="0.25">
      <c r="A93" s="1">
        <v>92</v>
      </c>
      <c r="B93" s="1"/>
      <c r="C93" s="1" t="s">
        <v>2839</v>
      </c>
      <c r="D93" s="1" t="s">
        <v>4721</v>
      </c>
      <c r="E93">
        <v>2012</v>
      </c>
      <c r="F93" s="1" t="s">
        <v>0</v>
      </c>
      <c r="G93" s="1" t="s">
        <v>4722</v>
      </c>
      <c r="H93" s="1" t="s">
        <v>2516</v>
      </c>
      <c r="I93" s="1" t="s">
        <v>1</v>
      </c>
      <c r="J93" s="1" t="s">
        <v>1</v>
      </c>
      <c r="K93" s="1" t="s">
        <v>3184</v>
      </c>
      <c r="L93" s="1" t="s">
        <v>1</v>
      </c>
      <c r="M93" s="1" t="s">
        <v>1</v>
      </c>
      <c r="N93" s="1" t="s">
        <v>1</v>
      </c>
      <c r="O93" s="1" t="s">
        <v>4723</v>
      </c>
      <c r="P93" s="1" t="s">
        <v>2840</v>
      </c>
      <c r="Q93" s="1">
        <v>-1</v>
      </c>
      <c r="R93" s="1"/>
      <c r="S93" s="1"/>
      <c r="T93" s="1"/>
      <c r="U93" s="1"/>
      <c r="V93" s="1"/>
      <c r="W93" s="1"/>
      <c r="X93" s="1"/>
      <c r="Y93" s="1"/>
      <c r="Z93" s="1"/>
      <c r="AA93" s="1"/>
      <c r="AB93" s="1"/>
      <c r="AC93" s="1"/>
      <c r="AD93" s="1"/>
      <c r="AE93" s="1"/>
      <c r="AF93" s="1"/>
    </row>
    <row r="94" spans="1:32" hidden="1" x14ac:dyDescent="0.25">
      <c r="A94" s="1">
        <v>93</v>
      </c>
      <c r="B94" s="1"/>
      <c r="C94" s="1" t="s">
        <v>1586</v>
      </c>
      <c r="D94" s="1" t="s">
        <v>3744</v>
      </c>
      <c r="E94">
        <v>2016</v>
      </c>
      <c r="F94" s="1" t="s">
        <v>0</v>
      </c>
      <c r="G94" s="1" t="s">
        <v>3746</v>
      </c>
      <c r="H94" s="1" t="s">
        <v>1128</v>
      </c>
      <c r="I94" s="1" t="s">
        <v>3745</v>
      </c>
      <c r="J94" s="1" t="s">
        <v>1</v>
      </c>
      <c r="K94" s="1" t="s">
        <v>1587</v>
      </c>
      <c r="L94" s="1" t="s">
        <v>1</v>
      </c>
      <c r="M94" s="1" t="s">
        <v>1</v>
      </c>
      <c r="N94" s="1" t="s">
        <v>1</v>
      </c>
      <c r="O94" s="1" t="s">
        <v>3747</v>
      </c>
      <c r="P94" s="1" t="s">
        <v>3748</v>
      </c>
      <c r="Q94" s="1">
        <v>-1</v>
      </c>
      <c r="R94" s="1"/>
      <c r="S94" s="1"/>
      <c r="T94" s="1"/>
      <c r="U94" s="1"/>
      <c r="V94" s="1"/>
      <c r="W94" s="1"/>
      <c r="X94" s="1"/>
      <c r="Y94" s="1"/>
      <c r="Z94" s="1"/>
      <c r="AA94" s="1"/>
      <c r="AB94" s="1"/>
      <c r="AC94" s="1"/>
      <c r="AD94" s="1"/>
      <c r="AE94" s="1"/>
      <c r="AF94" s="1"/>
    </row>
    <row r="95" spans="1:32" hidden="1" x14ac:dyDescent="0.25">
      <c r="A95" s="1">
        <v>94</v>
      </c>
      <c r="B95" s="1"/>
      <c r="C95" s="1" t="s">
        <v>2587</v>
      </c>
      <c r="D95" s="1" t="s">
        <v>4518</v>
      </c>
      <c r="E95">
        <v>2014</v>
      </c>
      <c r="F95" s="1" t="s">
        <v>0</v>
      </c>
      <c r="G95" s="1" t="s">
        <v>4519</v>
      </c>
      <c r="H95" s="1" t="s">
        <v>1085</v>
      </c>
      <c r="I95" s="1" t="s">
        <v>1</v>
      </c>
      <c r="J95" s="1" t="s">
        <v>1</v>
      </c>
      <c r="K95" s="1" t="s">
        <v>2588</v>
      </c>
      <c r="L95" s="1" t="s">
        <v>1</v>
      </c>
      <c r="M95" s="1" t="s">
        <v>1</v>
      </c>
      <c r="N95" s="1" t="s">
        <v>1</v>
      </c>
      <c r="O95" s="1" t="s">
        <v>4520</v>
      </c>
      <c r="P95" s="1" t="s">
        <v>2589</v>
      </c>
      <c r="Q95" s="1">
        <v>-1</v>
      </c>
      <c r="R95" s="1"/>
      <c r="S95" s="1"/>
      <c r="T95" s="1"/>
      <c r="U95" s="1"/>
      <c r="V95" s="1"/>
      <c r="W95" s="1"/>
      <c r="X95" s="1"/>
      <c r="Y95" s="1"/>
      <c r="Z95" s="1"/>
      <c r="AA95" s="1"/>
      <c r="AB95" s="1"/>
      <c r="AC95" s="1"/>
      <c r="AD95" s="1"/>
      <c r="AE95" s="1"/>
      <c r="AF95" s="1"/>
    </row>
    <row r="96" spans="1:32" hidden="1" x14ac:dyDescent="0.25">
      <c r="A96" s="1">
        <v>95</v>
      </c>
      <c r="B96" s="1"/>
      <c r="C96" s="1" t="s">
        <v>2022</v>
      </c>
      <c r="D96" s="1" t="s">
        <v>4077</v>
      </c>
      <c r="E96">
        <v>2008</v>
      </c>
      <c r="F96" s="1" t="s">
        <v>0</v>
      </c>
      <c r="G96" s="1" t="s">
        <v>4078</v>
      </c>
      <c r="H96" s="1" t="s">
        <v>2023</v>
      </c>
      <c r="I96" s="1" t="s">
        <v>1</v>
      </c>
      <c r="J96" s="1" t="s">
        <v>1</v>
      </c>
      <c r="K96" s="1" t="s">
        <v>2024</v>
      </c>
      <c r="L96" s="1" t="s">
        <v>1</v>
      </c>
      <c r="M96" s="1" t="s">
        <v>1</v>
      </c>
      <c r="N96" s="1" t="s">
        <v>1</v>
      </c>
      <c r="O96" s="1" t="s">
        <v>4079</v>
      </c>
      <c r="P96" s="1" t="s">
        <v>2025</v>
      </c>
      <c r="Q96" s="1">
        <v>-1</v>
      </c>
      <c r="R96" s="1"/>
      <c r="S96" s="1"/>
      <c r="T96" s="1"/>
      <c r="U96" s="1"/>
      <c r="V96" s="1"/>
      <c r="W96" s="1"/>
      <c r="X96" s="1"/>
      <c r="Y96" s="1"/>
      <c r="Z96" s="1"/>
      <c r="AA96" s="1"/>
      <c r="AB96" s="1"/>
      <c r="AC96" s="1"/>
      <c r="AD96" s="1"/>
      <c r="AE96" s="1"/>
      <c r="AF96" s="1"/>
    </row>
    <row r="97" spans="1:32" hidden="1" x14ac:dyDescent="0.25">
      <c r="A97" s="1">
        <v>96</v>
      </c>
      <c r="B97" s="1"/>
      <c r="C97" s="1" t="s">
        <v>2195</v>
      </c>
      <c r="D97" s="1" t="s">
        <v>4208</v>
      </c>
      <c r="E97">
        <v>2015</v>
      </c>
      <c r="F97" s="1" t="s">
        <v>0</v>
      </c>
      <c r="G97" s="1" t="s">
        <v>4209</v>
      </c>
      <c r="H97" s="1" t="s">
        <v>2196</v>
      </c>
      <c r="I97" s="1" t="s">
        <v>1</v>
      </c>
      <c r="J97" s="1" t="s">
        <v>1</v>
      </c>
      <c r="K97" s="1" t="s">
        <v>2197</v>
      </c>
      <c r="L97" s="1" t="s">
        <v>1</v>
      </c>
      <c r="M97" s="1" t="s">
        <v>1</v>
      </c>
      <c r="N97" s="1" t="s">
        <v>1</v>
      </c>
      <c r="O97" s="1" t="s">
        <v>4210</v>
      </c>
      <c r="P97" s="1" t="s">
        <v>2198</v>
      </c>
      <c r="Q97" s="1">
        <v>-1</v>
      </c>
      <c r="R97" s="1"/>
      <c r="S97" s="1"/>
      <c r="T97" s="1"/>
      <c r="U97" s="1"/>
      <c r="V97" s="1"/>
      <c r="W97" s="1"/>
      <c r="X97" s="1"/>
      <c r="Y97" s="1"/>
      <c r="Z97" s="1"/>
      <c r="AA97" s="1"/>
      <c r="AB97" s="1"/>
      <c r="AC97" s="1"/>
      <c r="AD97" s="1"/>
      <c r="AE97" s="1"/>
      <c r="AF97" s="1"/>
    </row>
    <row r="98" spans="1:32" hidden="1" x14ac:dyDescent="0.25">
      <c r="A98" s="1">
        <v>97</v>
      </c>
      <c r="B98" s="1"/>
      <c r="C98" s="1" t="s">
        <v>1160</v>
      </c>
      <c r="D98" s="1" t="s">
        <v>3417</v>
      </c>
      <c r="E98">
        <v>2015</v>
      </c>
      <c r="F98" s="1" t="s">
        <v>244</v>
      </c>
      <c r="G98" s="1" t="s">
        <v>3419</v>
      </c>
      <c r="H98" s="1" t="s">
        <v>1</v>
      </c>
      <c r="I98" s="1" t="s">
        <v>3418</v>
      </c>
      <c r="J98" s="1" t="s">
        <v>1</v>
      </c>
      <c r="K98" s="1" t="s">
        <v>1161</v>
      </c>
      <c r="L98" s="1" t="s">
        <v>247</v>
      </c>
      <c r="M98" s="1" t="s">
        <v>1</v>
      </c>
      <c r="N98" s="1" t="s">
        <v>1163</v>
      </c>
      <c r="O98" s="1" t="s">
        <v>3420</v>
      </c>
      <c r="P98" s="1" t="s">
        <v>1162</v>
      </c>
      <c r="Q98" s="1">
        <v>1</v>
      </c>
      <c r="R98" s="1">
        <v>-1</v>
      </c>
      <c r="S98" s="1"/>
      <c r="T98" s="1"/>
      <c r="U98" s="1"/>
      <c r="V98" s="1"/>
      <c r="W98" s="1"/>
      <c r="X98" s="1"/>
      <c r="Y98" s="1"/>
      <c r="Z98" s="1"/>
      <c r="AA98" s="1"/>
      <c r="AB98" s="1"/>
      <c r="AC98" s="1"/>
      <c r="AD98" s="1"/>
      <c r="AE98" s="1"/>
      <c r="AF98" s="1"/>
    </row>
    <row r="99" spans="1:32" hidden="1" x14ac:dyDescent="0.25">
      <c r="A99" s="1">
        <v>98</v>
      </c>
      <c r="B99" s="1"/>
      <c r="C99" s="1" t="s">
        <v>1709</v>
      </c>
      <c r="D99" s="1" t="s">
        <v>3839</v>
      </c>
      <c r="E99">
        <v>2017</v>
      </c>
      <c r="F99" s="1" t="s">
        <v>116</v>
      </c>
      <c r="G99" s="1" t="s">
        <v>3840</v>
      </c>
      <c r="H99" s="1" t="s">
        <v>1710</v>
      </c>
      <c r="I99" s="1" t="s">
        <v>3402</v>
      </c>
      <c r="J99" s="1" t="s">
        <v>3174</v>
      </c>
      <c r="K99" s="1" t="s">
        <v>1712</v>
      </c>
      <c r="L99" s="1" t="s">
        <v>1711</v>
      </c>
      <c r="M99" s="1" t="s">
        <v>1</v>
      </c>
      <c r="N99" s="1" t="s">
        <v>1714</v>
      </c>
      <c r="O99" s="1" t="s">
        <v>3841</v>
      </c>
      <c r="P99" s="1" t="s">
        <v>1713</v>
      </c>
      <c r="Q99" s="1">
        <v>-1</v>
      </c>
      <c r="R99" s="1"/>
      <c r="S99" s="1"/>
      <c r="T99" s="1"/>
      <c r="U99" s="1"/>
      <c r="V99" s="1"/>
      <c r="W99" s="1"/>
      <c r="X99" s="1"/>
      <c r="Y99" s="1"/>
      <c r="Z99" s="1"/>
      <c r="AA99" s="1"/>
      <c r="AB99" s="1"/>
      <c r="AC99" s="1"/>
      <c r="AD99" s="1"/>
      <c r="AE99" s="1"/>
      <c r="AF99" s="1"/>
    </row>
    <row r="100" spans="1:32" hidden="1" x14ac:dyDescent="0.25">
      <c r="A100" s="1">
        <v>99</v>
      </c>
      <c r="B100" s="1"/>
      <c r="C100" s="1" t="s">
        <v>1295</v>
      </c>
      <c r="D100" s="1" t="s">
        <v>3510</v>
      </c>
      <c r="E100">
        <v>2013</v>
      </c>
      <c r="F100" s="1" t="s">
        <v>116</v>
      </c>
      <c r="G100" s="1" t="s">
        <v>3513</v>
      </c>
      <c r="H100" s="1" t="s">
        <v>846</v>
      </c>
      <c r="I100" s="1" t="s">
        <v>3511</v>
      </c>
      <c r="J100" s="1" t="s">
        <v>3512</v>
      </c>
      <c r="K100" s="1" t="s">
        <v>1296</v>
      </c>
      <c r="L100" s="1" t="s">
        <v>1</v>
      </c>
      <c r="M100" s="1" t="s">
        <v>1</v>
      </c>
      <c r="N100" s="1" t="s">
        <v>1298</v>
      </c>
      <c r="O100" s="1" t="s">
        <v>3514</v>
      </c>
      <c r="P100" s="1" t="s">
        <v>1297</v>
      </c>
      <c r="Q100" s="1">
        <v>-1</v>
      </c>
      <c r="R100" s="1"/>
      <c r="S100" s="1"/>
      <c r="T100" s="1"/>
      <c r="U100" s="1"/>
      <c r="V100" s="1"/>
      <c r="W100" s="1"/>
      <c r="X100" s="1"/>
      <c r="Y100" s="1"/>
      <c r="Z100" s="1"/>
      <c r="AA100" s="1"/>
      <c r="AB100" s="1"/>
      <c r="AC100" s="1"/>
      <c r="AD100" s="1"/>
      <c r="AE100" s="1"/>
      <c r="AF100" s="1"/>
    </row>
    <row r="101" spans="1:32" hidden="1" x14ac:dyDescent="0.25">
      <c r="A101" s="1">
        <v>100</v>
      </c>
      <c r="B101" s="1"/>
      <c r="C101" s="1" t="s">
        <v>3055</v>
      </c>
      <c r="D101" s="1" t="s">
        <v>4888</v>
      </c>
      <c r="E101">
        <v>2012</v>
      </c>
      <c r="F101" s="1" t="s">
        <v>116</v>
      </c>
      <c r="G101" s="1" t="s">
        <v>4889</v>
      </c>
      <c r="H101" s="1" t="s">
        <v>1010</v>
      </c>
      <c r="I101" s="1" t="s">
        <v>3512</v>
      </c>
      <c r="J101" s="1" t="s">
        <v>1</v>
      </c>
      <c r="K101" s="1" t="s">
        <v>3056</v>
      </c>
      <c r="L101" s="1" t="s">
        <v>1</v>
      </c>
      <c r="M101" s="1" t="s">
        <v>1</v>
      </c>
      <c r="N101" s="1" t="s">
        <v>3058</v>
      </c>
      <c r="O101" s="1" t="s">
        <v>1</v>
      </c>
      <c r="P101" s="1" t="s">
        <v>3057</v>
      </c>
      <c r="Q101" s="1">
        <v>-1</v>
      </c>
      <c r="R101" s="1"/>
      <c r="S101" s="1"/>
      <c r="T101" s="1"/>
      <c r="U101" s="1"/>
      <c r="V101" s="1"/>
      <c r="W101" s="1"/>
      <c r="X101" s="1"/>
      <c r="Y101" s="1"/>
      <c r="Z101" s="1"/>
      <c r="AA101" s="1"/>
      <c r="AB101" s="1"/>
      <c r="AC101" s="1"/>
      <c r="AD101" s="1"/>
      <c r="AE101" s="1"/>
      <c r="AF101" s="1"/>
    </row>
    <row r="102" spans="1:32" hidden="1" x14ac:dyDescent="0.25">
      <c r="A102" s="1">
        <v>101</v>
      </c>
      <c r="B102" s="1"/>
      <c r="C102" s="1" t="s">
        <v>2273</v>
      </c>
      <c r="D102" s="1" t="s">
        <v>4267</v>
      </c>
      <c r="E102">
        <v>2017</v>
      </c>
      <c r="F102" s="1" t="s">
        <v>0</v>
      </c>
      <c r="G102" s="1" t="s">
        <v>4269</v>
      </c>
      <c r="H102" s="1" t="s">
        <v>1354</v>
      </c>
      <c r="I102" s="1" t="s">
        <v>1</v>
      </c>
      <c r="J102" s="1" t="s">
        <v>1</v>
      </c>
      <c r="K102" s="1" t="s">
        <v>4268</v>
      </c>
      <c r="L102" s="1" t="s">
        <v>1</v>
      </c>
      <c r="M102" s="1" t="s">
        <v>1</v>
      </c>
      <c r="N102" s="1" t="s">
        <v>1</v>
      </c>
      <c r="O102" s="1" t="s">
        <v>4270</v>
      </c>
      <c r="P102" s="1" t="s">
        <v>2274</v>
      </c>
      <c r="Q102" s="1">
        <v>-1</v>
      </c>
      <c r="R102" s="1"/>
      <c r="S102" s="1"/>
      <c r="T102" s="1"/>
      <c r="U102" s="1"/>
      <c r="V102" s="1"/>
      <c r="W102" s="1"/>
      <c r="X102" s="1"/>
      <c r="Y102" s="1"/>
      <c r="Z102" s="1"/>
      <c r="AA102" s="1"/>
      <c r="AB102" s="1"/>
      <c r="AC102" s="1"/>
      <c r="AD102" s="1"/>
      <c r="AE102" s="1"/>
      <c r="AF102" s="1"/>
    </row>
    <row r="103" spans="1:32" hidden="1" x14ac:dyDescent="0.25">
      <c r="A103" s="1">
        <v>102</v>
      </c>
      <c r="B103" s="1"/>
      <c r="C103" s="1" t="s">
        <v>1481</v>
      </c>
      <c r="D103" s="1" t="s">
        <v>3664</v>
      </c>
      <c r="E103">
        <v>2015</v>
      </c>
      <c r="F103" s="1" t="s">
        <v>0</v>
      </c>
      <c r="G103" s="1" t="s">
        <v>3663</v>
      </c>
      <c r="H103" s="1" t="s">
        <v>1387</v>
      </c>
      <c r="I103" s="1" t="s">
        <v>1</v>
      </c>
      <c r="J103" s="1" t="s">
        <v>1</v>
      </c>
      <c r="K103" s="1" t="s">
        <v>1482</v>
      </c>
      <c r="L103" s="1" t="s">
        <v>1</v>
      </c>
      <c r="M103" s="1" t="s">
        <v>1</v>
      </c>
      <c r="N103" s="1" t="s">
        <v>1</v>
      </c>
      <c r="O103" s="1" t="s">
        <v>3665</v>
      </c>
      <c r="P103" s="1" t="s">
        <v>1483</v>
      </c>
      <c r="Q103" s="1">
        <v>-1</v>
      </c>
      <c r="R103" s="1"/>
      <c r="S103" s="1"/>
      <c r="T103" s="1"/>
      <c r="U103" s="1"/>
      <c r="V103" s="1"/>
      <c r="W103" s="1"/>
      <c r="X103" s="1"/>
      <c r="Y103" s="1"/>
      <c r="Z103" s="1"/>
      <c r="AA103" s="1"/>
      <c r="AB103" s="1"/>
      <c r="AC103" s="1"/>
      <c r="AD103" s="1"/>
      <c r="AE103" s="1"/>
      <c r="AF103" s="1"/>
    </row>
    <row r="104" spans="1:32" hidden="1" x14ac:dyDescent="0.25">
      <c r="A104" s="1">
        <v>103</v>
      </c>
      <c r="B104" s="1"/>
      <c r="C104" s="1" t="s">
        <v>2796</v>
      </c>
      <c r="D104" s="1" t="s">
        <v>4684</v>
      </c>
      <c r="E104">
        <v>2017</v>
      </c>
      <c r="F104" s="1" t="s">
        <v>0</v>
      </c>
      <c r="G104" s="1" t="s">
        <v>4685</v>
      </c>
      <c r="H104" s="1" t="s">
        <v>2489</v>
      </c>
      <c r="I104" s="1" t="s">
        <v>1</v>
      </c>
      <c r="J104" s="1" t="s">
        <v>1</v>
      </c>
      <c r="K104" s="1" t="s">
        <v>2797</v>
      </c>
      <c r="L104" s="1" t="s">
        <v>1</v>
      </c>
      <c r="M104" s="1" t="s">
        <v>1</v>
      </c>
      <c r="N104" s="1" t="s">
        <v>1</v>
      </c>
      <c r="O104" s="1" t="s">
        <v>4686</v>
      </c>
      <c r="P104" s="1" t="s">
        <v>2798</v>
      </c>
      <c r="Q104" s="1">
        <v>-1</v>
      </c>
      <c r="R104" s="1"/>
      <c r="S104" s="1"/>
      <c r="T104" s="1"/>
      <c r="U104" s="1"/>
      <c r="V104" s="1"/>
      <c r="W104" s="1"/>
      <c r="X104" s="1"/>
      <c r="Y104" s="1"/>
      <c r="Z104" s="1"/>
      <c r="AA104" s="1"/>
      <c r="AB104" s="1"/>
      <c r="AC104" s="1"/>
      <c r="AD104" s="1"/>
      <c r="AE104" s="1"/>
      <c r="AF104" s="1"/>
    </row>
    <row r="105" spans="1:32" hidden="1" x14ac:dyDescent="0.25">
      <c r="A105" s="1">
        <v>104</v>
      </c>
      <c r="B105" s="1"/>
      <c r="C105" s="8" t="s">
        <v>2629</v>
      </c>
      <c r="D105" s="1" t="s">
        <v>4552</v>
      </c>
      <c r="E105">
        <v>2013</v>
      </c>
      <c r="F105" s="1" t="s">
        <v>0</v>
      </c>
      <c r="G105" s="1" t="s">
        <v>4553</v>
      </c>
      <c r="H105" s="1" t="s">
        <v>869</v>
      </c>
      <c r="I105" s="1" t="s">
        <v>1</v>
      </c>
      <c r="J105" s="1" t="s">
        <v>1</v>
      </c>
      <c r="K105" s="1" t="s">
        <v>3490</v>
      </c>
      <c r="L105" s="1" t="s">
        <v>1</v>
      </c>
      <c r="M105" s="1" t="s">
        <v>1</v>
      </c>
      <c r="N105" s="1" t="s">
        <v>1</v>
      </c>
      <c r="O105" s="1" t="s">
        <v>4554</v>
      </c>
      <c r="P105" s="1" t="s">
        <v>2630</v>
      </c>
      <c r="Q105" s="1">
        <v>-1</v>
      </c>
      <c r="R105" s="1"/>
      <c r="S105" s="1"/>
      <c r="T105" s="1"/>
      <c r="U105" s="1"/>
      <c r="V105" s="1"/>
      <c r="W105" s="1"/>
      <c r="X105" s="1"/>
      <c r="Y105" s="1"/>
      <c r="Z105" s="1"/>
      <c r="AA105" s="1"/>
      <c r="AB105" s="1"/>
      <c r="AC105" s="1"/>
      <c r="AD105" s="1"/>
      <c r="AE105" s="1"/>
      <c r="AF105" s="1"/>
    </row>
    <row r="106" spans="1:32" hidden="1" x14ac:dyDescent="0.25">
      <c r="A106" s="1">
        <v>105</v>
      </c>
      <c r="B106" s="1"/>
      <c r="C106" s="1" t="s">
        <v>2579</v>
      </c>
      <c r="D106" s="1" t="s">
        <v>2578</v>
      </c>
      <c r="E106">
        <v>2013</v>
      </c>
      <c r="F106" s="1" t="s">
        <v>0</v>
      </c>
      <c r="G106" s="1" t="s">
        <v>4509</v>
      </c>
      <c r="H106" s="1" t="s">
        <v>2580</v>
      </c>
      <c r="I106" s="1" t="s">
        <v>1</v>
      </c>
      <c r="J106" s="1" t="s">
        <v>1</v>
      </c>
      <c r="K106" s="1" t="s">
        <v>1860</v>
      </c>
      <c r="L106" s="1" t="s">
        <v>1</v>
      </c>
      <c r="M106" s="1" t="s">
        <v>1</v>
      </c>
      <c r="N106" s="1" t="s">
        <v>1</v>
      </c>
      <c r="O106" s="1" t="s">
        <v>4510</v>
      </c>
      <c r="P106" s="1" t="s">
        <v>2581</v>
      </c>
      <c r="Q106" s="1">
        <v>-1</v>
      </c>
      <c r="R106" s="1"/>
      <c r="S106" s="1"/>
      <c r="T106" s="1"/>
      <c r="U106" s="1"/>
      <c r="V106" s="1"/>
      <c r="W106" s="1"/>
      <c r="X106" s="1"/>
      <c r="Y106" s="1"/>
      <c r="Z106" s="1"/>
      <c r="AA106" s="1"/>
      <c r="AB106" s="1"/>
      <c r="AC106" s="1"/>
      <c r="AD106" s="1"/>
      <c r="AE106" s="1"/>
      <c r="AF106" s="1"/>
    </row>
    <row r="107" spans="1:32" hidden="1" x14ac:dyDescent="0.25">
      <c r="A107" s="1">
        <v>106</v>
      </c>
      <c r="B107" s="1"/>
      <c r="C107" s="1" t="s">
        <v>1911</v>
      </c>
      <c r="D107" s="1" t="s">
        <v>3989</v>
      </c>
      <c r="E107">
        <v>2008</v>
      </c>
      <c r="F107" s="1" t="s">
        <v>0</v>
      </c>
      <c r="G107" s="1" t="s">
        <v>3990</v>
      </c>
      <c r="H107" s="1" t="s">
        <v>1912</v>
      </c>
      <c r="I107" s="1" t="s">
        <v>1</v>
      </c>
      <c r="J107" s="1" t="s">
        <v>1</v>
      </c>
      <c r="K107" s="1" t="s">
        <v>1913</v>
      </c>
      <c r="L107" s="1" t="s">
        <v>1</v>
      </c>
      <c r="M107" s="1" t="s">
        <v>1</v>
      </c>
      <c r="N107" s="1" t="s">
        <v>1</v>
      </c>
      <c r="O107" s="1" t="s">
        <v>3991</v>
      </c>
      <c r="P107" s="1" t="s">
        <v>1914</v>
      </c>
      <c r="Q107" s="1">
        <v>-1</v>
      </c>
      <c r="R107" s="1"/>
      <c r="S107" s="1"/>
      <c r="T107" s="1"/>
      <c r="U107" s="1"/>
      <c r="V107" s="1"/>
      <c r="W107" s="1"/>
      <c r="X107" s="1"/>
      <c r="Y107" s="1"/>
      <c r="Z107" s="1"/>
      <c r="AA107" s="1"/>
      <c r="AB107" s="1"/>
      <c r="AC107" s="1"/>
      <c r="AD107" s="1"/>
      <c r="AE107" s="1"/>
      <c r="AF107" s="1"/>
    </row>
    <row r="108" spans="1:32" hidden="1" x14ac:dyDescent="0.25">
      <c r="A108" s="1">
        <v>107</v>
      </c>
      <c r="B108" s="1"/>
      <c r="C108" s="1" t="s">
        <v>2837</v>
      </c>
      <c r="D108" s="1" t="s">
        <v>4718</v>
      </c>
      <c r="E108">
        <v>2012</v>
      </c>
      <c r="F108" s="1" t="s">
        <v>0</v>
      </c>
      <c r="G108" s="1" t="s">
        <v>4719</v>
      </c>
      <c r="H108" s="1" t="s">
        <v>1289</v>
      </c>
      <c r="I108" s="1" t="s">
        <v>1</v>
      </c>
      <c r="J108" s="1" t="s">
        <v>1</v>
      </c>
      <c r="K108" s="1" t="s">
        <v>3446</v>
      </c>
      <c r="L108" s="1" t="s">
        <v>1</v>
      </c>
      <c r="M108" s="1" t="s">
        <v>1</v>
      </c>
      <c r="N108" s="1" t="s">
        <v>1</v>
      </c>
      <c r="O108" s="1" t="s">
        <v>4720</v>
      </c>
      <c r="P108" s="1" t="s">
        <v>2838</v>
      </c>
      <c r="Q108" s="1">
        <v>-1</v>
      </c>
      <c r="R108" s="1"/>
      <c r="S108" s="1"/>
      <c r="T108" s="1"/>
      <c r="U108" s="1"/>
      <c r="V108" s="1"/>
      <c r="W108" s="1"/>
      <c r="X108" s="1"/>
      <c r="Y108" s="1"/>
      <c r="Z108" s="1"/>
      <c r="AA108" s="1"/>
      <c r="AB108" s="1"/>
      <c r="AC108" s="1"/>
      <c r="AD108" s="1"/>
      <c r="AE108" s="1"/>
      <c r="AF108" s="1"/>
    </row>
    <row r="109" spans="1:32" hidden="1" x14ac:dyDescent="0.25">
      <c r="A109" s="1">
        <v>108</v>
      </c>
      <c r="B109" s="1"/>
      <c r="C109" s="1" t="s">
        <v>2356</v>
      </c>
      <c r="D109" s="1" t="s">
        <v>2355</v>
      </c>
      <c r="E109">
        <v>2010</v>
      </c>
      <c r="F109" s="1" t="s">
        <v>0</v>
      </c>
      <c r="G109" s="1" t="s">
        <v>4331</v>
      </c>
      <c r="H109" s="1" t="s">
        <v>877</v>
      </c>
      <c r="I109" s="1" t="s">
        <v>1</v>
      </c>
      <c r="J109" s="1" t="s">
        <v>1</v>
      </c>
      <c r="K109" s="1" t="s">
        <v>2357</v>
      </c>
      <c r="L109" s="1" t="s">
        <v>1</v>
      </c>
      <c r="M109" s="1" t="s">
        <v>1</v>
      </c>
      <c r="N109" s="1" t="s">
        <v>1</v>
      </c>
      <c r="O109" s="1" t="s">
        <v>4332</v>
      </c>
      <c r="P109" s="1" t="s">
        <v>2358</v>
      </c>
      <c r="Q109" s="1">
        <v>-1</v>
      </c>
      <c r="R109" s="1"/>
      <c r="S109" s="1"/>
      <c r="T109" s="1"/>
      <c r="U109" s="1"/>
      <c r="V109" s="1"/>
      <c r="W109" s="1"/>
      <c r="X109" s="1"/>
      <c r="Y109" s="1"/>
      <c r="Z109" s="1"/>
      <c r="AA109" s="1"/>
      <c r="AB109" s="1"/>
      <c r="AC109" s="1"/>
      <c r="AD109" s="1"/>
      <c r="AE109" s="1"/>
      <c r="AF109" s="1"/>
    </row>
    <row r="110" spans="1:32" hidden="1" x14ac:dyDescent="0.25">
      <c r="A110" s="1">
        <v>109</v>
      </c>
      <c r="B110" s="1"/>
      <c r="C110" s="1" t="s">
        <v>2202</v>
      </c>
      <c r="D110" s="1" t="s">
        <v>4214</v>
      </c>
      <c r="E110">
        <v>2012</v>
      </c>
      <c r="F110" s="1" t="s">
        <v>244</v>
      </c>
      <c r="G110" s="1" t="s">
        <v>4215</v>
      </c>
      <c r="H110" s="1" t="s">
        <v>1</v>
      </c>
      <c r="I110" s="1" t="s">
        <v>2203</v>
      </c>
      <c r="J110" s="1" t="s">
        <v>1</v>
      </c>
      <c r="K110" s="1" t="s">
        <v>2204</v>
      </c>
      <c r="L110" s="1" t="s">
        <v>1</v>
      </c>
      <c r="M110" s="1" t="s">
        <v>1</v>
      </c>
      <c r="N110" s="1" t="s">
        <v>2206</v>
      </c>
      <c r="O110" s="1" t="s">
        <v>4216</v>
      </c>
      <c r="P110" s="1" t="s">
        <v>2205</v>
      </c>
      <c r="Q110" s="1">
        <v>1</v>
      </c>
      <c r="R110" s="1">
        <v>-1</v>
      </c>
      <c r="S110" s="1"/>
      <c r="T110" s="1"/>
      <c r="U110" s="1"/>
      <c r="V110" s="1"/>
      <c r="W110" s="1"/>
      <c r="X110" s="1"/>
      <c r="Y110" s="1"/>
      <c r="Z110" s="1"/>
      <c r="AA110" s="1"/>
      <c r="AB110" s="1"/>
      <c r="AC110" s="1"/>
      <c r="AD110" s="1"/>
      <c r="AE110" s="1"/>
      <c r="AF110" s="1"/>
    </row>
    <row r="111" spans="1:32" hidden="1" x14ac:dyDescent="0.25">
      <c r="A111" s="1">
        <v>110</v>
      </c>
      <c r="B111" s="1"/>
      <c r="C111" s="6" t="s">
        <v>3099</v>
      </c>
      <c r="D111" s="1" t="s">
        <v>4918</v>
      </c>
      <c r="E111">
        <v>2013</v>
      </c>
      <c r="F111" s="1" t="s">
        <v>244</v>
      </c>
      <c r="G111" s="1" t="s">
        <v>4920</v>
      </c>
      <c r="H111" s="1" t="s">
        <v>3100</v>
      </c>
      <c r="I111" s="1" t="s">
        <v>4919</v>
      </c>
      <c r="J111" s="1" t="s">
        <v>1</v>
      </c>
      <c r="K111" s="1" t="s">
        <v>1898</v>
      </c>
      <c r="L111" s="1" t="s">
        <v>1</v>
      </c>
      <c r="M111" s="1" t="s">
        <v>1</v>
      </c>
      <c r="N111" s="1" t="s">
        <v>3102</v>
      </c>
      <c r="O111" s="1" t="s">
        <v>4921</v>
      </c>
      <c r="P111" s="1" t="s">
        <v>3101</v>
      </c>
      <c r="Q111" s="1">
        <v>1</v>
      </c>
      <c r="R111" s="1">
        <v>-1</v>
      </c>
      <c r="S111" s="1"/>
      <c r="T111" s="1"/>
      <c r="U111" s="1"/>
      <c r="V111" s="1"/>
      <c r="W111" s="1"/>
      <c r="X111" s="1"/>
      <c r="Y111" s="1"/>
      <c r="Z111" s="1"/>
      <c r="AA111" s="1"/>
      <c r="AB111" s="1"/>
      <c r="AC111" s="1"/>
      <c r="AD111" s="1"/>
      <c r="AE111" s="1"/>
      <c r="AF111" s="1"/>
    </row>
    <row r="112" spans="1:32" hidden="1" x14ac:dyDescent="0.25">
      <c r="A112" s="1">
        <v>111</v>
      </c>
      <c r="B112" s="1"/>
      <c r="C112" s="1" t="s">
        <v>1827</v>
      </c>
      <c r="D112" s="1" t="s">
        <v>3917</v>
      </c>
      <c r="E112">
        <v>2014</v>
      </c>
      <c r="F112" s="1" t="s">
        <v>116</v>
      </c>
      <c r="G112" s="1" t="s">
        <v>3920</v>
      </c>
      <c r="H112" s="1" t="s">
        <v>1828</v>
      </c>
      <c r="I112" s="1" t="s">
        <v>3918</v>
      </c>
      <c r="J112" s="1" t="s">
        <v>3919</v>
      </c>
      <c r="K112" s="1" t="s">
        <v>1829</v>
      </c>
      <c r="L112" s="1" t="s">
        <v>1</v>
      </c>
      <c r="M112" s="1" t="s">
        <v>1</v>
      </c>
      <c r="N112" s="1" t="s">
        <v>1</v>
      </c>
      <c r="O112" s="1" t="s">
        <v>3921</v>
      </c>
      <c r="P112" s="1" t="s">
        <v>1830</v>
      </c>
      <c r="Q112" s="1">
        <v>-1</v>
      </c>
      <c r="R112" s="1"/>
      <c r="S112" s="1"/>
      <c r="T112" s="1"/>
      <c r="U112" s="1"/>
      <c r="V112" s="1"/>
      <c r="W112" s="1"/>
      <c r="X112" s="1"/>
      <c r="Y112" s="1"/>
      <c r="Z112" s="1"/>
      <c r="AA112" s="1"/>
      <c r="AB112" s="1"/>
      <c r="AC112" s="1"/>
      <c r="AD112" s="1"/>
      <c r="AE112" s="1"/>
      <c r="AF112" s="1"/>
    </row>
    <row r="113" spans="1:32" hidden="1" x14ac:dyDescent="0.25">
      <c r="A113" s="1">
        <v>112</v>
      </c>
      <c r="B113" s="1"/>
      <c r="C113" s="1" t="s">
        <v>900</v>
      </c>
      <c r="D113" s="1" t="s">
        <v>3241</v>
      </c>
      <c r="E113">
        <v>2013</v>
      </c>
      <c r="F113" s="1" t="s">
        <v>0</v>
      </c>
      <c r="G113" s="1" t="s">
        <v>1</v>
      </c>
      <c r="H113" s="1" t="s">
        <v>901</v>
      </c>
      <c r="I113" s="1" t="s">
        <v>1</v>
      </c>
      <c r="J113" s="1" t="s">
        <v>1</v>
      </c>
      <c r="K113" s="1" t="s">
        <v>3242</v>
      </c>
      <c r="L113" s="1" t="s">
        <v>1</v>
      </c>
      <c r="M113" s="1" t="s">
        <v>1</v>
      </c>
      <c r="N113" s="1" t="s">
        <v>1</v>
      </c>
      <c r="O113" s="1" t="s">
        <v>3243</v>
      </c>
      <c r="P113" s="1" t="s">
        <v>902</v>
      </c>
      <c r="Q113" s="1">
        <v>-1</v>
      </c>
      <c r="R113" s="1"/>
      <c r="S113" s="1"/>
      <c r="T113" s="1"/>
      <c r="U113" s="1"/>
      <c r="V113" s="1"/>
      <c r="W113" s="1"/>
      <c r="X113" s="1"/>
      <c r="Y113" s="1"/>
      <c r="Z113" s="1"/>
      <c r="AA113" s="1"/>
      <c r="AB113" s="1"/>
      <c r="AC113" s="1"/>
      <c r="AD113" s="1"/>
      <c r="AE113" s="1"/>
      <c r="AF113" s="1"/>
    </row>
    <row r="114" spans="1:32" x14ac:dyDescent="0.25">
      <c r="A114" s="1">
        <v>113</v>
      </c>
      <c r="B114" s="1">
        <v>7</v>
      </c>
      <c r="C114" s="1" t="s">
        <v>2410</v>
      </c>
      <c r="D114" s="1" t="s">
        <v>4374</v>
      </c>
      <c r="E114">
        <v>2010</v>
      </c>
      <c r="F114" s="1" t="s">
        <v>0</v>
      </c>
      <c r="G114" s="1" t="s">
        <v>4375</v>
      </c>
      <c r="H114" s="1" t="s">
        <v>2411</v>
      </c>
      <c r="I114" s="1" t="s">
        <v>1</v>
      </c>
      <c r="J114" s="1" t="s">
        <v>1</v>
      </c>
      <c r="K114" s="1" t="s">
        <v>2123</v>
      </c>
      <c r="L114" s="1" t="s">
        <v>1</v>
      </c>
      <c r="M114" s="1" t="s">
        <v>1</v>
      </c>
      <c r="N114" s="1" t="s">
        <v>1</v>
      </c>
      <c r="O114" s="1" t="s">
        <v>4376</v>
      </c>
      <c r="P114" s="1" t="s">
        <v>2412</v>
      </c>
      <c r="Q114" s="1">
        <v>1</v>
      </c>
      <c r="R114" s="1">
        <v>1</v>
      </c>
      <c r="S114" s="1">
        <v>6</v>
      </c>
      <c r="T114" s="1" t="s">
        <v>5014</v>
      </c>
      <c r="U114" s="1" t="s">
        <v>5019</v>
      </c>
      <c r="V114" s="1" t="s">
        <v>2135</v>
      </c>
      <c r="W114" s="1" t="s">
        <v>4974</v>
      </c>
      <c r="X114" s="1" t="s">
        <v>658</v>
      </c>
      <c r="Y114" s="1" t="s">
        <v>5021</v>
      </c>
      <c r="Z114" s="1" t="s">
        <v>5020</v>
      </c>
      <c r="AA114" s="1" t="s">
        <v>4987</v>
      </c>
      <c r="AB114" s="1">
        <v>3</v>
      </c>
      <c r="AC114" s="1">
        <v>5</v>
      </c>
      <c r="AD114" s="1">
        <v>1</v>
      </c>
      <c r="AE114" s="1">
        <v>3</v>
      </c>
      <c r="AF114" s="1"/>
    </row>
    <row r="115" spans="1:32" hidden="1" x14ac:dyDescent="0.25">
      <c r="A115" s="1">
        <v>114</v>
      </c>
      <c r="B115" s="1"/>
      <c r="C115" s="1" t="s">
        <v>2294</v>
      </c>
      <c r="D115" s="1" t="s">
        <v>2284</v>
      </c>
      <c r="E115">
        <v>2010</v>
      </c>
      <c r="F115" s="1" t="s">
        <v>244</v>
      </c>
      <c r="G115" s="1" t="s">
        <v>4286</v>
      </c>
      <c r="H115" s="1" t="s">
        <v>1</v>
      </c>
      <c r="I115" s="1" t="s">
        <v>3343</v>
      </c>
      <c r="J115" s="1" t="s">
        <v>1</v>
      </c>
      <c r="K115" s="1" t="s">
        <v>2295</v>
      </c>
      <c r="L115" s="1" t="s">
        <v>1035</v>
      </c>
      <c r="M115" s="1" t="s">
        <v>1</v>
      </c>
      <c r="N115" s="1" t="s">
        <v>2297</v>
      </c>
      <c r="O115" s="1" t="s">
        <v>4287</v>
      </c>
      <c r="P115" s="1" t="s">
        <v>2296</v>
      </c>
      <c r="Q115" s="1">
        <v>-1</v>
      </c>
      <c r="R115" s="1"/>
      <c r="S115" s="1"/>
      <c r="T115" s="1"/>
      <c r="U115" s="1"/>
      <c r="V115" s="1"/>
      <c r="W115" s="1"/>
      <c r="X115" s="1"/>
      <c r="Y115" s="1"/>
      <c r="Z115" s="1"/>
      <c r="AA115" s="1"/>
      <c r="AB115" s="1"/>
      <c r="AC115" s="1"/>
      <c r="AD115" s="1"/>
      <c r="AE115" s="1"/>
      <c r="AF115" s="1"/>
    </row>
    <row r="116" spans="1:32" hidden="1" x14ac:dyDescent="0.25">
      <c r="A116" s="1">
        <v>115</v>
      </c>
      <c r="B116" s="1"/>
      <c r="C116" s="1" t="s">
        <v>1760</v>
      </c>
      <c r="D116" s="1" t="s">
        <v>3868</v>
      </c>
      <c r="E116">
        <v>2009</v>
      </c>
      <c r="F116" s="1" t="s">
        <v>0</v>
      </c>
      <c r="G116" s="1" t="s">
        <v>3869</v>
      </c>
      <c r="H116" s="1" t="s">
        <v>1673</v>
      </c>
      <c r="I116" s="1" t="s">
        <v>1</v>
      </c>
      <c r="J116" s="1" t="s">
        <v>1</v>
      </c>
      <c r="K116" s="1" t="s">
        <v>1761</v>
      </c>
      <c r="L116" s="1" t="s">
        <v>1</v>
      </c>
      <c r="M116" s="1" t="s">
        <v>1</v>
      </c>
      <c r="N116" s="1" t="s">
        <v>1</v>
      </c>
      <c r="O116" s="1" t="s">
        <v>3870</v>
      </c>
      <c r="P116" s="1" t="s">
        <v>1762</v>
      </c>
      <c r="Q116" s="1">
        <v>-1</v>
      </c>
      <c r="R116" s="1"/>
      <c r="S116" s="1"/>
      <c r="T116" s="1"/>
      <c r="U116" s="1"/>
      <c r="V116" s="1"/>
      <c r="W116" s="1"/>
      <c r="X116" s="1"/>
      <c r="Y116" s="1"/>
      <c r="Z116" s="1"/>
      <c r="AA116" s="1"/>
      <c r="AB116" s="1"/>
      <c r="AC116" s="1"/>
      <c r="AD116" s="1"/>
      <c r="AE116" s="1"/>
      <c r="AF116" s="1"/>
    </row>
    <row r="117" spans="1:32" hidden="1" x14ac:dyDescent="0.25">
      <c r="A117" s="1">
        <v>116</v>
      </c>
      <c r="B117" s="1"/>
      <c r="C117" s="1" t="s">
        <v>1418</v>
      </c>
      <c r="D117" s="1" t="s">
        <v>3604</v>
      </c>
      <c r="E117">
        <v>2015</v>
      </c>
      <c r="F117" s="1" t="s">
        <v>116</v>
      </c>
      <c r="G117" s="1" t="s">
        <v>3605</v>
      </c>
      <c r="H117" s="1" t="s">
        <v>1419</v>
      </c>
      <c r="I117" s="1" t="s">
        <v>1420</v>
      </c>
      <c r="J117" s="1" t="s">
        <v>1</v>
      </c>
      <c r="K117" s="1" t="s">
        <v>1421</v>
      </c>
      <c r="L117" s="1" t="s">
        <v>1</v>
      </c>
      <c r="M117" s="1" t="s">
        <v>1</v>
      </c>
      <c r="N117" s="1" t="s">
        <v>1423</v>
      </c>
      <c r="O117" s="1" t="s">
        <v>3606</v>
      </c>
      <c r="P117" s="1" t="s">
        <v>1422</v>
      </c>
      <c r="Q117" s="1">
        <v>-1</v>
      </c>
      <c r="R117" s="1"/>
      <c r="S117" s="1"/>
      <c r="T117" s="1"/>
      <c r="U117" s="1"/>
      <c r="V117" s="1"/>
      <c r="W117" s="1"/>
      <c r="X117" s="1"/>
      <c r="Y117" s="1"/>
      <c r="Z117" s="1"/>
      <c r="AA117" s="1"/>
      <c r="AB117" s="1"/>
      <c r="AC117" s="1"/>
      <c r="AD117" s="1"/>
      <c r="AE117" s="1"/>
      <c r="AF117" s="1"/>
    </row>
    <row r="118" spans="1:32" hidden="1" x14ac:dyDescent="0.25">
      <c r="A118" s="1">
        <v>117</v>
      </c>
      <c r="B118" s="1"/>
      <c r="C118" s="1" t="s">
        <v>2170</v>
      </c>
      <c r="D118" s="1" t="s">
        <v>4184</v>
      </c>
      <c r="E118">
        <v>2012</v>
      </c>
      <c r="F118" s="1" t="s">
        <v>0</v>
      </c>
      <c r="G118" s="1" t="s">
        <v>4185</v>
      </c>
      <c r="H118" s="1" t="s">
        <v>2171</v>
      </c>
      <c r="I118" s="1" t="s">
        <v>1</v>
      </c>
      <c r="J118" s="1" t="s">
        <v>1</v>
      </c>
      <c r="K118" s="1" t="s">
        <v>2172</v>
      </c>
      <c r="L118" s="1" t="s">
        <v>1</v>
      </c>
      <c r="M118" s="1" t="s">
        <v>1</v>
      </c>
      <c r="N118" s="1" t="s">
        <v>1</v>
      </c>
      <c r="O118" s="1" t="s">
        <v>4186</v>
      </c>
      <c r="P118" s="1" t="s">
        <v>2173</v>
      </c>
      <c r="Q118" s="1">
        <v>-1</v>
      </c>
      <c r="R118" s="1"/>
      <c r="S118" s="1"/>
      <c r="T118" s="1"/>
      <c r="U118" s="1"/>
      <c r="V118" s="1"/>
      <c r="W118" s="1"/>
      <c r="X118" s="1"/>
      <c r="Y118" s="1"/>
      <c r="Z118" s="1"/>
      <c r="AA118" s="1"/>
      <c r="AB118" s="1"/>
      <c r="AC118" s="1"/>
      <c r="AD118" s="1"/>
      <c r="AE118" s="1"/>
      <c r="AF118" s="1"/>
    </row>
    <row r="119" spans="1:32" hidden="1" x14ac:dyDescent="0.25">
      <c r="A119" s="1">
        <v>118</v>
      </c>
      <c r="B119" s="1"/>
      <c r="C119" s="1" t="s">
        <v>1922</v>
      </c>
      <c r="D119" s="1" t="s">
        <v>3997</v>
      </c>
      <c r="E119">
        <v>2017</v>
      </c>
      <c r="F119" s="1" t="s">
        <v>0</v>
      </c>
      <c r="G119" s="1" t="s">
        <v>3998</v>
      </c>
      <c r="H119" s="1" t="s">
        <v>1923</v>
      </c>
      <c r="I119" s="1" t="s">
        <v>1</v>
      </c>
      <c r="J119" s="1" t="s">
        <v>1</v>
      </c>
      <c r="K119" s="1" t="s">
        <v>1924</v>
      </c>
      <c r="L119" s="1" t="s">
        <v>1</v>
      </c>
      <c r="M119" s="1" t="s">
        <v>1</v>
      </c>
      <c r="N119" s="1" t="s">
        <v>1</v>
      </c>
      <c r="O119" s="1" t="s">
        <v>3999</v>
      </c>
      <c r="P119" s="1" t="s">
        <v>1925</v>
      </c>
      <c r="Q119" s="1">
        <v>-1</v>
      </c>
      <c r="R119" s="1"/>
      <c r="S119" s="1"/>
      <c r="T119" s="1"/>
      <c r="U119" s="1"/>
      <c r="V119" s="1"/>
      <c r="W119" s="1"/>
      <c r="X119" s="1"/>
      <c r="Y119" s="1"/>
      <c r="Z119" s="1"/>
      <c r="AA119" s="1"/>
      <c r="AB119" s="1"/>
      <c r="AC119" s="1"/>
      <c r="AD119" s="1"/>
      <c r="AE119" s="1"/>
      <c r="AF119" s="1"/>
    </row>
    <row r="120" spans="1:32" hidden="1" x14ac:dyDescent="0.25">
      <c r="A120" s="1">
        <v>119</v>
      </c>
      <c r="B120" s="1"/>
      <c r="C120" s="8" t="s">
        <v>2674</v>
      </c>
      <c r="D120" s="1" t="s">
        <v>4587</v>
      </c>
      <c r="E120">
        <v>2013</v>
      </c>
      <c r="F120" s="1" t="s">
        <v>116</v>
      </c>
      <c r="G120" s="1" t="s">
        <v>1</v>
      </c>
      <c r="H120" s="1" t="s">
        <v>2675</v>
      </c>
      <c r="I120" s="1" t="s">
        <v>4588</v>
      </c>
      <c r="J120" s="1" t="s">
        <v>3141</v>
      </c>
      <c r="K120" s="1" t="s">
        <v>4589</v>
      </c>
      <c r="L120" s="1" t="s">
        <v>1</v>
      </c>
      <c r="M120" s="1" t="s">
        <v>1</v>
      </c>
      <c r="N120" s="1" t="s">
        <v>2677</v>
      </c>
      <c r="O120" s="1" t="s">
        <v>4590</v>
      </c>
      <c r="P120" s="1" t="s">
        <v>2676</v>
      </c>
      <c r="Q120" s="1">
        <v>-1</v>
      </c>
      <c r="R120" s="1"/>
      <c r="S120" s="1"/>
      <c r="T120" s="1"/>
      <c r="U120" s="1"/>
      <c r="V120" s="1"/>
      <c r="W120" s="1"/>
      <c r="X120" s="1"/>
      <c r="Y120" s="1"/>
      <c r="Z120" s="1"/>
      <c r="AA120" s="1"/>
      <c r="AB120" s="1"/>
      <c r="AC120" s="1"/>
      <c r="AD120" s="1"/>
      <c r="AE120" s="1"/>
      <c r="AF120" s="1"/>
    </row>
    <row r="121" spans="1:32" hidden="1" x14ac:dyDescent="0.25">
      <c r="A121" s="1">
        <v>120</v>
      </c>
      <c r="B121" s="1"/>
      <c r="C121" s="1" t="s">
        <v>2019</v>
      </c>
      <c r="D121" s="1" t="s">
        <v>4074</v>
      </c>
      <c r="E121">
        <v>2012</v>
      </c>
      <c r="F121" s="1" t="s">
        <v>0</v>
      </c>
      <c r="G121" s="1" t="s">
        <v>4075</v>
      </c>
      <c r="H121" s="1" t="s">
        <v>2020</v>
      </c>
      <c r="I121" s="1" t="s">
        <v>1</v>
      </c>
      <c r="J121" s="1" t="s">
        <v>1</v>
      </c>
      <c r="K121" s="1" t="s">
        <v>980</v>
      </c>
      <c r="L121" s="1" t="s">
        <v>1</v>
      </c>
      <c r="M121" s="1" t="s">
        <v>1</v>
      </c>
      <c r="N121" s="1" t="s">
        <v>1</v>
      </c>
      <c r="O121" s="1" t="s">
        <v>4076</v>
      </c>
      <c r="P121" s="1" t="s">
        <v>2021</v>
      </c>
      <c r="Q121" s="1">
        <v>-1</v>
      </c>
      <c r="R121" s="1"/>
      <c r="S121" s="1"/>
      <c r="T121" s="1"/>
      <c r="U121" s="1"/>
      <c r="V121" s="1"/>
      <c r="W121" s="1"/>
      <c r="X121" s="1"/>
      <c r="Y121" s="1"/>
      <c r="Z121" s="1"/>
      <c r="AA121" s="1"/>
      <c r="AB121" s="1"/>
      <c r="AC121" s="1"/>
      <c r="AD121" s="1"/>
      <c r="AE121" s="1"/>
      <c r="AF121" s="1"/>
    </row>
    <row r="122" spans="1:32" hidden="1" x14ac:dyDescent="0.25">
      <c r="A122" s="1">
        <v>121</v>
      </c>
      <c r="B122" s="1"/>
      <c r="C122" s="1" t="s">
        <v>850</v>
      </c>
      <c r="D122" s="1" t="s">
        <v>3209</v>
      </c>
      <c r="E122">
        <v>2007</v>
      </c>
      <c r="F122" s="1" t="s">
        <v>0</v>
      </c>
      <c r="G122" s="1" t="s">
        <v>3210</v>
      </c>
      <c r="H122" s="1" t="s">
        <v>851</v>
      </c>
      <c r="I122" s="1" t="s">
        <v>1</v>
      </c>
      <c r="J122" s="1" t="s">
        <v>1</v>
      </c>
      <c r="K122" s="1" t="s">
        <v>852</v>
      </c>
      <c r="L122" s="1" t="s">
        <v>1</v>
      </c>
      <c r="M122" s="1" t="s">
        <v>1</v>
      </c>
      <c r="N122" s="1" t="s">
        <v>1</v>
      </c>
      <c r="O122" s="1" t="s">
        <v>3211</v>
      </c>
      <c r="P122" s="1" t="s">
        <v>853</v>
      </c>
      <c r="Q122" s="1">
        <v>-1</v>
      </c>
      <c r="R122" s="1"/>
      <c r="S122" s="1"/>
      <c r="T122" s="1"/>
      <c r="U122" s="1"/>
      <c r="V122" s="1"/>
      <c r="W122" s="1"/>
      <c r="X122" s="1"/>
      <c r="Y122" s="1"/>
      <c r="Z122" s="1"/>
      <c r="AA122" s="1"/>
      <c r="AB122" s="1"/>
      <c r="AC122" s="1"/>
      <c r="AD122" s="1"/>
      <c r="AE122" s="1"/>
      <c r="AF122" s="1"/>
    </row>
    <row r="123" spans="1:32" hidden="1" x14ac:dyDescent="0.25">
      <c r="A123" s="1">
        <v>122</v>
      </c>
      <c r="B123" s="1"/>
      <c r="C123" s="1" t="s">
        <v>2082</v>
      </c>
      <c r="D123" s="1" t="s">
        <v>4115</v>
      </c>
      <c r="E123">
        <v>2016</v>
      </c>
      <c r="F123" s="1" t="s">
        <v>0</v>
      </c>
      <c r="G123" s="1" t="s">
        <v>4116</v>
      </c>
      <c r="H123" s="1" t="s">
        <v>2083</v>
      </c>
      <c r="I123" s="1" t="s">
        <v>1</v>
      </c>
      <c r="J123" s="1" t="s">
        <v>1</v>
      </c>
      <c r="K123" s="1" t="s">
        <v>2084</v>
      </c>
      <c r="L123" s="1" t="s">
        <v>1</v>
      </c>
      <c r="M123" s="1" t="s">
        <v>1</v>
      </c>
      <c r="N123" s="1" t="s">
        <v>1</v>
      </c>
      <c r="O123" s="1" t="s">
        <v>4117</v>
      </c>
      <c r="P123" s="1" t="s">
        <v>2085</v>
      </c>
      <c r="Q123" s="1">
        <v>-1</v>
      </c>
      <c r="R123" s="1"/>
      <c r="S123" s="1"/>
      <c r="T123" s="1"/>
      <c r="U123" s="1"/>
      <c r="V123" s="1"/>
      <c r="W123" s="1"/>
      <c r="X123" s="1"/>
      <c r="Y123" s="1"/>
      <c r="Z123" s="1"/>
      <c r="AA123" s="1"/>
      <c r="AB123" s="1"/>
      <c r="AC123" s="1"/>
      <c r="AD123" s="1"/>
      <c r="AE123" s="1"/>
      <c r="AF123" s="1"/>
    </row>
    <row r="124" spans="1:32" hidden="1" x14ac:dyDescent="0.25">
      <c r="A124" s="1">
        <v>123</v>
      </c>
      <c r="B124" s="1"/>
      <c r="C124" s="1" t="s">
        <v>2241</v>
      </c>
      <c r="D124" s="1" t="s">
        <v>4241</v>
      </c>
      <c r="E124">
        <v>2011</v>
      </c>
      <c r="F124" s="1" t="s">
        <v>658</v>
      </c>
      <c r="G124" s="1" t="s">
        <v>4242</v>
      </c>
      <c r="H124" s="1" t="s">
        <v>2242</v>
      </c>
      <c r="I124" s="1" t="s">
        <v>1</v>
      </c>
      <c r="J124" s="1" t="s">
        <v>1</v>
      </c>
      <c r="K124" s="1" t="s">
        <v>2244</v>
      </c>
      <c r="L124" s="1" t="s">
        <v>666</v>
      </c>
      <c r="M124" s="1" t="s">
        <v>2243</v>
      </c>
      <c r="N124" s="1" t="s">
        <v>1</v>
      </c>
      <c r="O124" s="1" t="s">
        <v>1</v>
      </c>
      <c r="P124" s="1" t="s">
        <v>4967</v>
      </c>
      <c r="Q124" s="1">
        <v>-1</v>
      </c>
      <c r="R124" s="1"/>
      <c r="S124" s="1"/>
      <c r="T124" s="1"/>
      <c r="U124" s="1"/>
      <c r="V124" s="1"/>
      <c r="W124" s="1"/>
      <c r="X124" s="1"/>
      <c r="Y124" s="1"/>
      <c r="Z124" s="1"/>
      <c r="AA124" s="1"/>
      <c r="AB124" s="1"/>
      <c r="AC124" s="1"/>
      <c r="AD124" s="1"/>
      <c r="AE124" s="1"/>
      <c r="AF124" s="1"/>
    </row>
    <row r="125" spans="1:32" hidden="1" x14ac:dyDescent="0.25">
      <c r="A125" s="1">
        <v>124</v>
      </c>
      <c r="B125" s="1"/>
      <c r="C125" s="1" t="s">
        <v>2664</v>
      </c>
      <c r="D125" s="1" t="s">
        <v>4579</v>
      </c>
      <c r="E125">
        <v>2010</v>
      </c>
      <c r="F125" s="1" t="s">
        <v>0</v>
      </c>
      <c r="G125" s="1" t="s">
        <v>4580</v>
      </c>
      <c r="H125" s="1" t="s">
        <v>2665</v>
      </c>
      <c r="I125" s="1" t="s">
        <v>1</v>
      </c>
      <c r="J125" s="1" t="s">
        <v>1</v>
      </c>
      <c r="K125" s="1" t="s">
        <v>2666</v>
      </c>
      <c r="L125" s="1" t="s">
        <v>1</v>
      </c>
      <c r="M125" s="1" t="s">
        <v>1</v>
      </c>
      <c r="N125" s="1" t="s">
        <v>1</v>
      </c>
      <c r="O125" s="1" t="s">
        <v>4581</v>
      </c>
      <c r="P125" s="1" t="s">
        <v>2667</v>
      </c>
      <c r="Q125" s="1">
        <v>-1</v>
      </c>
      <c r="R125" s="1"/>
      <c r="S125" s="1"/>
      <c r="T125" s="1"/>
      <c r="U125" s="1"/>
      <c r="V125" s="1"/>
      <c r="W125" s="1"/>
      <c r="X125" s="1"/>
      <c r="Y125" s="1"/>
      <c r="Z125" s="1"/>
      <c r="AA125" s="1"/>
      <c r="AB125" s="1"/>
      <c r="AC125" s="1"/>
      <c r="AD125" s="1"/>
      <c r="AE125" s="1"/>
      <c r="AF125" s="1"/>
    </row>
    <row r="126" spans="1:32" hidden="1" x14ac:dyDescent="0.25">
      <c r="A126" s="1">
        <v>125</v>
      </c>
      <c r="B126" s="1"/>
      <c r="C126" s="1" t="s">
        <v>1809</v>
      </c>
      <c r="D126" s="1" t="s">
        <v>3901</v>
      </c>
      <c r="E126">
        <v>2014</v>
      </c>
      <c r="F126" s="1" t="s">
        <v>0</v>
      </c>
      <c r="G126" s="1" t="s">
        <v>3902</v>
      </c>
      <c r="H126" s="1" t="s">
        <v>963</v>
      </c>
      <c r="I126" s="1" t="s">
        <v>1</v>
      </c>
      <c r="J126" s="1" t="s">
        <v>1</v>
      </c>
      <c r="K126" s="1" t="s">
        <v>3272</v>
      </c>
      <c r="L126" s="1" t="s">
        <v>1</v>
      </c>
      <c r="M126" s="1" t="s">
        <v>1</v>
      </c>
      <c r="N126" s="1" t="s">
        <v>1</v>
      </c>
      <c r="O126" s="1" t="s">
        <v>3903</v>
      </c>
      <c r="P126" s="1" t="s">
        <v>1810</v>
      </c>
      <c r="Q126" s="1">
        <v>-1</v>
      </c>
      <c r="R126" s="1"/>
      <c r="S126" s="1"/>
      <c r="T126" s="1"/>
      <c r="U126" s="1"/>
      <c r="V126" s="1"/>
      <c r="W126" s="1"/>
      <c r="X126" s="1"/>
      <c r="Y126" s="1"/>
      <c r="Z126" s="1"/>
      <c r="AA126" s="1"/>
      <c r="AB126" s="1"/>
      <c r="AC126" s="1"/>
      <c r="AD126" s="1"/>
      <c r="AE126" s="1"/>
      <c r="AF126" s="1"/>
    </row>
    <row r="127" spans="1:32" hidden="1" x14ac:dyDescent="0.25">
      <c r="A127" s="1">
        <v>126</v>
      </c>
      <c r="B127" s="1"/>
      <c r="C127" s="1" t="s">
        <v>1729</v>
      </c>
      <c r="D127" s="1" t="s">
        <v>3848</v>
      </c>
      <c r="E127">
        <v>2016</v>
      </c>
      <c r="F127" s="1" t="s">
        <v>0</v>
      </c>
      <c r="G127" s="1" t="s">
        <v>3849</v>
      </c>
      <c r="H127" s="1" t="s">
        <v>1128</v>
      </c>
      <c r="I127" s="1" t="s">
        <v>3745</v>
      </c>
      <c r="J127" s="1" t="s">
        <v>1</v>
      </c>
      <c r="K127" s="1" t="s">
        <v>1730</v>
      </c>
      <c r="L127" s="1" t="s">
        <v>1</v>
      </c>
      <c r="M127" s="1" t="s">
        <v>1</v>
      </c>
      <c r="N127" s="1" t="s">
        <v>1</v>
      </c>
      <c r="O127" s="1" t="s">
        <v>3850</v>
      </c>
      <c r="P127" s="1" t="s">
        <v>1731</v>
      </c>
      <c r="Q127" s="1">
        <v>-1</v>
      </c>
      <c r="R127" s="1"/>
      <c r="S127" s="1"/>
      <c r="T127" s="1"/>
      <c r="U127" s="1"/>
      <c r="V127" s="1"/>
      <c r="W127" s="1"/>
      <c r="X127" s="1"/>
      <c r="Y127" s="1"/>
      <c r="Z127" s="1"/>
      <c r="AA127" s="1"/>
      <c r="AB127" s="1"/>
      <c r="AC127" s="1"/>
      <c r="AD127" s="1"/>
      <c r="AE127" s="1"/>
      <c r="AF127" s="1"/>
    </row>
    <row r="128" spans="1:32" hidden="1" x14ac:dyDescent="0.25">
      <c r="A128" s="1">
        <v>127</v>
      </c>
      <c r="B128" s="1"/>
      <c r="C128" s="1" t="s">
        <v>2556</v>
      </c>
      <c r="D128" s="1" t="s">
        <v>4491</v>
      </c>
      <c r="E128">
        <v>2014</v>
      </c>
      <c r="F128" s="1" t="s">
        <v>0</v>
      </c>
      <c r="G128" s="1" t="s">
        <v>4492</v>
      </c>
      <c r="H128" s="1" t="s">
        <v>2557</v>
      </c>
      <c r="I128" s="1" t="s">
        <v>1</v>
      </c>
      <c r="J128" s="1" t="s">
        <v>1</v>
      </c>
      <c r="K128" s="1" t="s">
        <v>2558</v>
      </c>
      <c r="L128" s="1" t="s">
        <v>1</v>
      </c>
      <c r="M128" s="1" t="s">
        <v>1</v>
      </c>
      <c r="N128" s="1" t="s">
        <v>1</v>
      </c>
      <c r="O128" s="1" t="s">
        <v>4493</v>
      </c>
      <c r="P128" s="1" t="s">
        <v>2559</v>
      </c>
      <c r="Q128" s="1">
        <v>-1</v>
      </c>
      <c r="R128" s="1"/>
      <c r="S128" s="1"/>
      <c r="T128" s="1"/>
      <c r="U128" s="1"/>
      <c r="V128" s="1"/>
      <c r="W128" s="1"/>
      <c r="X128" s="1"/>
      <c r="Y128" s="1"/>
      <c r="Z128" s="1"/>
      <c r="AA128" s="1"/>
      <c r="AB128" s="1"/>
      <c r="AC128" s="1"/>
      <c r="AD128" s="1"/>
      <c r="AE128" s="1"/>
      <c r="AF128" s="1"/>
    </row>
    <row r="129" spans="1:32" hidden="1" x14ac:dyDescent="0.25">
      <c r="A129" s="1">
        <v>128</v>
      </c>
      <c r="B129" s="1"/>
      <c r="C129" s="1" t="s">
        <v>911</v>
      </c>
      <c r="D129" s="1" t="s">
        <v>3245</v>
      </c>
      <c r="E129">
        <v>2013</v>
      </c>
      <c r="F129" s="1" t="s">
        <v>116</v>
      </c>
      <c r="G129" s="1" t="s">
        <v>3249</v>
      </c>
      <c r="H129" s="1" t="s">
        <v>912</v>
      </c>
      <c r="I129" s="1" t="s">
        <v>3248</v>
      </c>
      <c r="J129" s="1" t="s">
        <v>3143</v>
      </c>
      <c r="K129" s="1" t="s">
        <v>913</v>
      </c>
      <c r="L129" s="1" t="s">
        <v>1</v>
      </c>
      <c r="M129" s="1" t="s">
        <v>1</v>
      </c>
      <c r="N129" s="1" t="s">
        <v>915</v>
      </c>
      <c r="O129" s="1" t="s">
        <v>3250</v>
      </c>
      <c r="P129" s="1" t="s">
        <v>914</v>
      </c>
      <c r="Q129" s="1">
        <v>-1</v>
      </c>
      <c r="R129" s="1"/>
      <c r="S129" s="1"/>
      <c r="T129" s="1"/>
      <c r="U129" s="1"/>
      <c r="V129" s="1"/>
      <c r="W129" s="1"/>
      <c r="X129" s="1"/>
      <c r="Y129" s="1"/>
      <c r="Z129" s="1"/>
      <c r="AA129" s="1"/>
      <c r="AB129" s="1"/>
      <c r="AC129" s="1"/>
      <c r="AD129" s="1"/>
      <c r="AE129" s="1"/>
      <c r="AF129" s="1"/>
    </row>
    <row r="130" spans="1:32" hidden="1" x14ac:dyDescent="0.25">
      <c r="A130" s="1">
        <v>129</v>
      </c>
      <c r="B130" s="1"/>
      <c r="C130" s="1" t="s">
        <v>2790</v>
      </c>
      <c r="D130" s="1" t="s">
        <v>4681</v>
      </c>
      <c r="E130">
        <v>2016</v>
      </c>
      <c r="F130" s="1" t="s">
        <v>116</v>
      </c>
      <c r="G130" s="1" t="s">
        <v>4682</v>
      </c>
      <c r="H130" s="1" t="s">
        <v>2791</v>
      </c>
      <c r="I130" s="1" t="s">
        <v>3943</v>
      </c>
      <c r="J130" s="1" t="s">
        <v>3143</v>
      </c>
      <c r="K130" s="1" t="s">
        <v>2793</v>
      </c>
      <c r="L130" s="1" t="s">
        <v>2792</v>
      </c>
      <c r="M130" s="1" t="s">
        <v>1</v>
      </c>
      <c r="N130" s="1" t="s">
        <v>2795</v>
      </c>
      <c r="O130" s="1" t="s">
        <v>4683</v>
      </c>
      <c r="P130" s="1" t="s">
        <v>2794</v>
      </c>
      <c r="Q130" s="1">
        <v>-1</v>
      </c>
      <c r="R130" s="1"/>
      <c r="S130" s="1"/>
      <c r="T130" s="1"/>
      <c r="U130" s="1"/>
      <c r="V130" s="1"/>
      <c r="W130" s="1"/>
      <c r="X130" s="1"/>
      <c r="Y130" s="1"/>
      <c r="Z130" s="1"/>
      <c r="AA130" s="1"/>
      <c r="AB130" s="1"/>
      <c r="AC130" s="1"/>
      <c r="AD130" s="1"/>
      <c r="AE130" s="1"/>
      <c r="AF130" s="1"/>
    </row>
    <row r="131" spans="1:32" hidden="1" x14ac:dyDescent="0.25">
      <c r="A131" s="1">
        <v>130</v>
      </c>
      <c r="B131" s="1"/>
      <c r="C131" s="1" t="s">
        <v>2593</v>
      </c>
      <c r="D131" s="1" t="s">
        <v>4521</v>
      </c>
      <c r="E131">
        <v>2013</v>
      </c>
      <c r="F131" s="1" t="s">
        <v>116</v>
      </c>
      <c r="G131" s="1" t="s">
        <v>4524</v>
      </c>
      <c r="H131" s="1" t="s">
        <v>876</v>
      </c>
      <c r="I131" s="1" t="s">
        <v>4523</v>
      </c>
      <c r="J131" s="1" t="s">
        <v>3512</v>
      </c>
      <c r="K131" s="1" t="s">
        <v>2594</v>
      </c>
      <c r="L131" s="1" t="s">
        <v>474</v>
      </c>
      <c r="M131" s="1" t="s">
        <v>1</v>
      </c>
      <c r="N131" s="1" t="s">
        <v>2596</v>
      </c>
      <c r="O131" s="1" t="s">
        <v>4525</v>
      </c>
      <c r="P131" s="1" t="s">
        <v>2595</v>
      </c>
      <c r="Q131" s="1">
        <v>-1</v>
      </c>
      <c r="R131" s="1"/>
      <c r="S131" s="1"/>
      <c r="T131" s="1"/>
      <c r="U131" s="1"/>
      <c r="V131" s="1"/>
      <c r="W131" s="1"/>
      <c r="X131" s="1"/>
      <c r="Y131" s="1"/>
      <c r="Z131" s="1"/>
      <c r="AA131" s="1"/>
      <c r="AB131" s="1"/>
      <c r="AC131" s="1"/>
      <c r="AD131" s="1"/>
      <c r="AE131" s="1"/>
      <c r="AF131" s="1"/>
    </row>
    <row r="132" spans="1:32" hidden="1" x14ac:dyDescent="0.25">
      <c r="A132" s="1">
        <v>131</v>
      </c>
      <c r="B132" s="1"/>
      <c r="C132" s="1" t="s">
        <v>2590</v>
      </c>
      <c r="D132" s="1" t="s">
        <v>4521</v>
      </c>
      <c r="E132">
        <v>2010</v>
      </c>
      <c r="F132" s="1" t="s">
        <v>0</v>
      </c>
      <c r="G132" s="1" t="s">
        <v>4327</v>
      </c>
      <c r="H132" s="1" t="s">
        <v>1</v>
      </c>
      <c r="I132" s="1" t="s">
        <v>1</v>
      </c>
      <c r="J132" s="1" t="s">
        <v>1</v>
      </c>
      <c r="K132" s="1" t="s">
        <v>2351</v>
      </c>
      <c r="L132" s="1" t="s">
        <v>1</v>
      </c>
      <c r="M132" s="1" t="s">
        <v>1</v>
      </c>
      <c r="N132" s="1" t="s">
        <v>2592</v>
      </c>
      <c r="O132" s="1" t="s">
        <v>4522</v>
      </c>
      <c r="P132" s="1" t="s">
        <v>2591</v>
      </c>
      <c r="Q132" s="1">
        <v>-1</v>
      </c>
      <c r="R132" s="1"/>
      <c r="S132" s="1"/>
      <c r="T132" s="1"/>
      <c r="U132" s="1"/>
      <c r="V132" s="1"/>
      <c r="W132" s="1"/>
      <c r="X132" s="1"/>
      <c r="Y132" s="1"/>
      <c r="Z132" s="1"/>
      <c r="AA132" s="1"/>
      <c r="AB132" s="1"/>
      <c r="AC132" s="1"/>
      <c r="AD132" s="1"/>
      <c r="AE132" s="1"/>
      <c r="AF132" s="1"/>
    </row>
    <row r="133" spans="1:32" hidden="1" x14ac:dyDescent="0.25">
      <c r="A133" s="1">
        <v>132</v>
      </c>
      <c r="B133" s="1"/>
      <c r="C133" s="1" t="s">
        <v>966</v>
      </c>
      <c r="D133" s="1" t="s">
        <v>3291</v>
      </c>
      <c r="E133">
        <v>2011</v>
      </c>
      <c r="F133" s="1" t="s">
        <v>0</v>
      </c>
      <c r="G133" s="1" t="s">
        <v>3292</v>
      </c>
      <c r="H133" s="1" t="s">
        <v>967</v>
      </c>
      <c r="I133" s="1" t="s">
        <v>1</v>
      </c>
      <c r="J133" s="1" t="s">
        <v>1</v>
      </c>
      <c r="K133" s="1" t="s">
        <v>968</v>
      </c>
      <c r="L133" s="1" t="s">
        <v>1</v>
      </c>
      <c r="M133" s="1" t="s">
        <v>1</v>
      </c>
      <c r="N133" s="1" t="s">
        <v>1</v>
      </c>
      <c r="O133" s="1" t="s">
        <v>3293</v>
      </c>
      <c r="P133" s="1" t="s">
        <v>3294</v>
      </c>
      <c r="Q133" s="1">
        <v>-1</v>
      </c>
      <c r="R133" s="1"/>
      <c r="S133" s="1"/>
      <c r="T133" s="1"/>
      <c r="U133" s="1"/>
      <c r="V133" s="1"/>
      <c r="W133" s="1"/>
      <c r="X133" s="1"/>
      <c r="Y133" s="1"/>
      <c r="Z133" s="1"/>
      <c r="AA133" s="1"/>
      <c r="AB133" s="1"/>
      <c r="AC133" s="1"/>
      <c r="AD133" s="1"/>
      <c r="AE133" s="1"/>
      <c r="AF133" s="1"/>
    </row>
    <row r="134" spans="1:32" hidden="1" x14ac:dyDescent="0.25">
      <c r="A134" s="1">
        <v>133</v>
      </c>
      <c r="B134" s="1"/>
      <c r="C134" s="1" t="s">
        <v>1075</v>
      </c>
      <c r="D134" s="1" t="s">
        <v>1074</v>
      </c>
      <c r="E134">
        <v>2009</v>
      </c>
      <c r="F134" s="1" t="s">
        <v>0</v>
      </c>
      <c r="G134" s="1" t="s">
        <v>3357</v>
      </c>
      <c r="H134" s="1" t="s">
        <v>1076</v>
      </c>
      <c r="I134" s="1" t="s">
        <v>1</v>
      </c>
      <c r="J134" s="1" t="s">
        <v>1</v>
      </c>
      <c r="K134" s="1" t="s">
        <v>3356</v>
      </c>
      <c r="L134" s="1" t="s">
        <v>1</v>
      </c>
      <c r="M134" s="1" t="s">
        <v>1</v>
      </c>
      <c r="N134" s="1" t="s">
        <v>1</v>
      </c>
      <c r="O134" s="1" t="s">
        <v>3358</v>
      </c>
      <c r="P134" s="1" t="s">
        <v>1077</v>
      </c>
      <c r="Q134" s="1">
        <v>-1</v>
      </c>
      <c r="R134" s="1"/>
      <c r="S134" s="1"/>
      <c r="T134" s="1"/>
      <c r="U134" s="1"/>
      <c r="V134" s="1"/>
      <c r="W134" s="1"/>
      <c r="X134" s="1"/>
      <c r="Y134" s="1"/>
      <c r="Z134" s="1"/>
      <c r="AA134" s="1"/>
      <c r="AB134" s="1"/>
      <c r="AC134" s="1"/>
      <c r="AD134" s="1"/>
      <c r="AE134" s="1"/>
      <c r="AF134" s="1"/>
    </row>
    <row r="135" spans="1:32" hidden="1" x14ac:dyDescent="0.25">
      <c r="A135" s="1">
        <v>134</v>
      </c>
      <c r="B135" s="1"/>
      <c r="C135" s="1" t="s">
        <v>1725</v>
      </c>
      <c r="D135" s="1" t="s">
        <v>1724</v>
      </c>
      <c r="E135">
        <v>2011</v>
      </c>
      <c r="F135" s="1" t="s">
        <v>0</v>
      </c>
      <c r="G135" s="1" t="s">
        <v>1</v>
      </c>
      <c r="H135" s="1" t="s">
        <v>1726</v>
      </c>
      <c r="I135" s="1" t="s">
        <v>1</v>
      </c>
      <c r="J135" s="1" t="s">
        <v>1</v>
      </c>
      <c r="K135" s="1" t="s">
        <v>1727</v>
      </c>
      <c r="L135" s="1" t="s">
        <v>1</v>
      </c>
      <c r="M135" s="1" t="s">
        <v>1</v>
      </c>
      <c r="N135" s="1" t="s">
        <v>1</v>
      </c>
      <c r="O135" s="1" t="s">
        <v>3847</v>
      </c>
      <c r="P135" s="1" t="s">
        <v>1728</v>
      </c>
      <c r="Q135" s="1">
        <v>-1</v>
      </c>
      <c r="R135" s="1"/>
      <c r="S135" s="1"/>
      <c r="T135" s="1"/>
      <c r="U135" s="1"/>
      <c r="V135" s="1"/>
      <c r="W135" s="1"/>
      <c r="X135" s="1"/>
      <c r="Y135" s="1"/>
      <c r="Z135" s="1"/>
      <c r="AA135" s="1"/>
      <c r="AB135" s="1"/>
      <c r="AC135" s="1"/>
      <c r="AD135" s="1"/>
      <c r="AE135" s="1"/>
      <c r="AF135" s="1"/>
    </row>
    <row r="136" spans="1:32" hidden="1" x14ac:dyDescent="0.25">
      <c r="A136" s="1">
        <v>135</v>
      </c>
      <c r="B136" s="1"/>
      <c r="C136" s="1" t="s">
        <v>2609</v>
      </c>
      <c r="D136" s="1" t="s">
        <v>4537</v>
      </c>
      <c r="E136">
        <v>2011</v>
      </c>
      <c r="F136" s="1" t="s">
        <v>658</v>
      </c>
      <c r="G136" s="1" t="s">
        <v>4538</v>
      </c>
      <c r="H136" s="1" t="s">
        <v>2610</v>
      </c>
      <c r="I136" s="1" t="s">
        <v>1</v>
      </c>
      <c r="J136" s="1" t="s">
        <v>1</v>
      </c>
      <c r="K136" s="1" t="s">
        <v>1730</v>
      </c>
      <c r="L136" s="1" t="s">
        <v>666</v>
      </c>
      <c r="M136" s="1" t="s">
        <v>2611</v>
      </c>
      <c r="N136" s="1" t="s">
        <v>1</v>
      </c>
      <c r="O136" s="1" t="s">
        <v>1</v>
      </c>
      <c r="P136" s="1" t="s">
        <v>1</v>
      </c>
      <c r="Q136" s="1">
        <v>-1</v>
      </c>
      <c r="R136" s="1"/>
      <c r="S136" s="1"/>
      <c r="T136" s="1"/>
      <c r="U136" s="1"/>
      <c r="V136" s="1"/>
      <c r="W136" s="1"/>
      <c r="X136" s="1"/>
      <c r="Y136" s="1"/>
      <c r="Z136" s="1"/>
      <c r="AA136" s="1"/>
      <c r="AB136" s="1"/>
      <c r="AC136" s="1"/>
      <c r="AD136" s="1"/>
      <c r="AE136" s="1"/>
      <c r="AF136" s="1"/>
    </row>
    <row r="137" spans="1:32" hidden="1" x14ac:dyDescent="0.25">
      <c r="A137" s="1">
        <v>136</v>
      </c>
      <c r="B137" s="1"/>
      <c r="C137" s="1" t="s">
        <v>2550</v>
      </c>
      <c r="D137" s="1" t="s">
        <v>4485</v>
      </c>
      <c r="E137">
        <v>2011</v>
      </c>
      <c r="F137" s="1" t="s">
        <v>0</v>
      </c>
      <c r="G137" s="1" t="s">
        <v>4486</v>
      </c>
      <c r="H137" s="1" t="s">
        <v>1447</v>
      </c>
      <c r="I137" s="1" t="s">
        <v>1</v>
      </c>
      <c r="J137" s="1" t="s">
        <v>1</v>
      </c>
      <c r="K137" s="1" t="s">
        <v>3490</v>
      </c>
      <c r="L137" s="1" t="s">
        <v>1</v>
      </c>
      <c r="M137" s="1" t="s">
        <v>1</v>
      </c>
      <c r="N137" s="1" t="s">
        <v>1</v>
      </c>
      <c r="O137" s="1" t="s">
        <v>4487</v>
      </c>
      <c r="P137" s="1" t="s">
        <v>2551</v>
      </c>
      <c r="Q137" s="1">
        <v>-1</v>
      </c>
      <c r="R137" s="1"/>
      <c r="S137" s="1"/>
      <c r="T137" s="1"/>
      <c r="U137" s="1"/>
      <c r="V137" s="1"/>
      <c r="W137" s="1"/>
      <c r="X137" s="1"/>
      <c r="Y137" s="1"/>
      <c r="Z137" s="1"/>
      <c r="AA137" s="1"/>
      <c r="AB137" s="1"/>
      <c r="AC137" s="1"/>
      <c r="AD137" s="1"/>
      <c r="AE137" s="1"/>
      <c r="AF137" s="1"/>
    </row>
    <row r="138" spans="1:32" hidden="1" x14ac:dyDescent="0.25">
      <c r="A138" s="1">
        <v>137</v>
      </c>
      <c r="B138" s="1"/>
      <c r="C138" s="1" t="s">
        <v>1672</v>
      </c>
      <c r="D138" s="1" t="s">
        <v>3816</v>
      </c>
      <c r="E138">
        <v>2009</v>
      </c>
      <c r="F138" s="1" t="s">
        <v>0</v>
      </c>
      <c r="G138" s="1" t="s">
        <v>3817</v>
      </c>
      <c r="H138" s="1" t="s">
        <v>1673</v>
      </c>
      <c r="I138" s="1" t="s">
        <v>1</v>
      </c>
      <c r="J138" s="1" t="s">
        <v>1</v>
      </c>
      <c r="K138" s="1" t="s">
        <v>1674</v>
      </c>
      <c r="L138" s="1" t="s">
        <v>1</v>
      </c>
      <c r="M138" s="1" t="s">
        <v>1</v>
      </c>
      <c r="N138" s="1" t="s">
        <v>1</v>
      </c>
      <c r="O138" s="1" t="s">
        <v>3818</v>
      </c>
      <c r="P138" s="1" t="s">
        <v>1675</v>
      </c>
      <c r="Q138" s="1">
        <v>-1</v>
      </c>
      <c r="R138" s="1"/>
      <c r="S138" s="1"/>
      <c r="T138" s="1"/>
      <c r="U138" s="1"/>
      <c r="V138" s="1"/>
      <c r="W138" s="1"/>
      <c r="X138" s="1"/>
      <c r="Y138" s="1"/>
      <c r="Z138" s="1"/>
      <c r="AA138" s="1"/>
      <c r="AB138" s="1"/>
      <c r="AC138" s="1"/>
      <c r="AD138" s="1"/>
      <c r="AE138" s="1"/>
      <c r="AF138" s="1"/>
    </row>
    <row r="139" spans="1:32" hidden="1" x14ac:dyDescent="0.25">
      <c r="A139" s="1">
        <v>138</v>
      </c>
      <c r="B139" s="1"/>
      <c r="C139" s="1" t="s">
        <v>794</v>
      </c>
      <c r="D139" s="1" t="s">
        <v>1</v>
      </c>
      <c r="E139">
        <v>2014</v>
      </c>
      <c r="F139" s="1" t="s">
        <v>127</v>
      </c>
      <c r="G139" s="1" t="s">
        <v>3171</v>
      </c>
      <c r="H139" s="1" t="s">
        <v>795</v>
      </c>
      <c r="I139" s="1" t="s">
        <v>1</v>
      </c>
      <c r="J139" s="1" t="s">
        <v>1</v>
      </c>
      <c r="K139" s="1" t="s">
        <v>796</v>
      </c>
      <c r="L139" s="1" t="s">
        <v>688</v>
      </c>
      <c r="M139" s="1" t="s">
        <v>776</v>
      </c>
      <c r="N139" s="1" t="s">
        <v>797</v>
      </c>
      <c r="O139" s="1" t="s">
        <v>1</v>
      </c>
      <c r="P139" s="1" t="s">
        <v>1</v>
      </c>
      <c r="Q139" s="1">
        <v>-1</v>
      </c>
      <c r="R139" s="1"/>
      <c r="S139" s="1"/>
      <c r="T139" s="1"/>
      <c r="U139" s="1"/>
      <c r="V139" s="1"/>
      <c r="W139" s="1"/>
      <c r="X139" s="1"/>
      <c r="Y139" s="1"/>
      <c r="Z139" s="1"/>
      <c r="AA139" s="1"/>
      <c r="AB139" s="1"/>
      <c r="AC139" s="1"/>
      <c r="AD139" s="1"/>
      <c r="AE139" s="1"/>
      <c r="AF139" s="1"/>
    </row>
    <row r="140" spans="1:32" hidden="1" x14ac:dyDescent="0.25">
      <c r="A140" s="1">
        <v>139</v>
      </c>
      <c r="B140" s="1"/>
      <c r="C140" s="1" t="s">
        <v>774</v>
      </c>
      <c r="D140" s="1" t="s">
        <v>1</v>
      </c>
      <c r="E140">
        <v>2011</v>
      </c>
      <c r="F140" s="1" t="s">
        <v>127</v>
      </c>
      <c r="G140" s="1" t="s">
        <v>3158</v>
      </c>
      <c r="H140" s="1" t="s">
        <v>775</v>
      </c>
      <c r="I140" s="1" t="s">
        <v>1</v>
      </c>
      <c r="J140" s="1" t="s">
        <v>1</v>
      </c>
      <c r="K140" s="1" t="s">
        <v>777</v>
      </c>
      <c r="L140" s="1" t="s">
        <v>688</v>
      </c>
      <c r="M140" s="1" t="s">
        <v>776</v>
      </c>
      <c r="N140" s="1" t="s">
        <v>778</v>
      </c>
      <c r="O140" s="1" t="s">
        <v>1</v>
      </c>
      <c r="P140" s="1" t="s">
        <v>1</v>
      </c>
      <c r="Q140" s="1">
        <v>-1</v>
      </c>
      <c r="R140" s="1"/>
      <c r="S140" s="1"/>
      <c r="T140" s="1"/>
      <c r="U140" s="1"/>
      <c r="V140" s="1"/>
      <c r="W140" s="1"/>
      <c r="X140" s="1"/>
      <c r="Y140" s="1"/>
      <c r="Z140" s="1"/>
      <c r="AA140" s="1"/>
      <c r="AB140" s="1"/>
      <c r="AC140" s="1"/>
      <c r="AD140" s="1"/>
      <c r="AE140" s="1"/>
      <c r="AF140" s="1"/>
    </row>
    <row r="141" spans="1:32" hidden="1" x14ac:dyDescent="0.25">
      <c r="A141" s="1">
        <v>140</v>
      </c>
      <c r="B141" s="1"/>
      <c r="C141" s="1" t="s">
        <v>2531</v>
      </c>
      <c r="D141" s="1" t="s">
        <v>79</v>
      </c>
      <c r="E141">
        <v>2014</v>
      </c>
      <c r="F141" s="1" t="s">
        <v>0</v>
      </c>
      <c r="G141" s="1" t="s">
        <v>1</v>
      </c>
      <c r="H141" s="1" t="s">
        <v>1</v>
      </c>
      <c r="I141" s="1" t="s">
        <v>1</v>
      </c>
      <c r="J141" s="1" t="s">
        <v>1</v>
      </c>
      <c r="K141" s="1" t="s">
        <v>2532</v>
      </c>
      <c r="L141" s="1" t="s">
        <v>336</v>
      </c>
      <c r="M141" s="1" t="s">
        <v>1</v>
      </c>
      <c r="N141" s="1" t="s">
        <v>2534</v>
      </c>
      <c r="O141" s="1" t="s">
        <v>4470</v>
      </c>
      <c r="P141" s="1" t="s">
        <v>2533</v>
      </c>
      <c r="Q141" s="1">
        <v>-1</v>
      </c>
      <c r="R141" s="1"/>
      <c r="S141" s="1"/>
      <c r="T141" s="1"/>
      <c r="U141" s="1"/>
      <c r="V141" s="1"/>
      <c r="W141" s="1"/>
      <c r="X141" s="1"/>
      <c r="Y141" s="1"/>
      <c r="Z141" s="1"/>
      <c r="AA141" s="1"/>
      <c r="AB141" s="1"/>
      <c r="AC141" s="1"/>
      <c r="AD141" s="1"/>
      <c r="AE141" s="1"/>
      <c r="AF141" s="1"/>
    </row>
    <row r="142" spans="1:32" hidden="1" x14ac:dyDescent="0.25">
      <c r="A142" s="1">
        <v>141</v>
      </c>
      <c r="B142" s="1"/>
      <c r="C142" s="1" t="s">
        <v>4966</v>
      </c>
      <c r="D142" s="1" t="s">
        <v>3807</v>
      </c>
      <c r="E142">
        <v>2012</v>
      </c>
      <c r="F142" s="1" t="s">
        <v>0</v>
      </c>
      <c r="G142" s="1" t="s">
        <v>3809</v>
      </c>
      <c r="H142" s="1" t="s">
        <v>1661</v>
      </c>
      <c r="I142" s="1" t="s">
        <v>1</v>
      </c>
      <c r="J142" s="1" t="s">
        <v>1</v>
      </c>
      <c r="K142" s="1" t="s">
        <v>3808</v>
      </c>
      <c r="L142" s="1" t="s">
        <v>1</v>
      </c>
      <c r="M142" s="1" t="s">
        <v>1</v>
      </c>
      <c r="N142" s="1" t="s">
        <v>1</v>
      </c>
      <c r="O142" s="1" t="s">
        <v>3810</v>
      </c>
      <c r="P142" s="1" t="s">
        <v>1662</v>
      </c>
      <c r="Q142" s="1">
        <v>-1</v>
      </c>
      <c r="R142" s="1"/>
      <c r="S142" s="1"/>
      <c r="T142" s="1"/>
      <c r="U142" s="1"/>
      <c r="V142" s="1"/>
      <c r="W142" s="1"/>
      <c r="X142" s="1"/>
      <c r="Y142" s="1"/>
      <c r="Z142" s="1"/>
      <c r="AA142" s="1"/>
      <c r="AB142" s="1"/>
      <c r="AC142" s="1"/>
      <c r="AD142" s="1"/>
      <c r="AE142" s="1"/>
      <c r="AF142" s="1"/>
    </row>
    <row r="143" spans="1:32" hidden="1" x14ac:dyDescent="0.25">
      <c r="A143" s="1">
        <v>142</v>
      </c>
      <c r="B143" s="1"/>
      <c r="C143" s="1" t="s">
        <v>2476</v>
      </c>
      <c r="D143" s="1" t="s">
        <v>2475</v>
      </c>
      <c r="E143">
        <v>2013</v>
      </c>
      <c r="F143" s="1" t="s">
        <v>0</v>
      </c>
      <c r="G143" s="1" t="s">
        <v>4427</v>
      </c>
      <c r="H143" s="1" t="s">
        <v>1</v>
      </c>
      <c r="I143" s="1" t="s">
        <v>4426</v>
      </c>
      <c r="J143" s="1" t="s">
        <v>1</v>
      </c>
      <c r="K143" s="1" t="s">
        <v>2477</v>
      </c>
      <c r="L143" s="1" t="s">
        <v>595</v>
      </c>
      <c r="M143" s="1" t="s">
        <v>1</v>
      </c>
      <c r="N143" s="1" t="s">
        <v>2478</v>
      </c>
      <c r="O143" s="1" t="s">
        <v>4428</v>
      </c>
      <c r="P143" s="1" t="s">
        <v>4429</v>
      </c>
      <c r="Q143" s="1">
        <v>-1</v>
      </c>
      <c r="R143" s="1"/>
      <c r="S143" s="1"/>
      <c r="T143" s="1"/>
      <c r="U143" s="1"/>
      <c r="V143" s="1"/>
      <c r="W143" s="1"/>
      <c r="X143" s="1"/>
      <c r="Y143" s="1"/>
      <c r="Z143" s="1"/>
      <c r="AA143" s="1"/>
      <c r="AB143" s="1"/>
      <c r="AC143" s="1"/>
      <c r="AD143" s="1"/>
      <c r="AE143" s="1"/>
      <c r="AF143" s="1"/>
    </row>
    <row r="144" spans="1:32" hidden="1" x14ac:dyDescent="0.25">
      <c r="A144" s="1">
        <v>143</v>
      </c>
      <c r="B144" s="1"/>
      <c r="C144" s="1" t="s">
        <v>2333</v>
      </c>
      <c r="D144" s="1" t="s">
        <v>4313</v>
      </c>
      <c r="E144">
        <v>2014</v>
      </c>
      <c r="F144" s="1" t="s">
        <v>0</v>
      </c>
      <c r="G144" s="1" t="s">
        <v>4314</v>
      </c>
      <c r="H144" s="1" t="s">
        <v>1779</v>
      </c>
      <c r="I144" s="1" t="s">
        <v>1</v>
      </c>
      <c r="J144" s="1" t="s">
        <v>1</v>
      </c>
      <c r="K144" s="1" t="s">
        <v>2334</v>
      </c>
      <c r="L144" s="1" t="s">
        <v>1</v>
      </c>
      <c r="M144" s="1" t="s">
        <v>1</v>
      </c>
      <c r="N144" s="1" t="s">
        <v>1</v>
      </c>
      <c r="O144" s="1" t="s">
        <v>4315</v>
      </c>
      <c r="P144" s="1" t="s">
        <v>2335</v>
      </c>
      <c r="Q144" s="1">
        <v>-1</v>
      </c>
      <c r="R144" s="1"/>
      <c r="S144" s="1"/>
      <c r="T144" s="1"/>
      <c r="U144" s="1"/>
      <c r="V144" s="1"/>
      <c r="W144" s="1"/>
      <c r="X144" s="1"/>
      <c r="Y144" s="1"/>
      <c r="Z144" s="1"/>
      <c r="AA144" s="1"/>
      <c r="AB144" s="1"/>
      <c r="AC144" s="1"/>
      <c r="AD144" s="1"/>
      <c r="AE144" s="1"/>
      <c r="AF144" s="1"/>
    </row>
    <row r="145" spans="1:32" hidden="1" x14ac:dyDescent="0.25">
      <c r="A145" s="1">
        <v>144</v>
      </c>
      <c r="B145" s="1"/>
      <c r="C145" s="1" t="s">
        <v>1840</v>
      </c>
      <c r="D145" s="1" t="s">
        <v>3932</v>
      </c>
      <c r="E145">
        <v>2011</v>
      </c>
      <c r="F145" s="1" t="s">
        <v>0</v>
      </c>
      <c r="G145" s="1" t="s">
        <v>3933</v>
      </c>
      <c r="H145" s="1" t="s">
        <v>986</v>
      </c>
      <c r="I145" s="1" t="s">
        <v>1</v>
      </c>
      <c r="J145" s="1" t="s">
        <v>1</v>
      </c>
      <c r="K145" s="1" t="s">
        <v>1841</v>
      </c>
      <c r="L145" s="1" t="s">
        <v>1</v>
      </c>
      <c r="M145" s="1" t="s">
        <v>1</v>
      </c>
      <c r="N145" s="1" t="s">
        <v>1</v>
      </c>
      <c r="O145" s="1" t="s">
        <v>3934</v>
      </c>
      <c r="P145" s="1" t="s">
        <v>1842</v>
      </c>
      <c r="Q145" s="1">
        <v>-1</v>
      </c>
      <c r="R145" s="1"/>
      <c r="S145" s="1"/>
      <c r="T145" s="1"/>
      <c r="U145" s="1"/>
      <c r="V145" s="1"/>
      <c r="W145" s="1"/>
      <c r="X145" s="1"/>
      <c r="Y145" s="1"/>
      <c r="Z145" s="1"/>
      <c r="AA145" s="1"/>
      <c r="AB145" s="1"/>
      <c r="AC145" s="1"/>
      <c r="AD145" s="1"/>
      <c r="AE145" s="1"/>
      <c r="AF145" s="1"/>
    </row>
    <row r="146" spans="1:32" hidden="1" x14ac:dyDescent="0.25">
      <c r="A146" s="1">
        <v>145</v>
      </c>
      <c r="B146" s="1"/>
      <c r="C146" s="8" t="s">
        <v>2404</v>
      </c>
      <c r="D146" s="1" t="s">
        <v>4367</v>
      </c>
      <c r="E146">
        <v>2011</v>
      </c>
      <c r="F146" s="1" t="s">
        <v>0</v>
      </c>
      <c r="G146" s="1" t="s">
        <v>4369</v>
      </c>
      <c r="H146" s="1" t="s">
        <v>1114</v>
      </c>
      <c r="I146" s="1" t="s">
        <v>1</v>
      </c>
      <c r="J146" s="1" t="s">
        <v>1</v>
      </c>
      <c r="K146" s="1" t="s">
        <v>4368</v>
      </c>
      <c r="L146" s="1" t="s">
        <v>1</v>
      </c>
      <c r="M146" s="1" t="s">
        <v>1</v>
      </c>
      <c r="N146" s="1" t="s">
        <v>1</v>
      </c>
      <c r="O146" s="1" t="s">
        <v>4370</v>
      </c>
      <c r="P146" s="1" t="s">
        <v>2405</v>
      </c>
      <c r="Q146" s="1">
        <v>-1</v>
      </c>
      <c r="R146" s="1"/>
      <c r="S146" s="1"/>
      <c r="T146" s="1"/>
      <c r="U146" s="1"/>
      <c r="V146" s="1"/>
      <c r="W146" s="1"/>
      <c r="X146" s="1"/>
      <c r="Y146" s="1"/>
      <c r="Z146" s="1"/>
      <c r="AA146" s="1"/>
      <c r="AB146" s="1"/>
      <c r="AC146" s="1"/>
      <c r="AD146" s="1"/>
      <c r="AE146" s="1"/>
      <c r="AF146" s="1"/>
    </row>
    <row r="147" spans="1:32" hidden="1" x14ac:dyDescent="0.25">
      <c r="A147" s="1">
        <v>146</v>
      </c>
      <c r="B147" s="1"/>
      <c r="C147" s="1" t="s">
        <v>2603</v>
      </c>
      <c r="D147" s="1" t="s">
        <v>4531</v>
      </c>
      <c r="E147">
        <v>2017</v>
      </c>
      <c r="F147" s="1" t="s">
        <v>0</v>
      </c>
      <c r="G147" s="1" t="s">
        <v>4532</v>
      </c>
      <c r="H147" s="1" t="s">
        <v>2604</v>
      </c>
      <c r="I147" s="1" t="s">
        <v>1</v>
      </c>
      <c r="J147" s="1" t="s">
        <v>1</v>
      </c>
      <c r="K147" s="1" t="s">
        <v>2605</v>
      </c>
      <c r="L147" s="1" t="s">
        <v>1</v>
      </c>
      <c r="M147" s="1" t="s">
        <v>1</v>
      </c>
      <c r="N147" s="1" t="s">
        <v>1</v>
      </c>
      <c r="O147" s="1" t="s">
        <v>4533</v>
      </c>
      <c r="P147" s="1" t="s">
        <v>2606</v>
      </c>
      <c r="Q147" s="1">
        <v>-1</v>
      </c>
      <c r="R147" s="1"/>
      <c r="S147" s="1"/>
      <c r="T147" s="1"/>
      <c r="U147" s="1"/>
      <c r="V147" s="1"/>
      <c r="W147" s="1"/>
      <c r="X147" s="1"/>
      <c r="Y147" s="1"/>
      <c r="Z147" s="1"/>
      <c r="AA147" s="1"/>
      <c r="AB147" s="1"/>
      <c r="AC147" s="1"/>
      <c r="AD147" s="1"/>
      <c r="AE147" s="1"/>
      <c r="AF147" s="1"/>
    </row>
    <row r="148" spans="1:32" hidden="1" x14ac:dyDescent="0.25">
      <c r="A148" s="1">
        <v>147</v>
      </c>
      <c r="B148" s="1"/>
      <c r="C148" s="1" t="s">
        <v>1059</v>
      </c>
      <c r="D148" s="1" t="s">
        <v>1058</v>
      </c>
      <c r="E148">
        <v>2011</v>
      </c>
      <c r="F148" s="1" t="s">
        <v>138</v>
      </c>
      <c r="G148" s="1" t="s">
        <v>3349</v>
      </c>
      <c r="H148" s="1" t="s">
        <v>1059</v>
      </c>
      <c r="I148" s="1" t="s">
        <v>1</v>
      </c>
      <c r="J148" s="1" t="s">
        <v>1</v>
      </c>
      <c r="K148" s="1" t="s">
        <v>1</v>
      </c>
      <c r="L148" s="1" t="s">
        <v>414</v>
      </c>
      <c r="M148" s="1" t="s">
        <v>1</v>
      </c>
      <c r="N148" s="1" t="s">
        <v>1061</v>
      </c>
      <c r="O148" s="1" t="s">
        <v>1</v>
      </c>
      <c r="P148" s="1" t="s">
        <v>1060</v>
      </c>
      <c r="Q148" s="1">
        <v>-1</v>
      </c>
      <c r="R148" s="1"/>
      <c r="S148" s="1"/>
      <c r="T148" s="1"/>
      <c r="U148" s="1"/>
      <c r="V148" s="1"/>
      <c r="W148" s="1"/>
      <c r="X148" s="1"/>
      <c r="Y148" s="1"/>
      <c r="Z148" s="1"/>
      <c r="AA148" s="1"/>
      <c r="AB148" s="1"/>
      <c r="AC148" s="1"/>
      <c r="AD148" s="1"/>
      <c r="AE148" s="1"/>
      <c r="AF148" s="1"/>
    </row>
    <row r="149" spans="1:32" hidden="1" x14ac:dyDescent="0.25">
      <c r="A149" s="1">
        <v>148</v>
      </c>
      <c r="B149" s="1"/>
      <c r="C149" s="1" t="s">
        <v>1005</v>
      </c>
      <c r="D149" s="1" t="s">
        <v>3315</v>
      </c>
      <c r="E149">
        <v>2014</v>
      </c>
      <c r="F149" s="1" t="s">
        <v>0</v>
      </c>
      <c r="G149" s="1" t="s">
        <v>3316</v>
      </c>
      <c r="H149" s="1" t="s">
        <v>1006</v>
      </c>
      <c r="I149" s="1" t="s">
        <v>1</v>
      </c>
      <c r="J149" s="1" t="s">
        <v>1</v>
      </c>
      <c r="K149" s="1" t="s">
        <v>1007</v>
      </c>
      <c r="L149" s="1" t="s">
        <v>1</v>
      </c>
      <c r="M149" s="1" t="s">
        <v>1</v>
      </c>
      <c r="N149" s="1" t="s">
        <v>1</v>
      </c>
      <c r="O149" s="1" t="s">
        <v>3317</v>
      </c>
      <c r="P149" s="1" t="s">
        <v>1008</v>
      </c>
      <c r="Q149" s="1">
        <v>-1</v>
      </c>
      <c r="R149" s="1"/>
      <c r="S149" s="1"/>
      <c r="T149" s="1"/>
      <c r="U149" s="1"/>
      <c r="V149" s="1"/>
      <c r="W149" s="1"/>
      <c r="X149" s="1"/>
      <c r="Y149" s="1"/>
      <c r="Z149" s="1"/>
      <c r="AA149" s="1"/>
      <c r="AB149" s="1"/>
      <c r="AC149" s="1"/>
      <c r="AD149" s="1"/>
      <c r="AE149" s="1"/>
      <c r="AF149" s="1"/>
    </row>
    <row r="150" spans="1:32" hidden="1" x14ac:dyDescent="0.25">
      <c r="A150" s="1">
        <v>149</v>
      </c>
      <c r="B150" s="1"/>
      <c r="C150" s="1" t="s">
        <v>1344</v>
      </c>
      <c r="D150" s="1" t="s">
        <v>3543</v>
      </c>
      <c r="E150">
        <v>2016</v>
      </c>
      <c r="F150" s="1" t="s">
        <v>0</v>
      </c>
      <c r="G150" s="1" t="s">
        <v>3544</v>
      </c>
      <c r="H150" s="1" t="s">
        <v>1345</v>
      </c>
      <c r="I150" s="1" t="s">
        <v>1</v>
      </c>
      <c r="J150" s="1" t="s">
        <v>1</v>
      </c>
      <c r="K150" s="1" t="s">
        <v>1346</v>
      </c>
      <c r="L150" s="1" t="s">
        <v>1</v>
      </c>
      <c r="M150" s="1" t="s">
        <v>1</v>
      </c>
      <c r="N150" s="1" t="s">
        <v>1</v>
      </c>
      <c r="O150" s="1" t="s">
        <v>3545</v>
      </c>
      <c r="P150" s="1" t="s">
        <v>1347</v>
      </c>
      <c r="Q150" s="1">
        <v>-1</v>
      </c>
      <c r="R150" s="1"/>
      <c r="S150" s="1"/>
      <c r="T150" s="1"/>
      <c r="U150" s="1"/>
      <c r="V150" s="1"/>
      <c r="W150" s="1"/>
      <c r="X150" s="1"/>
      <c r="Y150" s="1"/>
      <c r="Z150" s="1"/>
      <c r="AA150" s="1"/>
      <c r="AB150" s="1"/>
      <c r="AC150" s="1"/>
      <c r="AD150" s="1"/>
      <c r="AE150" s="1"/>
      <c r="AF150" s="1"/>
    </row>
    <row r="151" spans="1:32" hidden="1" x14ac:dyDescent="0.25">
      <c r="A151" s="1">
        <v>150</v>
      </c>
      <c r="B151" s="1"/>
      <c r="C151" s="1" t="s">
        <v>2365</v>
      </c>
      <c r="D151" s="1" t="s">
        <v>4339</v>
      </c>
      <c r="E151">
        <v>2011</v>
      </c>
      <c r="F151" s="1" t="s">
        <v>116</v>
      </c>
      <c r="G151" s="1" t="s">
        <v>4340</v>
      </c>
      <c r="H151" s="1" t="s">
        <v>2366</v>
      </c>
      <c r="I151" s="1" t="s">
        <v>3794</v>
      </c>
      <c r="J151" s="1" t="s">
        <v>3141</v>
      </c>
      <c r="K151" s="1" t="s">
        <v>2367</v>
      </c>
      <c r="L151" s="1" t="s">
        <v>1711</v>
      </c>
      <c r="M151" s="1" t="s">
        <v>1</v>
      </c>
      <c r="N151" s="1" t="s">
        <v>2369</v>
      </c>
      <c r="O151" s="1" t="s">
        <v>4341</v>
      </c>
      <c r="P151" s="1" t="s">
        <v>2368</v>
      </c>
      <c r="Q151" s="1">
        <v>1</v>
      </c>
      <c r="R151" s="1">
        <v>-1</v>
      </c>
      <c r="S151" s="1"/>
      <c r="T151" s="1"/>
      <c r="U151" s="1"/>
      <c r="V151" s="1"/>
      <c r="W151" s="1"/>
      <c r="X151" s="1"/>
      <c r="Y151" s="1"/>
      <c r="Z151" s="1"/>
      <c r="AA151" s="1"/>
      <c r="AB151" s="1"/>
      <c r="AC151" s="1"/>
      <c r="AD151" s="1"/>
      <c r="AE151" s="1"/>
      <c r="AF151" s="1"/>
    </row>
    <row r="152" spans="1:32" hidden="1" x14ac:dyDescent="0.25">
      <c r="A152" s="1">
        <v>151</v>
      </c>
      <c r="B152" s="1"/>
      <c r="C152" s="1" t="s">
        <v>2347</v>
      </c>
      <c r="D152" s="1" t="s">
        <v>4324</v>
      </c>
      <c r="E152">
        <v>2013</v>
      </c>
      <c r="F152" s="1" t="s">
        <v>0</v>
      </c>
      <c r="G152" s="1" t="s">
        <v>4325</v>
      </c>
      <c r="H152" s="1" t="s">
        <v>2348</v>
      </c>
      <c r="I152" s="1" t="s">
        <v>1</v>
      </c>
      <c r="J152" s="1" t="s">
        <v>1</v>
      </c>
      <c r="K152" s="1" t="s">
        <v>2349</v>
      </c>
      <c r="L152" s="1" t="s">
        <v>1</v>
      </c>
      <c r="M152" s="1" t="s">
        <v>1</v>
      </c>
      <c r="N152" s="1" t="s">
        <v>1</v>
      </c>
      <c r="O152" s="1" t="s">
        <v>4326</v>
      </c>
      <c r="P152" s="1" t="s">
        <v>2350</v>
      </c>
      <c r="Q152" s="1">
        <v>-1</v>
      </c>
      <c r="R152" s="1"/>
      <c r="S152" s="1"/>
      <c r="T152" s="1"/>
      <c r="U152" s="1"/>
      <c r="V152" s="1"/>
      <c r="W152" s="1"/>
      <c r="X152" s="1"/>
      <c r="Y152" s="1"/>
      <c r="Z152" s="1"/>
      <c r="AA152" s="1"/>
      <c r="AB152" s="1"/>
      <c r="AC152" s="1"/>
      <c r="AD152" s="1"/>
      <c r="AE152" s="1"/>
      <c r="AF152" s="1"/>
    </row>
    <row r="153" spans="1:32" hidden="1" x14ac:dyDescent="0.25">
      <c r="A153" s="1">
        <v>152</v>
      </c>
      <c r="B153" s="1"/>
      <c r="C153" s="1" t="s">
        <v>2315</v>
      </c>
      <c r="D153" s="1" t="s">
        <v>4298</v>
      </c>
      <c r="E153">
        <v>2013</v>
      </c>
      <c r="F153" s="1" t="s">
        <v>0</v>
      </c>
      <c r="G153" s="1" t="s">
        <v>4299</v>
      </c>
      <c r="H153" s="1" t="s">
        <v>2316</v>
      </c>
      <c r="I153" s="1" t="s">
        <v>1</v>
      </c>
      <c r="J153" s="1" t="s">
        <v>1</v>
      </c>
      <c r="K153" s="1" t="s">
        <v>2317</v>
      </c>
      <c r="L153" s="1" t="s">
        <v>1</v>
      </c>
      <c r="M153" s="1" t="s">
        <v>1</v>
      </c>
      <c r="N153" s="1" t="s">
        <v>1</v>
      </c>
      <c r="O153" s="1" t="s">
        <v>4300</v>
      </c>
      <c r="P153" s="1" t="s">
        <v>2318</v>
      </c>
      <c r="Q153" s="1">
        <v>-1</v>
      </c>
      <c r="R153" s="1"/>
      <c r="S153" s="1"/>
      <c r="T153" s="1"/>
      <c r="U153" s="1"/>
      <c r="V153" s="1"/>
      <c r="W153" s="1"/>
      <c r="X153" s="1"/>
      <c r="Y153" s="1"/>
      <c r="Z153" s="1"/>
      <c r="AA153" s="1"/>
      <c r="AB153" s="1"/>
      <c r="AC153" s="1"/>
      <c r="AD153" s="1"/>
      <c r="AE153" s="1"/>
      <c r="AF153" s="1"/>
    </row>
    <row r="154" spans="1:32" hidden="1" x14ac:dyDescent="0.25">
      <c r="A154" s="1">
        <v>153</v>
      </c>
      <c r="B154" s="1"/>
      <c r="C154" s="1" t="s">
        <v>1393</v>
      </c>
      <c r="D154" s="1" t="s">
        <v>3582</v>
      </c>
      <c r="E154">
        <v>2016</v>
      </c>
      <c r="F154" s="1" t="s">
        <v>116</v>
      </c>
      <c r="G154" s="1" t="s">
        <v>3584</v>
      </c>
      <c r="H154" s="1" t="s">
        <v>1394</v>
      </c>
      <c r="I154" s="1" t="s">
        <v>3583</v>
      </c>
      <c r="J154" s="1" t="s">
        <v>3141</v>
      </c>
      <c r="K154" s="1" t="s">
        <v>1395</v>
      </c>
      <c r="L154" s="1" t="s">
        <v>1</v>
      </c>
      <c r="M154" s="1" t="s">
        <v>1</v>
      </c>
      <c r="N154" s="1" t="s">
        <v>1</v>
      </c>
      <c r="O154" s="1" t="s">
        <v>3585</v>
      </c>
      <c r="P154" s="1" t="s">
        <v>1396</v>
      </c>
      <c r="Q154" s="1">
        <v>-1</v>
      </c>
      <c r="R154" s="1"/>
      <c r="S154" s="1"/>
      <c r="T154" s="1"/>
      <c r="U154" s="1"/>
      <c r="V154" s="1"/>
      <c r="W154" s="1"/>
      <c r="X154" s="1"/>
      <c r="Y154" s="1"/>
      <c r="Z154" s="1"/>
      <c r="AA154" s="1"/>
      <c r="AB154" s="1"/>
      <c r="AC154" s="1"/>
      <c r="AD154" s="1"/>
      <c r="AE154" s="1"/>
      <c r="AF154" s="1"/>
    </row>
    <row r="155" spans="1:32" hidden="1" x14ac:dyDescent="0.25">
      <c r="A155" s="1">
        <v>154</v>
      </c>
      <c r="B155" s="1"/>
      <c r="C155" s="1" t="s">
        <v>2642</v>
      </c>
      <c r="D155" s="1" t="s">
        <v>4565</v>
      </c>
      <c r="E155">
        <v>2014</v>
      </c>
      <c r="F155" s="1" t="s">
        <v>116</v>
      </c>
      <c r="G155" s="1" t="s">
        <v>4567</v>
      </c>
      <c r="H155" s="1" t="s">
        <v>2643</v>
      </c>
      <c r="I155" s="1" t="s">
        <v>4566</v>
      </c>
      <c r="J155" s="1" t="s">
        <v>1</v>
      </c>
      <c r="K155" s="1" t="s">
        <v>2644</v>
      </c>
      <c r="L155" s="1" t="s">
        <v>1</v>
      </c>
      <c r="M155" s="1" t="s">
        <v>1</v>
      </c>
      <c r="N155" s="1" t="s">
        <v>2646</v>
      </c>
      <c r="O155" s="1" t="s">
        <v>4568</v>
      </c>
      <c r="P155" s="1" t="s">
        <v>2645</v>
      </c>
      <c r="Q155" s="1">
        <v>-1</v>
      </c>
      <c r="R155" s="1"/>
      <c r="S155" s="1"/>
      <c r="T155" s="1"/>
      <c r="U155" s="1"/>
      <c r="V155" s="1"/>
      <c r="W155" s="1"/>
      <c r="X155" s="1"/>
      <c r="Y155" s="1"/>
      <c r="Z155" s="1"/>
      <c r="AA155" s="1"/>
      <c r="AB155" s="1"/>
      <c r="AC155" s="1"/>
      <c r="AD155" s="1"/>
      <c r="AE155" s="1"/>
      <c r="AF155" s="1"/>
    </row>
    <row r="156" spans="1:32" hidden="1" x14ac:dyDescent="0.25">
      <c r="A156" s="1">
        <v>155</v>
      </c>
      <c r="B156" s="1"/>
      <c r="C156" s="1" t="s">
        <v>799</v>
      </c>
      <c r="D156" s="1" t="s">
        <v>1</v>
      </c>
      <c r="E156">
        <v>2015</v>
      </c>
      <c r="F156" s="1" t="s">
        <v>127</v>
      </c>
      <c r="G156" s="1" t="s">
        <v>3172</v>
      </c>
      <c r="H156" s="1" t="s">
        <v>800</v>
      </c>
      <c r="I156" s="1" t="s">
        <v>1</v>
      </c>
      <c r="J156" s="1" t="s">
        <v>1</v>
      </c>
      <c r="K156" s="1" t="s">
        <v>801</v>
      </c>
      <c r="L156" s="1" t="s">
        <v>688</v>
      </c>
      <c r="M156" s="1" t="s">
        <v>776</v>
      </c>
      <c r="N156" s="1" t="s">
        <v>802</v>
      </c>
      <c r="O156" s="1" t="s">
        <v>1</v>
      </c>
      <c r="P156" s="1" t="s">
        <v>1</v>
      </c>
      <c r="Q156" s="1">
        <v>-1</v>
      </c>
      <c r="R156" s="1"/>
      <c r="S156" s="1"/>
      <c r="T156" s="1"/>
      <c r="U156" s="1"/>
      <c r="V156" s="1"/>
      <c r="W156" s="1"/>
      <c r="X156" s="1"/>
      <c r="Y156" s="1"/>
      <c r="Z156" s="1"/>
      <c r="AA156" s="1"/>
      <c r="AB156" s="1"/>
      <c r="AC156" s="1"/>
      <c r="AD156" s="1"/>
      <c r="AE156" s="1"/>
      <c r="AF156" s="1"/>
    </row>
    <row r="157" spans="1:32" x14ac:dyDescent="0.25">
      <c r="A157" s="1">
        <v>156</v>
      </c>
      <c r="B157" s="1">
        <v>8</v>
      </c>
      <c r="C157" s="1" t="s">
        <v>2499</v>
      </c>
      <c r="D157" s="1" t="s">
        <v>4445</v>
      </c>
      <c r="E157">
        <v>2015</v>
      </c>
      <c r="F157" s="1" t="s">
        <v>0</v>
      </c>
      <c r="G157" s="1" t="s">
        <v>4446</v>
      </c>
      <c r="H157" s="1" t="s">
        <v>2500</v>
      </c>
      <c r="I157" s="1" t="s">
        <v>1</v>
      </c>
      <c r="J157" s="1" t="s">
        <v>1</v>
      </c>
      <c r="K157" s="1" t="s">
        <v>2501</v>
      </c>
      <c r="L157" s="1" t="s">
        <v>1</v>
      </c>
      <c r="M157" s="1" t="s">
        <v>1</v>
      </c>
      <c r="N157" s="1" t="s">
        <v>1</v>
      </c>
      <c r="O157" s="1" t="s">
        <v>4447</v>
      </c>
      <c r="P157" s="1" t="s">
        <v>2502</v>
      </c>
      <c r="Q157" s="1">
        <v>1</v>
      </c>
      <c r="R157" s="1">
        <v>1</v>
      </c>
      <c r="S157" s="1">
        <v>6</v>
      </c>
      <c r="T157" s="1" t="s">
        <v>5023</v>
      </c>
      <c r="U157" s="1" t="s">
        <v>5022</v>
      </c>
      <c r="V157" s="1" t="s">
        <v>4999</v>
      </c>
      <c r="W157" s="1" t="s">
        <v>4974</v>
      </c>
      <c r="X157" s="1" t="s">
        <v>658</v>
      </c>
      <c r="Y157" s="1" t="s">
        <v>5003</v>
      </c>
      <c r="Z157" s="1" t="s">
        <v>5024</v>
      </c>
      <c r="AA157" s="1" t="s">
        <v>5025</v>
      </c>
      <c r="AB157" s="1">
        <v>3</v>
      </c>
      <c r="AC157" s="1">
        <v>2</v>
      </c>
      <c r="AD157" s="1">
        <v>2</v>
      </c>
      <c r="AE157" s="1">
        <v>2</v>
      </c>
      <c r="AF157" s="1"/>
    </row>
    <row r="158" spans="1:32" x14ac:dyDescent="0.25">
      <c r="A158" s="1">
        <v>157</v>
      </c>
      <c r="B158" s="1">
        <v>9</v>
      </c>
      <c r="C158" s="10" t="s">
        <v>1470</v>
      </c>
      <c r="D158" s="1" t="s">
        <v>3651</v>
      </c>
      <c r="E158">
        <v>2011</v>
      </c>
      <c r="F158" s="1" t="s">
        <v>0</v>
      </c>
      <c r="G158" s="1" t="s">
        <v>3652</v>
      </c>
      <c r="H158" s="1" t="s">
        <v>1187</v>
      </c>
      <c r="I158" s="1" t="s">
        <v>1</v>
      </c>
      <c r="J158" s="1" t="s">
        <v>1</v>
      </c>
      <c r="K158" s="1" t="s">
        <v>1469</v>
      </c>
      <c r="L158" s="1" t="s">
        <v>1</v>
      </c>
      <c r="M158" s="1" t="s">
        <v>1</v>
      </c>
      <c r="N158" s="1" t="s">
        <v>1</v>
      </c>
      <c r="O158" s="1" t="s">
        <v>3653</v>
      </c>
      <c r="P158" s="1" t="s">
        <v>1471</v>
      </c>
      <c r="Q158" s="6">
        <v>1</v>
      </c>
      <c r="R158" s="1">
        <v>1</v>
      </c>
      <c r="S158" s="1">
        <v>5</v>
      </c>
      <c r="T158" s="1" t="s">
        <v>5026</v>
      </c>
      <c r="U158" s="1" t="s">
        <v>5015</v>
      </c>
      <c r="V158" s="1" t="s">
        <v>5000</v>
      </c>
      <c r="W158" s="1" t="s">
        <v>4974</v>
      </c>
      <c r="X158" s="1" t="s">
        <v>5012</v>
      </c>
      <c r="Y158" s="1" t="s">
        <v>5003</v>
      </c>
      <c r="Z158" s="1"/>
      <c r="AA158" s="1" t="s">
        <v>5006</v>
      </c>
      <c r="AB158" s="1">
        <v>2</v>
      </c>
      <c r="AC158" s="1">
        <v>1</v>
      </c>
      <c r="AD158" s="1">
        <v>1</v>
      </c>
      <c r="AE158" s="1">
        <v>3</v>
      </c>
      <c r="AF158" s="1"/>
    </row>
    <row r="159" spans="1:32" hidden="1" x14ac:dyDescent="0.25">
      <c r="A159" s="1">
        <v>158</v>
      </c>
      <c r="B159" s="1"/>
      <c r="C159" s="1" t="s">
        <v>1668</v>
      </c>
      <c r="D159" s="1" t="s">
        <v>3814</v>
      </c>
      <c r="E159">
        <v>2014</v>
      </c>
      <c r="F159" s="1" t="s">
        <v>0</v>
      </c>
      <c r="G159" s="1" t="s">
        <v>1</v>
      </c>
      <c r="H159" s="1" t="s">
        <v>1669</v>
      </c>
      <c r="I159" s="1" t="s">
        <v>1</v>
      </c>
      <c r="J159" s="1" t="s">
        <v>1</v>
      </c>
      <c r="K159" s="1" t="s">
        <v>1670</v>
      </c>
      <c r="L159" s="1" t="s">
        <v>1</v>
      </c>
      <c r="M159" s="1" t="s">
        <v>1</v>
      </c>
      <c r="N159" s="1" t="s">
        <v>1</v>
      </c>
      <c r="O159" s="1" t="s">
        <v>3815</v>
      </c>
      <c r="P159" s="1" t="s">
        <v>1671</v>
      </c>
      <c r="Q159" s="1">
        <v>-1</v>
      </c>
      <c r="R159" s="1"/>
      <c r="S159" s="1"/>
      <c r="T159" s="1"/>
      <c r="U159" s="1"/>
      <c r="V159" s="1"/>
      <c r="W159" s="1"/>
      <c r="X159" s="1"/>
      <c r="Y159" s="1"/>
      <c r="Z159" s="1"/>
      <c r="AA159" s="1"/>
      <c r="AB159" s="1"/>
      <c r="AC159" s="1"/>
      <c r="AD159" s="1"/>
      <c r="AE159" s="1"/>
      <c r="AF159" s="1"/>
    </row>
    <row r="160" spans="1:32" hidden="1" x14ac:dyDescent="0.25">
      <c r="A160" s="1">
        <v>159</v>
      </c>
      <c r="B160" s="1"/>
      <c r="C160" s="1" t="s">
        <v>2508</v>
      </c>
      <c r="D160" s="1" t="s">
        <v>2507</v>
      </c>
      <c r="E160">
        <v>2012</v>
      </c>
      <c r="F160" s="1" t="s">
        <v>116</v>
      </c>
      <c r="G160" s="1" t="s">
        <v>4452</v>
      </c>
      <c r="H160" s="1" t="s">
        <v>1828</v>
      </c>
      <c r="I160" s="1" t="s">
        <v>3684</v>
      </c>
      <c r="J160" s="1" t="s">
        <v>3512</v>
      </c>
      <c r="K160" s="1" t="s">
        <v>2509</v>
      </c>
      <c r="L160" s="1" t="s">
        <v>1</v>
      </c>
      <c r="M160" s="1" t="s">
        <v>1</v>
      </c>
      <c r="N160" s="1" t="s">
        <v>1</v>
      </c>
      <c r="O160" s="1" t="s">
        <v>4453</v>
      </c>
      <c r="P160" s="1" t="s">
        <v>2510</v>
      </c>
      <c r="Q160" s="1">
        <v>-1</v>
      </c>
      <c r="R160" s="1"/>
      <c r="S160" s="1"/>
      <c r="T160" s="1"/>
      <c r="U160" s="1"/>
      <c r="V160" s="1"/>
      <c r="W160" s="1"/>
      <c r="X160" s="1"/>
      <c r="Y160" s="1"/>
      <c r="Z160" s="1"/>
      <c r="AA160" s="1"/>
      <c r="AB160" s="1"/>
      <c r="AC160" s="1"/>
      <c r="AD160" s="1"/>
      <c r="AE160" s="1"/>
      <c r="AF160" s="1"/>
    </row>
    <row r="161" spans="1:32" hidden="1" x14ac:dyDescent="0.25">
      <c r="A161" s="1">
        <v>160</v>
      </c>
      <c r="B161" s="1"/>
      <c r="C161" s="1" t="s">
        <v>1816</v>
      </c>
      <c r="D161" s="1" t="s">
        <v>3907</v>
      </c>
      <c r="E161">
        <v>2017</v>
      </c>
      <c r="F161" s="1" t="s">
        <v>116</v>
      </c>
      <c r="G161" s="1" t="s">
        <v>3908</v>
      </c>
      <c r="H161" s="1" t="s">
        <v>1817</v>
      </c>
      <c r="I161" s="1" t="s">
        <v>1</v>
      </c>
      <c r="J161" s="1" t="s">
        <v>1</v>
      </c>
      <c r="K161" s="1" t="s">
        <v>1</v>
      </c>
      <c r="L161" s="1" t="s">
        <v>1</v>
      </c>
      <c r="M161" s="1" t="s">
        <v>1</v>
      </c>
      <c r="N161" s="1" t="s">
        <v>1819</v>
      </c>
      <c r="O161" s="1" t="s">
        <v>3909</v>
      </c>
      <c r="P161" s="1" t="s">
        <v>1818</v>
      </c>
      <c r="Q161" s="1">
        <v>-1</v>
      </c>
      <c r="R161" s="1"/>
      <c r="S161" s="1"/>
      <c r="T161" s="1"/>
      <c r="U161" s="1"/>
      <c r="V161" s="1"/>
      <c r="W161" s="1"/>
      <c r="X161" s="1"/>
      <c r="Y161" s="1"/>
      <c r="Z161" s="1"/>
      <c r="AA161" s="1"/>
      <c r="AB161" s="1"/>
      <c r="AC161" s="1"/>
      <c r="AD161" s="1"/>
      <c r="AE161" s="1"/>
      <c r="AF161" s="1"/>
    </row>
    <row r="162" spans="1:32" hidden="1" x14ac:dyDescent="0.25">
      <c r="A162" s="1">
        <v>161</v>
      </c>
      <c r="B162" s="1"/>
      <c r="C162" s="1" t="s">
        <v>2814</v>
      </c>
      <c r="D162" s="1" t="s">
        <v>4699</v>
      </c>
      <c r="E162">
        <v>2013</v>
      </c>
      <c r="F162" s="1" t="s">
        <v>0</v>
      </c>
      <c r="G162" s="1" t="s">
        <v>4700</v>
      </c>
      <c r="H162" s="1" t="s">
        <v>1875</v>
      </c>
      <c r="I162" s="1" t="s">
        <v>1</v>
      </c>
      <c r="J162" s="1" t="s">
        <v>1</v>
      </c>
      <c r="K162" s="1" t="s">
        <v>2815</v>
      </c>
      <c r="L162" s="1" t="s">
        <v>1</v>
      </c>
      <c r="M162" s="1" t="s">
        <v>1</v>
      </c>
      <c r="N162" s="1" t="s">
        <v>1</v>
      </c>
      <c r="O162" s="1" t="s">
        <v>4701</v>
      </c>
      <c r="P162" s="1" t="s">
        <v>2816</v>
      </c>
      <c r="Q162" s="1">
        <v>-1</v>
      </c>
      <c r="R162" s="1"/>
      <c r="S162" s="1"/>
      <c r="T162" s="1"/>
      <c r="U162" s="1"/>
      <c r="V162" s="1"/>
      <c r="W162" s="1"/>
      <c r="X162" s="1"/>
      <c r="Y162" s="1"/>
      <c r="Z162" s="1"/>
      <c r="AA162" s="1"/>
      <c r="AB162" s="1"/>
      <c r="AC162" s="1"/>
      <c r="AD162" s="1"/>
      <c r="AE162" s="1"/>
      <c r="AF162" s="1"/>
    </row>
    <row r="163" spans="1:32" hidden="1" x14ac:dyDescent="0.25">
      <c r="A163" s="1">
        <v>162</v>
      </c>
      <c r="B163" s="1"/>
      <c r="C163" s="8" t="s">
        <v>1372</v>
      </c>
      <c r="D163" s="1" t="s">
        <v>3565</v>
      </c>
      <c r="E163">
        <v>2017</v>
      </c>
      <c r="F163" s="1" t="s">
        <v>0</v>
      </c>
      <c r="G163" s="1" t="s">
        <v>3566</v>
      </c>
      <c r="H163" s="1" t="s">
        <v>1354</v>
      </c>
      <c r="I163" s="1" t="s">
        <v>1</v>
      </c>
      <c r="J163" s="1" t="s">
        <v>1</v>
      </c>
      <c r="K163" s="1" t="s">
        <v>1373</v>
      </c>
      <c r="L163" s="1" t="s">
        <v>1</v>
      </c>
      <c r="M163" s="1" t="s">
        <v>1</v>
      </c>
      <c r="N163" s="1" t="s">
        <v>1</v>
      </c>
      <c r="O163" s="1" t="s">
        <v>3567</v>
      </c>
      <c r="P163" s="1" t="s">
        <v>3568</v>
      </c>
      <c r="Q163" s="1">
        <v>1</v>
      </c>
      <c r="R163" s="1">
        <v>-1</v>
      </c>
      <c r="S163" s="1"/>
      <c r="T163" s="1"/>
      <c r="U163" s="1"/>
      <c r="V163" s="1"/>
      <c r="W163" s="1"/>
      <c r="X163" s="1"/>
      <c r="Y163" s="1"/>
      <c r="Z163" s="1"/>
      <c r="AA163" s="1"/>
      <c r="AB163" s="1"/>
      <c r="AC163" s="1"/>
      <c r="AD163" s="1"/>
      <c r="AE163" s="1"/>
      <c r="AF163" s="1"/>
    </row>
    <row r="164" spans="1:32" hidden="1" x14ac:dyDescent="0.25">
      <c r="A164" s="1">
        <v>163</v>
      </c>
      <c r="B164" s="1"/>
      <c r="C164" s="1" t="s">
        <v>2094</v>
      </c>
      <c r="D164" s="1" t="s">
        <v>4125</v>
      </c>
      <c r="E164">
        <v>2013</v>
      </c>
      <c r="F164" s="1" t="s">
        <v>0</v>
      </c>
      <c r="G164" s="1" t="s">
        <v>4126</v>
      </c>
      <c r="H164" s="1" t="s">
        <v>869</v>
      </c>
      <c r="I164" s="1" t="s">
        <v>1</v>
      </c>
      <c r="J164" s="1" t="s">
        <v>1</v>
      </c>
      <c r="K164" s="1" t="s">
        <v>3490</v>
      </c>
      <c r="L164" s="1" t="s">
        <v>1</v>
      </c>
      <c r="M164" s="1" t="s">
        <v>1</v>
      </c>
      <c r="N164" s="1" t="s">
        <v>1</v>
      </c>
      <c r="O164" s="1" t="s">
        <v>4127</v>
      </c>
      <c r="P164" s="1" t="s">
        <v>2095</v>
      </c>
      <c r="Q164" s="1">
        <v>-1</v>
      </c>
      <c r="R164" s="1"/>
      <c r="S164" s="1"/>
      <c r="T164" s="1"/>
      <c r="U164" s="1"/>
      <c r="V164" s="1"/>
      <c r="W164" s="1"/>
      <c r="X164" s="1"/>
      <c r="Y164" s="1"/>
      <c r="Z164" s="1"/>
      <c r="AA164" s="1"/>
      <c r="AB164" s="1"/>
      <c r="AC164" s="1"/>
      <c r="AD164" s="1"/>
      <c r="AE164" s="1"/>
      <c r="AF164" s="1"/>
    </row>
    <row r="165" spans="1:32" hidden="1" x14ac:dyDescent="0.25">
      <c r="A165" s="1">
        <v>164</v>
      </c>
      <c r="B165" s="1"/>
      <c r="C165" s="1" t="s">
        <v>2735</v>
      </c>
      <c r="D165" s="1" t="s">
        <v>4637</v>
      </c>
      <c r="E165">
        <v>2010</v>
      </c>
      <c r="F165" s="1" t="s">
        <v>0</v>
      </c>
      <c r="G165" s="1" t="s">
        <v>4638</v>
      </c>
      <c r="H165" s="1" t="s">
        <v>2736</v>
      </c>
      <c r="I165" s="1" t="s">
        <v>1</v>
      </c>
      <c r="J165" s="1" t="s">
        <v>1</v>
      </c>
      <c r="K165" s="1" t="s">
        <v>3446</v>
      </c>
      <c r="L165" s="1" t="s">
        <v>1</v>
      </c>
      <c r="M165" s="1" t="s">
        <v>1</v>
      </c>
      <c r="N165" s="1" t="s">
        <v>1</v>
      </c>
      <c r="O165" s="1" t="s">
        <v>4639</v>
      </c>
      <c r="P165" s="1" t="s">
        <v>2737</v>
      </c>
      <c r="Q165" s="1">
        <v>-1</v>
      </c>
      <c r="R165" s="1"/>
      <c r="S165" s="1"/>
      <c r="T165" s="1"/>
      <c r="U165" s="1"/>
      <c r="V165" s="1"/>
      <c r="W165" s="1"/>
      <c r="X165" s="1"/>
      <c r="Y165" s="1"/>
      <c r="Z165" s="1"/>
      <c r="AA165" s="1"/>
      <c r="AB165" s="1"/>
      <c r="AC165" s="1"/>
      <c r="AD165" s="1"/>
      <c r="AE165" s="1"/>
      <c r="AF165" s="1"/>
    </row>
    <row r="166" spans="1:32" hidden="1" x14ac:dyDescent="0.25">
      <c r="A166" s="1">
        <v>165</v>
      </c>
      <c r="B166" s="1"/>
      <c r="C166" s="1" t="s">
        <v>2303</v>
      </c>
      <c r="D166" s="1" t="s">
        <v>2284</v>
      </c>
      <c r="E166">
        <v>2013</v>
      </c>
      <c r="F166" s="1" t="s">
        <v>116</v>
      </c>
      <c r="G166" s="1" t="s">
        <v>4291</v>
      </c>
      <c r="H166" s="1" t="s">
        <v>1045</v>
      </c>
      <c r="I166" s="1" t="s">
        <v>4290</v>
      </c>
      <c r="J166" s="1" t="s">
        <v>3141</v>
      </c>
      <c r="K166" s="1" t="s">
        <v>2304</v>
      </c>
      <c r="L166" s="1" t="s">
        <v>1</v>
      </c>
      <c r="M166" s="1" t="s">
        <v>1</v>
      </c>
      <c r="N166" s="1" t="s">
        <v>2306</v>
      </c>
      <c r="O166" s="1" t="s">
        <v>4292</v>
      </c>
      <c r="P166" s="1" t="s">
        <v>2305</v>
      </c>
      <c r="Q166" s="1">
        <v>-1</v>
      </c>
      <c r="R166" s="1"/>
      <c r="S166" s="1"/>
      <c r="T166" s="1"/>
      <c r="U166" s="1"/>
      <c r="V166" s="1"/>
      <c r="W166" s="1"/>
      <c r="X166" s="1"/>
      <c r="Y166" s="1"/>
      <c r="Z166" s="1"/>
      <c r="AA166" s="1"/>
      <c r="AB166" s="1"/>
      <c r="AC166" s="1"/>
      <c r="AD166" s="1"/>
      <c r="AE166" s="1"/>
      <c r="AF166" s="1"/>
    </row>
    <row r="167" spans="1:32" hidden="1" x14ac:dyDescent="0.25">
      <c r="A167" s="1">
        <v>166</v>
      </c>
      <c r="B167" s="1"/>
      <c r="C167" s="1" t="s">
        <v>3059</v>
      </c>
      <c r="D167" s="1" t="s">
        <v>4888</v>
      </c>
      <c r="E167">
        <v>2014</v>
      </c>
      <c r="F167" s="1" t="s">
        <v>116</v>
      </c>
      <c r="G167" s="1" t="s">
        <v>4890</v>
      </c>
      <c r="H167" s="1" t="s">
        <v>3060</v>
      </c>
      <c r="I167" s="1" t="s">
        <v>3794</v>
      </c>
      <c r="J167" s="1" t="s">
        <v>3141</v>
      </c>
      <c r="K167" s="1" t="s">
        <v>4023</v>
      </c>
      <c r="L167" s="1" t="s">
        <v>447</v>
      </c>
      <c r="M167" s="1" t="s">
        <v>1</v>
      </c>
      <c r="N167" s="1" t="s">
        <v>3062</v>
      </c>
      <c r="O167" s="1" t="s">
        <v>4891</v>
      </c>
      <c r="P167" s="1" t="s">
        <v>3061</v>
      </c>
      <c r="Q167" s="1">
        <v>-1</v>
      </c>
      <c r="R167" s="1"/>
      <c r="S167" s="1"/>
      <c r="T167" s="1"/>
      <c r="U167" s="1"/>
      <c r="V167" s="1"/>
      <c r="W167" s="1"/>
      <c r="X167" s="1"/>
      <c r="Y167" s="1"/>
      <c r="Z167" s="1"/>
      <c r="AA167" s="1"/>
      <c r="AB167" s="1"/>
      <c r="AC167" s="1"/>
      <c r="AD167" s="1"/>
      <c r="AE167" s="1"/>
      <c r="AF167" s="1"/>
    </row>
    <row r="168" spans="1:32" hidden="1" x14ac:dyDescent="0.25">
      <c r="A168" s="1">
        <v>167</v>
      </c>
      <c r="B168" s="1"/>
      <c r="C168" s="1" t="s">
        <v>2978</v>
      </c>
      <c r="D168" s="1" t="s">
        <v>4830</v>
      </c>
      <c r="E168">
        <v>2007</v>
      </c>
      <c r="F168" s="1" t="s">
        <v>0</v>
      </c>
      <c r="G168" s="1" t="s">
        <v>4831</v>
      </c>
      <c r="H168" s="1" t="s">
        <v>1832</v>
      </c>
      <c r="I168" s="1" t="s">
        <v>1</v>
      </c>
      <c r="J168" s="1" t="s">
        <v>1</v>
      </c>
      <c r="K168" s="1" t="s">
        <v>2979</v>
      </c>
      <c r="L168" s="1" t="s">
        <v>1</v>
      </c>
      <c r="M168" s="1" t="s">
        <v>1</v>
      </c>
      <c r="N168" s="1" t="s">
        <v>1</v>
      </c>
      <c r="O168" s="1" t="s">
        <v>4832</v>
      </c>
      <c r="P168" s="1" t="s">
        <v>2980</v>
      </c>
      <c r="Q168" s="1">
        <v>-1</v>
      </c>
      <c r="R168" s="1"/>
      <c r="S168" s="1"/>
      <c r="T168" s="1"/>
      <c r="U168" s="1"/>
      <c r="V168" s="1"/>
      <c r="W168" s="1"/>
      <c r="X168" s="1"/>
      <c r="Y168" s="1"/>
      <c r="Z168" s="1"/>
      <c r="AA168" s="1"/>
      <c r="AB168" s="1"/>
      <c r="AC168" s="1"/>
      <c r="AD168" s="1"/>
      <c r="AE168" s="1"/>
      <c r="AF168" s="1"/>
    </row>
    <row r="169" spans="1:32" hidden="1" x14ac:dyDescent="0.25">
      <c r="A169" s="1">
        <v>168</v>
      </c>
      <c r="B169" s="1"/>
      <c r="C169" s="1" t="s">
        <v>80</v>
      </c>
      <c r="D169" s="1" t="s">
        <v>79</v>
      </c>
      <c r="E169">
        <v>2011</v>
      </c>
      <c r="F169" s="1" t="s">
        <v>0</v>
      </c>
      <c r="G169" s="1" t="s">
        <v>4468</v>
      </c>
      <c r="H169" s="1" t="s">
        <v>81</v>
      </c>
      <c r="I169" s="1" t="s">
        <v>1</v>
      </c>
      <c r="J169" s="1" t="s">
        <v>1</v>
      </c>
      <c r="K169" s="1" t="s">
        <v>2529</v>
      </c>
      <c r="L169" s="1" t="s">
        <v>1</v>
      </c>
      <c r="M169" s="1" t="s">
        <v>1</v>
      </c>
      <c r="N169" s="1" t="s">
        <v>1</v>
      </c>
      <c r="O169" s="1" t="s">
        <v>83</v>
      </c>
      <c r="P169" s="1" t="s">
        <v>743</v>
      </c>
      <c r="Q169" s="1">
        <v>1</v>
      </c>
      <c r="R169" s="1">
        <v>-1</v>
      </c>
      <c r="S169" s="1"/>
      <c r="T169" s="1"/>
      <c r="U169" s="1"/>
      <c r="V169" s="1"/>
      <c r="W169" s="1"/>
      <c r="X169" s="1"/>
      <c r="Y169" s="1"/>
      <c r="Z169" s="1"/>
      <c r="AA169" s="1"/>
      <c r="AB169" s="1"/>
      <c r="AC169" s="1"/>
      <c r="AD169" s="1"/>
      <c r="AE169" s="1"/>
      <c r="AF169" s="1"/>
    </row>
    <row r="170" spans="1:32" hidden="1" x14ac:dyDescent="0.25">
      <c r="A170" s="1">
        <v>169</v>
      </c>
      <c r="B170" s="1"/>
      <c r="C170" s="1" t="s">
        <v>2414</v>
      </c>
      <c r="D170" s="1" t="s">
        <v>2413</v>
      </c>
      <c r="E170">
        <v>2013</v>
      </c>
      <c r="F170" s="1" t="s">
        <v>0</v>
      </c>
      <c r="G170" s="1" t="s">
        <v>4377</v>
      </c>
      <c r="H170" s="1" t="s">
        <v>2415</v>
      </c>
      <c r="I170" s="1" t="s">
        <v>1</v>
      </c>
      <c r="J170" s="1" t="s">
        <v>1</v>
      </c>
      <c r="K170" s="1" t="s">
        <v>2416</v>
      </c>
      <c r="L170" s="1" t="s">
        <v>1</v>
      </c>
      <c r="M170" s="1" t="s">
        <v>1</v>
      </c>
      <c r="N170" s="1" t="s">
        <v>1</v>
      </c>
      <c r="O170" s="1" t="s">
        <v>4378</v>
      </c>
      <c r="P170" s="1" t="s">
        <v>2417</v>
      </c>
      <c r="Q170" s="1">
        <v>-1</v>
      </c>
      <c r="R170" s="1"/>
      <c r="S170" s="1"/>
      <c r="T170" s="1"/>
      <c r="U170" s="1"/>
      <c r="V170" s="1"/>
      <c r="W170" s="1"/>
      <c r="X170" s="1"/>
      <c r="Y170" s="1"/>
      <c r="Z170" s="1"/>
      <c r="AA170" s="1"/>
      <c r="AB170" s="1"/>
      <c r="AC170" s="1"/>
      <c r="AD170" s="1"/>
      <c r="AE170" s="1"/>
      <c r="AF170" s="1"/>
    </row>
    <row r="171" spans="1:32" hidden="1" x14ac:dyDescent="0.25">
      <c r="A171" s="1">
        <v>170</v>
      </c>
      <c r="B171" s="1"/>
      <c r="C171" s="1" t="s">
        <v>2922</v>
      </c>
      <c r="D171" s="1" t="s">
        <v>2921</v>
      </c>
      <c r="E171">
        <v>2011</v>
      </c>
      <c r="F171" s="1" t="s">
        <v>0</v>
      </c>
      <c r="G171" s="1" t="s">
        <v>1</v>
      </c>
      <c r="H171" s="1" t="s">
        <v>1</v>
      </c>
      <c r="I171" s="1" t="s">
        <v>1</v>
      </c>
      <c r="J171" s="1" t="s">
        <v>1</v>
      </c>
      <c r="K171" s="1" t="s">
        <v>1111</v>
      </c>
      <c r="L171" s="1" t="s">
        <v>1</v>
      </c>
      <c r="M171" s="1" t="s">
        <v>1</v>
      </c>
      <c r="N171" s="1" t="s">
        <v>2924</v>
      </c>
      <c r="O171" s="1" t="s">
        <v>4784</v>
      </c>
      <c r="P171" s="1" t="s">
        <v>2923</v>
      </c>
      <c r="Q171" s="1">
        <v>-1</v>
      </c>
      <c r="R171" s="1"/>
      <c r="S171" s="1"/>
      <c r="T171" s="1"/>
      <c r="U171" s="1"/>
      <c r="V171" s="1"/>
      <c r="W171" s="1"/>
      <c r="X171" s="1"/>
      <c r="Y171" s="1"/>
      <c r="Z171" s="1"/>
      <c r="AA171" s="1"/>
      <c r="AB171" s="1"/>
      <c r="AC171" s="1"/>
      <c r="AD171" s="1"/>
      <c r="AE171" s="1"/>
      <c r="AF171" s="1"/>
    </row>
    <row r="172" spans="1:32" hidden="1" x14ac:dyDescent="0.25">
      <c r="A172" s="1">
        <v>171</v>
      </c>
      <c r="B172" s="1"/>
      <c r="C172" s="1" t="s">
        <v>2468</v>
      </c>
      <c r="D172" s="1" t="s">
        <v>2463</v>
      </c>
      <c r="E172">
        <v>2017</v>
      </c>
      <c r="F172" s="1" t="s">
        <v>0</v>
      </c>
      <c r="G172" s="1" t="s">
        <v>4420</v>
      </c>
      <c r="H172" s="1" t="s">
        <v>2469</v>
      </c>
      <c r="I172" s="1" t="s">
        <v>1</v>
      </c>
      <c r="J172" s="1" t="s">
        <v>1</v>
      </c>
      <c r="K172" s="1" t="s">
        <v>3195</v>
      </c>
      <c r="L172" s="1" t="s">
        <v>1</v>
      </c>
      <c r="M172" s="1" t="s">
        <v>1</v>
      </c>
      <c r="N172" s="1" t="s">
        <v>1</v>
      </c>
      <c r="O172" s="1" t="s">
        <v>4421</v>
      </c>
      <c r="P172" s="1" t="s">
        <v>2470</v>
      </c>
      <c r="Q172" s="1">
        <v>-1</v>
      </c>
      <c r="R172" s="1"/>
      <c r="S172" s="1"/>
      <c r="T172" s="1"/>
      <c r="U172" s="1"/>
      <c r="V172" s="1"/>
      <c r="W172" s="1"/>
      <c r="X172" s="1"/>
      <c r="Y172" s="1"/>
      <c r="Z172" s="1"/>
      <c r="AA172" s="1"/>
      <c r="AB172" s="1"/>
      <c r="AC172" s="1"/>
      <c r="AD172" s="1"/>
      <c r="AE172" s="1"/>
      <c r="AF172" s="1"/>
    </row>
    <row r="173" spans="1:32" hidden="1" x14ac:dyDescent="0.25">
      <c r="A173" s="1">
        <v>172</v>
      </c>
      <c r="B173" s="1"/>
      <c r="C173" s="1" t="s">
        <v>3009</v>
      </c>
      <c r="D173" s="1" t="s">
        <v>4857</v>
      </c>
      <c r="E173">
        <v>2015</v>
      </c>
      <c r="F173" s="1" t="s">
        <v>0</v>
      </c>
      <c r="G173" s="1" t="s">
        <v>4858</v>
      </c>
      <c r="H173" s="1" t="s">
        <v>1462</v>
      </c>
      <c r="I173" s="1" t="s">
        <v>1</v>
      </c>
      <c r="J173" s="1" t="s">
        <v>1</v>
      </c>
      <c r="K173" s="1" t="s">
        <v>3010</v>
      </c>
      <c r="L173" s="1" t="s">
        <v>1</v>
      </c>
      <c r="M173" s="1" t="s">
        <v>1</v>
      </c>
      <c r="N173" s="1" t="s">
        <v>1</v>
      </c>
      <c r="O173" s="1" t="s">
        <v>4859</v>
      </c>
      <c r="P173" s="1" t="s">
        <v>3011</v>
      </c>
      <c r="Q173" s="1">
        <v>-1</v>
      </c>
      <c r="R173" s="1"/>
      <c r="S173" s="1"/>
      <c r="T173" s="1"/>
      <c r="U173" s="1"/>
      <c r="V173" s="1"/>
      <c r="W173" s="1"/>
      <c r="X173" s="1"/>
      <c r="Y173" s="1"/>
      <c r="Z173" s="1"/>
      <c r="AA173" s="1"/>
      <c r="AB173" s="1"/>
      <c r="AC173" s="1"/>
      <c r="AD173" s="1"/>
      <c r="AE173" s="1"/>
      <c r="AF173" s="1"/>
    </row>
    <row r="174" spans="1:32" hidden="1" x14ac:dyDescent="0.25">
      <c r="A174" s="1">
        <v>173</v>
      </c>
      <c r="B174" s="1"/>
      <c r="C174" s="1" t="s">
        <v>1648</v>
      </c>
      <c r="D174" s="1" t="s">
        <v>1647</v>
      </c>
      <c r="E174">
        <v>2013</v>
      </c>
      <c r="F174" s="1" t="s">
        <v>0</v>
      </c>
      <c r="G174" s="1" t="s">
        <v>3798</v>
      </c>
      <c r="H174" s="1" t="s">
        <v>1649</v>
      </c>
      <c r="I174" s="1" t="s">
        <v>1</v>
      </c>
      <c r="J174" s="1" t="s">
        <v>1</v>
      </c>
      <c r="K174" s="1" t="s">
        <v>1650</v>
      </c>
      <c r="L174" s="1" t="s">
        <v>1</v>
      </c>
      <c r="M174" s="1" t="s">
        <v>1</v>
      </c>
      <c r="N174" s="1" t="s">
        <v>1</v>
      </c>
      <c r="O174" s="1" t="s">
        <v>3799</v>
      </c>
      <c r="P174" s="1" t="s">
        <v>1651</v>
      </c>
      <c r="Q174" s="1">
        <v>-1</v>
      </c>
      <c r="R174" s="1"/>
      <c r="S174" s="1"/>
      <c r="T174" s="1"/>
      <c r="U174" s="1"/>
      <c r="V174" s="1"/>
      <c r="W174" s="1"/>
      <c r="X174" s="1"/>
      <c r="Y174" s="1"/>
      <c r="Z174" s="1"/>
      <c r="AA174" s="1"/>
      <c r="AB174" s="1"/>
      <c r="AC174" s="1"/>
      <c r="AD174" s="1"/>
      <c r="AE174" s="1"/>
      <c r="AF174" s="1"/>
    </row>
    <row r="175" spans="1:32" hidden="1" x14ac:dyDescent="0.25">
      <c r="A175" s="1">
        <v>174</v>
      </c>
      <c r="B175" s="1"/>
      <c r="C175" s="1" t="s">
        <v>2187</v>
      </c>
      <c r="D175" s="1" t="s">
        <v>4199</v>
      </c>
      <c r="E175">
        <v>2017</v>
      </c>
      <c r="F175" s="1" t="s">
        <v>0</v>
      </c>
      <c r="G175" s="1" t="s">
        <v>4200</v>
      </c>
      <c r="H175" s="1" t="s">
        <v>2188</v>
      </c>
      <c r="I175" s="1" t="s">
        <v>1</v>
      </c>
      <c r="J175" s="1" t="s">
        <v>1</v>
      </c>
      <c r="K175" s="1" t="s">
        <v>3767</v>
      </c>
      <c r="L175" s="1" t="s">
        <v>1</v>
      </c>
      <c r="M175" s="1" t="s">
        <v>1</v>
      </c>
      <c r="N175" s="1" t="s">
        <v>1</v>
      </c>
      <c r="O175" s="1" t="s">
        <v>4201</v>
      </c>
      <c r="P175" s="1" t="s">
        <v>2189</v>
      </c>
      <c r="Q175" s="1">
        <v>-1</v>
      </c>
      <c r="R175" s="1"/>
      <c r="S175" s="1"/>
      <c r="T175" s="1"/>
      <c r="U175" s="1"/>
      <c r="V175" s="1"/>
      <c r="W175" s="1"/>
      <c r="X175" s="1"/>
      <c r="Y175" s="1"/>
      <c r="Z175" s="1"/>
      <c r="AA175" s="1"/>
      <c r="AB175" s="1"/>
      <c r="AC175" s="1"/>
      <c r="AD175" s="1"/>
      <c r="AE175" s="1"/>
      <c r="AF175" s="1"/>
    </row>
    <row r="176" spans="1:32" hidden="1" x14ac:dyDescent="0.25">
      <c r="A176" s="1">
        <v>175</v>
      </c>
      <c r="B176" s="1"/>
      <c r="C176" s="1" t="s">
        <v>2389</v>
      </c>
      <c r="D176" s="1" t="s">
        <v>218</v>
      </c>
      <c r="E176">
        <v>2012</v>
      </c>
      <c r="F176" s="1" t="s">
        <v>0</v>
      </c>
      <c r="G176" s="1" t="s">
        <v>4358</v>
      </c>
      <c r="H176" s="1" t="s">
        <v>45</v>
      </c>
      <c r="I176" s="1" t="s">
        <v>1</v>
      </c>
      <c r="J176" s="1" t="s">
        <v>1</v>
      </c>
      <c r="K176" s="1" t="s">
        <v>2390</v>
      </c>
      <c r="L176" s="1" t="s">
        <v>1</v>
      </c>
      <c r="M176" s="1" t="s">
        <v>1</v>
      </c>
      <c r="N176" s="1" t="s">
        <v>1</v>
      </c>
      <c r="O176" s="1" t="s">
        <v>4359</v>
      </c>
      <c r="P176" s="1" t="s">
        <v>2391</v>
      </c>
      <c r="Q176" s="1">
        <v>-1</v>
      </c>
      <c r="R176" s="1"/>
      <c r="S176" s="1"/>
      <c r="T176" s="1"/>
      <c r="U176" s="1"/>
      <c r="V176" s="1"/>
      <c r="W176" s="1"/>
      <c r="X176" s="1"/>
      <c r="Y176" s="1"/>
      <c r="Z176" s="1"/>
      <c r="AA176" s="1"/>
      <c r="AB176" s="1"/>
      <c r="AC176" s="1"/>
      <c r="AD176" s="1"/>
      <c r="AE176" s="1"/>
      <c r="AF176" s="1"/>
    </row>
    <row r="177" spans="1:32" hidden="1" x14ac:dyDescent="0.25">
      <c r="A177" s="1">
        <v>176</v>
      </c>
      <c r="B177" s="1"/>
      <c r="C177" s="1" t="s">
        <v>1553</v>
      </c>
      <c r="D177" s="1" t="s">
        <v>1552</v>
      </c>
      <c r="E177">
        <v>2016</v>
      </c>
      <c r="F177" s="1" t="s">
        <v>0</v>
      </c>
      <c r="G177" s="1" t="s">
        <v>3717</v>
      </c>
      <c r="H177" s="1" t="s">
        <v>1554</v>
      </c>
      <c r="I177" s="1" t="s">
        <v>1</v>
      </c>
      <c r="J177" s="1" t="s">
        <v>1</v>
      </c>
      <c r="K177" s="1" t="s">
        <v>1555</v>
      </c>
      <c r="L177" s="1" t="s">
        <v>1</v>
      </c>
      <c r="M177" s="1" t="s">
        <v>1</v>
      </c>
      <c r="N177" s="1" t="s">
        <v>1</v>
      </c>
      <c r="O177" s="1" t="s">
        <v>3718</v>
      </c>
      <c r="P177" s="1" t="s">
        <v>1556</v>
      </c>
      <c r="Q177" s="1">
        <v>-1</v>
      </c>
      <c r="R177" s="1"/>
      <c r="S177" s="1"/>
      <c r="T177" s="1"/>
      <c r="U177" s="1"/>
      <c r="V177" s="1"/>
      <c r="W177" s="1"/>
      <c r="X177" s="1"/>
      <c r="Y177" s="1"/>
      <c r="Z177" s="1"/>
      <c r="AA177" s="1"/>
      <c r="AB177" s="1"/>
      <c r="AC177" s="1"/>
      <c r="AD177" s="1"/>
      <c r="AE177" s="1"/>
      <c r="AF177" s="1"/>
    </row>
    <row r="178" spans="1:32" hidden="1" x14ac:dyDescent="0.25">
      <c r="A178" s="1">
        <v>177</v>
      </c>
      <c r="B178" s="1"/>
      <c r="C178" s="1" t="s">
        <v>3108</v>
      </c>
      <c r="D178" s="1" t="s">
        <v>4924</v>
      </c>
      <c r="E178">
        <v>2011</v>
      </c>
      <c r="F178" s="1" t="s">
        <v>0</v>
      </c>
      <c r="G178" s="1" t="s">
        <v>4925</v>
      </c>
      <c r="H178" s="1" t="s">
        <v>3109</v>
      </c>
      <c r="I178" s="1" t="s">
        <v>1</v>
      </c>
      <c r="J178" s="1" t="s">
        <v>1</v>
      </c>
      <c r="K178" s="1" t="s">
        <v>3110</v>
      </c>
      <c r="L178" s="1" t="s">
        <v>1</v>
      </c>
      <c r="M178" s="1" t="s">
        <v>1</v>
      </c>
      <c r="N178" s="1" t="s">
        <v>1</v>
      </c>
      <c r="O178" s="1" t="s">
        <v>4926</v>
      </c>
      <c r="P178" s="1" t="s">
        <v>3112</v>
      </c>
      <c r="Q178" s="1">
        <v>-1</v>
      </c>
      <c r="R178" s="1"/>
      <c r="S178" s="1"/>
      <c r="T178" s="1"/>
      <c r="U178" s="1"/>
      <c r="V178" s="1"/>
      <c r="W178" s="1"/>
      <c r="X178" s="1"/>
      <c r="Y178" s="1"/>
      <c r="Z178" s="1"/>
      <c r="AA178" s="1"/>
      <c r="AB178" s="1"/>
      <c r="AC178" s="1"/>
      <c r="AD178" s="1"/>
      <c r="AE178" s="1"/>
      <c r="AF178" s="1"/>
    </row>
    <row r="179" spans="1:32" x14ac:dyDescent="0.25">
      <c r="A179" s="1">
        <v>178</v>
      </c>
      <c r="B179" s="1">
        <v>10</v>
      </c>
      <c r="C179" s="1" t="s">
        <v>2065</v>
      </c>
      <c r="D179" s="1" t="s">
        <v>4102</v>
      </c>
      <c r="E179">
        <v>2016</v>
      </c>
      <c r="F179" s="1" t="s">
        <v>127</v>
      </c>
      <c r="G179" s="1" t="s">
        <v>4103</v>
      </c>
      <c r="H179" s="1" t="s">
        <v>2066</v>
      </c>
      <c r="I179" s="1" t="s">
        <v>1</v>
      </c>
      <c r="J179" s="1" t="s">
        <v>1</v>
      </c>
      <c r="K179" s="1" t="s">
        <v>2068</v>
      </c>
      <c r="L179" s="1" t="s">
        <v>2067</v>
      </c>
      <c r="M179" s="1" t="s">
        <v>1</v>
      </c>
      <c r="N179" s="1" t="s">
        <v>2070</v>
      </c>
      <c r="O179" s="1" t="s">
        <v>4104</v>
      </c>
      <c r="P179" s="1" t="s">
        <v>2069</v>
      </c>
      <c r="Q179" s="1">
        <v>1</v>
      </c>
      <c r="R179" s="1">
        <v>1</v>
      </c>
      <c r="S179" s="1">
        <v>4.5</v>
      </c>
      <c r="T179" s="1" t="s">
        <v>4995</v>
      </c>
      <c r="U179" s="1" t="s">
        <v>730</v>
      </c>
      <c r="V179" s="1" t="s">
        <v>5009</v>
      </c>
      <c r="W179" s="1" t="s">
        <v>4974</v>
      </c>
      <c r="X179" s="1" t="s">
        <v>127</v>
      </c>
      <c r="Y179" s="1" t="s">
        <v>5003</v>
      </c>
      <c r="Z179" s="1" t="s">
        <v>5027</v>
      </c>
      <c r="AA179" s="1"/>
      <c r="AB179" s="1">
        <v>3</v>
      </c>
      <c r="AC179" s="1">
        <v>5</v>
      </c>
      <c r="AD179" s="1">
        <v>1</v>
      </c>
      <c r="AE179" s="1">
        <v>3</v>
      </c>
      <c r="AF179" s="1"/>
    </row>
    <row r="180" spans="1:32" hidden="1" x14ac:dyDescent="0.25">
      <c r="A180" s="1">
        <v>179</v>
      </c>
      <c r="B180" s="1"/>
      <c r="C180" s="1" t="s">
        <v>997</v>
      </c>
      <c r="D180" s="1" t="s">
        <v>996</v>
      </c>
      <c r="E180">
        <v>2011</v>
      </c>
      <c r="F180" s="1" t="s">
        <v>127</v>
      </c>
      <c r="G180" s="1" t="s">
        <v>3312</v>
      </c>
      <c r="H180" s="1" t="s">
        <v>998</v>
      </c>
      <c r="I180" s="1" t="s">
        <v>1</v>
      </c>
      <c r="J180" s="1" t="s">
        <v>1</v>
      </c>
      <c r="K180" s="1" t="s">
        <v>1000</v>
      </c>
      <c r="L180" s="1" t="s">
        <v>999</v>
      </c>
      <c r="M180" s="1" t="s">
        <v>1</v>
      </c>
      <c r="N180" s="1" t="s">
        <v>1001</v>
      </c>
      <c r="O180" s="1" t="s">
        <v>1</v>
      </c>
      <c r="P180" s="1" t="s">
        <v>1</v>
      </c>
      <c r="Q180" s="1">
        <v>-1</v>
      </c>
      <c r="R180" s="1"/>
      <c r="S180" s="1"/>
      <c r="T180" s="1"/>
      <c r="U180" s="1"/>
      <c r="V180" s="1"/>
      <c r="W180" s="1"/>
      <c r="X180" s="1"/>
      <c r="Y180" s="1"/>
      <c r="Z180" s="1"/>
      <c r="AA180" s="1"/>
      <c r="AB180" s="1"/>
      <c r="AC180" s="1"/>
      <c r="AD180" s="1"/>
      <c r="AE180" s="1"/>
      <c r="AF180" s="1"/>
    </row>
    <row r="181" spans="1:32" hidden="1" x14ac:dyDescent="0.25">
      <c r="A181" s="1">
        <v>180</v>
      </c>
      <c r="B181" s="1"/>
      <c r="C181" s="1" t="s">
        <v>2504</v>
      </c>
      <c r="D181" s="1" t="s">
        <v>4449</v>
      </c>
      <c r="E181">
        <v>2008</v>
      </c>
      <c r="F181" s="1" t="s">
        <v>0</v>
      </c>
      <c r="G181" s="1" t="s">
        <v>4450</v>
      </c>
      <c r="H181" s="1" t="s">
        <v>1977</v>
      </c>
      <c r="I181" s="1" t="s">
        <v>1</v>
      </c>
      <c r="J181" s="1" t="s">
        <v>1</v>
      </c>
      <c r="K181" s="1" t="s">
        <v>2505</v>
      </c>
      <c r="L181" s="1" t="s">
        <v>1</v>
      </c>
      <c r="M181" s="1" t="s">
        <v>1</v>
      </c>
      <c r="N181" s="1" t="s">
        <v>1</v>
      </c>
      <c r="O181" s="1" t="s">
        <v>4451</v>
      </c>
      <c r="P181" s="1" t="s">
        <v>2506</v>
      </c>
      <c r="Q181" s="1">
        <v>-1</v>
      </c>
      <c r="R181" s="1"/>
      <c r="S181" s="1"/>
      <c r="T181" s="1"/>
      <c r="U181" s="1"/>
      <c r="V181" s="1"/>
      <c r="W181" s="1"/>
      <c r="X181" s="1"/>
      <c r="Y181" s="1"/>
      <c r="Z181" s="1"/>
      <c r="AA181" s="1"/>
      <c r="AB181" s="1"/>
      <c r="AC181" s="1"/>
      <c r="AD181" s="1"/>
      <c r="AE181" s="1"/>
      <c r="AF181" s="1"/>
    </row>
    <row r="182" spans="1:32" hidden="1" x14ac:dyDescent="0.25">
      <c r="A182" s="1">
        <v>181</v>
      </c>
      <c r="B182" s="1"/>
      <c r="C182" s="1" t="s">
        <v>1803</v>
      </c>
      <c r="D182" s="1" t="s">
        <v>3894</v>
      </c>
      <c r="E182">
        <v>2012</v>
      </c>
      <c r="F182" s="1" t="s">
        <v>0</v>
      </c>
      <c r="G182" s="1" t="s">
        <v>3896</v>
      </c>
      <c r="H182" s="1" t="s">
        <v>1476</v>
      </c>
      <c r="I182" s="1" t="s">
        <v>1</v>
      </c>
      <c r="J182" s="1" t="s">
        <v>1</v>
      </c>
      <c r="K182" s="1" t="s">
        <v>3895</v>
      </c>
      <c r="L182" s="1" t="s">
        <v>1</v>
      </c>
      <c r="M182" s="1" t="s">
        <v>1</v>
      </c>
      <c r="N182" s="1" t="s">
        <v>1</v>
      </c>
      <c r="O182" s="1" t="s">
        <v>3897</v>
      </c>
      <c r="P182" s="1" t="s">
        <v>1804</v>
      </c>
      <c r="Q182" s="1">
        <v>-1</v>
      </c>
      <c r="R182" s="1"/>
      <c r="S182" s="1"/>
      <c r="T182" s="1"/>
      <c r="U182" s="1"/>
      <c r="V182" s="1"/>
      <c r="W182" s="1"/>
      <c r="X182" s="1"/>
      <c r="Y182" s="1"/>
      <c r="Z182" s="1"/>
      <c r="AA182" s="1"/>
      <c r="AB182" s="1"/>
      <c r="AC182" s="1"/>
      <c r="AD182" s="1"/>
      <c r="AE182" s="1"/>
      <c r="AF182" s="1"/>
    </row>
    <row r="183" spans="1:32" hidden="1" x14ac:dyDescent="0.25">
      <c r="A183" s="1">
        <v>182</v>
      </c>
      <c r="B183" s="1"/>
      <c r="C183" s="1" t="s">
        <v>1127</v>
      </c>
      <c r="D183" s="1" t="s">
        <v>3396</v>
      </c>
      <c r="E183">
        <v>2016</v>
      </c>
      <c r="F183" s="1" t="s">
        <v>0</v>
      </c>
      <c r="G183" s="1" t="s">
        <v>3398</v>
      </c>
      <c r="H183" s="1" t="s">
        <v>1128</v>
      </c>
      <c r="I183" s="1" t="s">
        <v>3397</v>
      </c>
      <c r="J183" s="1" t="s">
        <v>1</v>
      </c>
      <c r="K183" s="1" t="s">
        <v>1129</v>
      </c>
      <c r="L183" s="1" t="s">
        <v>1</v>
      </c>
      <c r="M183" s="1" t="s">
        <v>1</v>
      </c>
      <c r="N183" s="1" t="s">
        <v>1</v>
      </c>
      <c r="O183" s="1" t="s">
        <v>3399</v>
      </c>
      <c r="P183" s="1" t="s">
        <v>3400</v>
      </c>
      <c r="Q183" s="1">
        <v>-1</v>
      </c>
      <c r="R183" s="1"/>
      <c r="S183" s="1"/>
      <c r="T183" s="1"/>
      <c r="U183" s="1"/>
      <c r="V183" s="1"/>
      <c r="W183" s="1"/>
      <c r="X183" s="1"/>
      <c r="Y183" s="1"/>
      <c r="Z183" s="1"/>
      <c r="AA183" s="1"/>
      <c r="AB183" s="1"/>
      <c r="AC183" s="1"/>
      <c r="AD183" s="1"/>
      <c r="AE183" s="1"/>
      <c r="AF183" s="1"/>
    </row>
    <row r="184" spans="1:32" hidden="1" x14ac:dyDescent="0.25">
      <c r="A184" s="1">
        <v>183</v>
      </c>
      <c r="B184" s="1"/>
      <c r="C184" s="1" t="s">
        <v>2267</v>
      </c>
      <c r="D184" s="1" t="s">
        <v>4261</v>
      </c>
      <c r="E184">
        <v>2011</v>
      </c>
      <c r="F184" s="1" t="s">
        <v>0</v>
      </c>
      <c r="G184" s="1" t="s">
        <v>1</v>
      </c>
      <c r="H184" s="1" t="s">
        <v>2268</v>
      </c>
      <c r="I184" s="1" t="s">
        <v>1</v>
      </c>
      <c r="J184" s="1" t="s">
        <v>1</v>
      </c>
      <c r="K184" s="1" t="s">
        <v>3808</v>
      </c>
      <c r="L184" s="1" t="s">
        <v>1</v>
      </c>
      <c r="M184" s="1" t="s">
        <v>1</v>
      </c>
      <c r="N184" s="1" t="s">
        <v>1</v>
      </c>
      <c r="O184" s="1" t="s">
        <v>4262</v>
      </c>
      <c r="P184" s="1" t="s">
        <v>2269</v>
      </c>
      <c r="Q184" s="1">
        <v>-1</v>
      </c>
      <c r="R184" s="1"/>
      <c r="S184" s="1"/>
      <c r="T184" s="1"/>
      <c r="U184" s="1"/>
      <c r="V184" s="1"/>
      <c r="W184" s="1"/>
      <c r="X184" s="1"/>
      <c r="Y184" s="1"/>
      <c r="Z184" s="1"/>
      <c r="AA184" s="1"/>
      <c r="AB184" s="1"/>
      <c r="AC184" s="1"/>
      <c r="AD184" s="1"/>
      <c r="AE184" s="1"/>
      <c r="AF184" s="1"/>
    </row>
    <row r="185" spans="1:32" hidden="1" x14ac:dyDescent="0.25">
      <c r="A185" s="1">
        <v>184</v>
      </c>
      <c r="B185" s="1"/>
      <c r="C185" s="1" t="s">
        <v>1844</v>
      </c>
      <c r="D185" s="1" t="s">
        <v>1843</v>
      </c>
      <c r="E185">
        <v>2015</v>
      </c>
      <c r="F185" s="1" t="s">
        <v>0</v>
      </c>
      <c r="G185" s="1" t="s">
        <v>3935</v>
      </c>
      <c r="H185" s="1" t="s">
        <v>71</v>
      </c>
      <c r="I185" s="1" t="s">
        <v>3141</v>
      </c>
      <c r="J185" s="1" t="s">
        <v>1</v>
      </c>
      <c r="K185" s="1" t="s">
        <v>1845</v>
      </c>
      <c r="L185" s="1" t="s">
        <v>1</v>
      </c>
      <c r="M185" s="1" t="s">
        <v>1</v>
      </c>
      <c r="N185" s="1" t="s">
        <v>1</v>
      </c>
      <c r="O185" s="1" t="s">
        <v>3936</v>
      </c>
      <c r="P185" s="1" t="s">
        <v>1846</v>
      </c>
      <c r="Q185" s="1">
        <v>-1</v>
      </c>
      <c r="R185" s="1"/>
      <c r="S185" s="1"/>
      <c r="T185" s="1"/>
      <c r="U185" s="1"/>
      <c r="V185" s="1"/>
      <c r="W185" s="1"/>
      <c r="X185" s="1"/>
      <c r="Y185" s="1"/>
      <c r="Z185" s="1"/>
      <c r="AA185" s="1"/>
      <c r="AB185" s="1"/>
      <c r="AC185" s="1"/>
      <c r="AD185" s="1"/>
      <c r="AE185" s="1"/>
      <c r="AF185" s="1"/>
    </row>
    <row r="186" spans="1:32" hidden="1" x14ac:dyDescent="0.25">
      <c r="A186" s="1">
        <v>185</v>
      </c>
      <c r="B186" s="1"/>
      <c r="C186" s="1" t="s">
        <v>1866</v>
      </c>
      <c r="D186" s="1" t="s">
        <v>3952</v>
      </c>
      <c r="E186">
        <v>2016</v>
      </c>
      <c r="F186" s="1" t="s">
        <v>0</v>
      </c>
      <c r="G186" s="1" t="s">
        <v>3953</v>
      </c>
      <c r="H186" s="1" t="s">
        <v>92</v>
      </c>
      <c r="I186" s="1" t="s">
        <v>1</v>
      </c>
      <c r="J186" s="1" t="s">
        <v>1</v>
      </c>
      <c r="K186" s="1" t="s">
        <v>3184</v>
      </c>
      <c r="L186" s="1" t="s">
        <v>1</v>
      </c>
      <c r="M186" s="1" t="s">
        <v>1</v>
      </c>
      <c r="N186" s="1" t="s">
        <v>1</v>
      </c>
      <c r="O186" s="1" t="s">
        <v>3954</v>
      </c>
      <c r="P186" s="1" t="s">
        <v>1867</v>
      </c>
      <c r="Q186" s="1">
        <v>-1</v>
      </c>
      <c r="R186" s="1"/>
      <c r="S186" s="1"/>
      <c r="T186" s="1"/>
      <c r="U186" s="1"/>
      <c r="V186" s="1"/>
      <c r="W186" s="1"/>
      <c r="X186" s="1"/>
      <c r="Y186" s="1"/>
      <c r="Z186" s="1"/>
      <c r="AA186" s="1"/>
      <c r="AB186" s="1"/>
      <c r="AC186" s="1"/>
      <c r="AD186" s="1"/>
      <c r="AE186" s="1"/>
      <c r="AF186" s="1"/>
    </row>
    <row r="187" spans="1:32" hidden="1" x14ac:dyDescent="0.25">
      <c r="A187" s="1">
        <v>186</v>
      </c>
      <c r="B187" s="1"/>
      <c r="C187" s="1" t="s">
        <v>264</v>
      </c>
      <c r="D187" s="1" t="s">
        <v>263</v>
      </c>
      <c r="E187">
        <v>2017</v>
      </c>
      <c r="F187" s="1" t="s">
        <v>244</v>
      </c>
      <c r="G187" s="1" t="s">
        <v>4225</v>
      </c>
      <c r="H187" s="1" t="s">
        <v>1</v>
      </c>
      <c r="I187" s="1" t="s">
        <v>2217</v>
      </c>
      <c r="J187" s="1" t="s">
        <v>1</v>
      </c>
      <c r="K187" s="1" t="s">
        <v>2218</v>
      </c>
      <c r="L187" s="1" t="s">
        <v>247</v>
      </c>
      <c r="M187" s="1" t="s">
        <v>1</v>
      </c>
      <c r="N187" s="1" t="s">
        <v>2219</v>
      </c>
      <c r="O187" s="1" t="s">
        <v>266</v>
      </c>
      <c r="P187" s="1" t="s">
        <v>267</v>
      </c>
      <c r="Q187" s="1">
        <v>-1</v>
      </c>
      <c r="R187" s="1"/>
      <c r="S187" s="1"/>
      <c r="T187" s="1"/>
      <c r="U187" s="1"/>
      <c r="V187" s="1"/>
      <c r="W187" s="1"/>
      <c r="X187" s="1"/>
      <c r="Y187" s="1"/>
      <c r="Z187" s="1"/>
      <c r="AA187" s="1"/>
      <c r="AB187" s="1"/>
      <c r="AC187" s="1"/>
      <c r="AD187" s="1"/>
      <c r="AE187" s="1"/>
      <c r="AF187" s="1"/>
    </row>
    <row r="188" spans="1:32" hidden="1" x14ac:dyDescent="0.25">
      <c r="A188" s="1">
        <v>187</v>
      </c>
      <c r="B188" s="1"/>
      <c r="C188" s="1" t="s">
        <v>1216</v>
      </c>
      <c r="D188" s="1" t="s">
        <v>1215</v>
      </c>
      <c r="E188">
        <v>2013</v>
      </c>
      <c r="F188" s="1" t="s">
        <v>0</v>
      </c>
      <c r="G188" s="1" t="s">
        <v>3458</v>
      </c>
      <c r="H188" s="1" t="s">
        <v>944</v>
      </c>
      <c r="I188" s="1" t="s">
        <v>1</v>
      </c>
      <c r="J188" s="1" t="s">
        <v>1</v>
      </c>
      <c r="K188" s="1" t="s">
        <v>1217</v>
      </c>
      <c r="L188" s="1" t="s">
        <v>1</v>
      </c>
      <c r="M188" s="1" t="s">
        <v>1</v>
      </c>
      <c r="N188" s="1" t="s">
        <v>1</v>
      </c>
      <c r="O188" s="1" t="s">
        <v>3459</v>
      </c>
      <c r="P188" s="1" t="s">
        <v>1218</v>
      </c>
      <c r="Q188" s="1">
        <v>-1</v>
      </c>
      <c r="R188" s="1"/>
      <c r="S188" s="1"/>
      <c r="T188" s="1"/>
      <c r="U188" s="1"/>
      <c r="V188" s="1"/>
      <c r="W188" s="1"/>
      <c r="X188" s="1"/>
      <c r="Y188" s="1"/>
      <c r="Z188" s="1"/>
      <c r="AA188" s="1"/>
      <c r="AB188" s="1"/>
      <c r="AC188" s="1"/>
      <c r="AD188" s="1"/>
      <c r="AE188" s="1"/>
      <c r="AF188" s="1"/>
    </row>
    <row r="189" spans="1:32" hidden="1" x14ac:dyDescent="0.25">
      <c r="A189" s="1">
        <v>188</v>
      </c>
      <c r="B189" s="1"/>
      <c r="C189" s="8" t="s">
        <v>2096</v>
      </c>
      <c r="D189" s="1" t="s">
        <v>4128</v>
      </c>
      <c r="E189">
        <v>2015</v>
      </c>
      <c r="F189" s="1" t="s">
        <v>0</v>
      </c>
      <c r="G189" s="1" t="s">
        <v>4129</v>
      </c>
      <c r="H189" s="1" t="s">
        <v>2097</v>
      </c>
      <c r="I189" s="1" t="s">
        <v>1</v>
      </c>
      <c r="J189" s="1" t="s">
        <v>1</v>
      </c>
      <c r="K189" s="1" t="s">
        <v>2098</v>
      </c>
      <c r="L189" s="1" t="s">
        <v>1</v>
      </c>
      <c r="M189" s="1" t="s">
        <v>1</v>
      </c>
      <c r="N189" s="1" t="s">
        <v>1</v>
      </c>
      <c r="O189" s="1" t="s">
        <v>4130</v>
      </c>
      <c r="P189" s="1" t="s">
        <v>2099</v>
      </c>
      <c r="Q189" s="1">
        <v>-1</v>
      </c>
      <c r="R189" s="1"/>
      <c r="S189" s="1"/>
      <c r="T189" s="1"/>
      <c r="U189" s="1"/>
      <c r="V189" s="1"/>
      <c r="W189" s="1"/>
      <c r="X189" s="1"/>
      <c r="Y189" s="1"/>
      <c r="Z189" s="1"/>
      <c r="AA189" s="1"/>
      <c r="AB189" s="1"/>
      <c r="AC189" s="1"/>
      <c r="AD189" s="1"/>
      <c r="AE189" s="1"/>
      <c r="AF189" s="1"/>
    </row>
    <row r="190" spans="1:32" hidden="1" x14ac:dyDescent="0.25">
      <c r="A190" s="1">
        <v>189</v>
      </c>
      <c r="B190" s="1"/>
      <c r="C190" s="1" t="s">
        <v>1109</v>
      </c>
      <c r="D190" s="1" t="s">
        <v>3382</v>
      </c>
      <c r="E190">
        <v>2005</v>
      </c>
      <c r="F190" s="1" t="s">
        <v>0</v>
      </c>
      <c r="G190" s="1" t="s">
        <v>3383</v>
      </c>
      <c r="H190" s="1" t="s">
        <v>1110</v>
      </c>
      <c r="I190" s="1" t="s">
        <v>1</v>
      </c>
      <c r="J190" s="1" t="s">
        <v>1</v>
      </c>
      <c r="K190" s="1" t="s">
        <v>1111</v>
      </c>
      <c r="L190" s="1" t="s">
        <v>1</v>
      </c>
      <c r="M190" s="1" t="s">
        <v>1</v>
      </c>
      <c r="N190" s="1" t="s">
        <v>1</v>
      </c>
      <c r="O190" s="1" t="s">
        <v>3384</v>
      </c>
      <c r="P190" s="1" t="s">
        <v>1112</v>
      </c>
      <c r="Q190" s="1">
        <v>-1</v>
      </c>
      <c r="R190" s="1"/>
      <c r="S190" s="1"/>
      <c r="T190" s="1"/>
      <c r="U190" s="1"/>
      <c r="V190" s="1"/>
      <c r="W190" s="1"/>
      <c r="X190" s="1"/>
      <c r="Y190" s="1"/>
      <c r="Z190" s="1"/>
      <c r="AA190" s="1"/>
      <c r="AB190" s="1"/>
      <c r="AC190" s="1"/>
      <c r="AD190" s="1"/>
      <c r="AE190" s="1"/>
      <c r="AF190" s="1"/>
    </row>
    <row r="191" spans="1:32" hidden="1" x14ac:dyDescent="0.25">
      <c r="A191" s="1">
        <v>190</v>
      </c>
      <c r="B191" s="1"/>
      <c r="C191" s="1" t="s">
        <v>2810</v>
      </c>
      <c r="D191" s="1" t="s">
        <v>4696</v>
      </c>
      <c r="E191">
        <v>2012</v>
      </c>
      <c r="F191" s="1" t="s">
        <v>0</v>
      </c>
      <c r="G191" s="1" t="s">
        <v>4697</v>
      </c>
      <c r="H191" s="1" t="s">
        <v>2811</v>
      </c>
      <c r="I191" s="1" t="s">
        <v>1</v>
      </c>
      <c r="J191" s="1" t="s">
        <v>1</v>
      </c>
      <c r="K191" s="1" t="s">
        <v>2812</v>
      </c>
      <c r="L191" s="1" t="s">
        <v>1</v>
      </c>
      <c r="M191" s="1" t="s">
        <v>1</v>
      </c>
      <c r="N191" s="1" t="s">
        <v>1</v>
      </c>
      <c r="O191" s="1" t="s">
        <v>4698</v>
      </c>
      <c r="P191" s="1" t="s">
        <v>2813</v>
      </c>
      <c r="Q191" s="1">
        <v>-1</v>
      </c>
      <c r="R191" s="1"/>
      <c r="S191" s="1"/>
      <c r="T191" s="1"/>
      <c r="U191" s="1"/>
      <c r="V191" s="1"/>
      <c r="W191" s="1"/>
      <c r="X191" s="1"/>
      <c r="Y191" s="1"/>
      <c r="Z191" s="1"/>
      <c r="AA191" s="1"/>
      <c r="AB191" s="1"/>
      <c r="AC191" s="1"/>
      <c r="AD191" s="1"/>
      <c r="AE191" s="1"/>
      <c r="AF191" s="1"/>
    </row>
    <row r="192" spans="1:32" hidden="1" x14ac:dyDescent="0.25">
      <c r="A192" s="1">
        <v>191</v>
      </c>
      <c r="B192" s="1"/>
      <c r="C192" s="1" t="s">
        <v>1788</v>
      </c>
      <c r="D192" s="1" t="s">
        <v>1787</v>
      </c>
      <c r="E192">
        <v>2013</v>
      </c>
      <c r="F192" s="1" t="s">
        <v>127</v>
      </c>
      <c r="G192" s="1" t="s">
        <v>3891</v>
      </c>
      <c r="H192" s="1" t="s">
        <v>1789</v>
      </c>
      <c r="I192" s="1" t="s">
        <v>1</v>
      </c>
      <c r="J192" s="1" t="s">
        <v>1</v>
      </c>
      <c r="K192" s="1" t="s">
        <v>3890</v>
      </c>
      <c r="L192" s="1" t="s">
        <v>688</v>
      </c>
      <c r="M192" s="1" t="s">
        <v>776</v>
      </c>
      <c r="N192" s="1" t="s">
        <v>1791</v>
      </c>
      <c r="O192" s="1" t="s">
        <v>1</v>
      </c>
      <c r="P192" s="1" t="s">
        <v>1790</v>
      </c>
      <c r="Q192" s="1">
        <v>-1</v>
      </c>
      <c r="R192" s="1"/>
      <c r="S192" s="1"/>
      <c r="T192" s="1"/>
      <c r="U192" s="1"/>
      <c r="V192" s="1"/>
      <c r="W192" s="1"/>
      <c r="X192" s="1"/>
      <c r="Y192" s="1"/>
      <c r="Z192" s="1"/>
      <c r="AA192" s="1"/>
      <c r="AB192" s="1"/>
      <c r="AC192" s="1"/>
      <c r="AD192" s="1"/>
      <c r="AE192" s="1"/>
      <c r="AF192" s="1"/>
    </row>
    <row r="193" spans="1:32" hidden="1" x14ac:dyDescent="0.25">
      <c r="A193" s="1">
        <v>192</v>
      </c>
      <c r="B193" s="1"/>
      <c r="C193" s="1" t="s">
        <v>1062</v>
      </c>
      <c r="D193" s="1" t="s">
        <v>1058</v>
      </c>
      <c r="E193">
        <v>2011</v>
      </c>
      <c r="F193" s="1" t="s">
        <v>127</v>
      </c>
      <c r="G193" s="1" t="s">
        <v>3350</v>
      </c>
      <c r="H193" s="1" t="s">
        <v>775</v>
      </c>
      <c r="I193" s="1" t="s">
        <v>1</v>
      </c>
      <c r="J193" s="1" t="s">
        <v>1</v>
      </c>
      <c r="K193" s="1" t="s">
        <v>1063</v>
      </c>
      <c r="L193" s="1" t="s">
        <v>688</v>
      </c>
      <c r="M193" s="1" t="s">
        <v>776</v>
      </c>
      <c r="N193" s="1" t="s">
        <v>1065</v>
      </c>
      <c r="O193" s="1" t="s">
        <v>1</v>
      </c>
      <c r="P193" s="1" t="s">
        <v>1064</v>
      </c>
      <c r="Q193" s="1">
        <v>-1</v>
      </c>
      <c r="R193" s="1"/>
      <c r="S193" s="1"/>
      <c r="T193" s="1"/>
      <c r="U193" s="1"/>
      <c r="V193" s="1"/>
      <c r="W193" s="1"/>
      <c r="X193" s="1"/>
      <c r="Y193" s="1"/>
      <c r="Z193" s="1"/>
      <c r="AA193" s="1"/>
      <c r="AB193" s="1"/>
      <c r="AC193" s="1"/>
      <c r="AD193" s="1"/>
      <c r="AE193" s="1"/>
      <c r="AF193" s="1"/>
    </row>
    <row r="194" spans="1:32" hidden="1" x14ac:dyDescent="0.25">
      <c r="A194" s="1">
        <v>193</v>
      </c>
      <c r="B194" s="1"/>
      <c r="C194" s="1" t="s">
        <v>2855</v>
      </c>
      <c r="D194" s="1" t="s">
        <v>4736</v>
      </c>
      <c r="E194">
        <v>2017</v>
      </c>
      <c r="F194" s="1" t="s">
        <v>127</v>
      </c>
      <c r="G194" s="1" t="s">
        <v>4738</v>
      </c>
      <c r="H194" s="1" t="s">
        <v>2856</v>
      </c>
      <c r="I194" s="1" t="s">
        <v>1</v>
      </c>
      <c r="J194" s="1" t="s">
        <v>1</v>
      </c>
      <c r="K194" s="1" t="s">
        <v>4737</v>
      </c>
      <c r="L194" s="1" t="s">
        <v>2857</v>
      </c>
      <c r="M194" s="1" t="s">
        <v>776</v>
      </c>
      <c r="N194" s="1" t="s">
        <v>2859</v>
      </c>
      <c r="O194" s="1" t="s">
        <v>4739</v>
      </c>
      <c r="P194" s="1" t="s">
        <v>2858</v>
      </c>
      <c r="Q194" s="1">
        <v>-1</v>
      </c>
      <c r="R194" s="1"/>
      <c r="S194" s="1"/>
      <c r="T194" s="1"/>
      <c r="U194" s="1"/>
      <c r="V194" s="1"/>
      <c r="W194" s="1"/>
      <c r="X194" s="1"/>
      <c r="Y194" s="1"/>
      <c r="Z194" s="1"/>
      <c r="AA194" s="1"/>
      <c r="AB194" s="1"/>
      <c r="AC194" s="1"/>
      <c r="AD194" s="1"/>
      <c r="AE194" s="1"/>
      <c r="AF194" s="1"/>
    </row>
    <row r="195" spans="1:32" hidden="1" x14ac:dyDescent="0.25">
      <c r="A195" s="1">
        <v>194</v>
      </c>
      <c r="B195" s="1"/>
      <c r="C195" s="1" t="s">
        <v>1014</v>
      </c>
      <c r="D195" s="1" t="s">
        <v>3322</v>
      </c>
      <c r="E195">
        <v>2012</v>
      </c>
      <c r="F195" s="1" t="s">
        <v>127</v>
      </c>
      <c r="G195" s="1" t="s">
        <v>3323</v>
      </c>
      <c r="H195" s="1" t="s">
        <v>1015</v>
      </c>
      <c r="I195" s="1" t="s">
        <v>1</v>
      </c>
      <c r="J195" s="1" t="s">
        <v>1</v>
      </c>
      <c r="K195" s="1" t="s">
        <v>1016</v>
      </c>
      <c r="L195" s="1" t="s">
        <v>688</v>
      </c>
      <c r="M195" s="1" t="s">
        <v>776</v>
      </c>
      <c r="N195" s="1" t="s">
        <v>1018</v>
      </c>
      <c r="O195" s="1" t="s">
        <v>1</v>
      </c>
      <c r="P195" s="1" t="s">
        <v>1017</v>
      </c>
      <c r="Q195" s="1">
        <v>-1</v>
      </c>
      <c r="R195" s="1"/>
      <c r="S195" s="1"/>
      <c r="T195" s="1"/>
      <c r="U195" s="1"/>
      <c r="V195" s="1"/>
      <c r="W195" s="1"/>
      <c r="X195" s="1"/>
      <c r="Y195" s="1"/>
      <c r="Z195" s="1"/>
      <c r="AA195" s="1"/>
      <c r="AB195" s="1"/>
      <c r="AC195" s="1"/>
      <c r="AD195" s="1"/>
      <c r="AE195" s="1"/>
      <c r="AF195" s="1"/>
    </row>
    <row r="196" spans="1:32" hidden="1" x14ac:dyDescent="0.25">
      <c r="A196" s="1">
        <v>195</v>
      </c>
      <c r="B196" s="1"/>
      <c r="C196" s="1" t="s">
        <v>1122</v>
      </c>
      <c r="D196" s="1" t="s">
        <v>3391</v>
      </c>
      <c r="E196">
        <v>2014</v>
      </c>
      <c r="F196" s="1" t="s">
        <v>127</v>
      </c>
      <c r="G196" s="1" t="s">
        <v>3394</v>
      </c>
      <c r="H196" s="1" t="s">
        <v>1123</v>
      </c>
      <c r="I196" s="1" t="s">
        <v>1</v>
      </c>
      <c r="J196" s="1" t="s">
        <v>1</v>
      </c>
      <c r="K196" s="1" t="s">
        <v>1124</v>
      </c>
      <c r="L196" s="1" t="s">
        <v>688</v>
      </c>
      <c r="M196" s="1" t="s">
        <v>776</v>
      </c>
      <c r="N196" s="1" t="s">
        <v>1126</v>
      </c>
      <c r="O196" s="1" t="s">
        <v>3395</v>
      </c>
      <c r="P196" s="1" t="s">
        <v>1125</v>
      </c>
      <c r="Q196" s="1">
        <v>-1</v>
      </c>
      <c r="R196" s="1"/>
      <c r="S196" s="1"/>
      <c r="T196" s="1"/>
      <c r="U196" s="1"/>
      <c r="V196" s="1"/>
      <c r="W196" s="1"/>
      <c r="X196" s="1"/>
      <c r="Y196" s="1"/>
      <c r="Z196" s="1"/>
      <c r="AA196" s="1"/>
      <c r="AB196" s="1"/>
      <c r="AC196" s="1"/>
      <c r="AD196" s="1"/>
      <c r="AE196" s="1"/>
      <c r="AF196" s="1"/>
    </row>
    <row r="197" spans="1:32" hidden="1" x14ac:dyDescent="0.25">
      <c r="A197" s="1">
        <v>196</v>
      </c>
      <c r="B197" s="1"/>
      <c r="C197" s="1" t="s">
        <v>1429</v>
      </c>
      <c r="D197" s="1" t="s">
        <v>3615</v>
      </c>
      <c r="E197">
        <v>2016</v>
      </c>
      <c r="F197" s="1" t="s">
        <v>127</v>
      </c>
      <c r="G197" s="1" t="s">
        <v>3616</v>
      </c>
      <c r="H197" s="1" t="s">
        <v>1430</v>
      </c>
      <c r="I197" s="1" t="s">
        <v>1</v>
      </c>
      <c r="J197" s="1" t="s">
        <v>1</v>
      </c>
      <c r="K197" s="1" t="s">
        <v>1431</v>
      </c>
      <c r="L197" s="1" t="s">
        <v>688</v>
      </c>
      <c r="M197" s="1" t="s">
        <v>776</v>
      </c>
      <c r="N197" s="1" t="s">
        <v>1433</v>
      </c>
      <c r="O197" s="1" t="s">
        <v>3617</v>
      </c>
      <c r="P197" s="1" t="s">
        <v>1432</v>
      </c>
      <c r="Q197" s="1">
        <v>-1</v>
      </c>
      <c r="R197" s="1"/>
      <c r="S197" s="1"/>
      <c r="T197" s="1"/>
      <c r="U197" s="1"/>
      <c r="V197" s="1"/>
      <c r="W197" s="1"/>
      <c r="X197" s="1"/>
      <c r="Y197" s="1"/>
      <c r="Z197" s="1"/>
      <c r="AA197" s="1"/>
      <c r="AB197" s="1"/>
      <c r="AC197" s="1"/>
      <c r="AD197" s="1"/>
      <c r="AE197" s="1"/>
      <c r="AF197" s="1"/>
    </row>
    <row r="198" spans="1:32" hidden="1" x14ac:dyDescent="0.25">
      <c r="A198" s="1">
        <v>197</v>
      </c>
      <c r="B198" s="1"/>
      <c r="C198" s="8" t="s">
        <v>1019</v>
      </c>
      <c r="D198" s="1" t="s">
        <v>3322</v>
      </c>
      <c r="E198">
        <v>2012</v>
      </c>
      <c r="F198" s="1" t="s">
        <v>127</v>
      </c>
      <c r="G198" s="1" t="s">
        <v>3324</v>
      </c>
      <c r="H198" s="1" t="s">
        <v>1015</v>
      </c>
      <c r="I198" s="1" t="s">
        <v>1</v>
      </c>
      <c r="J198" s="1" t="s">
        <v>1</v>
      </c>
      <c r="K198" s="1" t="s">
        <v>1020</v>
      </c>
      <c r="L198" s="1" t="s">
        <v>688</v>
      </c>
      <c r="M198" s="1" t="s">
        <v>776</v>
      </c>
      <c r="N198" s="1" t="s">
        <v>1022</v>
      </c>
      <c r="O198" s="1" t="s">
        <v>1</v>
      </c>
      <c r="P198" s="1" t="s">
        <v>1021</v>
      </c>
      <c r="Q198" s="1">
        <v>1</v>
      </c>
      <c r="R198" s="1">
        <v>-1</v>
      </c>
      <c r="S198" s="1"/>
      <c r="T198" s="1"/>
      <c r="U198" s="1"/>
      <c r="V198" s="1"/>
      <c r="W198" s="1"/>
      <c r="X198" s="1"/>
      <c r="Y198" s="1"/>
      <c r="Z198" s="1"/>
      <c r="AA198" s="1"/>
      <c r="AB198" s="1"/>
      <c r="AC198" s="1"/>
      <c r="AD198" s="1"/>
      <c r="AE198" s="1"/>
      <c r="AF198" s="1"/>
    </row>
    <row r="199" spans="1:32" hidden="1" x14ac:dyDescent="0.25">
      <c r="A199" s="1">
        <v>198</v>
      </c>
      <c r="B199" s="1"/>
      <c r="C199" s="1" t="s">
        <v>1792</v>
      </c>
      <c r="D199" s="1" t="s">
        <v>1787</v>
      </c>
      <c r="E199">
        <v>2013</v>
      </c>
      <c r="F199" s="1" t="s">
        <v>127</v>
      </c>
      <c r="G199" s="1" t="s">
        <v>3892</v>
      </c>
      <c r="H199" s="1" t="s">
        <v>1789</v>
      </c>
      <c r="I199" s="1" t="s">
        <v>1</v>
      </c>
      <c r="J199" s="1" t="s">
        <v>1</v>
      </c>
      <c r="K199" s="1" t="s">
        <v>1793</v>
      </c>
      <c r="L199" s="1" t="s">
        <v>688</v>
      </c>
      <c r="M199" s="1" t="s">
        <v>776</v>
      </c>
      <c r="N199" s="1" t="s">
        <v>1795</v>
      </c>
      <c r="O199" s="1" t="s">
        <v>1</v>
      </c>
      <c r="P199" s="1" t="s">
        <v>1794</v>
      </c>
      <c r="Q199" s="1">
        <v>-1</v>
      </c>
      <c r="R199" s="1"/>
      <c r="S199" s="1"/>
      <c r="T199" s="1"/>
      <c r="U199" s="1"/>
      <c r="V199" s="1"/>
      <c r="W199" s="1"/>
      <c r="X199" s="1"/>
      <c r="Y199" s="1"/>
      <c r="Z199" s="1"/>
      <c r="AA199" s="1"/>
      <c r="AB199" s="1"/>
      <c r="AC199" s="1"/>
      <c r="AD199" s="1"/>
      <c r="AE199" s="1"/>
      <c r="AF199" s="1"/>
    </row>
    <row r="200" spans="1:32" hidden="1" x14ac:dyDescent="0.25">
      <c r="A200" s="1">
        <v>199</v>
      </c>
      <c r="B200" s="1"/>
      <c r="C200" s="1" t="s">
        <v>1023</v>
      </c>
      <c r="D200" s="1" t="s">
        <v>3322</v>
      </c>
      <c r="E200">
        <v>2012</v>
      </c>
      <c r="F200" s="1" t="s">
        <v>127</v>
      </c>
      <c r="G200" s="1" t="s">
        <v>3325</v>
      </c>
      <c r="H200" s="1" t="s">
        <v>1015</v>
      </c>
      <c r="I200" s="1" t="s">
        <v>1</v>
      </c>
      <c r="J200" s="1" t="s">
        <v>1</v>
      </c>
      <c r="K200" s="1" t="s">
        <v>1024</v>
      </c>
      <c r="L200" s="1" t="s">
        <v>688</v>
      </c>
      <c r="M200" s="1" t="s">
        <v>776</v>
      </c>
      <c r="N200" s="1" t="s">
        <v>1026</v>
      </c>
      <c r="O200" s="1" t="s">
        <v>1</v>
      </c>
      <c r="P200" s="1" t="s">
        <v>1025</v>
      </c>
      <c r="Q200" s="1">
        <v>-1</v>
      </c>
      <c r="R200" s="1"/>
      <c r="S200" s="1"/>
      <c r="T200" s="1"/>
      <c r="U200" s="1"/>
      <c r="V200" s="1"/>
      <c r="W200" s="1"/>
      <c r="X200" s="1"/>
      <c r="Y200" s="1"/>
      <c r="Z200" s="1"/>
      <c r="AA200" s="1"/>
      <c r="AB200" s="1"/>
      <c r="AC200" s="1"/>
      <c r="AD200" s="1"/>
      <c r="AE200" s="1"/>
      <c r="AF200" s="1"/>
    </row>
    <row r="201" spans="1:32" hidden="1" x14ac:dyDescent="0.25">
      <c r="A201" s="1">
        <v>200</v>
      </c>
      <c r="B201" s="1"/>
      <c r="C201" s="1" t="s">
        <v>1434</v>
      </c>
      <c r="D201" s="1" t="s">
        <v>3615</v>
      </c>
      <c r="E201">
        <v>2016</v>
      </c>
      <c r="F201" s="1" t="s">
        <v>127</v>
      </c>
      <c r="G201" s="1" t="s">
        <v>3618</v>
      </c>
      <c r="H201" s="1" t="s">
        <v>1430</v>
      </c>
      <c r="I201" s="1" t="s">
        <v>1</v>
      </c>
      <c r="J201" s="1" t="s">
        <v>1</v>
      </c>
      <c r="K201" s="1" t="s">
        <v>1435</v>
      </c>
      <c r="L201" s="1" t="s">
        <v>688</v>
      </c>
      <c r="M201" s="1" t="s">
        <v>776</v>
      </c>
      <c r="N201" s="1" t="s">
        <v>1437</v>
      </c>
      <c r="O201" s="1" t="s">
        <v>3619</v>
      </c>
      <c r="P201" s="1" t="s">
        <v>1436</v>
      </c>
      <c r="Q201" s="1">
        <v>-1</v>
      </c>
      <c r="R201" s="1"/>
      <c r="S201" s="1"/>
      <c r="T201" s="1"/>
      <c r="U201" s="1"/>
      <c r="V201" s="1"/>
      <c r="W201" s="1"/>
      <c r="X201" s="1"/>
      <c r="Y201" s="1"/>
      <c r="Z201" s="1"/>
      <c r="AA201" s="1"/>
      <c r="AB201" s="1"/>
      <c r="AC201" s="1"/>
      <c r="AD201" s="1"/>
      <c r="AE201" s="1"/>
      <c r="AF201" s="1"/>
    </row>
    <row r="202" spans="1:32" hidden="1" x14ac:dyDescent="0.25">
      <c r="A202" s="1">
        <v>201</v>
      </c>
      <c r="B202" s="1"/>
      <c r="C202" s="1" t="s">
        <v>1438</v>
      </c>
      <c r="D202" s="1" t="s">
        <v>3615</v>
      </c>
      <c r="E202">
        <v>2016</v>
      </c>
      <c r="F202" s="1" t="s">
        <v>127</v>
      </c>
      <c r="G202" s="1" t="s">
        <v>3620</v>
      </c>
      <c r="H202" s="1" t="s">
        <v>1430</v>
      </c>
      <c r="I202" s="1" t="s">
        <v>1</v>
      </c>
      <c r="J202" s="1" t="s">
        <v>1</v>
      </c>
      <c r="K202" s="1" t="s">
        <v>1439</v>
      </c>
      <c r="L202" s="1" t="s">
        <v>688</v>
      </c>
      <c r="M202" s="1" t="s">
        <v>776</v>
      </c>
      <c r="N202" s="1" t="s">
        <v>1441</v>
      </c>
      <c r="O202" s="1" t="s">
        <v>3621</v>
      </c>
      <c r="P202" s="1" t="s">
        <v>1440</v>
      </c>
      <c r="Q202" s="1">
        <v>-1</v>
      </c>
      <c r="R202" s="1"/>
      <c r="S202" s="1"/>
      <c r="T202" s="1"/>
      <c r="U202" s="1"/>
      <c r="V202" s="1"/>
      <c r="W202" s="1"/>
      <c r="X202" s="1"/>
      <c r="Y202" s="1"/>
      <c r="Z202" s="1"/>
      <c r="AA202" s="1"/>
      <c r="AB202" s="1"/>
      <c r="AC202" s="1"/>
      <c r="AD202" s="1"/>
      <c r="AE202" s="1"/>
      <c r="AF202" s="1"/>
    </row>
    <row r="203" spans="1:32" hidden="1" x14ac:dyDescent="0.25">
      <c r="A203" s="1">
        <v>202</v>
      </c>
      <c r="B203" s="1"/>
      <c r="C203" s="1" t="s">
        <v>123</v>
      </c>
      <c r="D203" s="1" t="s">
        <v>122</v>
      </c>
      <c r="E203">
        <v>2016</v>
      </c>
      <c r="F203" s="1" t="s">
        <v>116</v>
      </c>
      <c r="G203" s="1" t="s">
        <v>3333</v>
      </c>
      <c r="H203" s="1" t="s">
        <v>124</v>
      </c>
      <c r="I203" s="1" t="s">
        <v>3332</v>
      </c>
      <c r="J203" s="1" t="s">
        <v>3142</v>
      </c>
      <c r="K203" s="1" t="s">
        <v>1036</v>
      </c>
      <c r="L203" s="1" t="s">
        <v>1035</v>
      </c>
      <c r="M203" s="1" t="s">
        <v>1</v>
      </c>
      <c r="N203" s="1" t="s">
        <v>1038</v>
      </c>
      <c r="O203" s="1" t="s">
        <v>3334</v>
      </c>
      <c r="P203" s="1" t="s">
        <v>1037</v>
      </c>
      <c r="Q203" s="1">
        <v>-1</v>
      </c>
      <c r="R203" s="1"/>
      <c r="S203" s="1"/>
      <c r="T203" s="1"/>
      <c r="U203" s="1"/>
      <c r="V203" s="1"/>
      <c r="W203" s="1"/>
      <c r="X203" s="1"/>
      <c r="Y203" s="1"/>
      <c r="Z203" s="1"/>
      <c r="AA203" s="1"/>
      <c r="AB203" s="1"/>
      <c r="AC203" s="1"/>
      <c r="AD203" s="1"/>
      <c r="AE203" s="1"/>
      <c r="AF203" s="1"/>
    </row>
    <row r="204" spans="1:32" hidden="1" x14ac:dyDescent="0.25">
      <c r="A204" s="1">
        <v>203</v>
      </c>
      <c r="B204" s="1"/>
      <c r="C204" s="1" t="s">
        <v>2710</v>
      </c>
      <c r="D204" s="1" t="s">
        <v>4620</v>
      </c>
      <c r="E204">
        <v>2017</v>
      </c>
      <c r="F204" s="1" t="s">
        <v>116</v>
      </c>
      <c r="G204" s="1" t="s">
        <v>4622</v>
      </c>
      <c r="H204" s="1" t="s">
        <v>1508</v>
      </c>
      <c r="I204" s="1" t="s">
        <v>4621</v>
      </c>
      <c r="J204" s="1" t="s">
        <v>1</v>
      </c>
      <c r="K204" s="1" t="s">
        <v>2711</v>
      </c>
      <c r="L204" s="1" t="s">
        <v>1</v>
      </c>
      <c r="M204" s="1" t="s">
        <v>1</v>
      </c>
      <c r="N204" s="1" t="s">
        <v>2713</v>
      </c>
      <c r="O204" s="1" t="s">
        <v>4623</v>
      </c>
      <c r="P204" s="1" t="s">
        <v>2712</v>
      </c>
      <c r="Q204" s="1">
        <v>-1</v>
      </c>
      <c r="R204" s="1"/>
      <c r="S204" s="1"/>
      <c r="T204" s="1"/>
      <c r="U204" s="1"/>
      <c r="V204" s="1"/>
      <c r="W204" s="1"/>
      <c r="X204" s="1"/>
      <c r="Y204" s="1"/>
      <c r="Z204" s="1"/>
      <c r="AA204" s="1"/>
      <c r="AB204" s="1"/>
      <c r="AC204" s="1"/>
      <c r="AD204" s="1"/>
      <c r="AE204" s="1"/>
      <c r="AF204" s="1"/>
    </row>
    <row r="205" spans="1:32" hidden="1" x14ac:dyDescent="0.25">
      <c r="A205" s="1">
        <v>204</v>
      </c>
      <c r="B205" s="1"/>
      <c r="C205" s="1" t="s">
        <v>2180</v>
      </c>
      <c r="D205" s="1" t="s">
        <v>4191</v>
      </c>
      <c r="E205">
        <v>2015</v>
      </c>
      <c r="F205" s="1" t="s">
        <v>244</v>
      </c>
      <c r="G205" s="1" t="s">
        <v>4193</v>
      </c>
      <c r="H205" s="1" t="s">
        <v>1</v>
      </c>
      <c r="I205" s="1" t="s">
        <v>4192</v>
      </c>
      <c r="J205" s="1" t="s">
        <v>1</v>
      </c>
      <c r="K205" s="1" t="s">
        <v>2181</v>
      </c>
      <c r="L205" s="1" t="s">
        <v>247</v>
      </c>
      <c r="M205" s="1" t="s">
        <v>1</v>
      </c>
      <c r="N205" s="1" t="s">
        <v>2183</v>
      </c>
      <c r="O205" s="1" t="s">
        <v>4194</v>
      </c>
      <c r="P205" s="1" t="s">
        <v>2182</v>
      </c>
      <c r="Q205" s="1">
        <v>-1</v>
      </c>
      <c r="R205" s="1"/>
      <c r="S205" s="1"/>
      <c r="T205" s="1"/>
      <c r="U205" s="1"/>
      <c r="V205" s="1"/>
      <c r="W205" s="1"/>
      <c r="X205" s="1"/>
      <c r="Y205" s="1"/>
      <c r="Z205" s="1"/>
      <c r="AA205" s="1"/>
      <c r="AB205" s="1"/>
      <c r="AC205" s="1"/>
      <c r="AD205" s="1"/>
      <c r="AE205" s="1"/>
      <c r="AF205" s="1"/>
    </row>
    <row r="206" spans="1:32" hidden="1" x14ac:dyDescent="0.25">
      <c r="A206" s="1">
        <v>205</v>
      </c>
      <c r="B206" s="1"/>
      <c r="C206" s="1" t="s">
        <v>1307</v>
      </c>
      <c r="D206" s="1" t="s">
        <v>3520</v>
      </c>
      <c r="E206">
        <v>2009</v>
      </c>
      <c r="F206" s="1" t="s">
        <v>0</v>
      </c>
      <c r="G206" s="1" t="s">
        <v>3521</v>
      </c>
      <c r="H206" s="1" t="s">
        <v>1308</v>
      </c>
      <c r="I206" s="1" t="s">
        <v>1</v>
      </c>
      <c r="J206" s="1" t="s">
        <v>1</v>
      </c>
      <c r="K206" s="1" t="s">
        <v>1309</v>
      </c>
      <c r="L206" s="1" t="s">
        <v>1</v>
      </c>
      <c r="M206" s="1" t="s">
        <v>1</v>
      </c>
      <c r="N206" s="1" t="s">
        <v>1</v>
      </c>
      <c r="O206" s="1" t="s">
        <v>3522</v>
      </c>
      <c r="P206" s="1" t="s">
        <v>1310</v>
      </c>
      <c r="Q206" s="1">
        <v>-1</v>
      </c>
      <c r="R206" s="1"/>
      <c r="S206" s="1"/>
      <c r="T206" s="1"/>
      <c r="U206" s="1"/>
      <c r="V206" s="1"/>
      <c r="W206" s="1"/>
      <c r="X206" s="1"/>
      <c r="Y206" s="1"/>
      <c r="Z206" s="1"/>
      <c r="AA206" s="1"/>
      <c r="AB206" s="1"/>
      <c r="AC206" s="1"/>
      <c r="AD206" s="1"/>
      <c r="AE206" s="1"/>
      <c r="AF206" s="1"/>
    </row>
    <row r="207" spans="1:32" hidden="1" x14ac:dyDescent="0.25">
      <c r="A207" s="1">
        <v>206</v>
      </c>
      <c r="B207" s="1"/>
      <c r="C207" s="6" t="s">
        <v>1278</v>
      </c>
      <c r="D207" s="1" t="s">
        <v>1277</v>
      </c>
      <c r="E207">
        <v>2010</v>
      </c>
      <c r="F207" s="1" t="s">
        <v>0</v>
      </c>
      <c r="G207" s="1" t="s">
        <v>3499</v>
      </c>
      <c r="H207" s="1" t="s">
        <v>1279</v>
      </c>
      <c r="I207" s="1" t="s">
        <v>1</v>
      </c>
      <c r="J207" s="1" t="s">
        <v>1</v>
      </c>
      <c r="K207" s="1" t="s">
        <v>1280</v>
      </c>
      <c r="L207" s="1" t="s">
        <v>1</v>
      </c>
      <c r="M207" s="1" t="s">
        <v>1</v>
      </c>
      <c r="N207" s="1" t="s">
        <v>1</v>
      </c>
      <c r="O207" s="1" t="s">
        <v>3500</v>
      </c>
      <c r="P207" s="1" t="s">
        <v>1281</v>
      </c>
      <c r="Q207" s="1">
        <v>1</v>
      </c>
      <c r="R207" s="1">
        <v>-1</v>
      </c>
      <c r="S207" s="1"/>
      <c r="T207" s="1"/>
      <c r="U207" s="1"/>
      <c r="V207" s="1"/>
      <c r="W207" s="1"/>
      <c r="X207" s="1"/>
      <c r="Y207" s="1"/>
      <c r="Z207" s="1"/>
      <c r="AA207" s="1"/>
      <c r="AB207" s="1"/>
      <c r="AC207" s="1"/>
      <c r="AD207" s="1"/>
      <c r="AE207" s="1"/>
      <c r="AF207" s="1"/>
    </row>
    <row r="208" spans="1:32" hidden="1" x14ac:dyDescent="0.25">
      <c r="A208" s="1">
        <v>207</v>
      </c>
      <c r="B208" s="1"/>
      <c r="C208" s="1" t="s">
        <v>2450</v>
      </c>
      <c r="D208" s="1" t="s">
        <v>4411</v>
      </c>
      <c r="E208">
        <v>2009</v>
      </c>
      <c r="F208" s="1" t="s">
        <v>138</v>
      </c>
      <c r="G208" s="1" t="s">
        <v>4412</v>
      </c>
      <c r="H208" s="1" t="s">
        <v>2451</v>
      </c>
      <c r="I208" s="1" t="s">
        <v>1</v>
      </c>
      <c r="J208" s="1" t="s">
        <v>1</v>
      </c>
      <c r="K208" s="1" t="s">
        <v>2452</v>
      </c>
      <c r="L208" s="1" t="s">
        <v>447</v>
      </c>
      <c r="M208" s="1" t="s">
        <v>1</v>
      </c>
      <c r="N208" s="1" t="s">
        <v>2454</v>
      </c>
      <c r="O208" s="1" t="s">
        <v>1</v>
      </c>
      <c r="P208" s="1" t="s">
        <v>2453</v>
      </c>
      <c r="Q208" s="1">
        <v>-1</v>
      </c>
      <c r="R208" s="1"/>
      <c r="S208" s="1"/>
      <c r="T208" s="1"/>
      <c r="U208" s="1"/>
      <c r="V208" s="1"/>
      <c r="W208" s="1"/>
      <c r="X208" s="1"/>
      <c r="Y208" s="1"/>
      <c r="Z208" s="1"/>
      <c r="AA208" s="1"/>
      <c r="AB208" s="1"/>
      <c r="AC208" s="1"/>
      <c r="AD208" s="1"/>
      <c r="AE208" s="1"/>
      <c r="AF208" s="1"/>
    </row>
    <row r="209" spans="1:32" hidden="1" x14ac:dyDescent="0.25">
      <c r="A209" s="1">
        <v>208</v>
      </c>
      <c r="B209" s="1"/>
      <c r="C209" s="1" t="s">
        <v>3117</v>
      </c>
      <c r="D209" s="1" t="s">
        <v>4933</v>
      </c>
      <c r="E209">
        <v>2015</v>
      </c>
      <c r="F209" s="1" t="s">
        <v>0</v>
      </c>
      <c r="G209" s="1" t="s">
        <v>1</v>
      </c>
      <c r="H209" s="1" t="s">
        <v>1</v>
      </c>
      <c r="I209" s="1" t="s">
        <v>4934</v>
      </c>
      <c r="J209" s="1" t="s">
        <v>1</v>
      </c>
      <c r="K209" s="1" t="s">
        <v>3118</v>
      </c>
      <c r="L209" s="1" t="s">
        <v>259</v>
      </c>
      <c r="M209" s="1" t="s">
        <v>1</v>
      </c>
      <c r="N209" s="1" t="s">
        <v>3120</v>
      </c>
      <c r="O209" s="1" t="s">
        <v>4935</v>
      </c>
      <c r="P209" s="1" t="s">
        <v>3119</v>
      </c>
      <c r="Q209" s="1">
        <v>-1</v>
      </c>
      <c r="R209" s="1"/>
      <c r="S209" s="1"/>
      <c r="T209" s="1"/>
      <c r="U209" s="1"/>
      <c r="V209" s="1"/>
      <c r="W209" s="1"/>
      <c r="X209" s="1"/>
      <c r="Y209" s="1"/>
      <c r="Z209" s="1"/>
      <c r="AA209" s="1"/>
      <c r="AB209" s="1"/>
      <c r="AC209" s="1"/>
      <c r="AD209" s="1"/>
      <c r="AE209" s="1"/>
      <c r="AF209" s="1"/>
    </row>
    <row r="210" spans="1:32" x14ac:dyDescent="0.25">
      <c r="A210" s="1">
        <v>209</v>
      </c>
      <c r="B210" s="1">
        <v>11</v>
      </c>
      <c r="C210" s="1" t="s">
        <v>70</v>
      </c>
      <c r="D210" s="1" t="s">
        <v>69</v>
      </c>
      <c r="E210">
        <v>2015</v>
      </c>
      <c r="F210" s="1" t="s">
        <v>0</v>
      </c>
      <c r="G210" s="1" t="s">
        <v>4388</v>
      </c>
      <c r="H210" s="1" t="s">
        <v>71</v>
      </c>
      <c r="I210" s="1" t="s">
        <v>3174</v>
      </c>
      <c r="J210" s="1" t="s">
        <v>1</v>
      </c>
      <c r="K210" s="1" t="s">
        <v>2429</v>
      </c>
      <c r="L210" s="1" t="s">
        <v>1</v>
      </c>
      <c r="M210" s="1" t="s">
        <v>1</v>
      </c>
      <c r="N210" s="1" t="s">
        <v>1</v>
      </c>
      <c r="O210" s="1" t="s">
        <v>73</v>
      </c>
      <c r="P210" s="1" t="s">
        <v>170</v>
      </c>
      <c r="Q210" s="1">
        <v>1</v>
      </c>
      <c r="R210" s="1">
        <v>1</v>
      </c>
      <c r="S210" s="1">
        <v>5</v>
      </c>
      <c r="T210" s="1" t="s">
        <v>4995</v>
      </c>
      <c r="U210" s="1" t="s">
        <v>5031</v>
      </c>
      <c r="V210" s="1" t="s">
        <v>5000</v>
      </c>
      <c r="W210" s="1" t="s">
        <v>4974</v>
      </c>
      <c r="X210" s="1" t="s">
        <v>658</v>
      </c>
      <c r="Y210" s="1" t="s">
        <v>834</v>
      </c>
      <c r="Z210" s="1"/>
      <c r="AA210" s="1"/>
      <c r="AB210" s="1">
        <v>4</v>
      </c>
      <c r="AC210" s="1">
        <v>1</v>
      </c>
      <c r="AD210" s="1">
        <v>3</v>
      </c>
      <c r="AE210" s="1">
        <v>4</v>
      </c>
      <c r="AF210" s="1"/>
    </row>
    <row r="211" spans="1:32" hidden="1" x14ac:dyDescent="0.25">
      <c r="A211" s="1">
        <v>210</v>
      </c>
      <c r="B211" s="1"/>
      <c r="C211" s="1" t="s">
        <v>2307</v>
      </c>
      <c r="D211" s="1" t="s">
        <v>2284</v>
      </c>
      <c r="E211">
        <v>2013</v>
      </c>
      <c r="F211" s="1" t="s">
        <v>116</v>
      </c>
      <c r="G211" s="1" t="s">
        <v>4294</v>
      </c>
      <c r="H211" s="1" t="s">
        <v>1613</v>
      </c>
      <c r="I211" s="1" t="s">
        <v>4293</v>
      </c>
      <c r="J211" s="1" t="s">
        <v>3141</v>
      </c>
      <c r="K211" s="1" t="s">
        <v>2304</v>
      </c>
      <c r="L211" s="1" t="s">
        <v>1</v>
      </c>
      <c r="M211" s="1" t="s">
        <v>1</v>
      </c>
      <c r="N211" s="1" t="s">
        <v>2309</v>
      </c>
      <c r="O211" s="1" t="s">
        <v>4295</v>
      </c>
      <c r="P211" s="1" t="s">
        <v>2308</v>
      </c>
      <c r="Q211" s="1">
        <v>-1</v>
      </c>
      <c r="R211" s="1"/>
      <c r="S211" s="1"/>
      <c r="T211" s="1"/>
      <c r="U211" s="1"/>
      <c r="V211" s="1"/>
      <c r="W211" s="1"/>
      <c r="X211" s="1"/>
      <c r="Y211" s="1"/>
      <c r="Z211" s="1"/>
      <c r="AA211" s="1"/>
      <c r="AB211" s="1"/>
      <c r="AC211" s="1"/>
      <c r="AD211" s="1"/>
      <c r="AE211" s="1"/>
      <c r="AF211" s="1"/>
    </row>
    <row r="212" spans="1:32" x14ac:dyDescent="0.25">
      <c r="A212" s="1">
        <v>211</v>
      </c>
      <c r="B212" s="1">
        <v>12</v>
      </c>
      <c r="C212" s="5" t="s">
        <v>2582</v>
      </c>
      <c r="D212" s="1" t="s">
        <v>4511</v>
      </c>
      <c r="E212">
        <v>2016</v>
      </c>
      <c r="F212" s="1" t="s">
        <v>0</v>
      </c>
      <c r="G212" s="1" t="s">
        <v>4512</v>
      </c>
      <c r="H212" s="1" t="s">
        <v>2583</v>
      </c>
      <c r="I212" s="1" t="s">
        <v>1</v>
      </c>
      <c r="J212" s="1" t="s">
        <v>1</v>
      </c>
      <c r="K212" s="1" t="s">
        <v>3272</v>
      </c>
      <c r="L212" s="1" t="s">
        <v>1</v>
      </c>
      <c r="M212" s="1" t="s">
        <v>1</v>
      </c>
      <c r="N212" s="1" t="s">
        <v>1</v>
      </c>
      <c r="O212" s="1" t="s">
        <v>4513</v>
      </c>
      <c r="P212" s="1" t="s">
        <v>2584</v>
      </c>
      <c r="Q212" s="1">
        <v>1</v>
      </c>
      <c r="R212" s="1">
        <v>1</v>
      </c>
      <c r="S212" s="1">
        <v>6.5</v>
      </c>
      <c r="T212" s="1" t="s">
        <v>5028</v>
      </c>
      <c r="U212" s="1" t="s">
        <v>5030</v>
      </c>
      <c r="V212" s="1" t="s">
        <v>4996</v>
      </c>
      <c r="W212" s="1" t="s">
        <v>4974</v>
      </c>
      <c r="X212" s="1" t="s">
        <v>658</v>
      </c>
      <c r="Y212" s="1" t="s">
        <v>5003</v>
      </c>
      <c r="Z212" s="1"/>
      <c r="AA212" s="1" t="s">
        <v>5007</v>
      </c>
      <c r="AB212" s="1">
        <v>4</v>
      </c>
      <c r="AC212" s="1">
        <v>2</v>
      </c>
      <c r="AD212" s="1">
        <v>4</v>
      </c>
      <c r="AE212" s="1">
        <v>4</v>
      </c>
      <c r="AF212" s="1"/>
    </row>
    <row r="213" spans="1:32" hidden="1" x14ac:dyDescent="0.25">
      <c r="A213" s="1">
        <v>212</v>
      </c>
      <c r="B213" s="1"/>
      <c r="C213" s="1" t="s">
        <v>2281</v>
      </c>
      <c r="D213" s="1" t="s">
        <v>4277</v>
      </c>
      <c r="E213">
        <v>2013</v>
      </c>
      <c r="F213" s="1" t="s">
        <v>0</v>
      </c>
      <c r="G213" s="1" t="s">
        <v>4278</v>
      </c>
      <c r="H213" s="1" t="s">
        <v>1649</v>
      </c>
      <c r="I213" s="1" t="s">
        <v>1</v>
      </c>
      <c r="J213" s="1" t="s">
        <v>1</v>
      </c>
      <c r="K213" s="1" t="s">
        <v>2282</v>
      </c>
      <c r="L213" s="1" t="s">
        <v>1</v>
      </c>
      <c r="M213" s="1" t="s">
        <v>1</v>
      </c>
      <c r="N213" s="1" t="s">
        <v>1</v>
      </c>
      <c r="O213" s="1" t="s">
        <v>4279</v>
      </c>
      <c r="P213" s="1" t="s">
        <v>2283</v>
      </c>
      <c r="Q213" s="1">
        <v>-1</v>
      </c>
      <c r="R213" s="1"/>
      <c r="S213" s="1"/>
      <c r="T213" s="1"/>
      <c r="U213" s="1"/>
      <c r="V213" s="1"/>
      <c r="W213" s="1"/>
      <c r="X213" s="1"/>
      <c r="Y213" s="1"/>
      <c r="Z213" s="1"/>
      <c r="AA213" s="1"/>
      <c r="AB213" s="1"/>
      <c r="AC213" s="1"/>
      <c r="AD213" s="1"/>
      <c r="AE213" s="1"/>
      <c r="AF213" s="1"/>
    </row>
    <row r="214" spans="1:32" hidden="1" x14ac:dyDescent="0.25">
      <c r="A214" s="1">
        <v>213</v>
      </c>
      <c r="B214" s="1"/>
      <c r="C214" s="1" t="s">
        <v>1303</v>
      </c>
      <c r="D214" s="1" t="s">
        <v>1302</v>
      </c>
      <c r="E214">
        <v>2015</v>
      </c>
      <c r="F214" s="1" t="s">
        <v>0</v>
      </c>
      <c r="G214" s="1" t="s">
        <v>1</v>
      </c>
      <c r="H214" s="1" t="s">
        <v>1</v>
      </c>
      <c r="I214" s="1" t="s">
        <v>3518</v>
      </c>
      <c r="J214" s="1" t="s">
        <v>1</v>
      </c>
      <c r="K214" s="1" t="s">
        <v>1304</v>
      </c>
      <c r="L214" s="1" t="s">
        <v>259</v>
      </c>
      <c r="M214" s="1" t="s">
        <v>1</v>
      </c>
      <c r="N214" s="1" t="s">
        <v>1306</v>
      </c>
      <c r="O214" s="1" t="s">
        <v>3519</v>
      </c>
      <c r="P214" s="1" t="s">
        <v>1305</v>
      </c>
      <c r="Q214" s="1">
        <v>-1</v>
      </c>
      <c r="R214" s="1"/>
      <c r="S214" s="1"/>
      <c r="T214" s="1"/>
      <c r="U214" s="1"/>
      <c r="V214" s="1"/>
      <c r="W214" s="1"/>
      <c r="X214" s="1"/>
      <c r="Y214" s="1"/>
      <c r="Z214" s="1"/>
      <c r="AA214" s="1"/>
      <c r="AB214" s="1"/>
      <c r="AC214" s="1"/>
      <c r="AD214" s="1"/>
      <c r="AE214" s="1"/>
      <c r="AF214" s="1"/>
    </row>
    <row r="215" spans="1:32" hidden="1" x14ac:dyDescent="0.25">
      <c r="A215" s="1">
        <v>214</v>
      </c>
      <c r="B215" s="1"/>
      <c r="C215" s="1" t="s">
        <v>1935</v>
      </c>
      <c r="D215" s="1" t="s">
        <v>4009</v>
      </c>
      <c r="E215">
        <v>2014</v>
      </c>
      <c r="F215" s="1" t="s">
        <v>0</v>
      </c>
      <c r="G215" s="1" t="s">
        <v>4010</v>
      </c>
      <c r="H215" s="1" t="s">
        <v>1936</v>
      </c>
      <c r="I215" s="1" t="s">
        <v>1</v>
      </c>
      <c r="J215" s="1" t="s">
        <v>1</v>
      </c>
      <c r="K215" s="1" t="s">
        <v>1937</v>
      </c>
      <c r="L215" s="1" t="s">
        <v>1</v>
      </c>
      <c r="M215" s="1" t="s">
        <v>1</v>
      </c>
      <c r="N215" s="1" t="s">
        <v>1</v>
      </c>
      <c r="O215" s="1" t="s">
        <v>4011</v>
      </c>
      <c r="P215" s="1" t="s">
        <v>1938</v>
      </c>
      <c r="Q215" s="1">
        <v>-1</v>
      </c>
      <c r="R215" s="1"/>
      <c r="S215" s="1"/>
      <c r="T215" s="1"/>
      <c r="U215" s="1"/>
      <c r="V215" s="1"/>
      <c r="W215" s="1"/>
      <c r="X215" s="1"/>
      <c r="Y215" s="1"/>
      <c r="Z215" s="1"/>
      <c r="AA215" s="1"/>
      <c r="AB215" s="1"/>
      <c r="AC215" s="1"/>
      <c r="AD215" s="1"/>
      <c r="AE215" s="1"/>
      <c r="AF215" s="1"/>
    </row>
    <row r="216" spans="1:32" hidden="1" x14ac:dyDescent="0.25">
      <c r="A216" s="1">
        <v>215</v>
      </c>
      <c r="B216" s="1"/>
      <c r="C216" s="1" t="s">
        <v>978</v>
      </c>
      <c r="D216" s="1" t="s">
        <v>3301</v>
      </c>
      <c r="E216">
        <v>2014</v>
      </c>
      <c r="F216" s="1" t="s">
        <v>0</v>
      </c>
      <c r="G216" s="1" t="s">
        <v>3302</v>
      </c>
      <c r="H216" s="1" t="s">
        <v>979</v>
      </c>
      <c r="I216" s="1" t="s">
        <v>1</v>
      </c>
      <c r="J216" s="1" t="s">
        <v>1</v>
      </c>
      <c r="K216" s="1" t="s">
        <v>980</v>
      </c>
      <c r="L216" s="1" t="s">
        <v>1</v>
      </c>
      <c r="M216" s="1" t="s">
        <v>1</v>
      </c>
      <c r="N216" s="1" t="s">
        <v>1</v>
      </c>
      <c r="O216" s="1" t="s">
        <v>3303</v>
      </c>
      <c r="P216" s="1" t="s">
        <v>981</v>
      </c>
      <c r="Q216" s="1">
        <v>-1</v>
      </c>
      <c r="R216" s="1"/>
      <c r="S216" s="1"/>
      <c r="T216" s="1"/>
      <c r="U216" s="1"/>
      <c r="V216" s="1"/>
      <c r="W216" s="1"/>
      <c r="X216" s="1"/>
      <c r="Y216" s="1"/>
      <c r="Z216" s="1"/>
      <c r="AA216" s="1"/>
      <c r="AB216" s="1"/>
      <c r="AC216" s="1"/>
      <c r="AD216" s="1"/>
      <c r="AE216" s="1"/>
      <c r="AF216" s="1"/>
    </row>
    <row r="217" spans="1:32" hidden="1" x14ac:dyDescent="0.25">
      <c r="A217" s="1">
        <v>216</v>
      </c>
      <c r="B217" s="1"/>
      <c r="C217" s="1" t="s">
        <v>884</v>
      </c>
      <c r="D217" s="1" t="s">
        <v>20</v>
      </c>
      <c r="E217">
        <v>2010</v>
      </c>
      <c r="F217" s="1" t="s">
        <v>0</v>
      </c>
      <c r="G217" s="1" t="s">
        <v>3231</v>
      </c>
      <c r="H217" s="1" t="s">
        <v>885</v>
      </c>
      <c r="I217" s="1" t="s">
        <v>3141</v>
      </c>
      <c r="J217" s="1" t="s">
        <v>1</v>
      </c>
      <c r="K217" s="1" t="s">
        <v>886</v>
      </c>
      <c r="L217" s="1" t="s">
        <v>1</v>
      </c>
      <c r="M217" s="1" t="s">
        <v>1</v>
      </c>
      <c r="N217" s="1" t="s">
        <v>1</v>
      </c>
      <c r="O217" s="1" t="s">
        <v>3232</v>
      </c>
      <c r="P217" s="1" t="s">
        <v>887</v>
      </c>
      <c r="Q217" s="1">
        <v>-1</v>
      </c>
      <c r="R217" s="1"/>
      <c r="S217" s="1"/>
      <c r="T217" s="1"/>
      <c r="U217" s="1"/>
      <c r="V217" s="1"/>
      <c r="W217" s="1"/>
      <c r="X217" s="1"/>
      <c r="Y217" s="1"/>
      <c r="Z217" s="1"/>
      <c r="AA217" s="1"/>
      <c r="AB217" s="1"/>
      <c r="AC217" s="1"/>
      <c r="AD217" s="1"/>
      <c r="AE217" s="1"/>
      <c r="AF217" s="1"/>
    </row>
    <row r="218" spans="1:32" hidden="1" x14ac:dyDescent="0.25">
      <c r="A218" s="1">
        <v>217</v>
      </c>
      <c r="B218" s="1"/>
      <c r="C218" s="1" t="s">
        <v>2184</v>
      </c>
      <c r="D218" s="1" t="s">
        <v>4195</v>
      </c>
      <c r="E218">
        <v>2013</v>
      </c>
      <c r="F218" s="1" t="s">
        <v>0</v>
      </c>
      <c r="G218" s="1" t="s">
        <v>4197</v>
      </c>
      <c r="H218" s="1" t="s">
        <v>1</v>
      </c>
      <c r="I218" s="1" t="s">
        <v>1</v>
      </c>
      <c r="J218" s="1" t="s">
        <v>1</v>
      </c>
      <c r="K218" s="1" t="s">
        <v>4196</v>
      </c>
      <c r="L218" s="1" t="s">
        <v>241</v>
      </c>
      <c r="M218" s="1" t="s">
        <v>1</v>
      </c>
      <c r="N218" s="1" t="s">
        <v>2186</v>
      </c>
      <c r="O218" s="1" t="s">
        <v>4198</v>
      </c>
      <c r="P218" s="1" t="s">
        <v>2185</v>
      </c>
      <c r="Q218" s="1">
        <v>-1</v>
      </c>
      <c r="R218" s="1"/>
      <c r="S218" s="1"/>
      <c r="T218" s="1"/>
      <c r="U218" s="1"/>
      <c r="V218" s="1"/>
      <c r="W218" s="1"/>
      <c r="X218" s="1"/>
      <c r="Y218" s="1"/>
      <c r="Z218" s="1"/>
      <c r="AA218" s="1"/>
      <c r="AB218" s="1"/>
      <c r="AC218" s="1"/>
      <c r="AD218" s="1"/>
      <c r="AE218" s="1"/>
      <c r="AF218" s="1"/>
    </row>
    <row r="219" spans="1:32" hidden="1" x14ac:dyDescent="0.25">
      <c r="A219" s="1">
        <v>218</v>
      </c>
      <c r="B219" s="1"/>
      <c r="C219" s="1" t="s">
        <v>1919</v>
      </c>
      <c r="D219" s="1" t="s">
        <v>3994</v>
      </c>
      <c r="E219">
        <v>2017</v>
      </c>
      <c r="F219" s="1" t="s">
        <v>0</v>
      </c>
      <c r="G219" s="1" t="s">
        <v>3995</v>
      </c>
      <c r="H219" s="1" t="s">
        <v>1496</v>
      </c>
      <c r="I219" s="1" t="s">
        <v>1</v>
      </c>
      <c r="J219" s="1" t="s">
        <v>1</v>
      </c>
      <c r="K219" s="1" t="s">
        <v>1920</v>
      </c>
      <c r="L219" s="1" t="s">
        <v>1</v>
      </c>
      <c r="M219" s="1" t="s">
        <v>1</v>
      </c>
      <c r="N219" s="1" t="s">
        <v>1</v>
      </c>
      <c r="O219" s="1" t="s">
        <v>3996</v>
      </c>
      <c r="P219" s="1" t="s">
        <v>1921</v>
      </c>
      <c r="Q219" s="1">
        <v>-1</v>
      </c>
      <c r="R219" s="1"/>
      <c r="S219" s="1"/>
      <c r="T219" s="1"/>
      <c r="U219" s="1"/>
      <c r="V219" s="1"/>
      <c r="W219" s="1"/>
      <c r="X219" s="1"/>
      <c r="Y219" s="1"/>
      <c r="Z219" s="1"/>
      <c r="AA219" s="1"/>
      <c r="AB219" s="1"/>
      <c r="AC219" s="1"/>
      <c r="AD219" s="1"/>
      <c r="AE219" s="1"/>
      <c r="AF219" s="1"/>
    </row>
    <row r="220" spans="1:32" hidden="1" x14ac:dyDescent="0.25">
      <c r="A220" s="1">
        <v>219</v>
      </c>
      <c r="B220" s="1"/>
      <c r="C220" s="1" t="s">
        <v>1774</v>
      </c>
      <c r="D220" s="1" t="s">
        <v>3881</v>
      </c>
      <c r="E220">
        <v>2014</v>
      </c>
      <c r="F220" s="1" t="s">
        <v>0</v>
      </c>
      <c r="G220" s="1" t="s">
        <v>3882</v>
      </c>
      <c r="H220" s="1" t="s">
        <v>1775</v>
      </c>
      <c r="I220" s="1" t="s">
        <v>1</v>
      </c>
      <c r="J220" s="1" t="s">
        <v>1</v>
      </c>
      <c r="K220" s="1" t="s">
        <v>1776</v>
      </c>
      <c r="L220" s="1" t="s">
        <v>1</v>
      </c>
      <c r="M220" s="1" t="s">
        <v>1</v>
      </c>
      <c r="N220" s="1" t="s">
        <v>1</v>
      </c>
      <c r="O220" s="1" t="s">
        <v>3883</v>
      </c>
      <c r="P220" s="1" t="s">
        <v>1777</v>
      </c>
      <c r="Q220" s="1">
        <v>-1</v>
      </c>
      <c r="R220" s="1"/>
      <c r="S220" s="1"/>
      <c r="T220" s="1"/>
      <c r="U220" s="1"/>
      <c r="V220" s="1"/>
      <c r="W220" s="1"/>
      <c r="X220" s="1"/>
      <c r="Y220" s="1"/>
      <c r="Z220" s="1"/>
      <c r="AA220" s="1"/>
      <c r="AB220" s="1"/>
      <c r="AC220" s="1"/>
      <c r="AD220" s="1"/>
      <c r="AE220" s="1"/>
      <c r="AF220" s="1"/>
    </row>
    <row r="221" spans="1:32" hidden="1" x14ac:dyDescent="0.25">
      <c r="A221" s="1">
        <v>220</v>
      </c>
      <c r="B221" s="1"/>
      <c r="C221" s="1" t="s">
        <v>1156</v>
      </c>
      <c r="D221" s="1" t="s">
        <v>1155</v>
      </c>
      <c r="E221">
        <v>2006</v>
      </c>
      <c r="F221" s="1" t="s">
        <v>0</v>
      </c>
      <c r="G221" s="1" t="s">
        <v>3415</v>
      </c>
      <c r="H221" s="1" t="s">
        <v>1157</v>
      </c>
      <c r="I221" s="1" t="s">
        <v>1</v>
      </c>
      <c r="J221" s="1" t="s">
        <v>1</v>
      </c>
      <c r="K221" s="1" t="s">
        <v>1158</v>
      </c>
      <c r="L221" s="1" t="s">
        <v>1</v>
      </c>
      <c r="M221" s="1" t="s">
        <v>1</v>
      </c>
      <c r="N221" s="1" t="s">
        <v>1</v>
      </c>
      <c r="O221" s="1" t="s">
        <v>3416</v>
      </c>
      <c r="P221" s="1" t="s">
        <v>1159</v>
      </c>
      <c r="Q221" s="1">
        <v>-1</v>
      </c>
      <c r="R221" s="1"/>
      <c r="S221" s="1"/>
      <c r="T221" s="1"/>
      <c r="U221" s="1"/>
      <c r="V221" s="1"/>
      <c r="W221" s="1"/>
      <c r="X221" s="1"/>
      <c r="Y221" s="1"/>
      <c r="Z221" s="1"/>
      <c r="AA221" s="1"/>
      <c r="AB221" s="1"/>
      <c r="AC221" s="1"/>
      <c r="AD221" s="1"/>
      <c r="AE221" s="1"/>
      <c r="AF221" s="1"/>
    </row>
    <row r="222" spans="1:32" hidden="1" x14ac:dyDescent="0.25">
      <c r="A222" s="1">
        <v>221</v>
      </c>
      <c r="B222" s="1"/>
      <c r="C222" s="1" t="s">
        <v>2657</v>
      </c>
      <c r="D222" s="1" t="s">
        <v>4569</v>
      </c>
      <c r="E222">
        <v>2008</v>
      </c>
      <c r="F222" s="1" t="s">
        <v>127</v>
      </c>
      <c r="G222" s="1" t="s">
        <v>4576</v>
      </c>
      <c r="H222" s="1" t="s">
        <v>2658</v>
      </c>
      <c r="I222" s="1" t="s">
        <v>1</v>
      </c>
      <c r="J222" s="1" t="s">
        <v>1</v>
      </c>
      <c r="K222" s="1" t="s">
        <v>2659</v>
      </c>
      <c r="L222" s="1" t="s">
        <v>447</v>
      </c>
      <c r="M222" s="1" t="s">
        <v>1</v>
      </c>
      <c r="N222" s="1" t="s">
        <v>2661</v>
      </c>
      <c r="O222" s="1" t="s">
        <v>1</v>
      </c>
      <c r="P222" s="1" t="s">
        <v>2660</v>
      </c>
      <c r="Q222" s="1">
        <v>-1</v>
      </c>
      <c r="R222" s="1"/>
      <c r="S222" s="1"/>
      <c r="T222" s="1"/>
      <c r="U222" s="1"/>
      <c r="V222" s="1"/>
      <c r="W222" s="1"/>
      <c r="X222" s="1"/>
      <c r="Y222" s="1"/>
      <c r="Z222" s="1"/>
      <c r="AA222" s="1"/>
      <c r="AB222" s="1"/>
      <c r="AC222" s="1"/>
      <c r="AD222" s="1"/>
      <c r="AE222" s="1"/>
      <c r="AF222" s="1"/>
    </row>
    <row r="223" spans="1:32" hidden="1" x14ac:dyDescent="0.25">
      <c r="A223" s="1">
        <v>222</v>
      </c>
      <c r="B223" s="1"/>
      <c r="C223" s="1" t="s">
        <v>2319</v>
      </c>
      <c r="D223" s="1" t="s">
        <v>4301</v>
      </c>
      <c r="E223">
        <v>2008</v>
      </c>
      <c r="F223" s="1" t="s">
        <v>0</v>
      </c>
      <c r="G223" s="1" t="s">
        <v>4302</v>
      </c>
      <c r="H223" s="1" t="s">
        <v>2320</v>
      </c>
      <c r="I223" s="1" t="s">
        <v>1</v>
      </c>
      <c r="J223" s="1" t="s">
        <v>1</v>
      </c>
      <c r="K223" s="1" t="s">
        <v>2321</v>
      </c>
      <c r="L223" s="1" t="s">
        <v>1</v>
      </c>
      <c r="M223" s="1" t="s">
        <v>1</v>
      </c>
      <c r="N223" s="1" t="s">
        <v>1</v>
      </c>
      <c r="O223" s="1" t="s">
        <v>4303</v>
      </c>
      <c r="P223" s="1" t="s">
        <v>2322</v>
      </c>
      <c r="Q223" s="1">
        <v>-1</v>
      </c>
      <c r="R223" s="1"/>
      <c r="S223" s="1"/>
      <c r="T223" s="1"/>
      <c r="U223" s="1"/>
      <c r="V223" s="1"/>
      <c r="W223" s="1"/>
      <c r="X223" s="1"/>
      <c r="Y223" s="1"/>
      <c r="Z223" s="1"/>
      <c r="AA223" s="1"/>
      <c r="AB223" s="1"/>
      <c r="AC223" s="1"/>
      <c r="AD223" s="1"/>
      <c r="AE223" s="1"/>
      <c r="AF223" s="1"/>
    </row>
    <row r="224" spans="1:32" hidden="1" x14ac:dyDescent="0.25">
      <c r="A224" s="1">
        <v>223</v>
      </c>
      <c r="B224" s="1"/>
      <c r="C224" s="1" t="s">
        <v>1618</v>
      </c>
      <c r="D224" s="1" t="s">
        <v>3774</v>
      </c>
      <c r="E224">
        <v>2013</v>
      </c>
      <c r="F224" s="1" t="s">
        <v>0</v>
      </c>
      <c r="G224" s="1" t="s">
        <v>3775</v>
      </c>
      <c r="H224" s="1" t="s">
        <v>944</v>
      </c>
      <c r="I224" s="1" t="s">
        <v>1</v>
      </c>
      <c r="J224" s="1" t="s">
        <v>1</v>
      </c>
      <c r="K224" s="1" t="s">
        <v>1619</v>
      </c>
      <c r="L224" s="1" t="s">
        <v>1</v>
      </c>
      <c r="M224" s="1" t="s">
        <v>1</v>
      </c>
      <c r="N224" s="1" t="s">
        <v>1</v>
      </c>
      <c r="O224" s="1" t="s">
        <v>3776</v>
      </c>
      <c r="P224" s="1" t="s">
        <v>1620</v>
      </c>
      <c r="Q224" s="1">
        <v>-1</v>
      </c>
      <c r="R224" s="1"/>
      <c r="S224" s="1"/>
      <c r="T224" s="1"/>
      <c r="U224" s="1"/>
      <c r="V224" s="1"/>
      <c r="W224" s="1"/>
      <c r="X224" s="1"/>
      <c r="Y224" s="1"/>
      <c r="Z224" s="1"/>
      <c r="AA224" s="1"/>
      <c r="AB224" s="1"/>
      <c r="AC224" s="1"/>
      <c r="AD224" s="1"/>
      <c r="AE224" s="1"/>
      <c r="AF224" s="1"/>
    </row>
    <row r="225" spans="1:32" hidden="1" x14ac:dyDescent="0.25">
      <c r="A225" s="1">
        <v>224</v>
      </c>
      <c r="B225" s="1"/>
      <c r="C225" s="1" t="s">
        <v>472</v>
      </c>
      <c r="D225" s="1" t="s">
        <v>471</v>
      </c>
      <c r="E225">
        <v>2016</v>
      </c>
      <c r="F225" s="1" t="s">
        <v>116</v>
      </c>
      <c r="G225" s="1" t="s">
        <v>3661</v>
      </c>
      <c r="H225" s="1" t="s">
        <v>473</v>
      </c>
      <c r="I225" s="1" t="s">
        <v>3660</v>
      </c>
      <c r="J225" s="1" t="s">
        <v>1</v>
      </c>
      <c r="K225" s="1" t="s">
        <v>1478</v>
      </c>
      <c r="L225" s="1" t="s">
        <v>1</v>
      </c>
      <c r="M225" s="1" t="s">
        <v>1</v>
      </c>
      <c r="N225" s="1" t="s">
        <v>1480</v>
      </c>
      <c r="O225" s="1" t="s">
        <v>3662</v>
      </c>
      <c r="P225" s="1" t="s">
        <v>1479</v>
      </c>
      <c r="Q225" s="1">
        <v>-1</v>
      </c>
      <c r="R225" s="1"/>
      <c r="S225" s="1"/>
      <c r="T225" s="1"/>
      <c r="U225" s="1"/>
      <c r="V225" s="1"/>
      <c r="W225" s="1"/>
      <c r="X225" s="1"/>
      <c r="Y225" s="1"/>
      <c r="Z225" s="1"/>
      <c r="AA225" s="1"/>
      <c r="AB225" s="1"/>
      <c r="AC225" s="1"/>
      <c r="AD225" s="1"/>
      <c r="AE225" s="1"/>
      <c r="AF225" s="1"/>
    </row>
    <row r="226" spans="1:32" hidden="1" x14ac:dyDescent="0.25">
      <c r="A226" s="1">
        <v>225</v>
      </c>
      <c r="B226" s="1"/>
      <c r="C226" s="1" t="s">
        <v>1174</v>
      </c>
      <c r="D226" s="1" t="s">
        <v>180</v>
      </c>
      <c r="E226">
        <v>2010</v>
      </c>
      <c r="F226" s="1" t="s">
        <v>0</v>
      </c>
      <c r="G226" s="1" t="s">
        <v>3426</v>
      </c>
      <c r="H226" s="1" t="s">
        <v>1175</v>
      </c>
      <c r="I226" s="1" t="s">
        <v>1</v>
      </c>
      <c r="J226" s="1" t="s">
        <v>1</v>
      </c>
      <c r="K226" s="1" t="s">
        <v>1173</v>
      </c>
      <c r="L226" s="1" t="s">
        <v>1</v>
      </c>
      <c r="M226" s="1" t="s">
        <v>1</v>
      </c>
      <c r="N226" s="1" t="s">
        <v>1</v>
      </c>
      <c r="O226" s="1" t="s">
        <v>3427</v>
      </c>
      <c r="P226" s="1" t="s">
        <v>1176</v>
      </c>
      <c r="Q226" s="1">
        <v>1</v>
      </c>
      <c r="R226" s="1">
        <v>-1</v>
      </c>
      <c r="S226" s="1"/>
      <c r="T226" s="1"/>
      <c r="U226" s="1"/>
      <c r="V226" s="1"/>
      <c r="W226" s="1"/>
      <c r="X226" s="1"/>
      <c r="Y226" s="1"/>
      <c r="Z226" s="1"/>
      <c r="AA226" s="1"/>
      <c r="AB226" s="1"/>
      <c r="AC226" s="1"/>
      <c r="AD226" s="1"/>
      <c r="AE226" s="1"/>
      <c r="AF226" s="1"/>
    </row>
    <row r="227" spans="1:32" hidden="1" x14ac:dyDescent="0.25">
      <c r="A227" s="1">
        <v>226</v>
      </c>
      <c r="B227" s="1"/>
      <c r="C227" s="1" t="s">
        <v>2882</v>
      </c>
      <c r="D227" s="1" t="s">
        <v>4754</v>
      </c>
      <c r="E227">
        <v>2011</v>
      </c>
      <c r="F227" s="1" t="s">
        <v>0</v>
      </c>
      <c r="G227" s="1" t="s">
        <v>4755</v>
      </c>
      <c r="H227" s="1" t="s">
        <v>2883</v>
      </c>
      <c r="I227" s="1" t="s">
        <v>1</v>
      </c>
      <c r="J227" s="1" t="s">
        <v>1</v>
      </c>
      <c r="K227" s="1" t="s">
        <v>2884</v>
      </c>
      <c r="L227" s="1" t="s">
        <v>1</v>
      </c>
      <c r="M227" s="1" t="s">
        <v>1</v>
      </c>
      <c r="N227" s="1" t="s">
        <v>1</v>
      </c>
      <c r="O227" s="1" t="s">
        <v>4756</v>
      </c>
      <c r="P227" s="1" t="s">
        <v>4757</v>
      </c>
      <c r="Q227" s="1">
        <v>-1</v>
      </c>
      <c r="R227" s="1"/>
      <c r="S227" s="1"/>
      <c r="T227" s="1"/>
      <c r="U227" s="1"/>
      <c r="V227" s="1"/>
      <c r="W227" s="1"/>
      <c r="X227" s="1"/>
      <c r="Y227" s="1"/>
      <c r="Z227" s="1"/>
      <c r="AA227" s="1"/>
      <c r="AB227" s="1"/>
      <c r="AC227" s="1"/>
      <c r="AD227" s="1"/>
      <c r="AE227" s="1"/>
      <c r="AF227" s="1"/>
    </row>
    <row r="228" spans="1:32" hidden="1" x14ac:dyDescent="0.25">
      <c r="A228" s="1">
        <v>227</v>
      </c>
      <c r="B228" s="1"/>
      <c r="C228" s="1" t="s">
        <v>1495</v>
      </c>
      <c r="D228" s="1" t="s">
        <v>3674</v>
      </c>
      <c r="E228">
        <v>2017</v>
      </c>
      <c r="F228" s="1" t="s">
        <v>0</v>
      </c>
      <c r="G228" s="1" t="s">
        <v>3675</v>
      </c>
      <c r="H228" s="1" t="s">
        <v>1496</v>
      </c>
      <c r="I228" s="1" t="s">
        <v>1</v>
      </c>
      <c r="J228" s="1" t="s">
        <v>1</v>
      </c>
      <c r="K228" s="1" t="s">
        <v>1497</v>
      </c>
      <c r="L228" s="1" t="s">
        <v>1</v>
      </c>
      <c r="M228" s="1" t="s">
        <v>1</v>
      </c>
      <c r="N228" s="1" t="s">
        <v>1</v>
      </c>
      <c r="O228" s="1" t="s">
        <v>3676</v>
      </c>
      <c r="P228" s="1" t="s">
        <v>1498</v>
      </c>
      <c r="Q228" s="1">
        <v>-1</v>
      </c>
      <c r="R228" s="1"/>
      <c r="S228" s="1"/>
      <c r="T228" s="1"/>
      <c r="U228" s="1"/>
      <c r="V228" s="1"/>
      <c r="W228" s="1"/>
      <c r="X228" s="1"/>
      <c r="Y228" s="1"/>
      <c r="Z228" s="1"/>
      <c r="AA228" s="1"/>
      <c r="AB228" s="1"/>
      <c r="AC228" s="1"/>
      <c r="AD228" s="1"/>
      <c r="AE228" s="1"/>
      <c r="AF228" s="1"/>
    </row>
    <row r="229" spans="1:32" x14ac:dyDescent="0.25">
      <c r="A229" s="1">
        <v>228</v>
      </c>
      <c r="B229" s="1">
        <v>13</v>
      </c>
      <c r="C229" s="1" t="s">
        <v>1739</v>
      </c>
      <c r="D229" s="1" t="s">
        <v>3857</v>
      </c>
      <c r="E229">
        <v>2013</v>
      </c>
      <c r="F229" s="1" t="s">
        <v>0</v>
      </c>
      <c r="G229" s="1" t="s">
        <v>3858</v>
      </c>
      <c r="H229" s="1" t="s">
        <v>869</v>
      </c>
      <c r="I229" s="1" t="s">
        <v>1</v>
      </c>
      <c r="J229" s="1" t="s">
        <v>1</v>
      </c>
      <c r="K229" s="1" t="s">
        <v>3808</v>
      </c>
      <c r="L229" s="1" t="s">
        <v>1</v>
      </c>
      <c r="M229" s="1" t="s">
        <v>1</v>
      </c>
      <c r="N229" s="1" t="s">
        <v>1</v>
      </c>
      <c r="O229" s="1" t="s">
        <v>3859</v>
      </c>
      <c r="P229" s="1" t="s">
        <v>1740</v>
      </c>
      <c r="Q229" s="1">
        <v>1</v>
      </c>
      <c r="R229" s="1">
        <v>1</v>
      </c>
      <c r="S229" s="1">
        <v>5</v>
      </c>
      <c r="T229" s="1" t="s">
        <v>2232</v>
      </c>
      <c r="U229" s="1" t="s">
        <v>5030</v>
      </c>
      <c r="V229" s="1" t="s">
        <v>5000</v>
      </c>
      <c r="W229" s="1" t="s">
        <v>4974</v>
      </c>
      <c r="X229" s="1" t="s">
        <v>658</v>
      </c>
      <c r="Y229" s="1" t="s">
        <v>5003</v>
      </c>
      <c r="Z229" s="1" t="s">
        <v>5034</v>
      </c>
      <c r="AA229" s="1" t="s">
        <v>5035</v>
      </c>
      <c r="AB229" s="1">
        <v>3</v>
      </c>
      <c r="AC229" s="1">
        <v>3</v>
      </c>
      <c r="AD229" s="1">
        <v>3</v>
      </c>
      <c r="AE229" s="1">
        <v>3</v>
      </c>
      <c r="AF229" s="1"/>
    </row>
    <row r="230" spans="1:32" hidden="1" x14ac:dyDescent="0.25">
      <c r="A230" s="1">
        <v>229</v>
      </c>
      <c r="B230" s="1"/>
      <c r="C230" s="1" t="s">
        <v>1404</v>
      </c>
      <c r="D230" s="1" t="s">
        <v>3592</v>
      </c>
      <c r="E230">
        <v>2004</v>
      </c>
      <c r="F230" s="1" t="s">
        <v>0</v>
      </c>
      <c r="G230" s="1" t="s">
        <v>3593</v>
      </c>
      <c r="H230" s="1" t="s">
        <v>1405</v>
      </c>
      <c r="I230" s="1" t="s">
        <v>1</v>
      </c>
      <c r="J230" s="1" t="s">
        <v>1</v>
      </c>
      <c r="K230" s="1" t="s">
        <v>1406</v>
      </c>
      <c r="L230" s="1" t="s">
        <v>1</v>
      </c>
      <c r="M230" s="1" t="s">
        <v>1</v>
      </c>
      <c r="N230" s="1" t="s">
        <v>1</v>
      </c>
      <c r="O230" s="1" t="s">
        <v>3594</v>
      </c>
      <c r="P230" s="1" t="s">
        <v>1407</v>
      </c>
      <c r="Q230" s="1">
        <v>-1</v>
      </c>
      <c r="R230" s="1"/>
      <c r="S230" s="1"/>
      <c r="T230" s="1"/>
      <c r="U230" s="1"/>
      <c r="V230" s="1"/>
      <c r="W230" s="1"/>
      <c r="X230" s="1"/>
      <c r="Y230" s="1"/>
      <c r="Z230" s="1"/>
      <c r="AA230" s="1"/>
      <c r="AB230" s="1"/>
      <c r="AC230" s="1"/>
      <c r="AD230" s="1"/>
      <c r="AE230" s="1"/>
      <c r="AF230" s="1"/>
    </row>
    <row r="231" spans="1:32" hidden="1" x14ac:dyDescent="0.25">
      <c r="A231" s="1">
        <v>230</v>
      </c>
      <c r="B231" s="1"/>
      <c r="C231" s="8" t="s">
        <v>1946</v>
      </c>
      <c r="D231" s="1" t="s">
        <v>4019</v>
      </c>
      <c r="E231">
        <v>2015</v>
      </c>
      <c r="F231" s="1" t="s">
        <v>0</v>
      </c>
      <c r="G231" s="1" t="s">
        <v>4020</v>
      </c>
      <c r="H231" s="1" t="s">
        <v>934</v>
      </c>
      <c r="I231" s="1" t="s">
        <v>1</v>
      </c>
      <c r="J231" s="1" t="s">
        <v>1</v>
      </c>
      <c r="K231" s="1" t="s">
        <v>1947</v>
      </c>
      <c r="L231" s="1" t="s">
        <v>1</v>
      </c>
      <c r="M231" s="1" t="s">
        <v>1</v>
      </c>
      <c r="N231" s="1" t="s">
        <v>1</v>
      </c>
      <c r="O231" s="1" t="s">
        <v>4021</v>
      </c>
      <c r="P231" s="1" t="s">
        <v>1948</v>
      </c>
      <c r="Q231" s="1">
        <v>-1</v>
      </c>
      <c r="R231" s="1"/>
      <c r="S231" s="1"/>
      <c r="T231" s="1"/>
      <c r="U231" s="1"/>
      <c r="V231" s="1"/>
      <c r="W231" s="1"/>
      <c r="X231" s="1"/>
      <c r="Y231" s="1"/>
      <c r="Z231" s="1"/>
      <c r="AA231" s="1"/>
      <c r="AB231" s="1"/>
      <c r="AC231" s="1"/>
      <c r="AD231" s="1"/>
      <c r="AE231" s="1"/>
      <c r="AF231" s="1"/>
    </row>
    <row r="232" spans="1:32" hidden="1" x14ac:dyDescent="0.25">
      <c r="A232" s="1">
        <v>231</v>
      </c>
      <c r="B232" s="1"/>
      <c r="C232" s="1" t="s">
        <v>813</v>
      </c>
      <c r="D232" s="1" t="s">
        <v>1</v>
      </c>
      <c r="E232">
        <v>2017</v>
      </c>
      <c r="F232" s="1" t="s">
        <v>116</v>
      </c>
      <c r="G232" s="1" t="s">
        <v>3180</v>
      </c>
      <c r="H232" s="1" t="s">
        <v>702</v>
      </c>
      <c r="I232" s="1" t="s">
        <v>3179</v>
      </c>
      <c r="J232" s="1" t="s">
        <v>1</v>
      </c>
      <c r="K232" s="1" t="s">
        <v>814</v>
      </c>
      <c r="L232" s="1" t="s">
        <v>1</v>
      </c>
      <c r="M232" s="1" t="s">
        <v>1</v>
      </c>
      <c r="N232" s="1" t="s">
        <v>815</v>
      </c>
      <c r="O232" s="1" t="s">
        <v>1</v>
      </c>
      <c r="P232" s="1" t="s">
        <v>1</v>
      </c>
      <c r="Q232" s="1">
        <v>-1</v>
      </c>
      <c r="R232" s="1"/>
      <c r="S232" s="1"/>
      <c r="T232" s="1"/>
      <c r="U232" s="1"/>
      <c r="V232" s="1"/>
      <c r="W232" s="1"/>
      <c r="X232" s="1"/>
      <c r="Y232" s="1"/>
      <c r="Z232" s="1"/>
      <c r="AA232" s="1"/>
      <c r="AB232" s="1"/>
      <c r="AC232" s="1"/>
      <c r="AD232" s="1"/>
      <c r="AE232" s="1"/>
      <c r="AF232" s="1"/>
    </row>
    <row r="233" spans="1:32" x14ac:dyDescent="0.25">
      <c r="A233" s="1">
        <v>232</v>
      </c>
      <c r="B233" s="1">
        <v>14</v>
      </c>
      <c r="C233" s="8" t="s">
        <v>1318</v>
      </c>
      <c r="D233" s="1" t="s">
        <v>3530</v>
      </c>
      <c r="E233">
        <v>2012</v>
      </c>
      <c r="F233" s="1" t="s">
        <v>116</v>
      </c>
      <c r="G233" s="1" t="s">
        <v>3532</v>
      </c>
      <c r="H233" s="1" t="s">
        <v>846</v>
      </c>
      <c r="I233" s="1" t="s">
        <v>3531</v>
      </c>
      <c r="J233" s="1" t="s">
        <v>3141</v>
      </c>
      <c r="K233" s="1" t="s">
        <v>1319</v>
      </c>
      <c r="L233" s="1" t="s">
        <v>1</v>
      </c>
      <c r="M233" s="1" t="s">
        <v>1</v>
      </c>
      <c r="N233" s="1" t="s">
        <v>1321</v>
      </c>
      <c r="O233" s="1" t="s">
        <v>3533</v>
      </c>
      <c r="P233" s="1" t="s">
        <v>1320</v>
      </c>
      <c r="Q233" s="1">
        <v>1</v>
      </c>
      <c r="R233" s="1">
        <v>1</v>
      </c>
      <c r="S233" s="1">
        <v>6</v>
      </c>
      <c r="T233" s="1" t="s">
        <v>5005</v>
      </c>
      <c r="U233" s="1" t="s">
        <v>727</v>
      </c>
      <c r="V233" s="1" t="s">
        <v>4996</v>
      </c>
      <c r="W233" s="1" t="s">
        <v>4973</v>
      </c>
      <c r="X233" s="1" t="s">
        <v>116</v>
      </c>
      <c r="Y233" s="1" t="s">
        <v>5003</v>
      </c>
      <c r="Z233" s="1"/>
      <c r="AA233" s="1" t="s">
        <v>5006</v>
      </c>
      <c r="AB233" s="1"/>
      <c r="AC233" s="1"/>
      <c r="AD233" s="1"/>
      <c r="AE233" s="1"/>
      <c r="AF233" s="1"/>
    </row>
    <row r="234" spans="1:32" hidden="1" x14ac:dyDescent="0.25">
      <c r="A234" s="1">
        <v>233</v>
      </c>
      <c r="B234" s="1"/>
      <c r="C234" s="1" t="s">
        <v>1451</v>
      </c>
      <c r="D234" s="1" t="s">
        <v>3636</v>
      </c>
      <c r="E234">
        <v>2009</v>
      </c>
      <c r="F234" s="1" t="s">
        <v>0</v>
      </c>
      <c r="G234" s="1" t="s">
        <v>3637</v>
      </c>
      <c r="H234" s="1" t="s">
        <v>1452</v>
      </c>
      <c r="I234" s="1" t="s">
        <v>1</v>
      </c>
      <c r="J234" s="1" t="s">
        <v>1</v>
      </c>
      <c r="K234" s="1" t="s">
        <v>3272</v>
      </c>
      <c r="L234" s="1" t="s">
        <v>1</v>
      </c>
      <c r="M234" s="1" t="s">
        <v>1</v>
      </c>
      <c r="N234" s="1" t="s">
        <v>1</v>
      </c>
      <c r="O234" s="1" t="s">
        <v>3638</v>
      </c>
      <c r="P234" s="1" t="s">
        <v>3639</v>
      </c>
      <c r="Q234" s="1">
        <v>-1</v>
      </c>
      <c r="R234" s="1"/>
      <c r="S234" s="1"/>
      <c r="T234" s="1"/>
      <c r="U234" s="1"/>
      <c r="V234" s="1"/>
      <c r="W234" s="1"/>
      <c r="X234" s="1"/>
      <c r="Y234" s="1"/>
      <c r="Z234" s="1"/>
      <c r="AA234" s="1"/>
      <c r="AB234" s="1"/>
      <c r="AC234" s="1"/>
      <c r="AD234" s="1"/>
      <c r="AE234" s="1"/>
      <c r="AF234" s="1"/>
    </row>
    <row r="235" spans="1:32" hidden="1" x14ac:dyDescent="0.25">
      <c r="A235" s="1">
        <v>234</v>
      </c>
      <c r="B235" s="1"/>
      <c r="C235" s="1" t="s">
        <v>1445</v>
      </c>
      <c r="D235" s="1" t="s">
        <v>3625</v>
      </c>
      <c r="E235">
        <v>2010</v>
      </c>
      <c r="F235" s="1" t="s">
        <v>0</v>
      </c>
      <c r="G235" s="1" t="s">
        <v>3626</v>
      </c>
      <c r="H235" s="1" t="s">
        <v>1067</v>
      </c>
      <c r="I235" s="1" t="s">
        <v>1</v>
      </c>
      <c r="J235" s="1" t="s">
        <v>1</v>
      </c>
      <c r="K235" s="1" t="s">
        <v>3272</v>
      </c>
      <c r="L235" s="1" t="s">
        <v>1</v>
      </c>
      <c r="M235" s="1" t="s">
        <v>1</v>
      </c>
      <c r="N235" s="1" t="s">
        <v>1</v>
      </c>
      <c r="O235" s="1" t="s">
        <v>3627</v>
      </c>
      <c r="P235" s="1" t="s">
        <v>3628</v>
      </c>
      <c r="Q235" s="1">
        <v>-1</v>
      </c>
      <c r="R235" s="1"/>
      <c r="S235" s="1"/>
      <c r="T235" s="1"/>
      <c r="U235" s="1"/>
      <c r="V235" s="1"/>
      <c r="W235" s="1"/>
      <c r="X235" s="1"/>
      <c r="Y235" s="1"/>
      <c r="Z235" s="1"/>
      <c r="AA235" s="1"/>
      <c r="AB235" s="1"/>
      <c r="AC235" s="1"/>
      <c r="AD235" s="1"/>
      <c r="AE235" s="1"/>
      <c r="AF235" s="1"/>
    </row>
    <row r="236" spans="1:32" hidden="1" x14ac:dyDescent="0.25">
      <c r="A236" s="1">
        <v>235</v>
      </c>
      <c r="B236" s="1"/>
      <c r="C236" s="1" t="s">
        <v>1874</v>
      </c>
      <c r="D236" s="1" t="s">
        <v>3962</v>
      </c>
      <c r="E236">
        <v>2013</v>
      </c>
      <c r="F236" s="1" t="s">
        <v>0</v>
      </c>
      <c r="G236" s="1" t="s">
        <v>3963</v>
      </c>
      <c r="H236" s="1" t="s">
        <v>1875</v>
      </c>
      <c r="I236" s="1" t="s">
        <v>1</v>
      </c>
      <c r="J236" s="1" t="s">
        <v>1</v>
      </c>
      <c r="K236" s="1" t="s">
        <v>1876</v>
      </c>
      <c r="L236" s="1" t="s">
        <v>1</v>
      </c>
      <c r="M236" s="1" t="s">
        <v>1</v>
      </c>
      <c r="N236" s="1" t="s">
        <v>1</v>
      </c>
      <c r="O236" s="1" t="s">
        <v>3964</v>
      </c>
      <c r="P236" s="1" t="s">
        <v>1877</v>
      </c>
      <c r="Q236" s="1">
        <v>-1</v>
      </c>
      <c r="R236" s="1"/>
      <c r="S236" s="1"/>
      <c r="T236" s="1"/>
      <c r="U236" s="1"/>
      <c r="V236" s="1"/>
      <c r="W236" s="1"/>
      <c r="X236" s="1"/>
      <c r="Y236" s="1"/>
      <c r="Z236" s="1"/>
      <c r="AA236" s="1"/>
      <c r="AB236" s="1"/>
      <c r="AC236" s="1"/>
      <c r="AD236" s="1"/>
      <c r="AE236" s="1"/>
      <c r="AF236" s="1"/>
    </row>
    <row r="237" spans="1:32" hidden="1" x14ac:dyDescent="0.25">
      <c r="A237" s="1">
        <v>236</v>
      </c>
      <c r="B237" s="1"/>
      <c r="C237" s="1" t="s">
        <v>840</v>
      </c>
      <c r="D237" s="1" t="s">
        <v>3200</v>
      </c>
      <c r="E237">
        <v>2015</v>
      </c>
      <c r="F237" s="1" t="s">
        <v>116</v>
      </c>
      <c r="G237" s="1" t="s">
        <v>3203</v>
      </c>
      <c r="H237" s="1" t="s">
        <v>841</v>
      </c>
      <c r="I237" s="1" t="s">
        <v>3201</v>
      </c>
      <c r="J237" s="1" t="s">
        <v>3141</v>
      </c>
      <c r="K237" s="1" t="s">
        <v>3202</v>
      </c>
      <c r="L237" s="1" t="s">
        <v>842</v>
      </c>
      <c r="M237" s="1" t="s">
        <v>1</v>
      </c>
      <c r="N237" s="1" t="s">
        <v>844</v>
      </c>
      <c r="O237" s="1" t="s">
        <v>3204</v>
      </c>
      <c r="P237" s="1" t="s">
        <v>843</v>
      </c>
      <c r="Q237" s="1">
        <v>-1</v>
      </c>
      <c r="R237" s="1"/>
      <c r="S237" s="1"/>
      <c r="T237" s="1"/>
      <c r="U237" s="1"/>
      <c r="V237" s="1"/>
      <c r="W237" s="1"/>
      <c r="X237" s="1"/>
      <c r="Y237" s="1"/>
      <c r="Z237" s="1"/>
      <c r="AA237" s="1"/>
      <c r="AB237" s="1"/>
      <c r="AC237" s="1"/>
      <c r="AD237" s="1"/>
      <c r="AE237" s="1"/>
      <c r="AF237" s="1"/>
    </row>
    <row r="238" spans="1:32" hidden="1" x14ac:dyDescent="0.25">
      <c r="A238" s="1">
        <v>237</v>
      </c>
      <c r="B238" s="1"/>
      <c r="C238" s="1" t="s">
        <v>680</v>
      </c>
      <c r="D238" s="1" t="s">
        <v>679</v>
      </c>
      <c r="E238">
        <v>2012</v>
      </c>
      <c r="F238" s="1" t="s">
        <v>116</v>
      </c>
      <c r="G238" s="1" t="s">
        <v>3516</v>
      </c>
      <c r="H238" s="1" t="s">
        <v>681</v>
      </c>
      <c r="I238" s="1" t="s">
        <v>3515</v>
      </c>
      <c r="J238" s="1" t="s">
        <v>3174</v>
      </c>
      <c r="K238" s="1" t="s">
        <v>1299</v>
      </c>
      <c r="L238" s="1" t="s">
        <v>1</v>
      </c>
      <c r="M238" s="1" t="s">
        <v>1</v>
      </c>
      <c r="N238" s="1" t="s">
        <v>1301</v>
      </c>
      <c r="O238" s="1" t="s">
        <v>3517</v>
      </c>
      <c r="P238" s="1" t="s">
        <v>1300</v>
      </c>
      <c r="Q238" s="1">
        <v>1</v>
      </c>
      <c r="R238" s="1">
        <v>-1</v>
      </c>
      <c r="S238" s="1"/>
      <c r="T238" s="1"/>
      <c r="U238" s="1"/>
      <c r="V238" s="1"/>
      <c r="W238" s="1"/>
      <c r="X238" s="1"/>
      <c r="Y238" s="1"/>
      <c r="Z238" s="1"/>
      <c r="AA238" s="1"/>
      <c r="AB238" s="1"/>
      <c r="AC238" s="1"/>
      <c r="AD238" s="1"/>
      <c r="AE238" s="1"/>
      <c r="AF238" s="1"/>
    </row>
    <row r="239" spans="1:32" hidden="1" x14ac:dyDescent="0.25">
      <c r="A239" s="1">
        <v>238</v>
      </c>
      <c r="B239" s="1"/>
      <c r="C239" s="1" t="s">
        <v>2732</v>
      </c>
      <c r="D239" s="1" t="s">
        <v>4634</v>
      </c>
      <c r="E239">
        <v>2014</v>
      </c>
      <c r="F239" s="1" t="s">
        <v>0</v>
      </c>
      <c r="G239" s="1" t="s">
        <v>4635</v>
      </c>
      <c r="H239" s="1" t="s">
        <v>2733</v>
      </c>
      <c r="I239" s="1" t="s">
        <v>1</v>
      </c>
      <c r="J239" s="1" t="s">
        <v>1</v>
      </c>
      <c r="K239" s="1" t="s">
        <v>3184</v>
      </c>
      <c r="L239" s="1" t="s">
        <v>1</v>
      </c>
      <c r="M239" s="1" t="s">
        <v>1</v>
      </c>
      <c r="N239" s="1" t="s">
        <v>1</v>
      </c>
      <c r="O239" s="1" t="s">
        <v>4636</v>
      </c>
      <c r="P239" s="1" t="s">
        <v>2734</v>
      </c>
      <c r="Q239" s="1">
        <v>-1</v>
      </c>
      <c r="R239" s="1"/>
      <c r="S239" s="1"/>
      <c r="T239" s="1"/>
      <c r="U239" s="1"/>
      <c r="V239" s="1"/>
      <c r="W239" s="1"/>
      <c r="X239" s="1"/>
      <c r="Y239" s="1"/>
      <c r="Z239" s="1"/>
      <c r="AA239" s="1"/>
      <c r="AB239" s="1"/>
      <c r="AC239" s="1"/>
      <c r="AD239" s="1"/>
      <c r="AE239" s="1"/>
      <c r="AF239" s="1"/>
    </row>
    <row r="240" spans="1:32" hidden="1" x14ac:dyDescent="0.25">
      <c r="A240" s="1">
        <v>239</v>
      </c>
      <c r="B240" s="1"/>
      <c r="C240" s="1" t="s">
        <v>1862</v>
      </c>
      <c r="D240" s="1" t="s">
        <v>3949</v>
      </c>
      <c r="E240">
        <v>2016</v>
      </c>
      <c r="F240" s="1" t="s">
        <v>0</v>
      </c>
      <c r="G240" s="1" t="s">
        <v>3950</v>
      </c>
      <c r="H240" s="1" t="s">
        <v>1863</v>
      </c>
      <c r="I240" s="1" t="s">
        <v>1</v>
      </c>
      <c r="J240" s="1" t="s">
        <v>1</v>
      </c>
      <c r="K240" s="1" t="s">
        <v>1864</v>
      </c>
      <c r="L240" s="1" t="s">
        <v>1</v>
      </c>
      <c r="M240" s="1" t="s">
        <v>1</v>
      </c>
      <c r="N240" s="1" t="s">
        <v>1</v>
      </c>
      <c r="O240" s="1" t="s">
        <v>3951</v>
      </c>
      <c r="P240" s="1" t="s">
        <v>1865</v>
      </c>
      <c r="Q240" s="1">
        <v>1</v>
      </c>
      <c r="R240" s="1">
        <v>-1</v>
      </c>
      <c r="S240" s="1"/>
      <c r="T240" s="1"/>
      <c r="U240" s="1"/>
      <c r="V240" s="1"/>
      <c r="W240" s="1"/>
      <c r="X240" s="1"/>
      <c r="Y240" s="1"/>
      <c r="Z240" s="1"/>
      <c r="AA240" s="1"/>
      <c r="AB240" s="1"/>
      <c r="AC240" s="1"/>
      <c r="AD240" s="1"/>
      <c r="AE240" s="1"/>
      <c r="AF240" s="1"/>
    </row>
    <row r="241" spans="1:32" hidden="1" x14ac:dyDescent="0.25">
      <c r="A241" s="1">
        <v>240</v>
      </c>
      <c r="B241" s="1"/>
      <c r="C241" s="1" t="s">
        <v>34</v>
      </c>
      <c r="D241" s="1" t="s">
        <v>33</v>
      </c>
      <c r="E241">
        <v>2016</v>
      </c>
      <c r="F241" s="1" t="s">
        <v>0</v>
      </c>
      <c r="G241" s="1" t="s">
        <v>4219</v>
      </c>
      <c r="H241" s="1" t="s">
        <v>35</v>
      </c>
      <c r="I241" s="1" t="s">
        <v>1</v>
      </c>
      <c r="J241" s="1" t="s">
        <v>1</v>
      </c>
      <c r="K241" s="1" t="s">
        <v>3195</v>
      </c>
      <c r="L241" s="1" t="s">
        <v>1</v>
      </c>
      <c r="M241" s="1" t="s">
        <v>1</v>
      </c>
      <c r="N241" s="1" t="s">
        <v>1</v>
      </c>
      <c r="O241" s="1" t="s">
        <v>37</v>
      </c>
      <c r="P241" s="1" t="s">
        <v>163</v>
      </c>
      <c r="Q241" s="1">
        <v>-1</v>
      </c>
      <c r="R241" s="1"/>
      <c r="S241" s="1"/>
      <c r="T241" s="1"/>
      <c r="U241" s="1"/>
      <c r="V241" s="1"/>
      <c r="W241" s="1"/>
      <c r="X241" s="1"/>
      <c r="Y241" s="1"/>
      <c r="Z241" s="1"/>
      <c r="AA241" s="1"/>
      <c r="AB241" s="1"/>
      <c r="AC241" s="1"/>
      <c r="AD241" s="1"/>
      <c r="AE241" s="1"/>
      <c r="AF241" s="1"/>
    </row>
    <row r="242" spans="1:32" x14ac:dyDescent="0.25">
      <c r="A242" s="1">
        <v>241</v>
      </c>
      <c r="B242" s="1">
        <v>15</v>
      </c>
      <c r="C242" s="5" t="s">
        <v>2982</v>
      </c>
      <c r="D242" s="1" t="s">
        <v>4833</v>
      </c>
      <c r="E242">
        <v>2017</v>
      </c>
      <c r="F242" s="1" t="s">
        <v>0</v>
      </c>
      <c r="G242" s="1" t="s">
        <v>4834</v>
      </c>
      <c r="H242" s="1" t="s">
        <v>1582</v>
      </c>
      <c r="I242" s="1" t="s">
        <v>1</v>
      </c>
      <c r="J242" s="1" t="s">
        <v>1</v>
      </c>
      <c r="K242" s="1" t="s">
        <v>2981</v>
      </c>
      <c r="L242" s="1" t="s">
        <v>1</v>
      </c>
      <c r="M242" s="1" t="s">
        <v>1</v>
      </c>
      <c r="N242" s="1" t="s">
        <v>1</v>
      </c>
      <c r="O242" s="1" t="s">
        <v>4835</v>
      </c>
      <c r="P242" s="1" t="s">
        <v>2983</v>
      </c>
      <c r="Q242" s="1">
        <v>1</v>
      </c>
      <c r="R242" s="1">
        <v>1</v>
      </c>
      <c r="S242" s="1">
        <v>6</v>
      </c>
      <c r="T242" s="1" t="s">
        <v>5039</v>
      </c>
      <c r="U242" s="1" t="s">
        <v>5038</v>
      </c>
      <c r="V242" s="1" t="s">
        <v>4996</v>
      </c>
      <c r="W242" s="1" t="s">
        <v>4974</v>
      </c>
      <c r="X242" s="1" t="s">
        <v>5012</v>
      </c>
      <c r="Y242" s="1" t="s">
        <v>5003</v>
      </c>
      <c r="Z242" s="1"/>
      <c r="AA242" s="1" t="s">
        <v>5006</v>
      </c>
      <c r="AB242" s="1">
        <v>4</v>
      </c>
      <c r="AC242" s="1">
        <v>1</v>
      </c>
      <c r="AD242" s="1">
        <v>2</v>
      </c>
      <c r="AE242" s="1">
        <v>3</v>
      </c>
      <c r="AF242" s="1"/>
    </row>
    <row r="243" spans="1:32" hidden="1" x14ac:dyDescent="0.25">
      <c r="A243" s="1">
        <v>242</v>
      </c>
      <c r="B243" s="1"/>
      <c r="C243" s="1" t="s">
        <v>1539</v>
      </c>
      <c r="D243" s="1" t="s">
        <v>3705</v>
      </c>
      <c r="E243">
        <v>2009</v>
      </c>
      <c r="F243" s="1" t="s">
        <v>0</v>
      </c>
      <c r="G243" s="1" t="s">
        <v>3704</v>
      </c>
      <c r="H243" s="1" t="s">
        <v>1</v>
      </c>
      <c r="I243" s="1" t="s">
        <v>1</v>
      </c>
      <c r="J243" s="1" t="s">
        <v>1</v>
      </c>
      <c r="K243" s="1" t="s">
        <v>1538</v>
      </c>
      <c r="L243" s="1" t="s">
        <v>1</v>
      </c>
      <c r="M243" s="1" t="s">
        <v>1</v>
      </c>
      <c r="N243" s="1" t="s">
        <v>1540</v>
      </c>
      <c r="O243" s="1" t="s">
        <v>3706</v>
      </c>
      <c r="P243" s="1" t="s">
        <v>3707</v>
      </c>
      <c r="Q243" s="1">
        <v>-1</v>
      </c>
      <c r="R243" s="1"/>
      <c r="S243" s="1"/>
      <c r="T243" s="1"/>
      <c r="U243" s="1"/>
      <c r="V243" s="1"/>
      <c r="W243" s="1"/>
      <c r="X243" s="1"/>
      <c r="Y243" s="1"/>
      <c r="Z243" s="1"/>
      <c r="AA243" s="1"/>
      <c r="AB243" s="1"/>
      <c r="AC243" s="1"/>
      <c r="AD243" s="1"/>
      <c r="AE243" s="1"/>
      <c r="AF243" s="1"/>
    </row>
    <row r="244" spans="1:32" hidden="1" x14ac:dyDescent="0.25">
      <c r="A244" s="1">
        <v>243</v>
      </c>
      <c r="B244" s="1"/>
      <c r="C244" s="1" t="s">
        <v>865</v>
      </c>
      <c r="D244" s="1" t="s">
        <v>3215</v>
      </c>
      <c r="E244">
        <v>2016</v>
      </c>
      <c r="F244" s="1" t="s">
        <v>0</v>
      </c>
      <c r="G244" s="1" t="s">
        <v>3216</v>
      </c>
      <c r="H244" s="1" t="s">
        <v>866</v>
      </c>
      <c r="I244" s="1" t="s">
        <v>1</v>
      </c>
      <c r="J244" s="1" t="s">
        <v>1</v>
      </c>
      <c r="K244" s="1" t="s">
        <v>3184</v>
      </c>
      <c r="L244" s="1" t="s">
        <v>1</v>
      </c>
      <c r="M244" s="1" t="s">
        <v>1</v>
      </c>
      <c r="N244" s="1" t="s">
        <v>1</v>
      </c>
      <c r="O244" s="1" t="s">
        <v>3217</v>
      </c>
      <c r="P244" s="1" t="s">
        <v>867</v>
      </c>
      <c r="Q244" s="1">
        <v>-1</v>
      </c>
      <c r="R244" s="1"/>
      <c r="S244" s="1"/>
      <c r="T244" s="1"/>
      <c r="U244" s="1"/>
      <c r="V244" s="1"/>
      <c r="W244" s="1"/>
      <c r="X244" s="1"/>
      <c r="Y244" s="1"/>
      <c r="Z244" s="1"/>
      <c r="AA244" s="1"/>
      <c r="AB244" s="1"/>
      <c r="AC244" s="1"/>
      <c r="AD244" s="1"/>
      <c r="AE244" s="1"/>
      <c r="AF244" s="1"/>
    </row>
    <row r="245" spans="1:32" hidden="1" x14ac:dyDescent="0.25">
      <c r="A245" s="1">
        <v>244</v>
      </c>
      <c r="B245" s="1"/>
      <c r="C245" s="1" t="s">
        <v>2662</v>
      </c>
      <c r="D245" s="1" t="s">
        <v>4577</v>
      </c>
      <c r="E245">
        <v>2008</v>
      </c>
      <c r="F245" s="1" t="s">
        <v>0</v>
      </c>
      <c r="G245" s="1" t="s">
        <v>1</v>
      </c>
      <c r="H245" s="1" t="s">
        <v>1752</v>
      </c>
      <c r="I245" s="1" t="s">
        <v>1</v>
      </c>
      <c r="J245" s="1" t="s">
        <v>1</v>
      </c>
      <c r="K245" s="1" t="s">
        <v>3184</v>
      </c>
      <c r="L245" s="1" t="s">
        <v>1</v>
      </c>
      <c r="M245" s="1" t="s">
        <v>1</v>
      </c>
      <c r="N245" s="1" t="s">
        <v>1</v>
      </c>
      <c r="O245" s="1" t="s">
        <v>4578</v>
      </c>
      <c r="P245" s="1" t="s">
        <v>2663</v>
      </c>
      <c r="Q245" s="1">
        <v>-1</v>
      </c>
      <c r="R245" s="1"/>
      <c r="S245" s="1"/>
      <c r="T245" s="1"/>
      <c r="U245" s="1"/>
      <c r="V245" s="1"/>
      <c r="W245" s="1"/>
      <c r="X245" s="1"/>
      <c r="Y245" s="1"/>
      <c r="Z245" s="1"/>
      <c r="AA245" s="1"/>
      <c r="AB245" s="1"/>
      <c r="AC245" s="1"/>
      <c r="AD245" s="1"/>
      <c r="AE245" s="1"/>
      <c r="AF245" s="1"/>
    </row>
    <row r="246" spans="1:32" hidden="1" x14ac:dyDescent="0.25">
      <c r="A246" s="1">
        <v>245</v>
      </c>
      <c r="B246" s="1"/>
      <c r="C246" s="1" t="s">
        <v>2443</v>
      </c>
      <c r="D246" s="1" t="s">
        <v>4404</v>
      </c>
      <c r="E246">
        <v>2016</v>
      </c>
      <c r="F246" s="1" t="s">
        <v>244</v>
      </c>
      <c r="G246" s="1" t="s">
        <v>4406</v>
      </c>
      <c r="H246" s="1" t="s">
        <v>1</v>
      </c>
      <c r="I246" s="1" t="s">
        <v>4405</v>
      </c>
      <c r="J246" s="1" t="s">
        <v>1</v>
      </c>
      <c r="K246" s="1" t="s">
        <v>2444</v>
      </c>
      <c r="L246" s="1" t="s">
        <v>247</v>
      </c>
      <c r="M246" s="1" t="s">
        <v>1</v>
      </c>
      <c r="N246" s="1" t="s">
        <v>2446</v>
      </c>
      <c r="O246" s="1" t="s">
        <v>4407</v>
      </c>
      <c r="P246" s="1" t="s">
        <v>2445</v>
      </c>
      <c r="Q246" s="1">
        <v>1</v>
      </c>
      <c r="R246" s="1">
        <v>-1</v>
      </c>
      <c r="S246" s="1"/>
      <c r="T246" s="1"/>
      <c r="U246" s="1"/>
      <c r="V246" s="1"/>
      <c r="W246" s="1"/>
      <c r="X246" s="1"/>
      <c r="Y246" s="1"/>
      <c r="Z246" s="1"/>
      <c r="AA246" s="1"/>
      <c r="AB246" s="1"/>
      <c r="AC246" s="1"/>
      <c r="AD246" s="1"/>
      <c r="AE246" s="1"/>
      <c r="AF246" s="1"/>
    </row>
    <row r="247" spans="1:32" hidden="1" x14ac:dyDescent="0.25">
      <c r="A247" s="1">
        <v>246</v>
      </c>
      <c r="B247" s="1"/>
      <c r="C247" s="1" t="s">
        <v>3032</v>
      </c>
      <c r="D247" s="1" t="s">
        <v>4872</v>
      </c>
      <c r="E247">
        <v>2013</v>
      </c>
      <c r="F247" s="1" t="s">
        <v>0</v>
      </c>
      <c r="G247" s="1" t="s">
        <v>4873</v>
      </c>
      <c r="H247" s="1" t="s">
        <v>3033</v>
      </c>
      <c r="I247" s="1" t="s">
        <v>1</v>
      </c>
      <c r="J247" s="1" t="s">
        <v>1</v>
      </c>
      <c r="K247" s="1" t="s">
        <v>3034</v>
      </c>
      <c r="L247" s="1" t="s">
        <v>1</v>
      </c>
      <c r="M247" s="1" t="s">
        <v>1</v>
      </c>
      <c r="N247" s="1" t="s">
        <v>1</v>
      </c>
      <c r="O247" s="1" t="s">
        <v>4874</v>
      </c>
      <c r="P247" s="1" t="s">
        <v>3035</v>
      </c>
      <c r="Q247" s="1">
        <v>-1</v>
      </c>
      <c r="R247" s="1"/>
      <c r="S247" s="1"/>
      <c r="T247" s="1"/>
      <c r="U247" s="1"/>
      <c r="V247" s="1"/>
      <c r="W247" s="1"/>
      <c r="X247" s="1"/>
      <c r="Y247" s="1"/>
      <c r="Z247" s="1"/>
      <c r="AA247" s="1"/>
      <c r="AB247" s="1"/>
      <c r="AC247" s="1"/>
      <c r="AD247" s="1"/>
      <c r="AE247" s="1"/>
      <c r="AF247" s="1"/>
    </row>
    <row r="248" spans="1:32" hidden="1" x14ac:dyDescent="0.25">
      <c r="A248" s="1">
        <v>247</v>
      </c>
      <c r="B248" s="1"/>
      <c r="C248" s="1" t="s">
        <v>1288</v>
      </c>
      <c r="D248" s="1" t="s">
        <v>1287</v>
      </c>
      <c r="E248">
        <v>2012</v>
      </c>
      <c r="F248" s="1" t="s">
        <v>0</v>
      </c>
      <c r="G248" s="1" t="s">
        <v>3504</v>
      </c>
      <c r="H248" s="1" t="s">
        <v>1289</v>
      </c>
      <c r="I248" s="1" t="s">
        <v>1</v>
      </c>
      <c r="J248" s="1" t="s">
        <v>1</v>
      </c>
      <c r="K248" s="1" t="s">
        <v>3446</v>
      </c>
      <c r="L248" s="1" t="s">
        <v>1</v>
      </c>
      <c r="M248" s="1" t="s">
        <v>1</v>
      </c>
      <c r="N248" s="1" t="s">
        <v>1</v>
      </c>
      <c r="O248" s="1" t="s">
        <v>3505</v>
      </c>
      <c r="P248" s="1" t="s">
        <v>1290</v>
      </c>
      <c r="Q248" s="1">
        <v>-1</v>
      </c>
      <c r="R248" s="1"/>
      <c r="S248" s="1"/>
      <c r="T248" s="1"/>
      <c r="U248" s="1"/>
      <c r="V248" s="1"/>
      <c r="W248" s="1"/>
      <c r="X248" s="1"/>
      <c r="Y248" s="1"/>
      <c r="Z248" s="1"/>
      <c r="AA248" s="1"/>
      <c r="AB248" s="1"/>
      <c r="AC248" s="1"/>
      <c r="AD248" s="1"/>
      <c r="AE248" s="1"/>
      <c r="AF248" s="1"/>
    </row>
    <row r="249" spans="1:32" hidden="1" x14ac:dyDescent="0.25">
      <c r="A249" s="1">
        <v>248</v>
      </c>
      <c r="B249" s="1"/>
      <c r="C249" s="1" t="s">
        <v>962</v>
      </c>
      <c r="D249" s="1" t="s">
        <v>3288</v>
      </c>
      <c r="E249">
        <v>2014</v>
      </c>
      <c r="F249" s="1" t="s">
        <v>0</v>
      </c>
      <c r="G249" s="1" t="s">
        <v>3289</v>
      </c>
      <c r="H249" s="1" t="s">
        <v>963</v>
      </c>
      <c r="I249" s="1" t="s">
        <v>1</v>
      </c>
      <c r="J249" s="1" t="s">
        <v>1</v>
      </c>
      <c r="K249" s="1" t="s">
        <v>964</v>
      </c>
      <c r="L249" s="1" t="s">
        <v>1</v>
      </c>
      <c r="M249" s="1" t="s">
        <v>1</v>
      </c>
      <c r="N249" s="1" t="s">
        <v>1</v>
      </c>
      <c r="O249" s="1" t="s">
        <v>3290</v>
      </c>
      <c r="P249" s="1" t="s">
        <v>965</v>
      </c>
      <c r="Q249" s="1">
        <v>-1</v>
      </c>
      <c r="R249" s="1"/>
      <c r="S249" s="1"/>
      <c r="T249" s="1"/>
      <c r="U249" s="1"/>
      <c r="V249" s="1"/>
      <c r="W249" s="1"/>
      <c r="X249" s="1"/>
      <c r="Y249" s="1"/>
      <c r="Z249" s="1"/>
      <c r="AA249" s="1"/>
      <c r="AB249" s="1"/>
      <c r="AC249" s="1"/>
      <c r="AD249" s="1"/>
      <c r="AE249" s="1"/>
      <c r="AF249" s="1"/>
    </row>
    <row r="250" spans="1:32" hidden="1" x14ac:dyDescent="0.25">
      <c r="A250" s="1">
        <v>249</v>
      </c>
      <c r="B250" s="1"/>
      <c r="C250" s="1" t="s">
        <v>1272</v>
      </c>
      <c r="D250" s="1" t="s">
        <v>3496</v>
      </c>
      <c r="E250">
        <v>2016</v>
      </c>
      <c r="F250" s="1" t="s">
        <v>0</v>
      </c>
      <c r="G250" s="1" t="s">
        <v>3497</v>
      </c>
      <c r="H250" s="1" t="s">
        <v>1273</v>
      </c>
      <c r="I250" s="1" t="s">
        <v>1</v>
      </c>
      <c r="J250" s="1" t="s">
        <v>1</v>
      </c>
      <c r="K250" s="1" t="s">
        <v>1274</v>
      </c>
      <c r="L250" s="1" t="s">
        <v>1</v>
      </c>
      <c r="M250" s="1" t="s">
        <v>1</v>
      </c>
      <c r="N250" s="1" t="s">
        <v>1</v>
      </c>
      <c r="O250" s="1" t="s">
        <v>3498</v>
      </c>
      <c r="P250" s="1" t="s">
        <v>1276</v>
      </c>
      <c r="Q250" s="1">
        <v>-1</v>
      </c>
      <c r="R250" s="1"/>
      <c r="S250" s="1"/>
      <c r="T250" s="1"/>
      <c r="U250" s="1"/>
      <c r="V250" s="1"/>
      <c r="W250" s="1"/>
      <c r="X250" s="1"/>
      <c r="Y250" s="1"/>
      <c r="Z250" s="1"/>
      <c r="AA250" s="1"/>
      <c r="AB250" s="1"/>
      <c r="AC250" s="1"/>
      <c r="AD250" s="1"/>
      <c r="AE250" s="1"/>
      <c r="AF250" s="1"/>
    </row>
    <row r="251" spans="1:32" hidden="1" x14ac:dyDescent="0.25">
      <c r="A251" s="1">
        <v>250</v>
      </c>
      <c r="B251" s="1"/>
      <c r="C251" s="1" t="s">
        <v>1689</v>
      </c>
      <c r="D251" s="1" t="s">
        <v>3827</v>
      </c>
      <c r="E251">
        <v>2017</v>
      </c>
      <c r="F251" s="1" t="s">
        <v>0</v>
      </c>
      <c r="G251" s="1" t="s">
        <v>3828</v>
      </c>
      <c r="H251" s="1" t="s">
        <v>1602</v>
      </c>
      <c r="I251" s="1" t="s">
        <v>3745</v>
      </c>
      <c r="J251" s="1" t="s">
        <v>1</v>
      </c>
      <c r="K251" s="1" t="s">
        <v>1690</v>
      </c>
      <c r="L251" s="1" t="s">
        <v>1</v>
      </c>
      <c r="M251" s="1" t="s">
        <v>1</v>
      </c>
      <c r="N251" s="1" t="s">
        <v>1</v>
      </c>
      <c r="O251" s="1" t="s">
        <v>3829</v>
      </c>
      <c r="P251" s="1" t="s">
        <v>1691</v>
      </c>
      <c r="Q251" s="1">
        <v>-1</v>
      </c>
      <c r="R251" s="1"/>
      <c r="S251" s="1"/>
      <c r="T251" s="1"/>
      <c r="U251" s="1"/>
      <c r="V251" s="1"/>
      <c r="W251" s="1"/>
      <c r="X251" s="1"/>
      <c r="Y251" s="1"/>
      <c r="Z251" s="1"/>
      <c r="AA251" s="1"/>
      <c r="AB251" s="1"/>
      <c r="AC251" s="1"/>
      <c r="AD251" s="1"/>
      <c r="AE251" s="1"/>
      <c r="AF251" s="1"/>
    </row>
    <row r="252" spans="1:32" hidden="1" x14ac:dyDescent="0.25">
      <c r="A252" s="1">
        <v>251</v>
      </c>
      <c r="B252" s="1"/>
      <c r="C252" s="1" t="s">
        <v>1904</v>
      </c>
      <c r="D252" s="1" t="s">
        <v>3985</v>
      </c>
      <c r="E252">
        <v>2015</v>
      </c>
      <c r="F252" s="1" t="s">
        <v>0</v>
      </c>
      <c r="G252" s="1" t="s">
        <v>1</v>
      </c>
      <c r="H252" s="1" t="s">
        <v>1905</v>
      </c>
      <c r="I252" s="1" t="s">
        <v>1</v>
      </c>
      <c r="J252" s="1" t="s">
        <v>1</v>
      </c>
      <c r="K252" s="1" t="s">
        <v>3195</v>
      </c>
      <c r="L252" s="1" t="s">
        <v>1</v>
      </c>
      <c r="M252" s="1" t="s">
        <v>1</v>
      </c>
      <c r="N252" s="1" t="s">
        <v>1</v>
      </c>
      <c r="O252" s="1" t="s">
        <v>3986</v>
      </c>
      <c r="P252" s="1" t="s">
        <v>1906</v>
      </c>
      <c r="Q252" s="1">
        <v>-1</v>
      </c>
      <c r="R252" s="1"/>
      <c r="S252" s="1"/>
      <c r="T252" s="1"/>
      <c r="U252" s="1"/>
      <c r="V252" s="1"/>
      <c r="W252" s="1"/>
      <c r="X252" s="1"/>
      <c r="Y252" s="1"/>
      <c r="Z252" s="1"/>
      <c r="AA252" s="1"/>
      <c r="AB252" s="1"/>
      <c r="AC252" s="1"/>
      <c r="AD252" s="1"/>
      <c r="AE252" s="1"/>
      <c r="AF252" s="1"/>
    </row>
    <row r="253" spans="1:32" hidden="1" x14ac:dyDescent="0.25">
      <c r="A253" s="1">
        <v>252</v>
      </c>
      <c r="B253" s="1"/>
      <c r="C253" s="1" t="s">
        <v>2223</v>
      </c>
      <c r="D253" s="1" t="s">
        <v>4228</v>
      </c>
      <c r="E253">
        <v>2011</v>
      </c>
      <c r="F253" s="1" t="s">
        <v>0</v>
      </c>
      <c r="G253" s="1" t="s">
        <v>4229</v>
      </c>
      <c r="H253" s="1" t="s">
        <v>2224</v>
      </c>
      <c r="I253" s="1" t="s">
        <v>1</v>
      </c>
      <c r="J253" s="1" t="s">
        <v>1</v>
      </c>
      <c r="K253" s="1" t="s">
        <v>2225</v>
      </c>
      <c r="L253" s="1" t="s">
        <v>1</v>
      </c>
      <c r="M253" s="1" t="s">
        <v>1</v>
      </c>
      <c r="N253" s="1" t="s">
        <v>1</v>
      </c>
      <c r="O253" s="1" t="s">
        <v>4230</v>
      </c>
      <c r="P253" s="1" t="s">
        <v>2226</v>
      </c>
      <c r="Q253" s="1">
        <v>-1</v>
      </c>
      <c r="R253" s="1"/>
      <c r="S253" s="1"/>
      <c r="T253" s="1"/>
      <c r="U253" s="1"/>
      <c r="V253" s="1"/>
      <c r="W253" s="1"/>
      <c r="X253" s="1"/>
      <c r="Y253" s="1"/>
      <c r="Z253" s="1"/>
      <c r="AA253" s="1"/>
      <c r="AB253" s="1"/>
      <c r="AC253" s="1"/>
      <c r="AD253" s="1"/>
      <c r="AE253" s="1"/>
      <c r="AF253" s="1"/>
    </row>
    <row r="254" spans="1:32" hidden="1" x14ac:dyDescent="0.25">
      <c r="A254" s="1">
        <v>253</v>
      </c>
      <c r="B254" s="1"/>
      <c r="C254" s="1" t="s">
        <v>2544</v>
      </c>
      <c r="D254" s="1" t="s">
        <v>4478</v>
      </c>
      <c r="E254">
        <v>2016</v>
      </c>
      <c r="F254" s="1" t="s">
        <v>127</v>
      </c>
      <c r="G254" s="1" t="s">
        <v>4479</v>
      </c>
      <c r="H254" s="1" t="s">
        <v>2066</v>
      </c>
      <c r="I254" s="1" t="s">
        <v>1</v>
      </c>
      <c r="J254" s="1" t="s">
        <v>1</v>
      </c>
      <c r="K254" s="1" t="s">
        <v>2545</v>
      </c>
      <c r="L254" s="1" t="s">
        <v>2067</v>
      </c>
      <c r="M254" s="1" t="s">
        <v>1</v>
      </c>
      <c r="N254" s="1" t="s">
        <v>2546</v>
      </c>
      <c r="O254" s="1" t="s">
        <v>4480</v>
      </c>
      <c r="P254" s="1" t="s">
        <v>4481</v>
      </c>
      <c r="Q254" s="1">
        <v>-1</v>
      </c>
      <c r="R254" s="1"/>
      <c r="S254" s="1"/>
      <c r="T254" s="1"/>
      <c r="U254" s="1"/>
      <c r="V254" s="1"/>
      <c r="W254" s="1"/>
      <c r="X254" s="1"/>
      <c r="Y254" s="1"/>
      <c r="Z254" s="1"/>
      <c r="AA254" s="1"/>
      <c r="AB254" s="1"/>
      <c r="AC254" s="1"/>
      <c r="AD254" s="1"/>
      <c r="AE254" s="1"/>
      <c r="AF254" s="1"/>
    </row>
    <row r="255" spans="1:32" hidden="1" x14ac:dyDescent="0.25">
      <c r="A255" s="1">
        <v>254</v>
      </c>
      <c r="B255" s="1"/>
      <c r="C255" s="1" t="s">
        <v>3016</v>
      </c>
      <c r="D255" s="1" t="s">
        <v>4860</v>
      </c>
      <c r="E255">
        <v>2010</v>
      </c>
      <c r="F255" s="1" t="s">
        <v>0</v>
      </c>
      <c r="G255" s="1" t="s">
        <v>1</v>
      </c>
      <c r="H255" s="1" t="s">
        <v>3017</v>
      </c>
      <c r="I255" s="1" t="s">
        <v>1</v>
      </c>
      <c r="J255" s="1" t="s">
        <v>1</v>
      </c>
      <c r="K255" s="1" t="s">
        <v>3184</v>
      </c>
      <c r="L255" s="1" t="s">
        <v>1</v>
      </c>
      <c r="M255" s="1" t="s">
        <v>1</v>
      </c>
      <c r="N255" s="1" t="s">
        <v>1</v>
      </c>
      <c r="O255" s="1" t="s">
        <v>4863</v>
      </c>
      <c r="P255" s="1" t="s">
        <v>3018</v>
      </c>
      <c r="Q255" s="1">
        <v>-1</v>
      </c>
      <c r="R255" s="1"/>
      <c r="S255" s="1"/>
      <c r="T255" s="1"/>
      <c r="U255" s="1"/>
      <c r="V255" s="1"/>
      <c r="W255" s="1"/>
      <c r="X255" s="1"/>
      <c r="Y255" s="1"/>
      <c r="Z255" s="1"/>
      <c r="AA255" s="1"/>
      <c r="AB255" s="1"/>
      <c r="AC255" s="1"/>
      <c r="AD255" s="1"/>
      <c r="AE255" s="1"/>
      <c r="AF255" s="1"/>
    </row>
    <row r="256" spans="1:32" hidden="1" x14ac:dyDescent="0.25">
      <c r="A256" s="1">
        <v>255</v>
      </c>
      <c r="B256" s="1"/>
      <c r="C256" s="1" t="s">
        <v>3103</v>
      </c>
      <c r="D256" s="1" t="s">
        <v>4918</v>
      </c>
      <c r="E256">
        <v>2013</v>
      </c>
      <c r="F256" s="1" t="s">
        <v>116</v>
      </c>
      <c r="G256" s="1" t="s">
        <v>4922</v>
      </c>
      <c r="H256" s="1" t="s">
        <v>3104</v>
      </c>
      <c r="I256" s="1" t="s">
        <v>4248</v>
      </c>
      <c r="J256" s="1" t="s">
        <v>3174</v>
      </c>
      <c r="K256" s="1" t="s">
        <v>3105</v>
      </c>
      <c r="L256" s="1" t="s">
        <v>1</v>
      </c>
      <c r="M256" s="1" t="s">
        <v>1</v>
      </c>
      <c r="N256" s="1" t="s">
        <v>3107</v>
      </c>
      <c r="O256" s="1" t="s">
        <v>4923</v>
      </c>
      <c r="P256" s="1" t="s">
        <v>3106</v>
      </c>
      <c r="Q256" s="1">
        <v>-1</v>
      </c>
      <c r="R256" s="1"/>
      <c r="S256" s="1"/>
      <c r="T256" s="1"/>
      <c r="U256" s="1"/>
      <c r="V256" s="1"/>
      <c r="W256" s="1"/>
      <c r="X256" s="1"/>
      <c r="Y256" s="1"/>
      <c r="Z256" s="1"/>
      <c r="AA256" s="1"/>
      <c r="AB256" s="1"/>
      <c r="AC256" s="1"/>
      <c r="AD256" s="1"/>
      <c r="AE256" s="1"/>
      <c r="AF256" s="1"/>
    </row>
    <row r="257" spans="1:32" hidden="1" x14ac:dyDescent="0.25">
      <c r="A257" s="1">
        <v>256</v>
      </c>
      <c r="B257" s="1"/>
      <c r="C257" s="1" t="s">
        <v>3051</v>
      </c>
      <c r="D257" s="1" t="s">
        <v>4887</v>
      </c>
      <c r="E257">
        <v>2016</v>
      </c>
      <c r="F257" s="1" t="s">
        <v>138</v>
      </c>
      <c r="G257" s="1" t="s">
        <v>1</v>
      </c>
      <c r="H257" s="1" t="s">
        <v>3052</v>
      </c>
      <c r="I257" s="1" t="s">
        <v>1</v>
      </c>
      <c r="J257" s="1" t="s">
        <v>1</v>
      </c>
      <c r="K257" s="1" t="s">
        <v>3053</v>
      </c>
      <c r="L257" s="1" t="s">
        <v>1</v>
      </c>
      <c r="M257" s="1" t="s">
        <v>1</v>
      </c>
      <c r="N257" s="1" t="s">
        <v>3054</v>
      </c>
      <c r="O257" s="1" t="s">
        <v>1</v>
      </c>
      <c r="P257" s="1" t="s">
        <v>177</v>
      </c>
      <c r="Q257" s="1">
        <v>-1</v>
      </c>
      <c r="R257" s="1"/>
      <c r="S257" s="1"/>
      <c r="T257" s="1"/>
      <c r="U257" s="1"/>
      <c r="V257" s="1"/>
      <c r="W257" s="1"/>
      <c r="X257" s="1"/>
      <c r="Y257" s="1"/>
      <c r="Z257" s="1"/>
      <c r="AA257" s="1"/>
      <c r="AB257" s="1"/>
      <c r="AC257" s="1"/>
      <c r="AD257" s="1"/>
      <c r="AE257" s="1"/>
      <c r="AF257" s="1"/>
    </row>
    <row r="258" spans="1:32" hidden="1" x14ac:dyDescent="0.25">
      <c r="A258" s="1">
        <v>257</v>
      </c>
      <c r="B258" s="1"/>
      <c r="C258" s="1" t="s">
        <v>594</v>
      </c>
      <c r="D258" s="1" t="s">
        <v>171</v>
      </c>
      <c r="E258">
        <v>2015</v>
      </c>
      <c r="F258" s="1" t="s">
        <v>0</v>
      </c>
      <c r="G258" s="1" t="s">
        <v>4448</v>
      </c>
      <c r="H258" s="1" t="s">
        <v>1</v>
      </c>
      <c r="I258" s="1" t="s">
        <v>4290</v>
      </c>
      <c r="J258" s="1" t="s">
        <v>1</v>
      </c>
      <c r="K258" s="1" t="s">
        <v>2503</v>
      </c>
      <c r="L258" s="1" t="s">
        <v>595</v>
      </c>
      <c r="M258" s="1" t="s">
        <v>1</v>
      </c>
      <c r="N258" s="1" t="s">
        <v>596</v>
      </c>
      <c r="O258" s="1" t="s">
        <v>597</v>
      </c>
      <c r="P258" s="1" t="s">
        <v>598</v>
      </c>
      <c r="Q258" s="1">
        <v>-1</v>
      </c>
      <c r="R258" s="1"/>
      <c r="S258" s="1"/>
      <c r="T258" s="1"/>
      <c r="U258" s="1"/>
      <c r="V258" s="1"/>
      <c r="W258" s="1"/>
      <c r="X258" s="1"/>
      <c r="Y258" s="1"/>
      <c r="Z258" s="1"/>
      <c r="AA258" s="1"/>
      <c r="AB258" s="1"/>
      <c r="AC258" s="1"/>
      <c r="AD258" s="1"/>
      <c r="AE258" s="1"/>
      <c r="AF258" s="1"/>
    </row>
    <row r="259" spans="1:32" hidden="1" x14ac:dyDescent="0.25">
      <c r="A259" s="1">
        <v>258</v>
      </c>
      <c r="B259" s="1"/>
      <c r="C259" s="1" t="s">
        <v>2052</v>
      </c>
      <c r="D259" s="1" t="s">
        <v>4093</v>
      </c>
      <c r="E259">
        <v>2006</v>
      </c>
      <c r="F259" s="1" t="s">
        <v>0</v>
      </c>
      <c r="G259" s="1" t="s">
        <v>4094</v>
      </c>
      <c r="H259" s="1" t="s">
        <v>2053</v>
      </c>
      <c r="I259" s="1" t="s">
        <v>3142</v>
      </c>
      <c r="J259" s="1" t="s">
        <v>1</v>
      </c>
      <c r="K259" s="1" t="s">
        <v>2054</v>
      </c>
      <c r="L259" s="1" t="s">
        <v>1</v>
      </c>
      <c r="M259" s="1" t="s">
        <v>1</v>
      </c>
      <c r="N259" s="1" t="s">
        <v>1</v>
      </c>
      <c r="O259" s="1" t="s">
        <v>4095</v>
      </c>
      <c r="P259" s="1" t="s">
        <v>2055</v>
      </c>
      <c r="Q259" s="1">
        <v>-1</v>
      </c>
      <c r="R259" s="1"/>
      <c r="S259" s="1"/>
      <c r="T259" s="1"/>
      <c r="U259" s="1"/>
      <c r="V259" s="1"/>
      <c r="W259" s="1"/>
      <c r="X259" s="1"/>
      <c r="Y259" s="1"/>
      <c r="Z259" s="1"/>
      <c r="AA259" s="1"/>
      <c r="AB259" s="1"/>
      <c r="AC259" s="1"/>
      <c r="AD259" s="1"/>
      <c r="AE259" s="1"/>
      <c r="AF259" s="1"/>
    </row>
    <row r="260" spans="1:32" hidden="1" x14ac:dyDescent="0.25">
      <c r="A260" s="1">
        <v>259</v>
      </c>
      <c r="B260" s="1"/>
      <c r="C260" s="1" t="s">
        <v>1742</v>
      </c>
      <c r="D260" s="1" t="s">
        <v>1741</v>
      </c>
      <c r="E260">
        <v>2014</v>
      </c>
      <c r="F260" s="1" t="s">
        <v>0</v>
      </c>
      <c r="G260" s="1" t="s">
        <v>3860</v>
      </c>
      <c r="H260" s="1" t="s">
        <v>1743</v>
      </c>
      <c r="I260" s="1" t="s">
        <v>1</v>
      </c>
      <c r="J260" s="1" t="s">
        <v>1</v>
      </c>
      <c r="K260" s="1" t="s">
        <v>3195</v>
      </c>
      <c r="L260" s="1" t="s">
        <v>1</v>
      </c>
      <c r="M260" s="1" t="s">
        <v>1</v>
      </c>
      <c r="N260" s="1" t="s">
        <v>1</v>
      </c>
      <c r="O260" s="1" t="s">
        <v>3861</v>
      </c>
      <c r="P260" s="1" t="s">
        <v>1744</v>
      </c>
      <c r="Q260" s="1">
        <v>-1</v>
      </c>
      <c r="R260" s="1"/>
      <c r="S260" s="1"/>
      <c r="T260" s="1"/>
      <c r="U260" s="1"/>
      <c r="V260" s="1"/>
      <c r="W260" s="1"/>
      <c r="X260" s="1"/>
      <c r="Y260" s="1"/>
      <c r="Z260" s="1"/>
      <c r="AA260" s="1"/>
      <c r="AB260" s="1"/>
      <c r="AC260" s="1"/>
      <c r="AD260" s="1"/>
      <c r="AE260" s="1"/>
      <c r="AF260" s="1"/>
    </row>
    <row r="261" spans="1:32" hidden="1" x14ac:dyDescent="0.25">
      <c r="A261" s="1">
        <v>260</v>
      </c>
      <c r="B261" s="1"/>
      <c r="C261" s="1" t="s">
        <v>173</v>
      </c>
      <c r="D261" s="1" t="s">
        <v>172</v>
      </c>
      <c r="E261">
        <v>2017</v>
      </c>
      <c r="F261" s="1" t="s">
        <v>116</v>
      </c>
      <c r="G261" s="1" t="s">
        <v>1</v>
      </c>
      <c r="H261" s="1" t="s">
        <v>174</v>
      </c>
      <c r="I261" s="1" t="s">
        <v>3732</v>
      </c>
      <c r="J261" s="1" t="s">
        <v>1</v>
      </c>
      <c r="K261" s="1" t="s">
        <v>2577</v>
      </c>
      <c r="L261" s="1" t="s">
        <v>1</v>
      </c>
      <c r="M261" s="1" t="s">
        <v>1</v>
      </c>
      <c r="N261" s="1" t="s">
        <v>175</v>
      </c>
      <c r="O261" s="1" t="s">
        <v>1</v>
      </c>
      <c r="P261" s="1" t="s">
        <v>176</v>
      </c>
      <c r="Q261" s="1">
        <v>1</v>
      </c>
      <c r="R261" s="1">
        <v>-1</v>
      </c>
      <c r="S261" s="1"/>
      <c r="T261" s="1"/>
      <c r="U261" s="1"/>
      <c r="V261" s="1"/>
      <c r="W261" s="1"/>
      <c r="X261" s="1"/>
      <c r="Y261" s="1"/>
      <c r="Z261" s="1"/>
      <c r="AA261" s="1"/>
      <c r="AB261" s="1"/>
      <c r="AC261" s="1"/>
      <c r="AD261" s="1"/>
      <c r="AE261" s="1"/>
      <c r="AF261" s="1"/>
    </row>
    <row r="262" spans="1:32" hidden="1" x14ac:dyDescent="0.25">
      <c r="A262" s="1">
        <v>261</v>
      </c>
      <c r="B262" s="1"/>
      <c r="C262" s="1" t="s">
        <v>3128</v>
      </c>
      <c r="D262" s="1" t="s">
        <v>4941</v>
      </c>
      <c r="E262">
        <v>2015</v>
      </c>
      <c r="F262" s="1" t="s">
        <v>0</v>
      </c>
      <c r="G262" s="1" t="s">
        <v>4942</v>
      </c>
      <c r="H262" s="1" t="s">
        <v>2441</v>
      </c>
      <c r="I262" s="1" t="s">
        <v>1</v>
      </c>
      <c r="J262" s="1" t="s">
        <v>1</v>
      </c>
      <c r="K262" s="1" t="s">
        <v>3129</v>
      </c>
      <c r="L262" s="1" t="s">
        <v>1</v>
      </c>
      <c r="M262" s="1" t="s">
        <v>1</v>
      </c>
      <c r="N262" s="1" t="s">
        <v>1</v>
      </c>
      <c r="O262" s="1" t="s">
        <v>4943</v>
      </c>
      <c r="P262" s="1" t="s">
        <v>3130</v>
      </c>
      <c r="Q262" s="1">
        <v>-1</v>
      </c>
      <c r="R262" s="1"/>
      <c r="S262" s="1"/>
      <c r="T262" s="1"/>
      <c r="U262" s="1"/>
      <c r="V262" s="1"/>
      <c r="W262" s="1"/>
      <c r="X262" s="1"/>
      <c r="Y262" s="1"/>
      <c r="Z262" s="1"/>
      <c r="AA262" s="1"/>
      <c r="AB262" s="1"/>
      <c r="AC262" s="1"/>
      <c r="AD262" s="1"/>
      <c r="AE262" s="1"/>
      <c r="AF262" s="1"/>
    </row>
    <row r="263" spans="1:32" hidden="1" x14ac:dyDescent="0.25">
      <c r="A263" s="1">
        <v>262</v>
      </c>
      <c r="B263" s="1"/>
      <c r="C263" s="1" t="s">
        <v>2806</v>
      </c>
      <c r="D263" s="1" t="s">
        <v>4693</v>
      </c>
      <c r="E263">
        <v>2016</v>
      </c>
      <c r="F263" s="1" t="s">
        <v>116</v>
      </c>
      <c r="G263" s="1" t="s">
        <v>4694</v>
      </c>
      <c r="H263" s="1" t="s">
        <v>925</v>
      </c>
      <c r="I263" s="1" t="s">
        <v>3257</v>
      </c>
      <c r="J263" s="1" t="s">
        <v>1</v>
      </c>
      <c r="K263" s="1" t="s">
        <v>2807</v>
      </c>
      <c r="L263" s="1" t="s">
        <v>1</v>
      </c>
      <c r="M263" s="1" t="s">
        <v>1</v>
      </c>
      <c r="N263" s="1" t="s">
        <v>2809</v>
      </c>
      <c r="O263" s="1" t="s">
        <v>4695</v>
      </c>
      <c r="P263" s="1" t="s">
        <v>2808</v>
      </c>
      <c r="Q263" s="1">
        <v>-1</v>
      </c>
      <c r="R263" s="1"/>
      <c r="S263" s="1"/>
      <c r="T263" s="1"/>
      <c r="U263" s="1"/>
      <c r="V263" s="1"/>
      <c r="W263" s="1"/>
      <c r="X263" s="1"/>
      <c r="Y263" s="1"/>
      <c r="Z263" s="1"/>
      <c r="AA263" s="1"/>
      <c r="AB263" s="1"/>
      <c r="AC263" s="1"/>
      <c r="AD263" s="1"/>
      <c r="AE263" s="1"/>
      <c r="AF263" s="1"/>
    </row>
    <row r="264" spans="1:32" hidden="1" x14ac:dyDescent="0.25">
      <c r="A264" s="1">
        <v>263</v>
      </c>
      <c r="B264" s="1"/>
      <c r="C264" s="1" t="s">
        <v>2285</v>
      </c>
      <c r="D264" s="1" t="s">
        <v>2284</v>
      </c>
      <c r="E264">
        <v>2007</v>
      </c>
      <c r="F264" s="1" t="s">
        <v>127</v>
      </c>
      <c r="G264" s="1" t="s">
        <v>4280</v>
      </c>
      <c r="H264" s="1" t="s">
        <v>2286</v>
      </c>
      <c r="I264" s="1" t="s">
        <v>1</v>
      </c>
      <c r="J264" s="1" t="s">
        <v>1</v>
      </c>
      <c r="K264" s="1" t="s">
        <v>2287</v>
      </c>
      <c r="L264" s="1" t="s">
        <v>447</v>
      </c>
      <c r="M264" s="1" t="s">
        <v>1</v>
      </c>
      <c r="N264" s="1" t="s">
        <v>2288</v>
      </c>
      <c r="O264" s="1" t="s">
        <v>1</v>
      </c>
      <c r="P264" s="1" t="s">
        <v>4281</v>
      </c>
      <c r="Q264" s="1">
        <v>-1</v>
      </c>
      <c r="R264" s="1"/>
      <c r="S264" s="1"/>
      <c r="T264" s="1"/>
      <c r="U264" s="1"/>
      <c r="V264" s="1"/>
      <c r="W264" s="1"/>
      <c r="X264" s="1"/>
      <c r="Y264" s="1"/>
      <c r="Z264" s="1"/>
      <c r="AA264" s="1"/>
      <c r="AB264" s="1"/>
      <c r="AC264" s="1"/>
      <c r="AD264" s="1"/>
      <c r="AE264" s="1"/>
      <c r="AF264" s="1"/>
    </row>
    <row r="265" spans="1:32" hidden="1" x14ac:dyDescent="0.25">
      <c r="A265" s="1">
        <v>264</v>
      </c>
      <c r="B265" s="1"/>
      <c r="C265" s="1" t="s">
        <v>1598</v>
      </c>
      <c r="D265" s="1" t="s">
        <v>3758</v>
      </c>
      <c r="E265">
        <v>2012</v>
      </c>
      <c r="F265" s="1" t="s">
        <v>0</v>
      </c>
      <c r="G265" s="1" t="s">
        <v>3759</v>
      </c>
      <c r="H265" s="1" t="s">
        <v>1449</v>
      </c>
      <c r="I265" s="1" t="s">
        <v>1</v>
      </c>
      <c r="J265" s="1" t="s">
        <v>1</v>
      </c>
      <c r="K265" s="1" t="s">
        <v>1599</v>
      </c>
      <c r="L265" s="1" t="s">
        <v>1</v>
      </c>
      <c r="M265" s="1" t="s">
        <v>1</v>
      </c>
      <c r="N265" s="1" t="s">
        <v>1</v>
      </c>
      <c r="O265" s="1" t="s">
        <v>3760</v>
      </c>
      <c r="P265" s="1" t="s">
        <v>1600</v>
      </c>
      <c r="Q265" s="1">
        <v>-1</v>
      </c>
      <c r="R265" s="1"/>
      <c r="S265" s="1"/>
      <c r="T265" s="1"/>
      <c r="U265" s="1"/>
      <c r="V265" s="1"/>
      <c r="W265" s="1"/>
      <c r="X265" s="1"/>
      <c r="Y265" s="1"/>
      <c r="Z265" s="1"/>
      <c r="AA265" s="1"/>
      <c r="AB265" s="1"/>
      <c r="AC265" s="1"/>
      <c r="AD265" s="1"/>
      <c r="AE265" s="1"/>
      <c r="AF265" s="1"/>
    </row>
    <row r="266" spans="1:32" hidden="1" x14ac:dyDescent="0.25">
      <c r="A266" s="1">
        <v>265</v>
      </c>
      <c r="B266" s="1"/>
      <c r="C266" s="1" t="s">
        <v>1568</v>
      </c>
      <c r="D266" s="1" t="s">
        <v>3728</v>
      </c>
      <c r="E266">
        <v>2017</v>
      </c>
      <c r="F266" s="1" t="s">
        <v>116</v>
      </c>
      <c r="G266" s="1" t="s">
        <v>3729</v>
      </c>
      <c r="H266" s="1" t="s">
        <v>1569</v>
      </c>
      <c r="I266" s="1" t="s">
        <v>3453</v>
      </c>
      <c r="J266" s="1" t="s">
        <v>3174</v>
      </c>
      <c r="K266" s="1" t="s">
        <v>1570</v>
      </c>
      <c r="L266" s="1" t="s">
        <v>1035</v>
      </c>
      <c r="M266" s="1" t="s">
        <v>1</v>
      </c>
      <c r="N266" s="1" t="s">
        <v>1572</v>
      </c>
      <c r="O266" s="1" t="s">
        <v>3730</v>
      </c>
      <c r="P266" s="1" t="s">
        <v>1571</v>
      </c>
      <c r="Q266" s="1">
        <v>-1</v>
      </c>
      <c r="R266" s="1"/>
      <c r="S266" s="1"/>
      <c r="T266" s="1"/>
      <c r="U266" s="1"/>
      <c r="V266" s="1"/>
      <c r="W266" s="1"/>
      <c r="X266" s="1"/>
      <c r="Y266" s="1"/>
      <c r="Z266" s="1"/>
      <c r="AA266" s="1"/>
      <c r="AB266" s="1"/>
      <c r="AC266" s="1"/>
      <c r="AD266" s="1"/>
      <c r="AE266" s="1"/>
      <c r="AF266" s="1"/>
    </row>
    <row r="267" spans="1:32" hidden="1" x14ac:dyDescent="0.25">
      <c r="A267" s="1">
        <v>266</v>
      </c>
      <c r="B267" s="1"/>
      <c r="C267" s="1" t="s">
        <v>2901</v>
      </c>
      <c r="D267" s="1" t="s">
        <v>4773</v>
      </c>
      <c r="E267">
        <v>2013</v>
      </c>
      <c r="F267" s="1" t="s">
        <v>0</v>
      </c>
      <c r="G267" s="1" t="s">
        <v>1</v>
      </c>
      <c r="H267" s="1" t="s">
        <v>1</v>
      </c>
      <c r="I267" s="1" t="s">
        <v>4774</v>
      </c>
      <c r="J267" s="1" t="s">
        <v>1</v>
      </c>
      <c r="K267" s="1" t="s">
        <v>2902</v>
      </c>
      <c r="L267" s="1" t="s">
        <v>259</v>
      </c>
      <c r="M267" s="1" t="s">
        <v>1</v>
      </c>
      <c r="N267" s="1" t="s">
        <v>2904</v>
      </c>
      <c r="O267" s="1" t="s">
        <v>4775</v>
      </c>
      <c r="P267" s="1" t="s">
        <v>2903</v>
      </c>
      <c r="Q267" s="1">
        <v>-1</v>
      </c>
      <c r="R267" s="1"/>
      <c r="S267" s="1"/>
      <c r="T267" s="1"/>
      <c r="U267" s="1"/>
      <c r="V267" s="1"/>
      <c r="W267" s="1"/>
      <c r="X267" s="1"/>
      <c r="Y267" s="1"/>
      <c r="Z267" s="1"/>
      <c r="AA267" s="1"/>
      <c r="AB267" s="1"/>
      <c r="AC267" s="1"/>
      <c r="AD267" s="1"/>
      <c r="AE267" s="1"/>
      <c r="AF267" s="1"/>
    </row>
    <row r="268" spans="1:32" hidden="1" x14ac:dyDescent="0.25">
      <c r="A268" s="1">
        <v>267</v>
      </c>
      <c r="B268" s="1"/>
      <c r="C268" s="1" t="s">
        <v>1770</v>
      </c>
      <c r="D268" s="1" t="s">
        <v>3878</v>
      </c>
      <c r="E268">
        <v>2009</v>
      </c>
      <c r="F268" s="1" t="s">
        <v>0</v>
      </c>
      <c r="G268" s="1" t="s">
        <v>3879</v>
      </c>
      <c r="H268" s="1" t="s">
        <v>1771</v>
      </c>
      <c r="I268" s="1" t="s">
        <v>1</v>
      </c>
      <c r="J268" s="1" t="s">
        <v>1</v>
      </c>
      <c r="K268" s="1" t="s">
        <v>1772</v>
      </c>
      <c r="L268" s="1" t="s">
        <v>1</v>
      </c>
      <c r="M268" s="1" t="s">
        <v>1</v>
      </c>
      <c r="N268" s="1" t="s">
        <v>1</v>
      </c>
      <c r="O268" s="1" t="s">
        <v>3880</v>
      </c>
      <c r="P268" s="1" t="s">
        <v>1773</v>
      </c>
      <c r="Q268" s="1">
        <v>-1</v>
      </c>
      <c r="R268" s="1"/>
      <c r="S268" s="1"/>
      <c r="T268" s="1"/>
      <c r="U268" s="1"/>
      <c r="V268" s="1"/>
      <c r="W268" s="1"/>
      <c r="X268" s="1"/>
      <c r="Y268" s="1"/>
      <c r="Z268" s="1"/>
      <c r="AA268" s="1"/>
      <c r="AB268" s="1"/>
      <c r="AC268" s="1"/>
      <c r="AD268" s="1"/>
      <c r="AE268" s="1"/>
      <c r="AF268" s="1"/>
    </row>
    <row r="269" spans="1:32" hidden="1" x14ac:dyDescent="0.25">
      <c r="A269" s="1">
        <v>268</v>
      </c>
      <c r="B269" s="1"/>
      <c r="C269" s="1" t="s">
        <v>1239</v>
      </c>
      <c r="D269" s="1" t="s">
        <v>3470</v>
      </c>
      <c r="E269">
        <v>2009</v>
      </c>
      <c r="F269" s="1" t="s">
        <v>0</v>
      </c>
      <c r="G269" s="1" t="s">
        <v>3471</v>
      </c>
      <c r="H269" s="1" t="s">
        <v>1240</v>
      </c>
      <c r="I269" s="1" t="s">
        <v>3165</v>
      </c>
      <c r="J269" s="1" t="s">
        <v>1</v>
      </c>
      <c r="K269" s="1" t="s">
        <v>1241</v>
      </c>
      <c r="L269" s="1" t="s">
        <v>1</v>
      </c>
      <c r="M269" s="1" t="s">
        <v>1</v>
      </c>
      <c r="N269" s="1" t="s">
        <v>1</v>
      </c>
      <c r="O269" s="1" t="s">
        <v>3472</v>
      </c>
      <c r="P269" s="1" t="s">
        <v>1242</v>
      </c>
      <c r="Q269" s="1">
        <v>-1</v>
      </c>
      <c r="R269" s="1"/>
      <c r="S269" s="1"/>
      <c r="T269" s="1"/>
      <c r="U269" s="1"/>
      <c r="V269" s="1"/>
      <c r="W269" s="1"/>
      <c r="X269" s="1"/>
      <c r="Y269" s="1"/>
      <c r="Z269" s="1"/>
      <c r="AA269" s="1"/>
      <c r="AB269" s="1"/>
      <c r="AC269" s="1"/>
      <c r="AD269" s="1"/>
      <c r="AE269" s="1"/>
      <c r="AF269" s="1"/>
    </row>
    <row r="270" spans="1:32" hidden="1" x14ac:dyDescent="0.25">
      <c r="A270" s="1">
        <v>269</v>
      </c>
      <c r="B270" s="1"/>
      <c r="C270" s="1" t="s">
        <v>1291</v>
      </c>
      <c r="D270" s="1" t="s">
        <v>3506</v>
      </c>
      <c r="E270">
        <v>2015</v>
      </c>
      <c r="F270" s="1" t="s">
        <v>244</v>
      </c>
      <c r="G270" s="1" t="s">
        <v>3508</v>
      </c>
      <c r="H270" s="1" t="s">
        <v>1</v>
      </c>
      <c r="I270" s="1" t="s">
        <v>3507</v>
      </c>
      <c r="J270" s="1" t="s">
        <v>1</v>
      </c>
      <c r="K270" s="1" t="s">
        <v>1292</v>
      </c>
      <c r="L270" s="1" t="s">
        <v>247</v>
      </c>
      <c r="M270" s="1" t="s">
        <v>1</v>
      </c>
      <c r="N270" s="1" t="s">
        <v>1294</v>
      </c>
      <c r="O270" s="1" t="s">
        <v>3509</v>
      </c>
      <c r="P270" s="1" t="s">
        <v>1293</v>
      </c>
      <c r="Q270" s="1">
        <v>-1</v>
      </c>
      <c r="R270" s="1"/>
      <c r="S270" s="1"/>
      <c r="T270" s="1"/>
      <c r="U270" s="1"/>
      <c r="V270" s="1"/>
      <c r="W270" s="1"/>
      <c r="X270" s="1"/>
      <c r="Y270" s="1"/>
      <c r="Z270" s="1"/>
      <c r="AA270" s="1"/>
      <c r="AB270" s="1"/>
      <c r="AC270" s="1"/>
      <c r="AD270" s="1"/>
      <c r="AE270" s="1"/>
      <c r="AF270" s="1"/>
    </row>
    <row r="271" spans="1:32" hidden="1" x14ac:dyDescent="0.25">
      <c r="A271" s="1">
        <v>270</v>
      </c>
      <c r="B271" s="1"/>
      <c r="C271" s="1" t="s">
        <v>1858</v>
      </c>
      <c r="D271" s="1" t="s">
        <v>3946</v>
      </c>
      <c r="E271">
        <v>2014</v>
      </c>
      <c r="F271" s="1" t="s">
        <v>0</v>
      </c>
      <c r="G271" s="1" t="s">
        <v>3947</v>
      </c>
      <c r="H271" s="1" t="s">
        <v>1859</v>
      </c>
      <c r="I271" s="1" t="s">
        <v>1</v>
      </c>
      <c r="J271" s="1" t="s">
        <v>1</v>
      </c>
      <c r="K271" s="1" t="s">
        <v>1860</v>
      </c>
      <c r="L271" s="1" t="s">
        <v>1</v>
      </c>
      <c r="M271" s="1" t="s">
        <v>1</v>
      </c>
      <c r="N271" s="1" t="s">
        <v>1</v>
      </c>
      <c r="O271" s="1" t="s">
        <v>3948</v>
      </c>
      <c r="P271" s="1" t="s">
        <v>1861</v>
      </c>
      <c r="Q271" s="1">
        <v>-1</v>
      </c>
      <c r="R271" s="1"/>
      <c r="S271" s="1"/>
      <c r="T271" s="1"/>
      <c r="U271" s="1"/>
      <c r="V271" s="1"/>
      <c r="W271" s="1"/>
      <c r="X271" s="1"/>
      <c r="Y271" s="1"/>
      <c r="Z271" s="1"/>
      <c r="AA271" s="1"/>
      <c r="AB271" s="1"/>
      <c r="AC271" s="1"/>
      <c r="AD271" s="1"/>
      <c r="AE271" s="1"/>
      <c r="AF271" s="1"/>
    </row>
    <row r="272" spans="1:32" hidden="1" x14ac:dyDescent="0.25">
      <c r="A272" s="1">
        <v>271</v>
      </c>
      <c r="B272" s="1"/>
      <c r="C272" s="1" t="s">
        <v>2380</v>
      </c>
      <c r="D272" s="1" t="s">
        <v>4352</v>
      </c>
      <c r="E272">
        <v>2012</v>
      </c>
      <c r="F272" s="1" t="s">
        <v>658</v>
      </c>
      <c r="G272" s="1" t="s">
        <v>4353</v>
      </c>
      <c r="H272" s="1" t="s">
        <v>2381</v>
      </c>
      <c r="I272" s="1" t="s">
        <v>1</v>
      </c>
      <c r="J272" s="1" t="s">
        <v>1</v>
      </c>
      <c r="K272" s="1" t="s">
        <v>2383</v>
      </c>
      <c r="L272" s="1" t="s">
        <v>666</v>
      </c>
      <c r="M272" s="1" t="s">
        <v>2382</v>
      </c>
      <c r="N272" s="1" t="s">
        <v>1</v>
      </c>
      <c r="O272" s="1" t="s">
        <v>1</v>
      </c>
      <c r="P272" s="1" t="s">
        <v>4965</v>
      </c>
      <c r="Q272" s="1">
        <v>-1</v>
      </c>
      <c r="R272" s="1"/>
      <c r="S272" s="1"/>
      <c r="T272" s="1"/>
      <c r="U272" s="1"/>
      <c r="V272" s="1"/>
      <c r="W272" s="1"/>
      <c r="X272" s="1"/>
      <c r="Y272" s="1"/>
      <c r="Z272" s="1"/>
      <c r="AA272" s="1"/>
      <c r="AB272" s="1"/>
      <c r="AC272" s="1"/>
      <c r="AD272" s="1"/>
      <c r="AE272" s="1"/>
      <c r="AF272" s="1"/>
    </row>
    <row r="273" spans="1:32" hidden="1" x14ac:dyDescent="0.25">
      <c r="A273" s="1">
        <v>272</v>
      </c>
      <c r="B273" s="1"/>
      <c r="C273" s="1" t="s">
        <v>2899</v>
      </c>
      <c r="D273" s="1" t="s">
        <v>4770</v>
      </c>
      <c r="E273">
        <v>2010</v>
      </c>
      <c r="F273" s="1" t="s">
        <v>0</v>
      </c>
      <c r="G273" s="1" t="s">
        <v>4771</v>
      </c>
      <c r="H273" s="1" t="s">
        <v>1067</v>
      </c>
      <c r="I273" s="1" t="s">
        <v>1</v>
      </c>
      <c r="J273" s="1" t="s">
        <v>1</v>
      </c>
      <c r="K273" s="1" t="s">
        <v>3272</v>
      </c>
      <c r="L273" s="1" t="s">
        <v>1</v>
      </c>
      <c r="M273" s="1" t="s">
        <v>1</v>
      </c>
      <c r="N273" s="1" t="s">
        <v>1</v>
      </c>
      <c r="O273" s="1" t="s">
        <v>4772</v>
      </c>
      <c r="P273" s="1" t="s">
        <v>2900</v>
      </c>
      <c r="Q273" s="1">
        <v>-1</v>
      </c>
      <c r="R273" s="1"/>
      <c r="S273" s="1"/>
      <c r="T273" s="1"/>
      <c r="U273" s="1"/>
      <c r="V273" s="1"/>
      <c r="W273" s="1"/>
      <c r="X273" s="1"/>
      <c r="Y273" s="1"/>
      <c r="Z273" s="1"/>
      <c r="AA273" s="1"/>
      <c r="AB273" s="1"/>
      <c r="AC273" s="1"/>
      <c r="AD273" s="1"/>
      <c r="AE273" s="1"/>
      <c r="AF273" s="1"/>
    </row>
    <row r="274" spans="1:32" hidden="1" x14ac:dyDescent="0.25">
      <c r="A274" s="1">
        <v>273</v>
      </c>
      <c r="B274" s="1"/>
      <c r="C274" s="1" t="s">
        <v>2425</v>
      </c>
      <c r="D274" s="1" t="s">
        <v>4385</v>
      </c>
      <c r="E274">
        <v>2005</v>
      </c>
      <c r="F274" s="1" t="s">
        <v>0</v>
      </c>
      <c r="G274" s="1" t="s">
        <v>4386</v>
      </c>
      <c r="H274" s="1" t="s">
        <v>2426</v>
      </c>
      <c r="I274" s="1" t="s">
        <v>1</v>
      </c>
      <c r="J274" s="1" t="s">
        <v>1</v>
      </c>
      <c r="K274" s="1" t="s">
        <v>2427</v>
      </c>
      <c r="L274" s="1" t="s">
        <v>1</v>
      </c>
      <c r="M274" s="1" t="s">
        <v>1</v>
      </c>
      <c r="N274" s="1" t="s">
        <v>1</v>
      </c>
      <c r="O274" s="1" t="s">
        <v>4387</v>
      </c>
      <c r="P274" s="1" t="s">
        <v>2428</v>
      </c>
      <c r="Q274" s="1">
        <v>-1</v>
      </c>
      <c r="R274" s="1"/>
      <c r="S274" s="1"/>
      <c r="T274" s="1"/>
      <c r="U274" s="1"/>
      <c r="V274" s="1"/>
      <c r="W274" s="1"/>
      <c r="X274" s="1"/>
      <c r="Y274" s="1"/>
      <c r="Z274" s="1"/>
      <c r="AA274" s="1"/>
      <c r="AB274" s="1"/>
      <c r="AC274" s="1"/>
      <c r="AD274" s="1"/>
      <c r="AE274" s="1"/>
      <c r="AF274" s="1"/>
    </row>
    <row r="275" spans="1:32" hidden="1" x14ac:dyDescent="0.25">
      <c r="A275" s="1">
        <v>274</v>
      </c>
      <c r="B275" s="1"/>
      <c r="C275" s="1" t="s">
        <v>1533</v>
      </c>
      <c r="D275" s="1" t="s">
        <v>3701</v>
      </c>
      <c r="E275">
        <v>2009</v>
      </c>
      <c r="F275" s="1" t="s">
        <v>0</v>
      </c>
      <c r="G275" s="1" t="s">
        <v>3702</v>
      </c>
      <c r="H275" s="1" t="s">
        <v>1534</v>
      </c>
      <c r="I275" s="1" t="s">
        <v>1</v>
      </c>
      <c r="J275" s="1" t="s">
        <v>1</v>
      </c>
      <c r="K275" s="1" t="s">
        <v>1535</v>
      </c>
      <c r="L275" s="1" t="s">
        <v>1</v>
      </c>
      <c r="M275" s="1" t="s">
        <v>1</v>
      </c>
      <c r="N275" s="1" t="s">
        <v>1</v>
      </c>
      <c r="O275" s="1" t="s">
        <v>3703</v>
      </c>
      <c r="P275" s="1" t="s">
        <v>1536</v>
      </c>
      <c r="Q275" s="1">
        <v>-1</v>
      </c>
      <c r="R275" s="1"/>
      <c r="S275" s="1"/>
      <c r="T275" s="1"/>
      <c r="U275" s="1"/>
      <c r="V275" s="1"/>
      <c r="W275" s="1"/>
      <c r="X275" s="1"/>
      <c r="Y275" s="1"/>
      <c r="Z275" s="1"/>
      <c r="AA275" s="1"/>
      <c r="AB275" s="1"/>
      <c r="AC275" s="1"/>
      <c r="AD275" s="1"/>
      <c r="AE275" s="1"/>
      <c r="AF275" s="1"/>
    </row>
    <row r="276" spans="1:32" hidden="1" x14ac:dyDescent="0.25">
      <c r="A276" s="1">
        <v>275</v>
      </c>
      <c r="B276" s="1"/>
      <c r="C276" s="1" t="s">
        <v>2964</v>
      </c>
      <c r="D276" s="1" t="s">
        <v>4822</v>
      </c>
      <c r="E276">
        <v>2012</v>
      </c>
      <c r="F276" s="1" t="s">
        <v>116</v>
      </c>
      <c r="G276" s="1" t="s">
        <v>4823</v>
      </c>
      <c r="H276" s="1" t="s">
        <v>2965</v>
      </c>
      <c r="I276" s="1" t="s">
        <v>3698</v>
      </c>
      <c r="J276" s="1" t="s">
        <v>3142</v>
      </c>
      <c r="K276" s="1" t="s">
        <v>2966</v>
      </c>
      <c r="L276" s="1" t="s">
        <v>1</v>
      </c>
      <c r="M276" s="1" t="s">
        <v>1</v>
      </c>
      <c r="N276" s="1" t="s">
        <v>2968</v>
      </c>
      <c r="O276" s="1" t="s">
        <v>4824</v>
      </c>
      <c r="P276" s="1" t="s">
        <v>2967</v>
      </c>
      <c r="Q276" s="1">
        <v>-1</v>
      </c>
      <c r="R276" s="1"/>
      <c r="S276" s="1"/>
      <c r="T276" s="1"/>
      <c r="U276" s="1"/>
      <c r="V276" s="1"/>
      <c r="W276" s="1"/>
      <c r="X276" s="1"/>
      <c r="Y276" s="1"/>
      <c r="Z276" s="1"/>
      <c r="AA276" s="1"/>
      <c r="AB276" s="1"/>
      <c r="AC276" s="1"/>
      <c r="AD276" s="1"/>
      <c r="AE276" s="1"/>
      <c r="AF276" s="1"/>
    </row>
    <row r="277" spans="1:32" hidden="1" x14ac:dyDescent="0.25">
      <c r="A277" s="1">
        <v>276</v>
      </c>
      <c r="B277" s="1"/>
      <c r="C277" s="1" t="s">
        <v>2762</v>
      </c>
      <c r="D277" s="1" t="s">
        <v>631</v>
      </c>
      <c r="E277">
        <v>2015</v>
      </c>
      <c r="F277" s="1" t="s">
        <v>0</v>
      </c>
      <c r="G277" s="1" t="s">
        <v>4659</v>
      </c>
      <c r="H277" s="1" t="s">
        <v>2763</v>
      </c>
      <c r="I277" s="1" t="s">
        <v>1</v>
      </c>
      <c r="J277" s="1" t="s">
        <v>1</v>
      </c>
      <c r="K277" s="1" t="s">
        <v>2764</v>
      </c>
      <c r="L277" s="1" t="s">
        <v>1</v>
      </c>
      <c r="M277" s="1" t="s">
        <v>1</v>
      </c>
      <c r="N277" s="1" t="s">
        <v>1</v>
      </c>
      <c r="O277" s="1" t="s">
        <v>4660</v>
      </c>
      <c r="P277" s="1" t="s">
        <v>2765</v>
      </c>
      <c r="Q277" s="1">
        <v>-1</v>
      </c>
      <c r="R277" s="1"/>
      <c r="S277" s="1"/>
      <c r="T277" s="1"/>
      <c r="U277" s="1"/>
      <c r="V277" s="1"/>
      <c r="W277" s="1"/>
      <c r="X277" s="1"/>
      <c r="Y277" s="1"/>
      <c r="Z277" s="1"/>
      <c r="AA277" s="1"/>
      <c r="AB277" s="1"/>
      <c r="AC277" s="1"/>
      <c r="AD277" s="1"/>
      <c r="AE277" s="1"/>
      <c r="AF277" s="1"/>
    </row>
    <row r="278" spans="1:32" hidden="1" x14ac:dyDescent="0.25">
      <c r="A278" s="1">
        <v>277</v>
      </c>
      <c r="B278" s="1"/>
      <c r="C278" s="1" t="s">
        <v>1751</v>
      </c>
      <c r="D278" s="1" t="s">
        <v>1750</v>
      </c>
      <c r="E278">
        <v>2008</v>
      </c>
      <c r="F278" s="1" t="s">
        <v>0</v>
      </c>
      <c r="G278" s="1" t="s">
        <v>1</v>
      </c>
      <c r="H278" s="1" t="s">
        <v>1752</v>
      </c>
      <c r="I278" s="1" t="s">
        <v>1</v>
      </c>
      <c r="J278" s="1" t="s">
        <v>1</v>
      </c>
      <c r="K278" s="1" t="s">
        <v>3184</v>
      </c>
      <c r="L278" s="1" t="s">
        <v>1</v>
      </c>
      <c r="M278" s="1" t="s">
        <v>1</v>
      </c>
      <c r="N278" s="1" t="s">
        <v>1</v>
      </c>
      <c r="O278" s="1" t="s">
        <v>3864</v>
      </c>
      <c r="P278" s="1" t="s">
        <v>1753</v>
      </c>
      <c r="Q278" s="1">
        <v>-1</v>
      </c>
      <c r="R278" s="1"/>
      <c r="S278" s="1"/>
      <c r="T278" s="1"/>
      <c r="U278" s="1"/>
      <c r="V278" s="1"/>
      <c r="W278" s="1"/>
      <c r="X278" s="1"/>
      <c r="Y278" s="1"/>
      <c r="Z278" s="1"/>
      <c r="AA278" s="1"/>
      <c r="AB278" s="1"/>
      <c r="AC278" s="1"/>
      <c r="AD278" s="1"/>
      <c r="AE278" s="1"/>
      <c r="AF278" s="1"/>
    </row>
    <row r="279" spans="1:32" hidden="1" x14ac:dyDescent="0.25">
      <c r="A279" s="1">
        <v>278</v>
      </c>
      <c r="B279" s="1"/>
      <c r="C279" s="1" t="s">
        <v>3005</v>
      </c>
      <c r="D279" s="1" t="s">
        <v>4853</v>
      </c>
      <c r="E279">
        <v>2015</v>
      </c>
      <c r="F279" s="1" t="s">
        <v>244</v>
      </c>
      <c r="G279" s="1" t="s">
        <v>4855</v>
      </c>
      <c r="H279" s="1" t="s">
        <v>1</v>
      </c>
      <c r="I279" s="1" t="s">
        <v>4854</v>
      </c>
      <c r="J279" s="1" t="s">
        <v>1</v>
      </c>
      <c r="K279" s="1" t="s">
        <v>3006</v>
      </c>
      <c r="L279" s="1" t="s">
        <v>247</v>
      </c>
      <c r="M279" s="1" t="s">
        <v>1</v>
      </c>
      <c r="N279" s="1" t="s">
        <v>3008</v>
      </c>
      <c r="O279" s="1" t="s">
        <v>4856</v>
      </c>
      <c r="P279" s="1" t="s">
        <v>3007</v>
      </c>
      <c r="Q279" s="1">
        <v>-1</v>
      </c>
      <c r="R279" s="1"/>
      <c r="S279" s="1"/>
      <c r="T279" s="1"/>
      <c r="U279" s="1"/>
      <c r="V279" s="1"/>
      <c r="W279" s="1"/>
      <c r="X279" s="1"/>
      <c r="Y279" s="1"/>
      <c r="Z279" s="1"/>
      <c r="AA279" s="1"/>
      <c r="AB279" s="1"/>
      <c r="AC279" s="1"/>
      <c r="AD279" s="1"/>
      <c r="AE279" s="1"/>
      <c r="AF279" s="1"/>
    </row>
    <row r="280" spans="1:32" hidden="1" x14ac:dyDescent="0.25">
      <c r="A280" s="1">
        <v>279</v>
      </c>
      <c r="B280" s="1"/>
      <c r="C280" s="1" t="s">
        <v>84</v>
      </c>
      <c r="D280" s="1" t="s">
        <v>79</v>
      </c>
      <c r="E280">
        <v>2011</v>
      </c>
      <c r="F280" s="1" t="s">
        <v>0</v>
      </c>
      <c r="G280" s="1" t="s">
        <v>4469</v>
      </c>
      <c r="H280" s="1" t="s">
        <v>3</v>
      </c>
      <c r="I280" s="1" t="s">
        <v>1</v>
      </c>
      <c r="J280" s="1" t="s">
        <v>1</v>
      </c>
      <c r="K280" s="1" t="s">
        <v>2530</v>
      </c>
      <c r="L280" s="1" t="s">
        <v>1</v>
      </c>
      <c r="M280" s="1" t="s">
        <v>1</v>
      </c>
      <c r="N280" s="1" t="s">
        <v>1</v>
      </c>
      <c r="O280" s="1" t="s">
        <v>86</v>
      </c>
      <c r="P280" s="1" t="s">
        <v>744</v>
      </c>
      <c r="Q280" s="1">
        <v>1</v>
      </c>
      <c r="R280" s="1">
        <v>-1</v>
      </c>
      <c r="S280" s="1"/>
      <c r="T280" s="1"/>
      <c r="U280" s="1"/>
      <c r="V280" s="1"/>
      <c r="W280" s="1"/>
      <c r="X280" s="1"/>
      <c r="Y280" s="1"/>
      <c r="Z280" s="1"/>
      <c r="AA280" s="1"/>
      <c r="AB280" s="1"/>
      <c r="AC280" s="1"/>
      <c r="AD280" s="1"/>
      <c r="AE280" s="1"/>
      <c r="AF280" s="1"/>
    </row>
    <row r="281" spans="1:32" hidden="1" x14ac:dyDescent="0.25">
      <c r="A281" s="1">
        <v>280</v>
      </c>
      <c r="B281" s="1"/>
      <c r="C281" s="1" t="s">
        <v>432</v>
      </c>
      <c r="D281" s="1" t="s">
        <v>431</v>
      </c>
      <c r="E281">
        <v>2014</v>
      </c>
      <c r="F281" s="1" t="s">
        <v>244</v>
      </c>
      <c r="G281" s="1" t="s">
        <v>1</v>
      </c>
      <c r="H281" s="1" t="s">
        <v>1</v>
      </c>
      <c r="I281" s="1" t="s">
        <v>3374</v>
      </c>
      <c r="J281" s="1" t="s">
        <v>1</v>
      </c>
      <c r="K281" s="1" t="s">
        <v>1100</v>
      </c>
      <c r="L281" s="1" t="s">
        <v>247</v>
      </c>
      <c r="M281" s="1" t="s">
        <v>1</v>
      </c>
      <c r="N281" s="1" t="s">
        <v>433</v>
      </c>
      <c r="O281" s="1" t="s">
        <v>434</v>
      </c>
      <c r="P281" s="1" t="s">
        <v>435</v>
      </c>
      <c r="Q281" s="1">
        <v>-1</v>
      </c>
      <c r="R281" s="1"/>
      <c r="S281" s="1"/>
      <c r="T281" s="1"/>
      <c r="U281" s="1"/>
      <c r="V281" s="1"/>
      <c r="W281" s="1"/>
      <c r="X281" s="1"/>
      <c r="Y281" s="1"/>
      <c r="Z281" s="1"/>
      <c r="AA281" s="1"/>
      <c r="AB281" s="1"/>
      <c r="AC281" s="1"/>
      <c r="AD281" s="1"/>
      <c r="AE281" s="1"/>
      <c r="AF281" s="1"/>
    </row>
    <row r="282" spans="1:32" hidden="1" x14ac:dyDescent="0.25">
      <c r="A282" s="1">
        <v>281</v>
      </c>
      <c r="B282" s="1"/>
      <c r="C282" s="1" t="s">
        <v>924</v>
      </c>
      <c r="D282" s="1" t="s">
        <v>3256</v>
      </c>
      <c r="E282">
        <v>2016</v>
      </c>
      <c r="F282" s="1" t="s">
        <v>116</v>
      </c>
      <c r="G282" s="1" t="s">
        <v>3258</v>
      </c>
      <c r="H282" s="1" t="s">
        <v>925</v>
      </c>
      <c r="I282" s="1" t="s">
        <v>3257</v>
      </c>
      <c r="J282" s="1" t="s">
        <v>1</v>
      </c>
      <c r="K282" s="1" t="s">
        <v>926</v>
      </c>
      <c r="L282" s="1" t="s">
        <v>1</v>
      </c>
      <c r="M282" s="1" t="s">
        <v>1</v>
      </c>
      <c r="N282" s="1" t="s">
        <v>928</v>
      </c>
      <c r="O282" s="1" t="s">
        <v>3259</v>
      </c>
      <c r="P282" s="1" t="s">
        <v>927</v>
      </c>
      <c r="Q282" s="1">
        <v>1</v>
      </c>
      <c r="R282" s="1">
        <v>-1</v>
      </c>
      <c r="S282" s="1"/>
      <c r="T282" s="1"/>
      <c r="U282" s="1"/>
      <c r="V282" s="1"/>
      <c r="W282" s="1"/>
      <c r="X282" s="1"/>
      <c r="Y282" s="1"/>
      <c r="Z282" s="1"/>
      <c r="AA282" s="1"/>
      <c r="AB282" s="1"/>
      <c r="AC282" s="1"/>
      <c r="AD282" s="1"/>
      <c r="AE282" s="1"/>
      <c r="AF282" s="1"/>
    </row>
    <row r="283" spans="1:32" hidden="1" x14ac:dyDescent="0.25">
      <c r="A283" s="1">
        <v>282</v>
      </c>
      <c r="B283" s="1"/>
      <c r="C283" s="1" t="s">
        <v>2850</v>
      </c>
      <c r="D283" s="1" t="s">
        <v>4729</v>
      </c>
      <c r="E283">
        <v>2017</v>
      </c>
      <c r="F283" s="1" t="s">
        <v>0</v>
      </c>
      <c r="G283" s="1" t="s">
        <v>4730</v>
      </c>
      <c r="H283" s="1" t="s">
        <v>40</v>
      </c>
      <c r="I283" s="1" t="s">
        <v>1</v>
      </c>
      <c r="J283" s="1" t="s">
        <v>1</v>
      </c>
      <c r="K283" s="1" t="s">
        <v>3184</v>
      </c>
      <c r="L283" s="1" t="s">
        <v>1</v>
      </c>
      <c r="M283" s="1" t="s">
        <v>1</v>
      </c>
      <c r="N283" s="1" t="s">
        <v>1</v>
      </c>
      <c r="O283" s="1" t="s">
        <v>4731</v>
      </c>
      <c r="P283" s="1" t="s">
        <v>2851</v>
      </c>
      <c r="Q283" s="1">
        <v>-1</v>
      </c>
      <c r="R283" s="1"/>
      <c r="S283" s="1"/>
      <c r="T283" s="1"/>
      <c r="U283" s="1"/>
      <c r="V283" s="1"/>
      <c r="W283" s="1"/>
      <c r="X283" s="1"/>
      <c r="Y283" s="1"/>
      <c r="Z283" s="1"/>
      <c r="AA283" s="1"/>
      <c r="AB283" s="1"/>
      <c r="AC283" s="1"/>
      <c r="AD283" s="1"/>
      <c r="AE283" s="1"/>
      <c r="AF283" s="1"/>
    </row>
    <row r="284" spans="1:32" hidden="1" x14ac:dyDescent="0.25">
      <c r="A284" s="1">
        <v>283</v>
      </c>
      <c r="B284" s="1"/>
      <c r="C284" s="1" t="s">
        <v>2107</v>
      </c>
      <c r="D284" s="1" t="s">
        <v>4137</v>
      </c>
      <c r="E284">
        <v>2004</v>
      </c>
      <c r="F284" s="1" t="s">
        <v>116</v>
      </c>
      <c r="G284" s="1" t="s">
        <v>4138</v>
      </c>
      <c r="H284" s="1" t="s">
        <v>2108</v>
      </c>
      <c r="I284" s="1" t="s">
        <v>3174</v>
      </c>
      <c r="J284" s="1" t="s">
        <v>3512</v>
      </c>
      <c r="K284" s="1" t="s">
        <v>2109</v>
      </c>
      <c r="L284" s="1" t="s">
        <v>1</v>
      </c>
      <c r="M284" s="1" t="s">
        <v>1</v>
      </c>
      <c r="N284" s="1" t="s">
        <v>1</v>
      </c>
      <c r="O284" s="1" t="s">
        <v>4139</v>
      </c>
      <c r="P284" s="1" t="s">
        <v>2110</v>
      </c>
      <c r="Q284" s="1">
        <v>-1</v>
      </c>
      <c r="R284" s="1"/>
      <c r="S284" s="1"/>
      <c r="T284" s="1"/>
      <c r="U284" s="1"/>
      <c r="V284" s="1"/>
      <c r="W284" s="1"/>
      <c r="X284" s="1"/>
      <c r="Y284" s="1"/>
      <c r="Z284" s="1"/>
      <c r="AA284" s="1"/>
      <c r="AB284" s="1"/>
      <c r="AC284" s="1"/>
      <c r="AD284" s="1"/>
      <c r="AE284" s="1"/>
      <c r="AF284" s="1"/>
    </row>
    <row r="285" spans="1:32" hidden="1" x14ac:dyDescent="0.25">
      <c r="A285" s="1">
        <v>284</v>
      </c>
      <c r="B285" s="1"/>
      <c r="C285" s="1" t="s">
        <v>2038</v>
      </c>
      <c r="D285" s="1" t="s">
        <v>2037</v>
      </c>
      <c r="E285">
        <v>2016</v>
      </c>
      <c r="F285" s="1" t="s">
        <v>0</v>
      </c>
      <c r="G285" s="1" t="s">
        <v>1</v>
      </c>
      <c r="H285" s="1" t="s">
        <v>1</v>
      </c>
      <c r="I285" s="1" t="s">
        <v>2040</v>
      </c>
      <c r="J285" s="1" t="s">
        <v>1</v>
      </c>
      <c r="K285" s="1" t="s">
        <v>2041</v>
      </c>
      <c r="L285" s="1" t="s">
        <v>2039</v>
      </c>
      <c r="M285" s="1" t="s">
        <v>1</v>
      </c>
      <c r="N285" s="1" t="s">
        <v>2043</v>
      </c>
      <c r="O285" s="1" t="s">
        <v>4087</v>
      </c>
      <c r="P285" s="1" t="s">
        <v>2042</v>
      </c>
      <c r="Q285" s="1">
        <v>-1</v>
      </c>
      <c r="R285" s="1"/>
      <c r="S285" s="1"/>
      <c r="T285" s="1"/>
      <c r="U285" s="1"/>
      <c r="V285" s="1"/>
      <c r="W285" s="1"/>
      <c r="X285" s="1"/>
      <c r="Y285" s="1"/>
      <c r="Z285" s="1"/>
      <c r="AA285" s="1"/>
      <c r="AB285" s="1"/>
      <c r="AC285" s="1"/>
      <c r="AD285" s="1"/>
      <c r="AE285" s="1"/>
      <c r="AF285" s="1"/>
    </row>
    <row r="286" spans="1:32" hidden="1" x14ac:dyDescent="0.25">
      <c r="A286" s="1">
        <v>285</v>
      </c>
      <c r="B286" s="1"/>
      <c r="C286" s="8" t="s">
        <v>1031</v>
      </c>
      <c r="D286" s="1" t="s">
        <v>3329</v>
      </c>
      <c r="E286">
        <v>2014</v>
      </c>
      <c r="F286" s="1" t="s">
        <v>0</v>
      </c>
      <c r="G286" s="1" t="s">
        <v>3330</v>
      </c>
      <c r="H286" s="1" t="s">
        <v>1032</v>
      </c>
      <c r="I286" s="1" t="s">
        <v>3141</v>
      </c>
      <c r="J286" s="1" t="s">
        <v>1</v>
      </c>
      <c r="K286" s="1" t="s">
        <v>1033</v>
      </c>
      <c r="L286" s="1" t="s">
        <v>1</v>
      </c>
      <c r="M286" s="1" t="s">
        <v>1</v>
      </c>
      <c r="N286" s="1" t="s">
        <v>1</v>
      </c>
      <c r="O286" s="1" t="s">
        <v>3331</v>
      </c>
      <c r="P286" s="1" t="s">
        <v>1034</v>
      </c>
      <c r="Q286" s="1">
        <v>-1</v>
      </c>
      <c r="R286" s="1"/>
      <c r="S286" s="1"/>
      <c r="T286" s="1"/>
      <c r="U286" s="1"/>
      <c r="V286" s="1"/>
      <c r="W286" s="1"/>
      <c r="X286" s="1"/>
      <c r="Y286" s="1"/>
      <c r="Z286" s="1"/>
      <c r="AA286" s="1"/>
      <c r="AB286" s="1"/>
      <c r="AC286" s="1"/>
      <c r="AD286" s="1"/>
      <c r="AE286" s="1"/>
      <c r="AF286" s="1"/>
    </row>
    <row r="287" spans="1:32" hidden="1" x14ac:dyDescent="0.25">
      <c r="A287" s="1">
        <v>286</v>
      </c>
      <c r="B287" s="1"/>
      <c r="C287" s="1" t="s">
        <v>1525</v>
      </c>
      <c r="D287" s="1" t="s">
        <v>1524</v>
      </c>
      <c r="E287">
        <v>2014</v>
      </c>
      <c r="F287" s="1" t="s">
        <v>0</v>
      </c>
      <c r="G287" s="1" t="s">
        <v>3695</v>
      </c>
      <c r="H287" s="1" t="s">
        <v>1526</v>
      </c>
      <c r="I287" s="1" t="s">
        <v>1</v>
      </c>
      <c r="J287" s="1" t="s">
        <v>1</v>
      </c>
      <c r="K287" s="1" t="s">
        <v>1527</v>
      </c>
      <c r="L287" s="1" t="s">
        <v>1</v>
      </c>
      <c r="M287" s="1" t="s">
        <v>1</v>
      </c>
      <c r="N287" s="1" t="s">
        <v>1</v>
      </c>
      <c r="O287" s="1" t="s">
        <v>3696</v>
      </c>
      <c r="P287" s="1" t="s">
        <v>1528</v>
      </c>
      <c r="Q287" s="1">
        <v>-1</v>
      </c>
      <c r="R287" s="1"/>
      <c r="S287" s="1"/>
      <c r="T287" s="1"/>
      <c r="U287" s="1"/>
      <c r="V287" s="1"/>
      <c r="W287" s="1"/>
      <c r="X287" s="1"/>
      <c r="Y287" s="1"/>
      <c r="Z287" s="1"/>
      <c r="AA287" s="1"/>
      <c r="AB287" s="1"/>
      <c r="AC287" s="1"/>
      <c r="AD287" s="1"/>
      <c r="AE287" s="1"/>
      <c r="AF287" s="1"/>
    </row>
    <row r="288" spans="1:32" x14ac:dyDescent="0.25">
      <c r="A288" s="1">
        <v>287</v>
      </c>
      <c r="B288" s="1">
        <v>16</v>
      </c>
      <c r="C288" s="5" t="s">
        <v>2616</v>
      </c>
      <c r="D288" s="1" t="s">
        <v>4542</v>
      </c>
      <c r="E288">
        <v>2016</v>
      </c>
      <c r="F288" s="1" t="s">
        <v>244</v>
      </c>
      <c r="G288" s="1" t="s">
        <v>4544</v>
      </c>
      <c r="H288" s="1" t="s">
        <v>2617</v>
      </c>
      <c r="I288" s="1" t="s">
        <v>4543</v>
      </c>
      <c r="J288" s="1" t="s">
        <v>1</v>
      </c>
      <c r="K288" s="1" t="s">
        <v>2619</v>
      </c>
      <c r="L288" s="1" t="s">
        <v>2618</v>
      </c>
      <c r="M288" s="1" t="s">
        <v>1</v>
      </c>
      <c r="N288" s="1" t="s">
        <v>2621</v>
      </c>
      <c r="O288" s="1" t="s">
        <v>4545</v>
      </c>
      <c r="P288" s="1" t="s">
        <v>2620</v>
      </c>
      <c r="Q288" s="1">
        <v>1</v>
      </c>
      <c r="R288" s="6">
        <v>1</v>
      </c>
      <c r="S288" s="1">
        <v>5.5</v>
      </c>
      <c r="T288" s="1" t="s">
        <v>5081</v>
      </c>
      <c r="U288" s="1" t="s">
        <v>5015</v>
      </c>
      <c r="V288" s="1" t="s">
        <v>5282</v>
      </c>
      <c r="W288" s="1" t="s">
        <v>4974</v>
      </c>
      <c r="X288" s="1" t="s">
        <v>658</v>
      </c>
      <c r="Y288" s="1" t="s">
        <v>3111</v>
      </c>
      <c r="Z288" s="1"/>
      <c r="AA288" s="1" t="s">
        <v>5007</v>
      </c>
      <c r="AB288" s="1">
        <v>3</v>
      </c>
      <c r="AC288" s="1">
        <v>1</v>
      </c>
      <c r="AD288" s="1">
        <v>1</v>
      </c>
      <c r="AE288" s="1">
        <v>3</v>
      </c>
      <c r="AF288" s="1"/>
    </row>
    <row r="289" spans="1:32" hidden="1" x14ac:dyDescent="0.25">
      <c r="A289" s="1">
        <v>288</v>
      </c>
      <c r="B289" s="1"/>
      <c r="C289" s="1" t="s">
        <v>1716</v>
      </c>
      <c r="D289" s="1" t="s">
        <v>1715</v>
      </c>
      <c r="E289">
        <v>2008</v>
      </c>
      <c r="F289" s="1" t="s">
        <v>0</v>
      </c>
      <c r="G289" s="1" t="s">
        <v>3842</v>
      </c>
      <c r="H289" s="1" t="s">
        <v>1717</v>
      </c>
      <c r="I289" s="1" t="s">
        <v>1</v>
      </c>
      <c r="J289" s="1" t="s">
        <v>1</v>
      </c>
      <c r="K289" s="1" t="s">
        <v>1718</v>
      </c>
      <c r="L289" s="1" t="s">
        <v>1</v>
      </c>
      <c r="M289" s="1" t="s">
        <v>1</v>
      </c>
      <c r="N289" s="1" t="s">
        <v>1</v>
      </c>
      <c r="O289" s="1" t="s">
        <v>3843</v>
      </c>
      <c r="P289" s="1" t="s">
        <v>1719</v>
      </c>
      <c r="Q289" s="1">
        <v>-1</v>
      </c>
      <c r="R289" s="1"/>
      <c r="S289" s="1"/>
      <c r="T289" s="1"/>
      <c r="U289" s="1"/>
      <c r="V289" s="1"/>
      <c r="W289" s="1"/>
      <c r="X289" s="1"/>
      <c r="Y289" s="1"/>
      <c r="Z289" s="1"/>
      <c r="AA289" s="1"/>
      <c r="AB289" s="1"/>
      <c r="AC289" s="1"/>
      <c r="AD289" s="1"/>
      <c r="AE289" s="1"/>
      <c r="AF289" s="1"/>
    </row>
    <row r="290" spans="1:32" hidden="1" x14ac:dyDescent="0.25">
      <c r="A290" s="1">
        <v>289</v>
      </c>
      <c r="B290" s="1"/>
      <c r="C290" s="1" t="s">
        <v>2336</v>
      </c>
      <c r="D290" s="1" t="s">
        <v>4316</v>
      </c>
      <c r="E290">
        <v>2009</v>
      </c>
      <c r="F290" s="1" t="s">
        <v>0</v>
      </c>
      <c r="G290" s="1" t="s">
        <v>4317</v>
      </c>
      <c r="H290" s="1" t="s">
        <v>2337</v>
      </c>
      <c r="I290" s="1" t="s">
        <v>1</v>
      </c>
      <c r="J290" s="1" t="s">
        <v>1</v>
      </c>
      <c r="K290" s="1" t="s">
        <v>2338</v>
      </c>
      <c r="L290" s="1" t="s">
        <v>1</v>
      </c>
      <c r="M290" s="1" t="s">
        <v>1</v>
      </c>
      <c r="N290" s="1" t="s">
        <v>1</v>
      </c>
      <c r="O290" s="1" t="s">
        <v>4318</v>
      </c>
      <c r="P290" s="1" t="s">
        <v>2339</v>
      </c>
      <c r="Q290" s="1">
        <v>-1</v>
      </c>
      <c r="R290" s="1"/>
      <c r="S290" s="1"/>
      <c r="T290" s="1"/>
      <c r="U290" s="1"/>
      <c r="V290" s="1"/>
      <c r="W290" s="1"/>
      <c r="X290" s="1"/>
      <c r="Y290" s="1"/>
      <c r="Z290" s="1"/>
      <c r="AA290" s="1"/>
      <c r="AB290" s="1"/>
      <c r="AC290" s="1"/>
      <c r="AD290" s="1"/>
      <c r="AE290" s="1"/>
      <c r="AF290" s="1"/>
    </row>
    <row r="291" spans="1:32" hidden="1" x14ac:dyDescent="0.25">
      <c r="A291" s="1">
        <v>290</v>
      </c>
      <c r="B291" s="1"/>
      <c r="C291" s="1" t="s">
        <v>1995</v>
      </c>
      <c r="D291" s="1" t="s">
        <v>4054</v>
      </c>
      <c r="E291">
        <v>2015</v>
      </c>
      <c r="F291" s="1" t="s">
        <v>0</v>
      </c>
      <c r="G291" s="1" t="s">
        <v>4055</v>
      </c>
      <c r="H291" s="1" t="s">
        <v>1996</v>
      </c>
      <c r="I291" s="1" t="s">
        <v>1</v>
      </c>
      <c r="J291" s="1" t="s">
        <v>1</v>
      </c>
      <c r="K291" s="1" t="s">
        <v>3195</v>
      </c>
      <c r="L291" s="1" t="s">
        <v>1</v>
      </c>
      <c r="M291" s="1" t="s">
        <v>1</v>
      </c>
      <c r="N291" s="1" t="s">
        <v>1</v>
      </c>
      <c r="O291" s="1" t="s">
        <v>4056</v>
      </c>
      <c r="P291" s="1" t="s">
        <v>1997</v>
      </c>
      <c r="Q291" s="1">
        <v>-1</v>
      </c>
      <c r="R291" s="1"/>
      <c r="S291" s="1"/>
      <c r="T291" s="1"/>
      <c r="U291" s="1"/>
      <c r="V291" s="1"/>
      <c r="W291" s="1"/>
      <c r="X291" s="1"/>
      <c r="Y291" s="1"/>
      <c r="Z291" s="1"/>
      <c r="AA291" s="1"/>
      <c r="AB291" s="1"/>
      <c r="AC291" s="1"/>
      <c r="AD291" s="1"/>
      <c r="AE291" s="1"/>
      <c r="AF291" s="1"/>
    </row>
    <row r="292" spans="1:32" hidden="1" x14ac:dyDescent="0.25">
      <c r="A292" s="1">
        <v>291</v>
      </c>
      <c r="B292" s="1"/>
      <c r="C292" s="1" t="s">
        <v>2992</v>
      </c>
      <c r="D292" s="1" t="s">
        <v>4842</v>
      </c>
      <c r="E292">
        <v>2017</v>
      </c>
      <c r="F292" s="1" t="s">
        <v>0</v>
      </c>
      <c r="G292" s="1" t="s">
        <v>4843</v>
      </c>
      <c r="H292" s="1" t="s">
        <v>1496</v>
      </c>
      <c r="I292" s="1" t="s">
        <v>1</v>
      </c>
      <c r="J292" s="1" t="s">
        <v>1</v>
      </c>
      <c r="K292" s="1" t="s">
        <v>2993</v>
      </c>
      <c r="L292" s="1" t="s">
        <v>1</v>
      </c>
      <c r="M292" s="1" t="s">
        <v>1</v>
      </c>
      <c r="N292" s="1" t="s">
        <v>1</v>
      </c>
      <c r="O292" s="1" t="s">
        <v>4844</v>
      </c>
      <c r="P292" s="1" t="s">
        <v>2994</v>
      </c>
      <c r="Q292" s="1">
        <v>-1</v>
      </c>
      <c r="R292" s="1"/>
      <c r="S292" s="1"/>
      <c r="T292" s="1"/>
      <c r="U292" s="1"/>
      <c r="V292" s="1"/>
      <c r="W292" s="1"/>
      <c r="X292" s="1"/>
      <c r="Y292" s="1"/>
      <c r="Z292" s="1"/>
      <c r="AA292" s="1"/>
      <c r="AB292" s="1"/>
      <c r="AC292" s="1"/>
      <c r="AD292" s="1"/>
      <c r="AE292" s="1"/>
      <c r="AF292" s="1"/>
    </row>
    <row r="293" spans="1:32" hidden="1" x14ac:dyDescent="0.25">
      <c r="A293" s="1">
        <v>292</v>
      </c>
      <c r="B293" s="1"/>
      <c r="C293" s="1" t="s">
        <v>2756</v>
      </c>
      <c r="D293" s="1" t="s">
        <v>4654</v>
      </c>
      <c r="E293">
        <v>2014</v>
      </c>
      <c r="F293" s="1" t="s">
        <v>0</v>
      </c>
      <c r="G293" s="1" t="s">
        <v>1</v>
      </c>
      <c r="H293" s="1" t="s">
        <v>1</v>
      </c>
      <c r="I293" s="1" t="s">
        <v>1</v>
      </c>
      <c r="J293" s="1" t="s">
        <v>1</v>
      </c>
      <c r="K293" s="1" t="s">
        <v>1</v>
      </c>
      <c r="L293" s="1" t="s">
        <v>353</v>
      </c>
      <c r="M293" s="1" t="s">
        <v>1</v>
      </c>
      <c r="N293" s="1" t="s">
        <v>2758</v>
      </c>
      <c r="O293" s="1" t="s">
        <v>4655</v>
      </c>
      <c r="P293" s="1" t="s">
        <v>2757</v>
      </c>
      <c r="Q293" s="1">
        <v>-1</v>
      </c>
      <c r="R293" s="1"/>
      <c r="S293" s="1"/>
      <c r="T293" s="1"/>
      <c r="U293" s="1"/>
      <c r="V293" s="1"/>
      <c r="W293" s="1"/>
      <c r="X293" s="1"/>
      <c r="Y293" s="1"/>
      <c r="Z293" s="1"/>
      <c r="AA293" s="1"/>
      <c r="AB293" s="1"/>
      <c r="AC293" s="1"/>
      <c r="AD293" s="1"/>
      <c r="AE293" s="1"/>
      <c r="AF293" s="1"/>
    </row>
    <row r="294" spans="1:32" hidden="1" x14ac:dyDescent="0.25">
      <c r="A294" s="1">
        <v>293</v>
      </c>
      <c r="B294" s="1"/>
      <c r="C294" s="1" t="s">
        <v>169</v>
      </c>
      <c r="D294" s="1" t="s">
        <v>542</v>
      </c>
      <c r="E294">
        <v>2014</v>
      </c>
      <c r="F294" s="1" t="s">
        <v>116</v>
      </c>
      <c r="G294" s="1" t="s">
        <v>4263</v>
      </c>
      <c r="H294" s="1" t="s">
        <v>160</v>
      </c>
      <c r="I294" s="1" t="s">
        <v>3732</v>
      </c>
      <c r="J294" s="1" t="s">
        <v>3141</v>
      </c>
      <c r="K294" s="1" t="s">
        <v>3709</v>
      </c>
      <c r="L294" s="1" t="s">
        <v>1</v>
      </c>
      <c r="M294" s="1" t="s">
        <v>1</v>
      </c>
      <c r="N294" s="1" t="s">
        <v>543</v>
      </c>
      <c r="O294" s="1" t="s">
        <v>544</v>
      </c>
      <c r="P294" s="1" t="s">
        <v>545</v>
      </c>
      <c r="Q294" s="1">
        <v>1</v>
      </c>
      <c r="R294" s="6">
        <v>-1</v>
      </c>
      <c r="S294" s="1"/>
      <c r="T294" s="1"/>
      <c r="U294" s="1"/>
      <c r="V294" s="1"/>
      <c r="W294" s="1"/>
      <c r="X294" s="1"/>
      <c r="Y294" s="1"/>
      <c r="Z294" s="1"/>
      <c r="AA294" s="1"/>
      <c r="AB294" s="1"/>
      <c r="AC294" s="1"/>
      <c r="AD294" s="1"/>
      <c r="AE294" s="1"/>
      <c r="AF294" s="1"/>
    </row>
    <row r="295" spans="1:32" hidden="1" x14ac:dyDescent="0.25">
      <c r="A295" s="1">
        <v>294</v>
      </c>
      <c r="B295" s="1"/>
      <c r="C295" s="1" t="s">
        <v>2008</v>
      </c>
      <c r="D295" s="1" t="s">
        <v>4065</v>
      </c>
      <c r="E295">
        <v>2014</v>
      </c>
      <c r="F295" s="1" t="s">
        <v>0</v>
      </c>
      <c r="G295" s="1" t="s">
        <v>4066</v>
      </c>
      <c r="H295" s="1" t="s">
        <v>1879</v>
      </c>
      <c r="I295" s="1" t="s">
        <v>1</v>
      </c>
      <c r="J295" s="1" t="s">
        <v>1</v>
      </c>
      <c r="K295" s="1" t="s">
        <v>2009</v>
      </c>
      <c r="L295" s="1" t="s">
        <v>1</v>
      </c>
      <c r="M295" s="1" t="s">
        <v>1</v>
      </c>
      <c r="N295" s="1" t="s">
        <v>1</v>
      </c>
      <c r="O295" s="1" t="s">
        <v>4067</v>
      </c>
      <c r="P295" s="1" t="s">
        <v>4068</v>
      </c>
      <c r="Q295" s="1">
        <v>1</v>
      </c>
      <c r="R295" s="1">
        <v>-1</v>
      </c>
      <c r="S295" s="1"/>
      <c r="T295" s="1"/>
      <c r="U295" s="1"/>
      <c r="V295" s="1"/>
      <c r="W295" s="1"/>
      <c r="X295" s="1"/>
      <c r="Y295" s="1"/>
      <c r="Z295" s="1"/>
      <c r="AA295" s="1"/>
      <c r="AB295" s="1"/>
      <c r="AC295" s="1"/>
      <c r="AD295" s="1"/>
      <c r="AE295" s="1"/>
      <c r="AF295" s="1"/>
    </row>
    <row r="296" spans="1:32" hidden="1" x14ac:dyDescent="0.25">
      <c r="A296" s="1">
        <v>295</v>
      </c>
      <c r="B296" s="1"/>
      <c r="C296" s="1" t="s">
        <v>1850</v>
      </c>
      <c r="D296" s="1" t="s">
        <v>3940</v>
      </c>
      <c r="E296">
        <v>2013</v>
      </c>
      <c r="F296" s="1" t="s">
        <v>0</v>
      </c>
      <c r="G296" s="1" t="s">
        <v>3941</v>
      </c>
      <c r="H296" s="1" t="s">
        <v>50</v>
      </c>
      <c r="I296" s="1" t="s">
        <v>1</v>
      </c>
      <c r="J296" s="1" t="s">
        <v>1</v>
      </c>
      <c r="K296" s="1" t="s">
        <v>1851</v>
      </c>
      <c r="L296" s="1" t="s">
        <v>1</v>
      </c>
      <c r="M296" s="1" t="s">
        <v>1</v>
      </c>
      <c r="N296" s="1" t="s">
        <v>1</v>
      </c>
      <c r="O296" s="1" t="s">
        <v>3942</v>
      </c>
      <c r="P296" s="1" t="s">
        <v>1852</v>
      </c>
      <c r="Q296" s="1">
        <v>-1</v>
      </c>
      <c r="R296" s="1"/>
      <c r="S296" s="1"/>
      <c r="T296" s="1"/>
      <c r="U296" s="1"/>
      <c r="V296" s="1"/>
      <c r="W296" s="1"/>
      <c r="X296" s="1"/>
      <c r="Y296" s="1"/>
      <c r="Z296" s="1"/>
      <c r="AA296" s="1"/>
      <c r="AB296" s="1"/>
      <c r="AC296" s="1"/>
      <c r="AD296" s="1"/>
      <c r="AE296" s="1"/>
      <c r="AF296" s="1"/>
    </row>
    <row r="297" spans="1:32" x14ac:dyDescent="0.25">
      <c r="A297" s="1">
        <v>296</v>
      </c>
      <c r="B297" s="1">
        <v>17</v>
      </c>
      <c r="C297" s="5" t="s">
        <v>1472</v>
      </c>
      <c r="D297" s="1" t="s">
        <v>3654</v>
      </c>
      <c r="E297">
        <v>2013</v>
      </c>
      <c r="F297" s="1" t="s">
        <v>0</v>
      </c>
      <c r="G297" s="1" t="s">
        <v>3655</v>
      </c>
      <c r="H297" s="1" t="s">
        <v>50</v>
      </c>
      <c r="I297" s="1" t="s">
        <v>1</v>
      </c>
      <c r="J297" s="1" t="s">
        <v>1</v>
      </c>
      <c r="K297" s="1" t="s">
        <v>1473</v>
      </c>
      <c r="L297" s="1" t="s">
        <v>1</v>
      </c>
      <c r="M297" s="1" t="s">
        <v>1</v>
      </c>
      <c r="N297" s="1" t="s">
        <v>1</v>
      </c>
      <c r="O297" s="1" t="s">
        <v>3656</v>
      </c>
      <c r="P297" s="1" t="s">
        <v>1474</v>
      </c>
      <c r="Q297" s="1">
        <v>1</v>
      </c>
      <c r="R297" s="1">
        <v>1</v>
      </c>
      <c r="S297" s="1">
        <v>7</v>
      </c>
      <c r="T297" s="1" t="s">
        <v>5026</v>
      </c>
      <c r="U297" s="1" t="s">
        <v>5015</v>
      </c>
      <c r="V297" s="1" t="s">
        <v>5000</v>
      </c>
      <c r="W297" s="1" t="s">
        <v>4973</v>
      </c>
      <c r="X297" s="1" t="s">
        <v>658</v>
      </c>
      <c r="Y297" s="1" t="s">
        <v>5003</v>
      </c>
      <c r="Z297" s="1"/>
      <c r="AA297" s="1"/>
      <c r="AB297" s="1">
        <v>1</v>
      </c>
      <c r="AC297" s="1">
        <v>1</v>
      </c>
      <c r="AD297" s="1">
        <v>3</v>
      </c>
      <c r="AE297" s="1">
        <v>5</v>
      </c>
      <c r="AF297" s="1"/>
    </row>
    <row r="298" spans="1:32" hidden="1" x14ac:dyDescent="0.25">
      <c r="A298" s="1">
        <v>297</v>
      </c>
      <c r="B298" s="1"/>
      <c r="C298" s="1" t="s">
        <v>1663</v>
      </c>
      <c r="D298" s="1" t="s">
        <v>3811</v>
      </c>
      <c r="E298">
        <v>2014</v>
      </c>
      <c r="F298" s="1" t="s">
        <v>0</v>
      </c>
      <c r="G298" s="1" t="s">
        <v>3812</v>
      </c>
      <c r="H298" s="1" t="s">
        <v>1664</v>
      </c>
      <c r="I298" s="1" t="s">
        <v>1</v>
      </c>
      <c r="J298" s="1" t="s">
        <v>1</v>
      </c>
      <c r="K298" s="1" t="s">
        <v>1665</v>
      </c>
      <c r="L298" s="1" t="s">
        <v>1</v>
      </c>
      <c r="M298" s="1" t="s">
        <v>1</v>
      </c>
      <c r="N298" s="1" t="s">
        <v>1</v>
      </c>
      <c r="O298" s="1" t="s">
        <v>3813</v>
      </c>
      <c r="P298" s="1" t="s">
        <v>1667</v>
      </c>
      <c r="Q298" s="1">
        <v>-1</v>
      </c>
      <c r="R298" s="1"/>
      <c r="S298" s="1"/>
      <c r="T298" s="1"/>
      <c r="U298" s="1"/>
      <c r="V298" s="1"/>
      <c r="W298" s="1"/>
      <c r="X298" s="1"/>
      <c r="Y298" s="1"/>
      <c r="Z298" s="1"/>
      <c r="AA298" s="1"/>
      <c r="AB298" s="1"/>
      <c r="AC298" s="1"/>
      <c r="AD298" s="1"/>
      <c r="AE298" s="1"/>
      <c r="AF298" s="1"/>
    </row>
    <row r="299" spans="1:32" hidden="1" x14ac:dyDescent="0.25">
      <c r="A299" s="1">
        <v>298</v>
      </c>
      <c r="B299" s="1"/>
      <c r="C299" s="8" t="s">
        <v>1929</v>
      </c>
      <c r="D299" s="1" t="s">
        <v>4003</v>
      </c>
      <c r="E299">
        <v>2017</v>
      </c>
      <c r="F299" s="1" t="s">
        <v>0</v>
      </c>
      <c r="G299" s="1" t="s">
        <v>4004</v>
      </c>
      <c r="H299" s="1" t="s">
        <v>1602</v>
      </c>
      <c r="I299" s="1" t="s">
        <v>3745</v>
      </c>
      <c r="J299" s="1" t="s">
        <v>1</v>
      </c>
      <c r="K299" s="1" t="s">
        <v>1930</v>
      </c>
      <c r="L299" s="1" t="s">
        <v>1</v>
      </c>
      <c r="M299" s="1" t="s">
        <v>1</v>
      </c>
      <c r="N299" s="1" t="s">
        <v>1</v>
      </c>
      <c r="O299" s="1" t="s">
        <v>4005</v>
      </c>
      <c r="P299" s="1" t="s">
        <v>1931</v>
      </c>
      <c r="Q299" s="1">
        <v>-1</v>
      </c>
      <c r="R299" s="1"/>
      <c r="S299" s="1"/>
      <c r="T299" s="1"/>
      <c r="U299" s="1"/>
      <c r="V299" s="1"/>
      <c r="W299" s="1"/>
      <c r="X299" s="1"/>
      <c r="Y299" s="1"/>
      <c r="Z299" s="1"/>
      <c r="AA299" s="1"/>
      <c r="AB299" s="1"/>
      <c r="AC299" s="1"/>
      <c r="AD299" s="1"/>
      <c r="AE299" s="1"/>
      <c r="AF299" s="1"/>
    </row>
    <row r="300" spans="1:32" hidden="1" x14ac:dyDescent="0.25">
      <c r="A300" s="1">
        <v>299</v>
      </c>
      <c r="B300" s="1"/>
      <c r="C300" s="1" t="s">
        <v>3039</v>
      </c>
      <c r="D300" s="1" t="s">
        <v>4878</v>
      </c>
      <c r="E300">
        <v>2012</v>
      </c>
      <c r="F300" s="1" t="s">
        <v>244</v>
      </c>
      <c r="G300" s="1" t="s">
        <v>4879</v>
      </c>
      <c r="H300" s="1" t="s">
        <v>1</v>
      </c>
      <c r="I300" s="1" t="s">
        <v>1950</v>
      </c>
      <c r="J300" s="1" t="s">
        <v>1</v>
      </c>
      <c r="K300" s="1" t="s">
        <v>3040</v>
      </c>
      <c r="L300" s="1" t="s">
        <v>247</v>
      </c>
      <c r="M300" s="1" t="s">
        <v>1</v>
      </c>
      <c r="N300" s="1" t="s">
        <v>3042</v>
      </c>
      <c r="O300" s="1" t="s">
        <v>4880</v>
      </c>
      <c r="P300" s="1" t="s">
        <v>3041</v>
      </c>
      <c r="Q300" s="1">
        <v>-1</v>
      </c>
      <c r="R300" s="1"/>
      <c r="S300" s="1"/>
      <c r="T300" s="1"/>
      <c r="U300" s="1"/>
      <c r="V300" s="1"/>
      <c r="W300" s="1"/>
      <c r="X300" s="1"/>
      <c r="Y300" s="1"/>
      <c r="Z300" s="1"/>
      <c r="AA300" s="1"/>
      <c r="AB300" s="1"/>
      <c r="AC300" s="1"/>
      <c r="AD300" s="1"/>
      <c r="AE300" s="1"/>
      <c r="AF300" s="1"/>
    </row>
    <row r="301" spans="1:32" hidden="1" x14ac:dyDescent="0.25">
      <c r="A301" s="1">
        <v>300</v>
      </c>
      <c r="B301" s="1"/>
      <c r="C301" s="1" t="s">
        <v>1039</v>
      </c>
      <c r="D301" s="1" t="s">
        <v>3335</v>
      </c>
      <c r="E301">
        <v>2016</v>
      </c>
      <c r="F301" s="1" t="s">
        <v>0</v>
      </c>
      <c r="G301" s="1" t="s">
        <v>3336</v>
      </c>
      <c r="H301" s="1" t="s">
        <v>1040</v>
      </c>
      <c r="I301" s="1" t="s">
        <v>1</v>
      </c>
      <c r="J301" s="1" t="s">
        <v>1</v>
      </c>
      <c r="K301" s="1" t="s">
        <v>1041</v>
      </c>
      <c r="L301" s="1" t="s">
        <v>1</v>
      </c>
      <c r="M301" s="1" t="s">
        <v>1</v>
      </c>
      <c r="N301" s="1" t="s">
        <v>1</v>
      </c>
      <c r="O301" s="1" t="s">
        <v>3337</v>
      </c>
      <c r="P301" s="1" t="s">
        <v>1043</v>
      </c>
      <c r="Q301" s="1">
        <v>-1</v>
      </c>
      <c r="R301" s="1"/>
      <c r="S301" s="1"/>
      <c r="T301" s="1"/>
      <c r="U301" s="1"/>
      <c r="V301" s="1"/>
      <c r="W301" s="1"/>
      <c r="X301" s="1"/>
      <c r="Y301" s="1"/>
      <c r="Z301" s="1"/>
      <c r="AA301" s="1"/>
      <c r="AB301" s="1"/>
      <c r="AC301" s="1"/>
      <c r="AD301" s="1"/>
      <c r="AE301" s="1"/>
      <c r="AF301" s="1"/>
    </row>
    <row r="302" spans="1:32" hidden="1" x14ac:dyDescent="0.25">
      <c r="A302" s="1">
        <v>301</v>
      </c>
      <c r="B302" s="1"/>
      <c r="C302" s="1" t="s">
        <v>2939</v>
      </c>
      <c r="D302" s="1" t="s">
        <v>4798</v>
      </c>
      <c r="E302">
        <v>2014</v>
      </c>
      <c r="F302" s="1" t="s">
        <v>0</v>
      </c>
      <c r="G302" s="1" t="s">
        <v>4799</v>
      </c>
      <c r="H302" s="1" t="s">
        <v>1526</v>
      </c>
      <c r="I302" s="1" t="s">
        <v>1</v>
      </c>
      <c r="J302" s="1" t="s">
        <v>1</v>
      </c>
      <c r="K302" s="1" t="s">
        <v>2940</v>
      </c>
      <c r="L302" s="1" t="s">
        <v>1</v>
      </c>
      <c r="M302" s="1" t="s">
        <v>1</v>
      </c>
      <c r="N302" s="1" t="s">
        <v>1</v>
      </c>
      <c r="O302" s="1" t="s">
        <v>4800</v>
      </c>
      <c r="P302" s="1" t="s">
        <v>2941</v>
      </c>
      <c r="Q302" s="1">
        <v>-1</v>
      </c>
      <c r="R302" s="1"/>
      <c r="S302" s="1"/>
      <c r="T302" s="1"/>
      <c r="U302" s="1"/>
      <c r="V302" s="1"/>
      <c r="W302" s="1"/>
      <c r="X302" s="1"/>
      <c r="Y302" s="1"/>
      <c r="Z302" s="1"/>
      <c r="AA302" s="1"/>
      <c r="AB302" s="1"/>
      <c r="AC302" s="1"/>
      <c r="AD302" s="1"/>
      <c r="AE302" s="1"/>
      <c r="AF302" s="1"/>
    </row>
    <row r="303" spans="1:32" hidden="1" x14ac:dyDescent="0.25">
      <c r="A303" s="1">
        <v>302</v>
      </c>
      <c r="B303" s="1"/>
      <c r="C303" s="1" t="s">
        <v>2087</v>
      </c>
      <c r="D303" s="1" t="s">
        <v>4119</v>
      </c>
      <c r="E303">
        <v>2011</v>
      </c>
      <c r="F303" s="1" t="s">
        <v>0</v>
      </c>
      <c r="G303" s="1" t="s">
        <v>4120</v>
      </c>
      <c r="H303" s="1" t="s">
        <v>2088</v>
      </c>
      <c r="I303" s="1" t="s">
        <v>1</v>
      </c>
      <c r="J303" s="1" t="s">
        <v>1</v>
      </c>
      <c r="K303" s="1" t="s">
        <v>2089</v>
      </c>
      <c r="L303" s="1" t="s">
        <v>1</v>
      </c>
      <c r="M303" s="1" t="s">
        <v>1</v>
      </c>
      <c r="N303" s="1" t="s">
        <v>1</v>
      </c>
      <c r="O303" s="1" t="s">
        <v>4121</v>
      </c>
      <c r="P303" s="1" t="s">
        <v>2090</v>
      </c>
      <c r="Q303" s="1">
        <v>-1</v>
      </c>
      <c r="R303" s="1"/>
      <c r="S303" s="1"/>
      <c r="T303" s="1"/>
      <c r="U303" s="1"/>
      <c r="V303" s="1"/>
      <c r="W303" s="1"/>
      <c r="X303" s="1"/>
      <c r="Y303" s="1"/>
      <c r="Z303" s="1"/>
      <c r="AA303" s="1"/>
      <c r="AB303" s="1"/>
      <c r="AC303" s="1"/>
      <c r="AD303" s="1"/>
      <c r="AE303" s="1"/>
      <c r="AF303" s="1"/>
    </row>
    <row r="304" spans="1:32" hidden="1" x14ac:dyDescent="0.25">
      <c r="A304" s="1">
        <v>303</v>
      </c>
      <c r="B304" s="1"/>
      <c r="C304" s="1" t="s">
        <v>1408</v>
      </c>
      <c r="D304" s="1" t="s">
        <v>3595</v>
      </c>
      <c r="E304">
        <v>2009</v>
      </c>
      <c r="F304" s="1" t="s">
        <v>0</v>
      </c>
      <c r="G304" s="1" t="s">
        <v>3596</v>
      </c>
      <c r="H304" s="1" t="s">
        <v>1409</v>
      </c>
      <c r="I304" s="1" t="s">
        <v>1</v>
      </c>
      <c r="J304" s="1" t="s">
        <v>1</v>
      </c>
      <c r="K304" s="1" t="s">
        <v>3195</v>
      </c>
      <c r="L304" s="1" t="s">
        <v>1</v>
      </c>
      <c r="M304" s="1" t="s">
        <v>1</v>
      </c>
      <c r="N304" s="1" t="s">
        <v>1</v>
      </c>
      <c r="O304" s="1" t="s">
        <v>3597</v>
      </c>
      <c r="P304" s="1" t="s">
        <v>1410</v>
      </c>
      <c r="Q304" s="1">
        <v>-1</v>
      </c>
      <c r="R304" s="1"/>
      <c r="S304" s="1"/>
      <c r="T304" s="1"/>
      <c r="U304" s="1"/>
      <c r="V304" s="1"/>
      <c r="W304" s="1"/>
      <c r="X304" s="1"/>
      <c r="Y304" s="1"/>
      <c r="Z304" s="1"/>
      <c r="AA304" s="1"/>
      <c r="AB304" s="1"/>
      <c r="AC304" s="1"/>
      <c r="AD304" s="1"/>
      <c r="AE304" s="1"/>
      <c r="AF304" s="1"/>
    </row>
    <row r="305" spans="1:32" hidden="1" x14ac:dyDescent="0.25">
      <c r="A305" s="1">
        <v>304</v>
      </c>
      <c r="B305" s="1"/>
      <c r="C305" s="1" t="s">
        <v>2270</v>
      </c>
      <c r="D305" s="1" t="s">
        <v>4264</v>
      </c>
      <c r="E305">
        <v>2007</v>
      </c>
      <c r="F305" s="1" t="s">
        <v>0</v>
      </c>
      <c r="G305" s="1" t="s">
        <v>4265</v>
      </c>
      <c r="H305" s="1" t="s">
        <v>1832</v>
      </c>
      <c r="I305" s="1" t="s">
        <v>1</v>
      </c>
      <c r="J305" s="1" t="s">
        <v>1</v>
      </c>
      <c r="K305" s="1" t="s">
        <v>2271</v>
      </c>
      <c r="L305" s="1" t="s">
        <v>1</v>
      </c>
      <c r="M305" s="1" t="s">
        <v>1</v>
      </c>
      <c r="N305" s="1" t="s">
        <v>1</v>
      </c>
      <c r="O305" s="1" t="s">
        <v>4266</v>
      </c>
      <c r="P305" s="1" t="s">
        <v>2272</v>
      </c>
      <c r="Q305" s="1">
        <v>-1</v>
      </c>
      <c r="R305" s="1"/>
      <c r="S305" s="1"/>
      <c r="T305" s="1"/>
      <c r="U305" s="1"/>
      <c r="V305" s="1"/>
      <c r="W305" s="1"/>
      <c r="X305" s="1"/>
      <c r="Y305" s="1"/>
      <c r="Z305" s="1"/>
      <c r="AA305" s="1"/>
      <c r="AB305" s="1"/>
      <c r="AC305" s="1"/>
      <c r="AD305" s="1"/>
      <c r="AE305" s="1"/>
      <c r="AF305" s="1"/>
    </row>
    <row r="306" spans="1:32" hidden="1" x14ac:dyDescent="0.25">
      <c r="A306" s="1">
        <v>305</v>
      </c>
      <c r="B306" s="1"/>
      <c r="C306" s="1" t="s">
        <v>2418</v>
      </c>
      <c r="D306" s="1" t="s">
        <v>2413</v>
      </c>
      <c r="E306">
        <v>2014</v>
      </c>
      <c r="F306" s="1" t="s">
        <v>244</v>
      </c>
      <c r="G306" s="1" t="s">
        <v>4380</v>
      </c>
      <c r="H306" s="1" t="s">
        <v>1</v>
      </c>
      <c r="I306" s="1" t="s">
        <v>4379</v>
      </c>
      <c r="J306" s="1" t="s">
        <v>1</v>
      </c>
      <c r="K306" s="1" t="s">
        <v>2419</v>
      </c>
      <c r="L306" s="1" t="s">
        <v>247</v>
      </c>
      <c r="M306" s="1" t="s">
        <v>1</v>
      </c>
      <c r="N306" s="1" t="s">
        <v>2421</v>
      </c>
      <c r="O306" s="1" t="s">
        <v>4381</v>
      </c>
      <c r="P306" s="1" t="s">
        <v>2420</v>
      </c>
      <c r="Q306" s="1">
        <v>-1</v>
      </c>
      <c r="R306" s="1"/>
      <c r="S306" s="1"/>
      <c r="T306" s="1"/>
      <c r="U306" s="1"/>
      <c r="V306" s="1"/>
      <c r="W306" s="1"/>
      <c r="X306" s="1"/>
      <c r="Y306" s="1"/>
      <c r="Z306" s="1"/>
      <c r="AA306" s="1"/>
      <c r="AB306" s="1"/>
      <c r="AC306" s="1"/>
      <c r="AD306" s="1"/>
      <c r="AE306" s="1"/>
      <c r="AF306" s="1"/>
    </row>
    <row r="307" spans="1:32" hidden="1" x14ac:dyDescent="0.25">
      <c r="A307" s="1">
        <v>306</v>
      </c>
      <c r="B307" s="1"/>
      <c r="C307" s="1" t="s">
        <v>1053</v>
      </c>
      <c r="D307" s="1" t="s">
        <v>3346</v>
      </c>
      <c r="E307">
        <v>2015</v>
      </c>
      <c r="F307" s="1" t="s">
        <v>116</v>
      </c>
      <c r="G307" s="1" t="s">
        <v>3348</v>
      </c>
      <c r="H307" s="1" t="s">
        <v>1054</v>
      </c>
      <c r="I307" s="1" t="s">
        <v>3347</v>
      </c>
      <c r="J307" s="1" t="s">
        <v>1</v>
      </c>
      <c r="K307" s="1" t="s">
        <v>1055</v>
      </c>
      <c r="L307" s="1" t="s">
        <v>1</v>
      </c>
      <c r="M307" s="1" t="s">
        <v>1</v>
      </c>
      <c r="N307" s="1" t="s">
        <v>1057</v>
      </c>
      <c r="O307" s="1" t="s">
        <v>1</v>
      </c>
      <c r="P307" s="1" t="s">
        <v>1056</v>
      </c>
      <c r="Q307" s="1">
        <v>-1</v>
      </c>
      <c r="R307" s="1"/>
      <c r="S307" s="1"/>
      <c r="T307" s="1"/>
      <c r="U307" s="1"/>
      <c r="V307" s="1"/>
      <c r="W307" s="1"/>
      <c r="X307" s="1"/>
      <c r="Y307" s="1"/>
      <c r="Z307" s="1"/>
      <c r="AA307" s="1"/>
      <c r="AB307" s="1"/>
      <c r="AC307" s="1"/>
      <c r="AD307" s="1"/>
      <c r="AE307" s="1"/>
      <c r="AF307" s="1"/>
    </row>
    <row r="308" spans="1:32" hidden="1" x14ac:dyDescent="0.25">
      <c r="A308" s="1">
        <v>307</v>
      </c>
      <c r="B308" s="1"/>
      <c r="C308" s="1" t="s">
        <v>1629</v>
      </c>
      <c r="D308" s="1" t="s">
        <v>3785</v>
      </c>
      <c r="E308">
        <v>2007</v>
      </c>
      <c r="F308" s="1" t="s">
        <v>116</v>
      </c>
      <c r="G308" s="1" t="s">
        <v>3786</v>
      </c>
      <c r="H308" s="1" t="s">
        <v>1630</v>
      </c>
      <c r="I308" s="1" t="s">
        <v>3453</v>
      </c>
      <c r="J308" s="1" t="s">
        <v>3174</v>
      </c>
      <c r="K308" s="1" t="s">
        <v>1631</v>
      </c>
      <c r="L308" s="1" t="s">
        <v>1</v>
      </c>
      <c r="M308" s="1" t="s">
        <v>1</v>
      </c>
      <c r="N308" s="1" t="s">
        <v>1633</v>
      </c>
      <c r="O308" s="1" t="s">
        <v>3787</v>
      </c>
      <c r="P308" s="1" t="s">
        <v>1632</v>
      </c>
      <c r="Q308" s="1">
        <v>-1</v>
      </c>
      <c r="R308" s="1"/>
      <c r="S308" s="1"/>
      <c r="T308" s="1"/>
      <c r="U308" s="1"/>
      <c r="V308" s="1"/>
      <c r="W308" s="1"/>
      <c r="X308" s="1"/>
      <c r="Y308" s="1"/>
      <c r="Z308" s="1"/>
      <c r="AA308" s="1"/>
      <c r="AB308" s="1"/>
      <c r="AC308" s="1"/>
      <c r="AD308" s="1"/>
      <c r="AE308" s="1"/>
      <c r="AF308" s="1"/>
    </row>
    <row r="309" spans="1:32" hidden="1" x14ac:dyDescent="0.25">
      <c r="A309" s="1">
        <v>308</v>
      </c>
      <c r="B309" s="1"/>
      <c r="C309" s="1" t="s">
        <v>2893</v>
      </c>
      <c r="D309" s="1" t="s">
        <v>4764</v>
      </c>
      <c r="E309">
        <v>2015</v>
      </c>
      <c r="F309" s="1" t="s">
        <v>0</v>
      </c>
      <c r="G309" s="1" t="s">
        <v>4765</v>
      </c>
      <c r="H309" s="1" t="s">
        <v>934</v>
      </c>
      <c r="I309" s="1" t="s">
        <v>1</v>
      </c>
      <c r="J309" s="1" t="s">
        <v>1</v>
      </c>
      <c r="K309" s="1" t="s">
        <v>2894</v>
      </c>
      <c r="L309" s="1" t="s">
        <v>1</v>
      </c>
      <c r="M309" s="1" t="s">
        <v>1</v>
      </c>
      <c r="N309" s="1" t="s">
        <v>1</v>
      </c>
      <c r="O309" s="1" t="s">
        <v>4766</v>
      </c>
      <c r="P309" s="1" t="s">
        <v>2895</v>
      </c>
      <c r="Q309" s="1">
        <v>-1</v>
      </c>
      <c r="R309" s="1"/>
      <c r="S309" s="1"/>
      <c r="T309" s="1"/>
      <c r="U309" s="1"/>
      <c r="V309" s="1"/>
      <c r="W309" s="1"/>
      <c r="X309" s="1"/>
      <c r="Y309" s="1"/>
      <c r="Z309" s="1"/>
      <c r="AA309" s="1"/>
      <c r="AB309" s="1"/>
      <c r="AC309" s="1"/>
      <c r="AD309" s="1"/>
      <c r="AE309" s="1"/>
      <c r="AF309" s="1"/>
    </row>
    <row r="310" spans="1:32" hidden="1" x14ac:dyDescent="0.25">
      <c r="A310" s="1">
        <v>309</v>
      </c>
      <c r="B310" s="1"/>
      <c r="C310" s="1" t="s">
        <v>2071</v>
      </c>
      <c r="D310" s="1" t="s">
        <v>4105</v>
      </c>
      <c r="E310">
        <v>2015</v>
      </c>
      <c r="F310" s="1" t="s">
        <v>0</v>
      </c>
      <c r="G310" s="1" t="s">
        <v>4106</v>
      </c>
      <c r="H310" s="1" t="s">
        <v>1462</v>
      </c>
      <c r="I310" s="1" t="s">
        <v>1</v>
      </c>
      <c r="J310" s="1" t="s">
        <v>1</v>
      </c>
      <c r="K310" s="1" t="s">
        <v>2072</v>
      </c>
      <c r="L310" s="1" t="s">
        <v>1</v>
      </c>
      <c r="M310" s="1" t="s">
        <v>1</v>
      </c>
      <c r="N310" s="1" t="s">
        <v>1</v>
      </c>
      <c r="O310" s="1" t="s">
        <v>4107</v>
      </c>
      <c r="P310" s="1" t="s">
        <v>2073</v>
      </c>
      <c r="Q310" s="1">
        <v>-1</v>
      </c>
      <c r="R310" s="1"/>
      <c r="S310" s="1"/>
      <c r="T310" s="1"/>
      <c r="U310" s="1"/>
      <c r="V310" s="1"/>
      <c r="W310" s="1"/>
      <c r="X310" s="1"/>
      <c r="Y310" s="1"/>
      <c r="Z310" s="1"/>
      <c r="AA310" s="1"/>
      <c r="AB310" s="1"/>
      <c r="AC310" s="1"/>
      <c r="AD310" s="1"/>
      <c r="AE310" s="1"/>
      <c r="AF310" s="1"/>
    </row>
    <row r="311" spans="1:32" hidden="1" x14ac:dyDescent="0.25">
      <c r="A311" s="1">
        <v>310</v>
      </c>
      <c r="B311" s="1"/>
      <c r="C311" s="1" t="s">
        <v>2961</v>
      </c>
      <c r="D311" s="1" t="s">
        <v>4819</v>
      </c>
      <c r="E311">
        <v>2013</v>
      </c>
      <c r="F311" s="1" t="s">
        <v>0</v>
      </c>
      <c r="G311" s="1" t="s">
        <v>4820</v>
      </c>
      <c r="H311" s="1" t="s">
        <v>1649</v>
      </c>
      <c r="I311" s="1" t="s">
        <v>1</v>
      </c>
      <c r="J311" s="1" t="s">
        <v>1</v>
      </c>
      <c r="K311" s="1" t="s">
        <v>2962</v>
      </c>
      <c r="L311" s="1" t="s">
        <v>1</v>
      </c>
      <c r="M311" s="1" t="s">
        <v>1</v>
      </c>
      <c r="N311" s="1" t="s">
        <v>1</v>
      </c>
      <c r="O311" s="1" t="s">
        <v>4821</v>
      </c>
      <c r="P311" s="1" t="s">
        <v>2963</v>
      </c>
      <c r="Q311" s="1">
        <v>-1</v>
      </c>
      <c r="R311" s="1"/>
      <c r="S311" s="1"/>
      <c r="T311" s="1"/>
      <c r="U311" s="1"/>
      <c r="V311" s="1"/>
      <c r="W311" s="1"/>
      <c r="X311" s="1"/>
      <c r="Y311" s="1"/>
      <c r="Z311" s="1"/>
      <c r="AA311" s="1"/>
      <c r="AB311" s="1"/>
      <c r="AC311" s="1"/>
      <c r="AD311" s="1"/>
      <c r="AE311" s="1"/>
      <c r="AF311" s="1"/>
    </row>
    <row r="312" spans="1:32" hidden="1" x14ac:dyDescent="0.25">
      <c r="A312" s="1">
        <v>311</v>
      </c>
      <c r="B312" s="1"/>
      <c r="C312" s="8" t="s">
        <v>1044</v>
      </c>
      <c r="D312" s="1" t="s">
        <v>3338</v>
      </c>
      <c r="E312">
        <v>2016</v>
      </c>
      <c r="F312" s="1" t="s">
        <v>116</v>
      </c>
      <c r="G312" s="1" t="s">
        <v>3340</v>
      </c>
      <c r="H312" s="1" t="s">
        <v>1045</v>
      </c>
      <c r="I312" s="1" t="s">
        <v>3339</v>
      </c>
      <c r="J312" s="1" t="s">
        <v>1</v>
      </c>
      <c r="K312" s="1" t="s">
        <v>1046</v>
      </c>
      <c r="L312" s="1" t="s">
        <v>1</v>
      </c>
      <c r="M312" s="1" t="s">
        <v>1</v>
      </c>
      <c r="N312" s="1" t="s">
        <v>1048</v>
      </c>
      <c r="O312" s="1" t="s">
        <v>3341</v>
      </c>
      <c r="P312" s="1" t="s">
        <v>1047</v>
      </c>
      <c r="Q312" s="1">
        <v>-1</v>
      </c>
      <c r="R312" s="1"/>
      <c r="S312" s="1"/>
      <c r="T312" s="1"/>
      <c r="U312" s="1"/>
      <c r="V312" s="1"/>
      <c r="W312" s="1"/>
      <c r="X312" s="1"/>
      <c r="Y312" s="1"/>
      <c r="Z312" s="1"/>
      <c r="AA312" s="1"/>
      <c r="AB312" s="1"/>
      <c r="AC312" s="1"/>
      <c r="AD312" s="1"/>
      <c r="AE312" s="1"/>
      <c r="AF312" s="1"/>
    </row>
    <row r="313" spans="1:32" hidden="1" x14ac:dyDescent="0.25">
      <c r="A313" s="1">
        <v>312</v>
      </c>
      <c r="B313" s="1"/>
      <c r="C313" s="1" t="s">
        <v>2518</v>
      </c>
      <c r="D313" s="1" t="s">
        <v>4460</v>
      </c>
      <c r="E313">
        <v>2016</v>
      </c>
      <c r="F313" s="1" t="s">
        <v>116</v>
      </c>
      <c r="G313" s="1" t="s">
        <v>4461</v>
      </c>
      <c r="H313" s="1" t="s">
        <v>1045</v>
      </c>
      <c r="I313" s="1" t="s">
        <v>3339</v>
      </c>
      <c r="J313" s="1" t="s">
        <v>1</v>
      </c>
      <c r="K313" s="1" t="s">
        <v>3202</v>
      </c>
      <c r="L313" s="1" t="s">
        <v>1</v>
      </c>
      <c r="M313" s="1" t="s">
        <v>1</v>
      </c>
      <c r="N313" s="1" t="s">
        <v>2520</v>
      </c>
      <c r="O313" s="1" t="s">
        <v>4462</v>
      </c>
      <c r="P313" s="1" t="s">
        <v>2519</v>
      </c>
      <c r="Q313" s="1">
        <v>-1</v>
      </c>
      <c r="R313" s="1"/>
      <c r="S313" s="1"/>
      <c r="T313" s="1"/>
      <c r="U313" s="1"/>
      <c r="V313" s="1"/>
      <c r="W313" s="1"/>
      <c r="X313" s="1"/>
      <c r="Y313" s="1"/>
      <c r="Z313" s="1"/>
      <c r="AA313" s="1"/>
      <c r="AB313" s="1"/>
      <c r="AC313" s="1"/>
      <c r="AD313" s="1"/>
      <c r="AE313" s="1"/>
      <c r="AF313" s="1"/>
    </row>
    <row r="314" spans="1:32" hidden="1" x14ac:dyDescent="0.25">
      <c r="A314" s="1">
        <v>313</v>
      </c>
      <c r="B314" s="1"/>
      <c r="C314" s="1" t="s">
        <v>1983</v>
      </c>
      <c r="D314" s="1" t="s">
        <v>4044</v>
      </c>
      <c r="E314">
        <v>2008</v>
      </c>
      <c r="F314" s="1" t="s">
        <v>0</v>
      </c>
      <c r="G314" s="1" t="s">
        <v>4045</v>
      </c>
      <c r="H314" s="1" t="s">
        <v>1984</v>
      </c>
      <c r="I314" s="1" t="s">
        <v>1</v>
      </c>
      <c r="J314" s="1" t="s">
        <v>1</v>
      </c>
      <c r="K314" s="1" t="s">
        <v>1985</v>
      </c>
      <c r="L314" s="1" t="s">
        <v>1</v>
      </c>
      <c r="M314" s="1" t="s">
        <v>1</v>
      </c>
      <c r="N314" s="1" t="s">
        <v>1</v>
      </c>
      <c r="O314" s="1" t="s">
        <v>4046</v>
      </c>
      <c r="P314" s="1" t="s">
        <v>1986</v>
      </c>
      <c r="Q314" s="1">
        <v>-1</v>
      </c>
      <c r="R314" s="1"/>
      <c r="S314" s="1"/>
      <c r="T314" s="1"/>
      <c r="U314" s="1"/>
      <c r="V314" s="1"/>
      <c r="W314" s="1"/>
      <c r="X314" s="1"/>
      <c r="Y314" s="1"/>
      <c r="Z314" s="1"/>
      <c r="AA314" s="1"/>
      <c r="AB314" s="1"/>
      <c r="AC314" s="1"/>
      <c r="AD314" s="1"/>
      <c r="AE314" s="1"/>
      <c r="AF314" s="1"/>
    </row>
    <row r="315" spans="1:32" hidden="1" x14ac:dyDescent="0.25">
      <c r="A315" s="1">
        <v>314</v>
      </c>
      <c r="B315" s="1"/>
      <c r="C315" s="1" t="s">
        <v>2879</v>
      </c>
      <c r="D315" s="1" t="s">
        <v>2878</v>
      </c>
      <c r="E315">
        <v>2014</v>
      </c>
      <c r="F315" s="1" t="s">
        <v>0</v>
      </c>
      <c r="G315" s="1" t="s">
        <v>4752</v>
      </c>
      <c r="H315" s="1" t="s">
        <v>1859</v>
      </c>
      <c r="I315" s="1" t="s">
        <v>1</v>
      </c>
      <c r="J315" s="1" t="s">
        <v>1</v>
      </c>
      <c r="K315" s="1" t="s">
        <v>2880</v>
      </c>
      <c r="L315" s="1" t="s">
        <v>1</v>
      </c>
      <c r="M315" s="1" t="s">
        <v>1</v>
      </c>
      <c r="N315" s="1" t="s">
        <v>1</v>
      </c>
      <c r="O315" s="1" t="s">
        <v>4753</v>
      </c>
      <c r="P315" s="1" t="s">
        <v>2881</v>
      </c>
      <c r="Q315" s="1">
        <v>-1</v>
      </c>
      <c r="R315" s="1"/>
      <c r="S315" s="1"/>
      <c r="T315" s="1"/>
      <c r="U315" s="1"/>
      <c r="V315" s="1"/>
      <c r="W315" s="1"/>
      <c r="X315" s="1"/>
      <c r="Y315" s="1"/>
      <c r="Z315" s="1"/>
      <c r="AA315" s="1"/>
      <c r="AB315" s="1"/>
      <c r="AC315" s="1"/>
      <c r="AD315" s="1"/>
      <c r="AE315" s="1"/>
      <c r="AF315" s="1"/>
    </row>
    <row r="316" spans="1:32" hidden="1" x14ac:dyDescent="0.25">
      <c r="A316" s="1">
        <v>315</v>
      </c>
      <c r="B316" s="1"/>
      <c r="C316" s="1" t="s">
        <v>1249</v>
      </c>
      <c r="D316" s="1" t="s">
        <v>3476</v>
      </c>
      <c r="E316">
        <v>2014</v>
      </c>
      <c r="F316" s="1" t="s">
        <v>0</v>
      </c>
      <c r="G316" s="1" t="s">
        <v>3477</v>
      </c>
      <c r="H316" s="1" t="s">
        <v>1250</v>
      </c>
      <c r="I316" s="1" t="s">
        <v>1</v>
      </c>
      <c r="J316" s="1" t="s">
        <v>1</v>
      </c>
      <c r="K316" s="1" t="s">
        <v>1251</v>
      </c>
      <c r="L316" s="1" t="s">
        <v>1</v>
      </c>
      <c r="M316" s="1" t="s">
        <v>1</v>
      </c>
      <c r="N316" s="1" t="s">
        <v>1</v>
      </c>
      <c r="O316" s="1" t="s">
        <v>3478</v>
      </c>
      <c r="P316" s="1" t="s">
        <v>1252</v>
      </c>
      <c r="Q316" s="1">
        <v>-1</v>
      </c>
      <c r="R316" s="1"/>
      <c r="S316" s="1"/>
      <c r="T316" s="1"/>
      <c r="U316" s="1"/>
      <c r="V316" s="1"/>
      <c r="W316" s="1"/>
      <c r="X316" s="1"/>
      <c r="Y316" s="1"/>
      <c r="Z316" s="1"/>
      <c r="AA316" s="1"/>
      <c r="AB316" s="1"/>
      <c r="AC316" s="1"/>
      <c r="AD316" s="1"/>
      <c r="AE316" s="1"/>
      <c r="AF316" s="1"/>
    </row>
    <row r="317" spans="1:32" hidden="1" x14ac:dyDescent="0.25">
      <c r="A317" s="1">
        <v>316</v>
      </c>
      <c r="B317" s="1"/>
      <c r="C317" s="1" t="s">
        <v>3002</v>
      </c>
      <c r="D317" s="1" t="s">
        <v>4850</v>
      </c>
      <c r="E317">
        <v>2006</v>
      </c>
      <c r="F317" s="1" t="s">
        <v>0</v>
      </c>
      <c r="G317" s="1" t="s">
        <v>4851</v>
      </c>
      <c r="H317" s="1" t="s">
        <v>1562</v>
      </c>
      <c r="I317" s="1" t="s">
        <v>1</v>
      </c>
      <c r="J317" s="1" t="s">
        <v>1</v>
      </c>
      <c r="K317" s="1" t="s">
        <v>3003</v>
      </c>
      <c r="L317" s="1" t="s">
        <v>1</v>
      </c>
      <c r="M317" s="1" t="s">
        <v>1</v>
      </c>
      <c r="N317" s="1" t="s">
        <v>1</v>
      </c>
      <c r="O317" s="1" t="s">
        <v>4852</v>
      </c>
      <c r="P317" s="1" t="s">
        <v>3004</v>
      </c>
      <c r="Q317" s="1">
        <v>-1</v>
      </c>
      <c r="R317" s="1"/>
      <c r="S317" s="1"/>
      <c r="T317" s="1"/>
      <c r="U317" s="1"/>
      <c r="V317" s="1"/>
      <c r="W317" s="1"/>
      <c r="X317" s="1"/>
      <c r="Y317" s="1"/>
      <c r="Z317" s="1"/>
      <c r="AA317" s="1"/>
      <c r="AB317" s="1"/>
      <c r="AC317" s="1"/>
      <c r="AD317" s="1"/>
      <c r="AE317" s="1"/>
      <c r="AF317" s="1"/>
    </row>
    <row r="318" spans="1:32" hidden="1" x14ac:dyDescent="0.25">
      <c r="A318" s="1">
        <v>317</v>
      </c>
      <c r="B318" s="1"/>
      <c r="C318" s="1" t="s">
        <v>1265</v>
      </c>
      <c r="D318" s="1" t="s">
        <v>3488</v>
      </c>
      <c r="E318">
        <v>2017</v>
      </c>
      <c r="F318" s="1" t="s">
        <v>116</v>
      </c>
      <c r="G318" s="1" t="s">
        <v>3491</v>
      </c>
      <c r="H318" s="1" t="s">
        <v>1266</v>
      </c>
      <c r="I318" s="1" t="s">
        <v>1267</v>
      </c>
      <c r="J318" s="1" t="s">
        <v>3489</v>
      </c>
      <c r="K318" s="1" t="s">
        <v>3490</v>
      </c>
      <c r="L318" s="1" t="s">
        <v>1</v>
      </c>
      <c r="M318" s="1" t="s">
        <v>1</v>
      </c>
      <c r="N318" s="1" t="s">
        <v>1</v>
      </c>
      <c r="O318" s="1" t="s">
        <v>3492</v>
      </c>
      <c r="P318" s="1" t="s">
        <v>1268</v>
      </c>
      <c r="Q318" s="1">
        <v>-1</v>
      </c>
      <c r="R318" s="1"/>
      <c r="S318" s="1"/>
      <c r="T318" s="1"/>
      <c r="U318" s="1"/>
      <c r="V318" s="1"/>
      <c r="W318" s="1"/>
      <c r="X318" s="1"/>
      <c r="Y318" s="1"/>
      <c r="Z318" s="1"/>
      <c r="AA318" s="1"/>
      <c r="AB318" s="1"/>
      <c r="AC318" s="1"/>
      <c r="AD318" s="1"/>
      <c r="AE318" s="1"/>
      <c r="AF318" s="1"/>
    </row>
    <row r="319" spans="1:32" hidden="1" x14ac:dyDescent="0.25">
      <c r="A319" s="1">
        <v>318</v>
      </c>
      <c r="B319" s="1"/>
      <c r="C319" s="1" t="s">
        <v>2253</v>
      </c>
      <c r="D319" s="1" t="s">
        <v>43</v>
      </c>
      <c r="E319">
        <v>2015</v>
      </c>
      <c r="F319" s="1" t="s">
        <v>116</v>
      </c>
      <c r="G319" s="1" t="s">
        <v>4249</v>
      </c>
      <c r="H319" s="1" t="s">
        <v>2254</v>
      </c>
      <c r="I319" s="1" t="s">
        <v>4248</v>
      </c>
      <c r="J319" s="1" t="s">
        <v>3141</v>
      </c>
      <c r="K319" s="1" t="s">
        <v>1</v>
      </c>
      <c r="L319" s="1" t="s">
        <v>2255</v>
      </c>
      <c r="M319" s="1" t="s">
        <v>1</v>
      </c>
      <c r="N319" s="1" t="s">
        <v>2257</v>
      </c>
      <c r="O319" s="1" t="s">
        <v>4250</v>
      </c>
      <c r="P319" s="1" t="s">
        <v>2256</v>
      </c>
      <c r="Q319" s="1">
        <v>-1</v>
      </c>
      <c r="R319" s="1"/>
      <c r="S319" s="1"/>
      <c r="T319" s="1"/>
      <c r="U319" s="1"/>
      <c r="V319" s="1"/>
      <c r="W319" s="1"/>
      <c r="X319" s="1"/>
      <c r="Y319" s="1"/>
      <c r="Z319" s="1"/>
      <c r="AA319" s="1"/>
      <c r="AB319" s="1"/>
      <c r="AC319" s="1"/>
      <c r="AD319" s="1"/>
      <c r="AE319" s="1"/>
      <c r="AF319" s="1"/>
    </row>
    <row r="320" spans="1:32" hidden="1" x14ac:dyDescent="0.25">
      <c r="A320" s="1">
        <v>319</v>
      </c>
      <c r="B320" s="1"/>
      <c r="C320" s="1" t="s">
        <v>2376</v>
      </c>
      <c r="D320" s="1" t="s">
        <v>4348</v>
      </c>
      <c r="E320">
        <v>2017</v>
      </c>
      <c r="F320" s="1" t="s">
        <v>244</v>
      </c>
      <c r="G320" s="1" t="s">
        <v>4350</v>
      </c>
      <c r="H320" s="1" t="s">
        <v>1</v>
      </c>
      <c r="I320" s="1" t="s">
        <v>4349</v>
      </c>
      <c r="J320" s="1" t="s">
        <v>1</v>
      </c>
      <c r="K320" s="1" t="s">
        <v>2377</v>
      </c>
      <c r="L320" s="1" t="s">
        <v>247</v>
      </c>
      <c r="M320" s="1" t="s">
        <v>1</v>
      </c>
      <c r="N320" s="1" t="s">
        <v>2379</v>
      </c>
      <c r="O320" s="1" t="s">
        <v>4351</v>
      </c>
      <c r="P320" s="1" t="s">
        <v>2378</v>
      </c>
      <c r="Q320" s="1">
        <v>1</v>
      </c>
      <c r="R320" s="1">
        <v>-1</v>
      </c>
      <c r="S320" s="1"/>
      <c r="T320" s="1"/>
      <c r="U320" s="1"/>
      <c r="V320" s="1"/>
      <c r="W320" s="1"/>
      <c r="X320" s="1"/>
      <c r="Y320" s="1"/>
      <c r="Z320" s="1"/>
      <c r="AA320" s="1"/>
      <c r="AB320" s="1"/>
      <c r="AC320" s="1"/>
      <c r="AD320" s="1"/>
      <c r="AE320" s="1"/>
      <c r="AF320" s="1"/>
    </row>
    <row r="321" spans="1:32" hidden="1" x14ac:dyDescent="0.25">
      <c r="A321" s="1">
        <v>320</v>
      </c>
      <c r="B321" s="1"/>
      <c r="C321" s="1" t="s">
        <v>2137</v>
      </c>
      <c r="D321" s="1" t="s">
        <v>4156</v>
      </c>
      <c r="E321">
        <v>2017</v>
      </c>
      <c r="F321" s="1" t="s">
        <v>0</v>
      </c>
      <c r="G321" s="1" t="s">
        <v>4157</v>
      </c>
      <c r="H321" s="1" t="s">
        <v>1354</v>
      </c>
      <c r="I321" s="1" t="s">
        <v>1</v>
      </c>
      <c r="J321" s="1" t="s">
        <v>1</v>
      </c>
      <c r="K321" s="1" t="s">
        <v>2138</v>
      </c>
      <c r="L321" s="1" t="s">
        <v>1</v>
      </c>
      <c r="M321" s="1" t="s">
        <v>1</v>
      </c>
      <c r="N321" s="1" t="s">
        <v>1</v>
      </c>
      <c r="O321" s="1" t="s">
        <v>4158</v>
      </c>
      <c r="P321" s="1" t="s">
        <v>4159</v>
      </c>
      <c r="Q321" s="1">
        <v>-1</v>
      </c>
      <c r="R321" s="1"/>
      <c r="S321" s="1"/>
      <c r="T321" s="1"/>
      <c r="U321" s="1"/>
      <c r="V321" s="1"/>
      <c r="W321" s="1"/>
      <c r="X321" s="1"/>
      <c r="Y321" s="1"/>
      <c r="Z321" s="1"/>
      <c r="AA321" s="1"/>
      <c r="AB321" s="1"/>
      <c r="AC321" s="1"/>
      <c r="AD321" s="1"/>
      <c r="AE321" s="1"/>
      <c r="AF321" s="1"/>
    </row>
    <row r="322" spans="1:32" hidden="1" x14ac:dyDescent="0.25">
      <c r="A322" s="1">
        <v>321</v>
      </c>
      <c r="B322" s="1"/>
      <c r="C322" s="1" t="s">
        <v>1253</v>
      </c>
      <c r="D322" s="1" t="s">
        <v>3479</v>
      </c>
      <c r="E322">
        <v>2011</v>
      </c>
      <c r="F322" s="1" t="s">
        <v>0</v>
      </c>
      <c r="G322" s="1" t="s">
        <v>3480</v>
      </c>
      <c r="H322" s="1" t="s">
        <v>1254</v>
      </c>
      <c r="I322" s="1" t="s">
        <v>1</v>
      </c>
      <c r="J322" s="1" t="s">
        <v>1</v>
      </c>
      <c r="K322" s="1" t="s">
        <v>1255</v>
      </c>
      <c r="L322" s="1" t="s">
        <v>1</v>
      </c>
      <c r="M322" s="1" t="s">
        <v>1</v>
      </c>
      <c r="N322" s="1" t="s">
        <v>1</v>
      </c>
      <c r="O322" s="1" t="s">
        <v>3481</v>
      </c>
      <c r="P322" s="1" t="s">
        <v>1256</v>
      </c>
      <c r="Q322" s="1">
        <v>1</v>
      </c>
      <c r="R322" s="1">
        <v>-1</v>
      </c>
      <c r="S322" s="1"/>
      <c r="T322" s="1"/>
      <c r="U322" s="1"/>
      <c r="V322" s="1"/>
      <c r="W322" s="1"/>
      <c r="X322" s="1"/>
      <c r="Y322" s="1"/>
      <c r="Z322" s="1"/>
      <c r="AA322" s="1"/>
      <c r="AB322" s="1"/>
      <c r="AC322" s="1"/>
      <c r="AD322" s="1"/>
      <c r="AE322" s="1"/>
      <c r="AF322" s="1"/>
    </row>
    <row r="323" spans="1:32" hidden="1" x14ac:dyDescent="0.25">
      <c r="A323" s="1">
        <v>322</v>
      </c>
      <c r="B323" s="1"/>
      <c r="C323" s="1" t="s">
        <v>819</v>
      </c>
      <c r="D323" s="1" t="s">
        <v>3183</v>
      </c>
      <c r="E323">
        <v>2016</v>
      </c>
      <c r="F323" s="1" t="s">
        <v>0</v>
      </c>
      <c r="G323" s="1" t="s">
        <v>3185</v>
      </c>
      <c r="H323" s="1" t="s">
        <v>820</v>
      </c>
      <c r="I323" s="1" t="s">
        <v>1</v>
      </c>
      <c r="J323" s="1" t="s">
        <v>1</v>
      </c>
      <c r="K323" s="1" t="s">
        <v>3184</v>
      </c>
      <c r="L323" s="1" t="s">
        <v>1</v>
      </c>
      <c r="M323" s="1" t="s">
        <v>1</v>
      </c>
      <c r="N323" s="1" t="s">
        <v>1</v>
      </c>
      <c r="O323" s="1" t="s">
        <v>3186</v>
      </c>
      <c r="P323" s="1" t="s">
        <v>821</v>
      </c>
      <c r="Q323" s="1">
        <v>-1</v>
      </c>
      <c r="R323" s="1"/>
      <c r="S323" s="1"/>
      <c r="T323" s="1"/>
      <c r="U323" s="1"/>
      <c r="V323" s="1"/>
      <c r="W323" s="1"/>
      <c r="X323" s="1"/>
      <c r="Y323" s="1"/>
      <c r="Z323" s="1"/>
      <c r="AA323" s="1"/>
      <c r="AB323" s="1"/>
      <c r="AC323" s="1"/>
      <c r="AD323" s="1"/>
      <c r="AE323" s="1"/>
      <c r="AF323" s="1"/>
    </row>
    <row r="324" spans="1:32" hidden="1" x14ac:dyDescent="0.25">
      <c r="A324" s="1">
        <v>323</v>
      </c>
      <c r="B324" s="1"/>
      <c r="C324" s="1" t="s">
        <v>2353</v>
      </c>
      <c r="D324" s="1" t="s">
        <v>2352</v>
      </c>
      <c r="E324">
        <v>2016</v>
      </c>
      <c r="F324" s="1" t="s">
        <v>0</v>
      </c>
      <c r="G324" s="1" t="s">
        <v>1</v>
      </c>
      <c r="H324" s="1" t="s">
        <v>1</v>
      </c>
      <c r="I324" s="1" t="s">
        <v>4328</v>
      </c>
      <c r="J324" s="1" t="s">
        <v>1</v>
      </c>
      <c r="K324" s="1" t="s">
        <v>1</v>
      </c>
      <c r="L324" s="1" t="s">
        <v>259</v>
      </c>
      <c r="M324" s="1" t="s">
        <v>1</v>
      </c>
      <c r="N324" s="1" t="s">
        <v>2354</v>
      </c>
      <c r="O324" s="1" t="s">
        <v>4329</v>
      </c>
      <c r="P324" s="1" t="s">
        <v>4330</v>
      </c>
      <c r="Q324" s="1">
        <v>-1</v>
      </c>
      <c r="R324" s="1"/>
      <c r="S324" s="1"/>
      <c r="T324" s="1"/>
      <c r="U324" s="1"/>
      <c r="V324" s="1"/>
      <c r="W324" s="1"/>
      <c r="X324" s="1"/>
      <c r="Y324" s="1"/>
      <c r="Z324" s="1"/>
      <c r="AA324" s="1"/>
      <c r="AB324" s="1"/>
      <c r="AC324" s="1"/>
      <c r="AD324" s="1"/>
      <c r="AE324" s="1"/>
      <c r="AF324" s="1"/>
    </row>
    <row r="325" spans="1:32" hidden="1" x14ac:dyDescent="0.25">
      <c r="A325" s="1">
        <v>324</v>
      </c>
      <c r="B325" s="1"/>
      <c r="C325" s="1" t="s">
        <v>2537</v>
      </c>
      <c r="D325" s="1" t="s">
        <v>4473</v>
      </c>
      <c r="E325">
        <v>2013</v>
      </c>
      <c r="F325" s="1" t="s">
        <v>0</v>
      </c>
      <c r="G325" s="1" t="s">
        <v>1</v>
      </c>
      <c r="H325" s="1" t="s">
        <v>2538</v>
      </c>
      <c r="I325" s="1" t="s">
        <v>1</v>
      </c>
      <c r="J325" s="1" t="s">
        <v>1</v>
      </c>
      <c r="K325" s="1" t="s">
        <v>2539</v>
      </c>
      <c r="L325" s="1" t="s">
        <v>1</v>
      </c>
      <c r="M325" s="1" t="s">
        <v>1</v>
      </c>
      <c r="N325" s="1" t="s">
        <v>1</v>
      </c>
      <c r="O325" s="1" t="s">
        <v>4474</v>
      </c>
      <c r="P325" s="1" t="s">
        <v>2540</v>
      </c>
      <c r="Q325" s="1">
        <v>-1</v>
      </c>
      <c r="R325" s="1"/>
      <c r="S325" s="1"/>
      <c r="T325" s="1"/>
      <c r="U325" s="1"/>
      <c r="V325" s="1"/>
      <c r="W325" s="1"/>
      <c r="X325" s="1"/>
      <c r="Y325" s="1"/>
      <c r="Z325" s="1"/>
      <c r="AA325" s="1"/>
      <c r="AB325" s="1"/>
      <c r="AC325" s="1"/>
      <c r="AD325" s="1"/>
      <c r="AE325" s="1"/>
      <c r="AF325" s="1"/>
    </row>
    <row r="326" spans="1:32" hidden="1" x14ac:dyDescent="0.25">
      <c r="A326" s="1">
        <v>325</v>
      </c>
      <c r="B326" s="1"/>
      <c r="C326" s="1" t="s">
        <v>2311</v>
      </c>
      <c r="D326" s="1" t="s">
        <v>2310</v>
      </c>
      <c r="E326">
        <v>2017</v>
      </c>
      <c r="F326" s="1" t="s">
        <v>0</v>
      </c>
      <c r="G326" s="1" t="s">
        <v>4296</v>
      </c>
      <c r="H326" s="1" t="s">
        <v>2312</v>
      </c>
      <c r="I326" s="1" t="s">
        <v>1</v>
      </c>
      <c r="J326" s="1" t="s">
        <v>1</v>
      </c>
      <c r="K326" s="1" t="s">
        <v>2313</v>
      </c>
      <c r="L326" s="1" t="s">
        <v>1</v>
      </c>
      <c r="M326" s="1" t="s">
        <v>1</v>
      </c>
      <c r="N326" s="1" t="s">
        <v>1</v>
      </c>
      <c r="O326" s="1" t="s">
        <v>4297</v>
      </c>
      <c r="P326" s="1" t="s">
        <v>2314</v>
      </c>
      <c r="Q326" s="1">
        <v>-1</v>
      </c>
      <c r="R326" s="1"/>
      <c r="S326" s="1"/>
      <c r="T326" s="1"/>
      <c r="U326" s="1"/>
      <c r="V326" s="1"/>
      <c r="W326" s="1"/>
      <c r="X326" s="1"/>
      <c r="Y326" s="1"/>
      <c r="Z326" s="1"/>
      <c r="AA326" s="1"/>
      <c r="AB326" s="1"/>
      <c r="AC326" s="1"/>
      <c r="AD326" s="1"/>
      <c r="AE326" s="1"/>
      <c r="AF326" s="1"/>
    </row>
    <row r="327" spans="1:32" hidden="1" x14ac:dyDescent="0.25">
      <c r="A327" s="1">
        <v>326</v>
      </c>
      <c r="B327" s="1"/>
      <c r="C327" s="1" t="s">
        <v>2061</v>
      </c>
      <c r="D327" s="1" t="s">
        <v>4099</v>
      </c>
      <c r="E327">
        <v>2016</v>
      </c>
      <c r="F327" s="1" t="s">
        <v>0</v>
      </c>
      <c r="G327" s="1" t="s">
        <v>4100</v>
      </c>
      <c r="H327" s="1" t="s">
        <v>2062</v>
      </c>
      <c r="I327" s="1" t="s">
        <v>1</v>
      </c>
      <c r="J327" s="1" t="s">
        <v>1</v>
      </c>
      <c r="K327" s="1" t="s">
        <v>2063</v>
      </c>
      <c r="L327" s="1" t="s">
        <v>1</v>
      </c>
      <c r="M327" s="1" t="s">
        <v>1</v>
      </c>
      <c r="N327" s="1" t="s">
        <v>1</v>
      </c>
      <c r="O327" s="1" t="s">
        <v>4101</v>
      </c>
      <c r="P327" s="1" t="s">
        <v>2064</v>
      </c>
      <c r="Q327" s="1">
        <v>1</v>
      </c>
      <c r="R327" s="1">
        <v>-1</v>
      </c>
      <c r="S327" s="1"/>
      <c r="T327" s="1"/>
      <c r="U327" s="1"/>
      <c r="V327" s="1"/>
      <c r="W327" s="1"/>
      <c r="X327" s="1"/>
      <c r="Y327" s="1"/>
      <c r="Z327" s="1"/>
      <c r="AA327" s="1"/>
      <c r="AB327" s="1"/>
      <c r="AC327" s="1"/>
      <c r="AD327" s="1"/>
      <c r="AE327" s="1"/>
      <c r="AF327" s="1"/>
    </row>
    <row r="328" spans="1:32" hidden="1" x14ac:dyDescent="0.25">
      <c r="A328" s="1">
        <v>327</v>
      </c>
      <c r="B328" s="1"/>
      <c r="C328" s="1" t="s">
        <v>3020</v>
      </c>
      <c r="D328" s="1" t="s">
        <v>3019</v>
      </c>
      <c r="E328">
        <v>2015</v>
      </c>
      <c r="F328" s="1" t="s">
        <v>0</v>
      </c>
      <c r="G328" s="1" t="s">
        <v>4864</v>
      </c>
      <c r="H328" s="1" t="s">
        <v>3021</v>
      </c>
      <c r="I328" s="1" t="s">
        <v>1</v>
      </c>
      <c r="J328" s="1" t="s">
        <v>1</v>
      </c>
      <c r="K328" s="1" t="s">
        <v>3022</v>
      </c>
      <c r="L328" s="1" t="s">
        <v>1</v>
      </c>
      <c r="M328" s="1" t="s">
        <v>1</v>
      </c>
      <c r="N328" s="1" t="s">
        <v>1</v>
      </c>
      <c r="O328" s="1" t="s">
        <v>4865</v>
      </c>
      <c r="P328" s="1" t="s">
        <v>3023</v>
      </c>
      <c r="Q328" s="1">
        <v>-1</v>
      </c>
      <c r="R328" s="1"/>
      <c r="S328" s="1"/>
      <c r="T328" s="1"/>
      <c r="U328" s="1"/>
      <c r="V328" s="1"/>
      <c r="W328" s="1"/>
      <c r="X328" s="1"/>
      <c r="Y328" s="1"/>
      <c r="Z328" s="1"/>
      <c r="AA328" s="1"/>
      <c r="AB328" s="1"/>
      <c r="AC328" s="1"/>
      <c r="AD328" s="1"/>
      <c r="AE328" s="1"/>
      <c r="AF328" s="1"/>
    </row>
    <row r="329" spans="1:32" hidden="1" x14ac:dyDescent="0.25">
      <c r="A329" s="1">
        <v>328</v>
      </c>
      <c r="B329" s="1"/>
      <c r="C329" s="1" t="s">
        <v>1113</v>
      </c>
      <c r="D329" s="1" t="s">
        <v>3385</v>
      </c>
      <c r="E329">
        <v>2011</v>
      </c>
      <c r="F329" s="1" t="s">
        <v>0</v>
      </c>
      <c r="G329" s="1" t="s">
        <v>3386</v>
      </c>
      <c r="H329" s="1" t="s">
        <v>1114</v>
      </c>
      <c r="I329" s="1" t="s">
        <v>1</v>
      </c>
      <c r="J329" s="1" t="s">
        <v>1</v>
      </c>
      <c r="K329" s="1" t="s">
        <v>1115</v>
      </c>
      <c r="L329" s="1" t="s">
        <v>1</v>
      </c>
      <c r="M329" s="1" t="s">
        <v>1</v>
      </c>
      <c r="N329" s="1" t="s">
        <v>1</v>
      </c>
      <c r="O329" s="1" t="s">
        <v>3387</v>
      </c>
      <c r="P329" s="1" t="s">
        <v>1116</v>
      </c>
      <c r="Q329" s="1">
        <v>-1</v>
      </c>
      <c r="R329" s="1"/>
      <c r="S329" s="1"/>
      <c r="T329" s="1"/>
      <c r="U329" s="1"/>
      <c r="V329" s="1"/>
      <c r="W329" s="1"/>
      <c r="X329" s="1"/>
      <c r="Y329" s="1"/>
      <c r="Z329" s="1"/>
      <c r="AA329" s="1"/>
      <c r="AB329" s="1"/>
      <c r="AC329" s="1"/>
      <c r="AD329" s="1"/>
      <c r="AE329" s="1"/>
      <c r="AF329" s="1"/>
    </row>
    <row r="330" spans="1:32" hidden="1" x14ac:dyDescent="0.25">
      <c r="A330" s="1">
        <v>329</v>
      </c>
      <c r="B330" s="1"/>
      <c r="C330" s="1" t="s">
        <v>1529</v>
      </c>
      <c r="D330" s="1" t="s">
        <v>3697</v>
      </c>
      <c r="E330">
        <v>2016</v>
      </c>
      <c r="F330" s="1" t="s">
        <v>116</v>
      </c>
      <c r="G330" s="1" t="s">
        <v>3699</v>
      </c>
      <c r="H330" s="1" t="s">
        <v>1530</v>
      </c>
      <c r="I330" s="1" t="s">
        <v>3698</v>
      </c>
      <c r="J330" s="1" t="s">
        <v>3141</v>
      </c>
      <c r="K330" s="1" t="s">
        <v>1531</v>
      </c>
      <c r="L330" s="1" t="s">
        <v>1</v>
      </c>
      <c r="M330" s="1" t="s">
        <v>1</v>
      </c>
      <c r="N330" s="1" t="s">
        <v>1</v>
      </c>
      <c r="O330" s="1" t="s">
        <v>3700</v>
      </c>
      <c r="P330" s="1" t="s">
        <v>1532</v>
      </c>
      <c r="Q330" s="1">
        <v>-1</v>
      </c>
      <c r="R330" s="1"/>
      <c r="S330" s="1"/>
      <c r="T330" s="1"/>
      <c r="U330" s="1"/>
      <c r="V330" s="1"/>
      <c r="W330" s="1"/>
      <c r="X330" s="1"/>
      <c r="Y330" s="1"/>
      <c r="Z330" s="1"/>
      <c r="AA330" s="1"/>
      <c r="AB330" s="1"/>
      <c r="AC330" s="1"/>
      <c r="AD330" s="1"/>
      <c r="AE330" s="1"/>
      <c r="AF330" s="1"/>
    </row>
    <row r="331" spans="1:32" hidden="1" x14ac:dyDescent="0.25">
      <c r="A331" s="1">
        <v>330</v>
      </c>
      <c r="B331" s="1"/>
      <c r="C331" s="1" t="s">
        <v>1453</v>
      </c>
      <c r="D331" s="1" t="s">
        <v>3640</v>
      </c>
      <c r="E331">
        <v>2013</v>
      </c>
      <c r="F331" s="1" t="s">
        <v>244</v>
      </c>
      <c r="G331" s="1" t="s">
        <v>1</v>
      </c>
      <c r="H331" s="1" t="s">
        <v>514</v>
      </c>
      <c r="I331" s="1" t="s">
        <v>1454</v>
      </c>
      <c r="J331" s="1" t="s">
        <v>1</v>
      </c>
      <c r="K331" s="1" t="s">
        <v>1455</v>
      </c>
      <c r="L331" s="1" t="s">
        <v>247</v>
      </c>
      <c r="M331" s="1" t="s">
        <v>1</v>
      </c>
      <c r="N331" s="1" t="s">
        <v>1457</v>
      </c>
      <c r="O331" s="1" t="s">
        <v>3641</v>
      </c>
      <c r="P331" s="1" t="s">
        <v>1456</v>
      </c>
      <c r="Q331" s="1">
        <v>-1</v>
      </c>
      <c r="R331" s="1"/>
      <c r="S331" s="1"/>
      <c r="T331" s="1"/>
      <c r="U331" s="1"/>
      <c r="V331" s="1"/>
      <c r="W331" s="1"/>
      <c r="X331" s="1"/>
      <c r="Y331" s="1"/>
      <c r="Z331" s="1"/>
      <c r="AA331" s="1"/>
      <c r="AB331" s="1"/>
      <c r="AC331" s="1"/>
      <c r="AD331" s="1"/>
      <c r="AE331" s="1"/>
      <c r="AF331" s="1"/>
    </row>
    <row r="332" spans="1:32" x14ac:dyDescent="0.25">
      <c r="A332" s="1">
        <v>331</v>
      </c>
      <c r="B332" s="1">
        <v>18</v>
      </c>
      <c r="C332" s="1" t="s">
        <v>2560</v>
      </c>
      <c r="D332" s="1" t="s">
        <v>4491</v>
      </c>
      <c r="E332">
        <v>2015</v>
      </c>
      <c r="F332" s="1" t="s">
        <v>0</v>
      </c>
      <c r="G332" s="1" t="s">
        <v>4494</v>
      </c>
      <c r="H332" s="1" t="s">
        <v>71</v>
      </c>
      <c r="I332" s="1" t="s">
        <v>3174</v>
      </c>
      <c r="J332" s="1" t="s">
        <v>1</v>
      </c>
      <c r="K332" s="1" t="s">
        <v>2561</v>
      </c>
      <c r="L332" s="1" t="s">
        <v>1</v>
      </c>
      <c r="M332" s="1" t="s">
        <v>1</v>
      </c>
      <c r="N332" s="1" t="s">
        <v>1</v>
      </c>
      <c r="O332" s="1" t="s">
        <v>4495</v>
      </c>
      <c r="P332" s="1" t="s">
        <v>2562</v>
      </c>
      <c r="Q332" s="1">
        <v>1</v>
      </c>
      <c r="R332" s="1">
        <v>1</v>
      </c>
      <c r="S332" s="1">
        <v>5</v>
      </c>
      <c r="T332" s="1" t="s">
        <v>5040</v>
      </c>
      <c r="U332" s="1" t="s">
        <v>5015</v>
      </c>
      <c r="V332" s="1" t="s">
        <v>4999</v>
      </c>
      <c r="W332" s="1" t="s">
        <v>4974</v>
      </c>
      <c r="X332" s="1" t="s">
        <v>658</v>
      </c>
      <c r="Y332" s="1" t="s">
        <v>5003</v>
      </c>
      <c r="Z332" s="1" t="s">
        <v>5041</v>
      </c>
      <c r="AA332" s="1" t="s">
        <v>5042</v>
      </c>
      <c r="AB332" s="1">
        <v>3</v>
      </c>
      <c r="AC332" s="1">
        <v>1</v>
      </c>
      <c r="AD332" s="1">
        <v>2</v>
      </c>
      <c r="AE332" s="1">
        <v>3</v>
      </c>
      <c r="AF332" s="1"/>
    </row>
    <row r="333" spans="1:32" hidden="1" x14ac:dyDescent="0.25">
      <c r="A333" s="1">
        <v>332</v>
      </c>
      <c r="B333" s="1"/>
      <c r="C333" s="1" t="s">
        <v>933</v>
      </c>
      <c r="D333" s="1" t="s">
        <v>3263</v>
      </c>
      <c r="E333">
        <v>2015</v>
      </c>
      <c r="F333" s="1" t="s">
        <v>0</v>
      </c>
      <c r="G333" s="1" t="s">
        <v>3264</v>
      </c>
      <c r="H333" s="1" t="s">
        <v>934</v>
      </c>
      <c r="I333" s="1" t="s">
        <v>1</v>
      </c>
      <c r="J333" s="1" t="s">
        <v>1</v>
      </c>
      <c r="K333" s="1" t="s">
        <v>935</v>
      </c>
      <c r="L333" s="1" t="s">
        <v>1</v>
      </c>
      <c r="M333" s="1" t="s">
        <v>1</v>
      </c>
      <c r="N333" s="1" t="s">
        <v>1</v>
      </c>
      <c r="O333" s="1" t="s">
        <v>3265</v>
      </c>
      <c r="P333" s="1" t="s">
        <v>936</v>
      </c>
      <c r="Q333" s="1">
        <v>-1</v>
      </c>
      <c r="R333" s="1"/>
      <c r="S333" s="1"/>
      <c r="T333" s="1"/>
      <c r="U333" s="1"/>
      <c r="V333" s="1"/>
      <c r="W333" s="1"/>
      <c r="X333" s="1"/>
      <c r="Y333" s="1"/>
      <c r="Z333" s="1"/>
      <c r="AA333" s="1"/>
      <c r="AB333" s="1"/>
      <c r="AC333" s="1"/>
      <c r="AD333" s="1"/>
      <c r="AE333" s="1"/>
      <c r="AF333" s="1"/>
    </row>
    <row r="334" spans="1:32" hidden="1" x14ac:dyDescent="0.25">
      <c r="A334" s="1">
        <v>333</v>
      </c>
      <c r="B334" s="1"/>
      <c r="C334" s="1" t="s">
        <v>3043</v>
      </c>
      <c r="D334" s="1" t="s">
        <v>4881</v>
      </c>
      <c r="E334">
        <v>2006</v>
      </c>
      <c r="F334" s="1" t="s">
        <v>0</v>
      </c>
      <c r="G334" s="1" t="s">
        <v>4882</v>
      </c>
      <c r="H334" s="1" t="s">
        <v>1562</v>
      </c>
      <c r="I334" s="1" t="s">
        <v>1</v>
      </c>
      <c r="J334" s="1" t="s">
        <v>1</v>
      </c>
      <c r="K334" s="1" t="s">
        <v>3044</v>
      </c>
      <c r="L334" s="1" t="s">
        <v>1</v>
      </c>
      <c r="M334" s="1" t="s">
        <v>1</v>
      </c>
      <c r="N334" s="1" t="s">
        <v>1</v>
      </c>
      <c r="O334" s="1" t="s">
        <v>4883</v>
      </c>
      <c r="P334" s="1" t="s">
        <v>4884</v>
      </c>
      <c r="Q334" s="1">
        <v>-1</v>
      </c>
      <c r="R334" s="1"/>
      <c r="S334" s="1"/>
      <c r="T334" s="1"/>
      <c r="U334" s="1"/>
      <c r="V334" s="1"/>
      <c r="W334" s="1"/>
      <c r="X334" s="1"/>
      <c r="Y334" s="1"/>
      <c r="Z334" s="1"/>
      <c r="AA334" s="1"/>
      <c r="AB334" s="1"/>
      <c r="AC334" s="1"/>
      <c r="AD334" s="1"/>
      <c r="AE334" s="1"/>
      <c r="AF334" s="1"/>
    </row>
    <row r="335" spans="1:32" hidden="1" x14ac:dyDescent="0.25">
      <c r="A335" s="1">
        <v>334</v>
      </c>
      <c r="B335" s="1"/>
      <c r="C335" s="1" t="s">
        <v>2492</v>
      </c>
      <c r="D335" s="1" t="s">
        <v>4439</v>
      </c>
      <c r="E335">
        <v>2016</v>
      </c>
      <c r="F335" s="1" t="s">
        <v>0</v>
      </c>
      <c r="G335" s="1" t="s">
        <v>4440</v>
      </c>
      <c r="H335" s="1" t="s">
        <v>1128</v>
      </c>
      <c r="I335" s="1" t="s">
        <v>3745</v>
      </c>
      <c r="J335" s="1" t="s">
        <v>1</v>
      </c>
      <c r="K335" s="1" t="s">
        <v>2493</v>
      </c>
      <c r="L335" s="1" t="s">
        <v>1</v>
      </c>
      <c r="M335" s="1" t="s">
        <v>1</v>
      </c>
      <c r="N335" s="1" t="s">
        <v>1</v>
      </c>
      <c r="O335" s="1" t="s">
        <v>4441</v>
      </c>
      <c r="P335" s="1" t="s">
        <v>2494</v>
      </c>
      <c r="Q335" s="1">
        <v>-1</v>
      </c>
      <c r="R335" s="1"/>
      <c r="S335" s="1"/>
      <c r="T335" s="1"/>
      <c r="U335" s="1"/>
      <c r="V335" s="1"/>
      <c r="W335" s="1"/>
      <c r="X335" s="1"/>
      <c r="Y335" s="1"/>
      <c r="Z335" s="1"/>
      <c r="AA335" s="1"/>
      <c r="AB335" s="1"/>
      <c r="AC335" s="1"/>
      <c r="AD335" s="1"/>
      <c r="AE335" s="1"/>
      <c r="AF335" s="1"/>
    </row>
    <row r="336" spans="1:32" hidden="1" x14ac:dyDescent="0.25">
      <c r="A336" s="1">
        <v>335</v>
      </c>
      <c r="B336" s="1"/>
      <c r="C336" s="1" t="s">
        <v>1891</v>
      </c>
      <c r="D336" s="1" t="s">
        <v>1890</v>
      </c>
      <c r="E336">
        <v>2013</v>
      </c>
      <c r="F336" s="1" t="s">
        <v>116</v>
      </c>
      <c r="G336" s="1" t="s">
        <v>3975</v>
      </c>
      <c r="H336" s="1" t="s">
        <v>1892</v>
      </c>
      <c r="I336" s="1" t="s">
        <v>3402</v>
      </c>
      <c r="J336" s="1" t="s">
        <v>3512</v>
      </c>
      <c r="K336" s="1" t="s">
        <v>1893</v>
      </c>
      <c r="L336" s="1" t="s">
        <v>1</v>
      </c>
      <c r="M336" s="1" t="s">
        <v>1</v>
      </c>
      <c r="N336" s="1" t="s">
        <v>1895</v>
      </c>
      <c r="O336" s="1" t="s">
        <v>3976</v>
      </c>
      <c r="P336" s="1" t="s">
        <v>1894</v>
      </c>
      <c r="Q336" s="1">
        <v>-1</v>
      </c>
      <c r="R336" s="1"/>
      <c r="S336" s="1"/>
      <c r="T336" s="1"/>
      <c r="U336" s="1"/>
      <c r="V336" s="1"/>
      <c r="W336" s="1"/>
      <c r="X336" s="1"/>
      <c r="Y336" s="1"/>
      <c r="Z336" s="1"/>
      <c r="AA336" s="1"/>
      <c r="AB336" s="1"/>
      <c r="AC336" s="1"/>
      <c r="AD336" s="1"/>
      <c r="AE336" s="1"/>
      <c r="AF336" s="1"/>
    </row>
    <row r="337" spans="1:32" hidden="1" x14ac:dyDescent="0.25">
      <c r="A337" s="1">
        <v>336</v>
      </c>
      <c r="B337" s="1"/>
      <c r="C337" s="1" t="s">
        <v>2080</v>
      </c>
      <c r="D337" s="1" t="s">
        <v>4112</v>
      </c>
      <c r="E337">
        <v>2016</v>
      </c>
      <c r="F337" s="1" t="s">
        <v>0</v>
      </c>
      <c r="G337" s="1" t="s">
        <v>4113</v>
      </c>
      <c r="H337" s="1" t="s">
        <v>92</v>
      </c>
      <c r="I337" s="1" t="s">
        <v>1</v>
      </c>
      <c r="J337" s="1" t="s">
        <v>1</v>
      </c>
      <c r="K337" s="1" t="s">
        <v>3195</v>
      </c>
      <c r="L337" s="1" t="s">
        <v>1</v>
      </c>
      <c r="M337" s="1" t="s">
        <v>1</v>
      </c>
      <c r="N337" s="1" t="s">
        <v>1</v>
      </c>
      <c r="O337" s="1" t="s">
        <v>4114</v>
      </c>
      <c r="P337" s="1" t="s">
        <v>2081</v>
      </c>
      <c r="Q337" s="1">
        <v>-1</v>
      </c>
      <c r="R337" s="1"/>
      <c r="S337" s="1"/>
      <c r="T337" s="1"/>
      <c r="U337" s="1"/>
      <c r="V337" s="1"/>
      <c r="W337" s="1"/>
      <c r="X337" s="1"/>
      <c r="Y337" s="1"/>
      <c r="Z337" s="1"/>
      <c r="AA337" s="1"/>
      <c r="AB337" s="1"/>
      <c r="AC337" s="1"/>
      <c r="AD337" s="1"/>
      <c r="AE337" s="1"/>
      <c r="AF337" s="1"/>
    </row>
    <row r="338" spans="1:32" hidden="1" x14ac:dyDescent="0.25">
      <c r="A338" s="1">
        <v>337</v>
      </c>
      <c r="B338" s="1"/>
      <c r="C338" s="1" t="s">
        <v>1353</v>
      </c>
      <c r="D338" s="1" t="s">
        <v>3549</v>
      </c>
      <c r="E338">
        <v>2017</v>
      </c>
      <c r="F338" s="1" t="s">
        <v>0</v>
      </c>
      <c r="G338" s="1" t="s">
        <v>3550</v>
      </c>
      <c r="H338" s="1" t="s">
        <v>1354</v>
      </c>
      <c r="I338" s="1" t="s">
        <v>1</v>
      </c>
      <c r="J338" s="1" t="s">
        <v>1</v>
      </c>
      <c r="K338" s="1" t="s">
        <v>1355</v>
      </c>
      <c r="L338" s="1" t="s">
        <v>1</v>
      </c>
      <c r="M338" s="1" t="s">
        <v>1</v>
      </c>
      <c r="N338" s="1" t="s">
        <v>1</v>
      </c>
      <c r="O338" s="1" t="s">
        <v>3551</v>
      </c>
      <c r="P338" s="1" t="s">
        <v>1356</v>
      </c>
      <c r="Q338" s="1">
        <v>-1</v>
      </c>
      <c r="R338" s="1"/>
      <c r="S338" s="1"/>
      <c r="T338" s="1"/>
      <c r="U338" s="1"/>
      <c r="V338" s="1"/>
      <c r="W338" s="1"/>
      <c r="X338" s="1"/>
      <c r="Y338" s="1"/>
      <c r="Z338" s="1"/>
      <c r="AA338" s="1"/>
      <c r="AB338" s="1"/>
      <c r="AC338" s="1"/>
      <c r="AD338" s="1"/>
      <c r="AE338" s="1"/>
      <c r="AF338" s="1"/>
    </row>
    <row r="339" spans="1:32" hidden="1" x14ac:dyDescent="0.25">
      <c r="A339" s="1">
        <v>338</v>
      </c>
      <c r="B339" s="1"/>
      <c r="C339" s="1" t="s">
        <v>1838</v>
      </c>
      <c r="D339" s="1" t="s">
        <v>3928</v>
      </c>
      <c r="E339">
        <v>2006</v>
      </c>
      <c r="F339" s="1" t="s">
        <v>0</v>
      </c>
      <c r="G339" s="1" t="s">
        <v>3930</v>
      </c>
      <c r="H339" s="1" t="s">
        <v>1443</v>
      </c>
      <c r="I339" s="1" t="s">
        <v>1</v>
      </c>
      <c r="J339" s="1" t="s">
        <v>1</v>
      </c>
      <c r="K339" s="1" t="s">
        <v>3929</v>
      </c>
      <c r="L339" s="1" t="s">
        <v>1</v>
      </c>
      <c r="M339" s="1" t="s">
        <v>1</v>
      </c>
      <c r="N339" s="1" t="s">
        <v>1</v>
      </c>
      <c r="O339" s="1" t="s">
        <v>3931</v>
      </c>
      <c r="P339" s="1" t="s">
        <v>1839</v>
      </c>
      <c r="Q339" s="1">
        <v>-1</v>
      </c>
      <c r="R339" s="1"/>
      <c r="S339" s="1"/>
      <c r="T339" s="1"/>
      <c r="U339" s="1"/>
      <c r="V339" s="1"/>
      <c r="W339" s="1"/>
      <c r="X339" s="1"/>
      <c r="Y339" s="1"/>
      <c r="Z339" s="1"/>
      <c r="AA339" s="1"/>
      <c r="AB339" s="1"/>
      <c r="AC339" s="1"/>
      <c r="AD339" s="1"/>
      <c r="AE339" s="1"/>
      <c r="AF339" s="1"/>
    </row>
    <row r="340" spans="1:32" hidden="1" x14ac:dyDescent="0.25">
      <c r="A340" s="1">
        <v>339</v>
      </c>
      <c r="B340" s="1"/>
      <c r="C340" s="1" t="s">
        <v>1424</v>
      </c>
      <c r="D340" s="1" t="s">
        <v>3608</v>
      </c>
      <c r="E340">
        <v>2011</v>
      </c>
      <c r="F340" s="1" t="s">
        <v>116</v>
      </c>
      <c r="G340" s="1" t="s">
        <v>3610</v>
      </c>
      <c r="H340" s="1" t="s">
        <v>160</v>
      </c>
      <c r="I340" s="1" t="s">
        <v>3512</v>
      </c>
      <c r="J340" s="1" t="s">
        <v>3141</v>
      </c>
      <c r="K340" s="1" t="s">
        <v>3609</v>
      </c>
      <c r="L340" s="1" t="s">
        <v>1</v>
      </c>
      <c r="M340" s="1" t="s">
        <v>1</v>
      </c>
      <c r="N340" s="1" t="s">
        <v>1426</v>
      </c>
      <c r="O340" s="1" t="s">
        <v>3611</v>
      </c>
      <c r="P340" s="1" t="s">
        <v>1425</v>
      </c>
      <c r="Q340" s="1">
        <v>-1</v>
      </c>
      <c r="R340" s="1"/>
      <c r="S340" s="1"/>
      <c r="T340" s="1"/>
      <c r="U340" s="1"/>
      <c r="V340" s="1"/>
      <c r="W340" s="1"/>
      <c r="X340" s="1"/>
      <c r="Y340" s="1"/>
      <c r="Z340" s="1"/>
      <c r="AA340" s="1"/>
      <c r="AB340" s="1"/>
      <c r="AC340" s="1"/>
      <c r="AD340" s="1"/>
      <c r="AE340" s="1"/>
      <c r="AF340" s="1"/>
    </row>
    <row r="341" spans="1:32" hidden="1" x14ac:dyDescent="0.25">
      <c r="A341" s="1">
        <v>340</v>
      </c>
      <c r="B341" s="1"/>
      <c r="C341" s="1" t="s">
        <v>1186</v>
      </c>
      <c r="D341" s="1" t="s">
        <v>3435</v>
      </c>
      <c r="E341">
        <v>2011</v>
      </c>
      <c r="F341" s="1" t="s">
        <v>0</v>
      </c>
      <c r="G341" s="1" t="s">
        <v>3436</v>
      </c>
      <c r="H341" s="1" t="s">
        <v>1187</v>
      </c>
      <c r="I341" s="1" t="s">
        <v>1</v>
      </c>
      <c r="J341" s="1" t="s">
        <v>1</v>
      </c>
      <c r="K341" s="1" t="s">
        <v>1188</v>
      </c>
      <c r="L341" s="1" t="s">
        <v>1</v>
      </c>
      <c r="M341" s="1" t="s">
        <v>1</v>
      </c>
      <c r="N341" s="1" t="s">
        <v>1</v>
      </c>
      <c r="O341" s="1" t="s">
        <v>3437</v>
      </c>
      <c r="P341" s="1" t="s">
        <v>1189</v>
      </c>
      <c r="Q341" s="1">
        <v>-1</v>
      </c>
      <c r="R341" s="1"/>
      <c r="S341" s="1"/>
      <c r="T341" s="1"/>
      <c r="U341" s="1"/>
      <c r="V341" s="1"/>
      <c r="W341" s="1"/>
      <c r="X341" s="1"/>
      <c r="Y341" s="1"/>
      <c r="Z341" s="1"/>
      <c r="AA341" s="1"/>
      <c r="AB341" s="1"/>
      <c r="AC341" s="1"/>
      <c r="AD341" s="1"/>
      <c r="AE341" s="1"/>
      <c r="AF341" s="1"/>
    </row>
    <row r="342" spans="1:32" hidden="1" x14ac:dyDescent="0.25">
      <c r="A342" s="1">
        <v>341</v>
      </c>
      <c r="B342" s="1"/>
      <c r="C342" s="1" t="s">
        <v>1066</v>
      </c>
      <c r="D342" s="1" t="s">
        <v>3351</v>
      </c>
      <c r="E342">
        <v>2010</v>
      </c>
      <c r="F342" s="1" t="s">
        <v>0</v>
      </c>
      <c r="G342" s="1" t="s">
        <v>3352</v>
      </c>
      <c r="H342" s="1" t="s">
        <v>1067</v>
      </c>
      <c r="I342" s="1" t="s">
        <v>1</v>
      </c>
      <c r="J342" s="1" t="s">
        <v>1</v>
      </c>
      <c r="K342" s="1" t="s">
        <v>3272</v>
      </c>
      <c r="L342" s="1" t="s">
        <v>1</v>
      </c>
      <c r="M342" s="1" t="s">
        <v>1</v>
      </c>
      <c r="N342" s="1" t="s">
        <v>1</v>
      </c>
      <c r="O342" s="1" t="s">
        <v>3353</v>
      </c>
      <c r="P342" s="1" t="s">
        <v>1068</v>
      </c>
      <c r="Q342" s="1">
        <v>-1</v>
      </c>
      <c r="R342" s="1"/>
      <c r="S342" s="1"/>
      <c r="T342" s="1"/>
      <c r="U342" s="1"/>
      <c r="V342" s="1"/>
      <c r="W342" s="1"/>
      <c r="X342" s="1"/>
      <c r="Y342" s="1"/>
      <c r="Z342" s="1"/>
      <c r="AA342" s="1"/>
      <c r="AB342" s="1"/>
      <c r="AC342" s="1"/>
      <c r="AD342" s="1"/>
      <c r="AE342" s="1"/>
      <c r="AF342" s="1"/>
    </row>
    <row r="343" spans="1:32" x14ac:dyDescent="0.25">
      <c r="A343" s="1">
        <v>342</v>
      </c>
      <c r="B343" s="1">
        <v>19</v>
      </c>
      <c r="C343" s="9" t="s">
        <v>2567</v>
      </c>
      <c r="D343" s="1" t="s">
        <v>4498</v>
      </c>
      <c r="E343">
        <v>2014</v>
      </c>
      <c r="F343" s="1" t="s">
        <v>244</v>
      </c>
      <c r="G343" s="1" t="s">
        <v>4501</v>
      </c>
      <c r="H343" s="1" t="s">
        <v>514</v>
      </c>
      <c r="I343" s="1" t="s">
        <v>4499</v>
      </c>
      <c r="J343" s="1" t="s">
        <v>1</v>
      </c>
      <c r="K343" s="1" t="s">
        <v>4500</v>
      </c>
      <c r="L343" s="1" t="s">
        <v>247</v>
      </c>
      <c r="M343" s="1" t="s">
        <v>1</v>
      </c>
      <c r="N343" s="1" t="s">
        <v>2569</v>
      </c>
      <c r="O343" s="1" t="s">
        <v>4502</v>
      </c>
      <c r="P343" s="1" t="s">
        <v>2568</v>
      </c>
      <c r="Q343" s="5">
        <v>1</v>
      </c>
      <c r="R343" s="1">
        <v>1</v>
      </c>
      <c r="S343" s="1">
        <v>8</v>
      </c>
      <c r="T343" s="1" t="s">
        <v>5045</v>
      </c>
      <c r="U343" s="1" t="s">
        <v>5044</v>
      </c>
      <c r="V343" s="1"/>
      <c r="W343" s="1" t="s">
        <v>4974</v>
      </c>
      <c r="X343" s="1" t="s">
        <v>5012</v>
      </c>
      <c r="Y343" s="1" t="s">
        <v>5003</v>
      </c>
      <c r="Z343" s="1" t="s">
        <v>5043</v>
      </c>
      <c r="AA343" s="1"/>
      <c r="AB343" s="1">
        <v>4</v>
      </c>
      <c r="AC343" s="1">
        <v>4</v>
      </c>
      <c r="AD343" s="1">
        <v>2</v>
      </c>
      <c r="AE343" s="1">
        <v>4</v>
      </c>
      <c r="AF343" s="1"/>
    </row>
    <row r="344" spans="1:32" hidden="1" x14ac:dyDescent="0.25">
      <c r="A344" s="1">
        <v>343</v>
      </c>
      <c r="B344" s="1"/>
      <c r="C344" s="1" t="s">
        <v>3079</v>
      </c>
      <c r="D344" s="1" t="s">
        <v>4903</v>
      </c>
      <c r="E344">
        <v>2014</v>
      </c>
      <c r="F344" s="1" t="s">
        <v>0</v>
      </c>
      <c r="G344" s="1" t="s">
        <v>4904</v>
      </c>
      <c r="H344" s="1" t="s">
        <v>1032</v>
      </c>
      <c r="I344" s="1" t="s">
        <v>3141</v>
      </c>
      <c r="J344" s="1" t="s">
        <v>1</v>
      </c>
      <c r="K344" s="1" t="s">
        <v>3080</v>
      </c>
      <c r="L344" s="1" t="s">
        <v>1</v>
      </c>
      <c r="M344" s="1" t="s">
        <v>1</v>
      </c>
      <c r="N344" s="1" t="s">
        <v>1</v>
      </c>
      <c r="O344" s="1" t="s">
        <v>4905</v>
      </c>
      <c r="P344" s="1" t="s">
        <v>3081</v>
      </c>
      <c r="Q344" s="1">
        <v>-1</v>
      </c>
      <c r="R344" s="1"/>
      <c r="S344" s="1"/>
      <c r="T344" s="1"/>
      <c r="U344" s="1"/>
      <c r="V344" s="1"/>
      <c r="W344" s="1"/>
      <c r="X344" s="1"/>
      <c r="Y344" s="1"/>
      <c r="Z344" s="1"/>
      <c r="AA344" s="1"/>
      <c r="AB344" s="1"/>
      <c r="AC344" s="1"/>
      <c r="AD344" s="1"/>
      <c r="AE344" s="1"/>
      <c r="AF344" s="1"/>
    </row>
    <row r="345" spans="1:32" hidden="1" x14ac:dyDescent="0.25">
      <c r="A345" s="1">
        <v>344</v>
      </c>
      <c r="B345" s="1"/>
      <c r="C345" s="8" t="s">
        <v>1968</v>
      </c>
      <c r="D345" s="1" t="s">
        <v>4034</v>
      </c>
      <c r="E345">
        <v>2017</v>
      </c>
      <c r="F345" s="1" t="s">
        <v>116</v>
      </c>
      <c r="G345" s="1" t="s">
        <v>4036</v>
      </c>
      <c r="H345" s="1" t="s">
        <v>1969</v>
      </c>
      <c r="I345" s="1" t="s">
        <v>4035</v>
      </c>
      <c r="J345" s="1" t="s">
        <v>3141</v>
      </c>
      <c r="K345" s="1" t="s">
        <v>3202</v>
      </c>
      <c r="L345" s="1" t="s">
        <v>1970</v>
      </c>
      <c r="M345" s="1" t="s">
        <v>1</v>
      </c>
      <c r="N345" s="1" t="s">
        <v>1972</v>
      </c>
      <c r="O345" s="1" t="s">
        <v>1</v>
      </c>
      <c r="P345" s="1" t="s">
        <v>1971</v>
      </c>
      <c r="Q345" s="1">
        <v>-1</v>
      </c>
      <c r="R345" s="1"/>
      <c r="S345" s="1"/>
      <c r="T345" s="1"/>
      <c r="U345" s="1"/>
      <c r="V345" s="1"/>
      <c r="W345" s="1"/>
      <c r="X345" s="1"/>
      <c r="Y345" s="1"/>
      <c r="Z345" s="1"/>
      <c r="AA345" s="1"/>
      <c r="AB345" s="1"/>
      <c r="AC345" s="1"/>
      <c r="AD345" s="1"/>
      <c r="AE345" s="1"/>
      <c r="AF345" s="1"/>
    </row>
    <row r="346" spans="1:32" hidden="1" x14ac:dyDescent="0.25">
      <c r="A346" s="1">
        <v>345</v>
      </c>
      <c r="B346" s="1"/>
      <c r="C346" s="1" t="s">
        <v>1369</v>
      </c>
      <c r="D346" s="1" t="s">
        <v>3562</v>
      </c>
      <c r="E346">
        <v>2014</v>
      </c>
      <c r="F346" s="1" t="s">
        <v>0</v>
      </c>
      <c r="G346" s="1" t="s">
        <v>3563</v>
      </c>
      <c r="H346" s="1" t="s">
        <v>1085</v>
      </c>
      <c r="I346" s="1" t="s">
        <v>1</v>
      </c>
      <c r="J346" s="1" t="s">
        <v>1</v>
      </c>
      <c r="K346" s="1" t="s">
        <v>1370</v>
      </c>
      <c r="L346" s="1" t="s">
        <v>1</v>
      </c>
      <c r="M346" s="1" t="s">
        <v>1</v>
      </c>
      <c r="N346" s="1" t="s">
        <v>1</v>
      </c>
      <c r="O346" s="1" t="s">
        <v>3564</v>
      </c>
      <c r="P346" s="1" t="s">
        <v>1371</v>
      </c>
      <c r="Q346" s="1">
        <v>-1</v>
      </c>
      <c r="R346" s="1"/>
      <c r="S346" s="1"/>
      <c r="T346" s="1"/>
      <c r="U346" s="1"/>
      <c r="V346" s="1"/>
      <c r="W346" s="1"/>
      <c r="X346" s="1"/>
      <c r="Y346" s="1"/>
      <c r="Z346" s="1"/>
      <c r="AA346" s="1"/>
      <c r="AB346" s="1"/>
      <c r="AC346" s="1"/>
      <c r="AD346" s="1"/>
      <c r="AE346" s="1"/>
      <c r="AF346" s="1"/>
    </row>
    <row r="347" spans="1:32" hidden="1" x14ac:dyDescent="0.25">
      <c r="A347" s="1">
        <v>346</v>
      </c>
      <c r="B347" s="1"/>
      <c r="C347" s="1" t="s">
        <v>1190</v>
      </c>
      <c r="D347" s="1" t="s">
        <v>3438</v>
      </c>
      <c r="E347">
        <v>2008</v>
      </c>
      <c r="F347" s="1" t="s">
        <v>0</v>
      </c>
      <c r="G347" s="1" t="s">
        <v>3439</v>
      </c>
      <c r="H347" s="1" t="s">
        <v>1191</v>
      </c>
      <c r="I347" s="1" t="s">
        <v>1</v>
      </c>
      <c r="J347" s="1" t="s">
        <v>1</v>
      </c>
      <c r="K347" s="1" t="s">
        <v>1192</v>
      </c>
      <c r="L347" s="1" t="s">
        <v>1</v>
      </c>
      <c r="M347" s="1" t="s">
        <v>1</v>
      </c>
      <c r="N347" s="1" t="s">
        <v>1</v>
      </c>
      <c r="O347" s="1" t="s">
        <v>3440</v>
      </c>
      <c r="P347" s="1" t="s">
        <v>1193</v>
      </c>
      <c r="Q347" s="1">
        <v>-1</v>
      </c>
      <c r="R347" s="1"/>
      <c r="S347" s="1"/>
      <c r="T347" s="1"/>
      <c r="U347" s="1"/>
      <c r="V347" s="1"/>
      <c r="W347" s="1"/>
      <c r="X347" s="1"/>
      <c r="Y347" s="1"/>
      <c r="Z347" s="1"/>
      <c r="AA347" s="1"/>
      <c r="AB347" s="1"/>
      <c r="AC347" s="1"/>
      <c r="AD347" s="1"/>
      <c r="AE347" s="1"/>
      <c r="AF347" s="1"/>
    </row>
    <row r="348" spans="1:32" x14ac:dyDescent="0.25">
      <c r="A348" s="1">
        <v>347</v>
      </c>
      <c r="B348" s="1">
        <v>20</v>
      </c>
      <c r="C348" s="5" t="s">
        <v>532</v>
      </c>
      <c r="D348" s="1" t="s">
        <v>217</v>
      </c>
      <c r="E348">
        <v>2011</v>
      </c>
      <c r="F348" s="1" t="s">
        <v>0</v>
      </c>
      <c r="G348" s="1" t="s">
        <v>4231</v>
      </c>
      <c r="H348" s="1" t="s">
        <v>1</v>
      </c>
      <c r="I348" s="1" t="s">
        <v>1</v>
      </c>
      <c r="J348" s="1" t="s">
        <v>1</v>
      </c>
      <c r="K348" s="1" t="s">
        <v>2227</v>
      </c>
      <c r="L348" s="1" t="s">
        <v>533</v>
      </c>
      <c r="M348" s="1" t="s">
        <v>1</v>
      </c>
      <c r="N348" s="1" t="s">
        <v>2228</v>
      </c>
      <c r="O348" s="1" t="s">
        <v>535</v>
      </c>
      <c r="P348" s="1" t="s">
        <v>536</v>
      </c>
      <c r="Q348" s="1">
        <v>1</v>
      </c>
      <c r="R348" s="1">
        <v>1</v>
      </c>
      <c r="S348" s="1">
        <v>7</v>
      </c>
      <c r="T348" s="1" t="s">
        <v>2232</v>
      </c>
      <c r="U348" s="1" t="s">
        <v>5015</v>
      </c>
      <c r="V348" s="1"/>
      <c r="W348" s="1" t="s">
        <v>4974</v>
      </c>
      <c r="X348" s="1" t="s">
        <v>658</v>
      </c>
      <c r="Y348" s="1" t="s">
        <v>834</v>
      </c>
      <c r="Z348" s="1" t="s">
        <v>5047</v>
      </c>
      <c r="AA348" s="1"/>
      <c r="AB348" s="1">
        <v>4</v>
      </c>
      <c r="AC348" s="1">
        <v>4</v>
      </c>
      <c r="AD348" s="1">
        <v>3</v>
      </c>
      <c r="AE348" s="1">
        <v>4</v>
      </c>
      <c r="AF348" s="1"/>
    </row>
    <row r="349" spans="1:32" hidden="1" x14ac:dyDescent="0.25">
      <c r="A349" s="1">
        <v>348</v>
      </c>
      <c r="B349" s="1"/>
      <c r="C349" s="1" t="s">
        <v>2668</v>
      </c>
      <c r="D349" s="1" t="s">
        <v>4582</v>
      </c>
      <c r="E349">
        <v>2013</v>
      </c>
      <c r="F349" s="1" t="s">
        <v>0</v>
      </c>
      <c r="G349" s="1" t="s">
        <v>4583</v>
      </c>
      <c r="H349" s="1" t="s">
        <v>2669</v>
      </c>
      <c r="I349" s="1" t="s">
        <v>1</v>
      </c>
      <c r="J349" s="1" t="s">
        <v>1</v>
      </c>
      <c r="K349" s="1" t="s">
        <v>2670</v>
      </c>
      <c r="L349" s="1" t="s">
        <v>1</v>
      </c>
      <c r="M349" s="1" t="s">
        <v>1</v>
      </c>
      <c r="N349" s="1" t="s">
        <v>1</v>
      </c>
      <c r="O349" s="1" t="s">
        <v>4584</v>
      </c>
      <c r="P349" s="1" t="s">
        <v>2671</v>
      </c>
      <c r="Q349" s="1">
        <v>-1</v>
      </c>
      <c r="R349" s="1"/>
      <c r="S349" s="1"/>
      <c r="T349" s="1"/>
      <c r="U349" s="1"/>
      <c r="V349" s="1"/>
      <c r="W349" s="1"/>
      <c r="X349" s="1"/>
      <c r="Y349" s="1"/>
      <c r="Z349" s="1"/>
      <c r="AA349" s="1"/>
      <c r="AB349" s="1"/>
      <c r="AC349" s="1"/>
      <c r="AD349" s="1"/>
      <c r="AE349" s="1"/>
      <c r="AF349" s="1"/>
    </row>
    <row r="350" spans="1:32" hidden="1" x14ac:dyDescent="0.25">
      <c r="A350" s="1">
        <v>349</v>
      </c>
      <c r="B350" s="1"/>
      <c r="C350" s="1" t="s">
        <v>803</v>
      </c>
      <c r="D350" s="1" t="s">
        <v>1</v>
      </c>
      <c r="E350">
        <v>2015</v>
      </c>
      <c r="F350" s="1" t="s">
        <v>0</v>
      </c>
      <c r="G350" s="1" t="s">
        <v>3173</v>
      </c>
      <c r="H350" s="1" t="s">
        <v>804</v>
      </c>
      <c r="I350" s="1" t="s">
        <v>1</v>
      </c>
      <c r="J350" s="1" t="s">
        <v>1</v>
      </c>
      <c r="K350" s="1" t="s">
        <v>805</v>
      </c>
      <c r="L350" s="1" t="s">
        <v>1</v>
      </c>
      <c r="M350" s="1" t="s">
        <v>1</v>
      </c>
      <c r="N350" s="1" t="s">
        <v>1</v>
      </c>
      <c r="O350" s="1" t="s">
        <v>1</v>
      </c>
      <c r="P350" s="1" t="s">
        <v>806</v>
      </c>
      <c r="Q350" s="1">
        <v>-1</v>
      </c>
      <c r="R350" s="1"/>
      <c r="S350" s="1"/>
      <c r="T350" s="1"/>
      <c r="U350" s="1"/>
      <c r="V350" s="1"/>
      <c r="W350" s="1"/>
      <c r="X350" s="1"/>
      <c r="Y350" s="1"/>
      <c r="Z350" s="1"/>
      <c r="AA350" s="1"/>
      <c r="AB350" s="1"/>
      <c r="AC350" s="1"/>
      <c r="AD350" s="1"/>
      <c r="AE350" s="1"/>
      <c r="AF350" s="1"/>
    </row>
    <row r="351" spans="1:32" hidden="1" x14ac:dyDescent="0.25">
      <c r="A351" s="1">
        <v>350</v>
      </c>
      <c r="B351" s="1"/>
      <c r="C351" s="1" t="s">
        <v>1581</v>
      </c>
      <c r="D351" s="1" t="s">
        <v>3738</v>
      </c>
      <c r="E351">
        <v>2017</v>
      </c>
      <c r="F351" s="1" t="s">
        <v>0</v>
      </c>
      <c r="G351" s="1" t="s">
        <v>3739</v>
      </c>
      <c r="H351" s="1" t="s">
        <v>1582</v>
      </c>
      <c r="I351" s="1" t="s">
        <v>1</v>
      </c>
      <c r="J351" s="1" t="s">
        <v>1</v>
      </c>
      <c r="K351" s="1" t="s">
        <v>1580</v>
      </c>
      <c r="L351" s="1" t="s">
        <v>1</v>
      </c>
      <c r="M351" s="1" t="s">
        <v>1</v>
      </c>
      <c r="N351" s="1" t="s">
        <v>1</v>
      </c>
      <c r="O351" s="1" t="s">
        <v>3740</v>
      </c>
      <c r="P351" s="1" t="s">
        <v>3741</v>
      </c>
      <c r="Q351" s="1">
        <v>-1</v>
      </c>
      <c r="R351" s="1"/>
      <c r="S351" s="1"/>
      <c r="T351" s="1"/>
      <c r="U351" s="1"/>
      <c r="V351" s="1"/>
      <c r="W351" s="1"/>
      <c r="X351" s="1"/>
      <c r="Y351" s="1"/>
      <c r="Z351" s="1"/>
      <c r="AA351" s="1"/>
      <c r="AB351" s="1"/>
      <c r="AC351" s="1"/>
      <c r="AD351" s="1"/>
      <c r="AE351" s="1"/>
      <c r="AF351" s="1"/>
    </row>
    <row r="352" spans="1:32" hidden="1" x14ac:dyDescent="0.25">
      <c r="A352" s="1">
        <v>351</v>
      </c>
      <c r="B352" s="1"/>
      <c r="C352" s="1" t="s">
        <v>2220</v>
      </c>
      <c r="D352" s="1" t="s">
        <v>4226</v>
      </c>
      <c r="E352">
        <v>2015</v>
      </c>
      <c r="F352" s="1" t="s">
        <v>116</v>
      </c>
      <c r="G352" s="1" t="s">
        <v>4227</v>
      </c>
      <c r="H352" s="1" t="s">
        <v>876</v>
      </c>
      <c r="I352" s="1" t="s">
        <v>3281</v>
      </c>
      <c r="J352" s="1" t="s">
        <v>1</v>
      </c>
      <c r="K352" s="1" t="s">
        <v>2221</v>
      </c>
      <c r="L352" s="1" t="s">
        <v>1</v>
      </c>
      <c r="M352" s="1" t="s">
        <v>1</v>
      </c>
      <c r="N352" s="1" t="s">
        <v>2222</v>
      </c>
      <c r="O352" s="1" t="s">
        <v>1</v>
      </c>
      <c r="P352" s="1" t="s">
        <v>1</v>
      </c>
      <c r="Q352" s="1">
        <v>-1</v>
      </c>
      <c r="R352" s="1"/>
      <c r="S352" s="1"/>
      <c r="T352" s="1"/>
      <c r="U352" s="1"/>
      <c r="V352" s="1"/>
      <c r="W352" s="1"/>
      <c r="X352" s="1"/>
      <c r="Y352" s="1"/>
      <c r="Z352" s="1"/>
      <c r="AA352" s="1"/>
      <c r="AB352" s="1"/>
      <c r="AC352" s="1"/>
      <c r="AD352" s="1"/>
      <c r="AE352" s="1"/>
      <c r="AF352" s="1"/>
    </row>
    <row r="353" spans="1:32" hidden="1" x14ac:dyDescent="0.25">
      <c r="A353" s="1">
        <v>352</v>
      </c>
      <c r="B353" s="1"/>
      <c r="C353" s="1" t="s">
        <v>2925</v>
      </c>
      <c r="D353" s="1" t="s">
        <v>4785</v>
      </c>
      <c r="E353">
        <v>2015</v>
      </c>
      <c r="F353" s="1" t="s">
        <v>0</v>
      </c>
      <c r="G353" s="1" t="s">
        <v>4786</v>
      </c>
      <c r="H353" s="1" t="s">
        <v>934</v>
      </c>
      <c r="I353" s="1" t="s">
        <v>1</v>
      </c>
      <c r="J353" s="1" t="s">
        <v>1</v>
      </c>
      <c r="K353" s="1" t="s">
        <v>2926</v>
      </c>
      <c r="L353" s="1" t="s">
        <v>1</v>
      </c>
      <c r="M353" s="1" t="s">
        <v>1</v>
      </c>
      <c r="N353" s="1" t="s">
        <v>1</v>
      </c>
      <c r="O353" s="1" t="s">
        <v>4787</v>
      </c>
      <c r="P353" s="1" t="s">
        <v>2927</v>
      </c>
      <c r="Q353" s="1">
        <v>-1</v>
      </c>
      <c r="R353" s="1"/>
      <c r="S353" s="1"/>
      <c r="T353" s="1"/>
      <c r="U353" s="1"/>
      <c r="V353" s="1"/>
      <c r="W353" s="1"/>
      <c r="X353" s="1"/>
      <c r="Y353" s="1"/>
      <c r="Z353" s="1"/>
      <c r="AA353" s="1"/>
      <c r="AB353" s="1"/>
      <c r="AC353" s="1"/>
      <c r="AD353" s="1"/>
      <c r="AE353" s="1"/>
      <c r="AF353" s="1"/>
    </row>
    <row r="354" spans="1:32" hidden="1" x14ac:dyDescent="0.25">
      <c r="A354" s="1">
        <v>353</v>
      </c>
      <c r="B354" s="1"/>
      <c r="C354" s="1" t="s">
        <v>1219</v>
      </c>
      <c r="D354" s="1" t="s">
        <v>3460</v>
      </c>
      <c r="E354">
        <v>2015</v>
      </c>
      <c r="F354" s="1" t="s">
        <v>0</v>
      </c>
      <c r="G354" s="1" t="s">
        <v>3461</v>
      </c>
      <c r="H354" s="1" t="s">
        <v>1220</v>
      </c>
      <c r="I354" s="1" t="s">
        <v>1</v>
      </c>
      <c r="J354" s="1" t="s">
        <v>1</v>
      </c>
      <c r="K354" s="1" t="s">
        <v>1221</v>
      </c>
      <c r="L354" s="1" t="s">
        <v>1</v>
      </c>
      <c r="M354" s="1" t="s">
        <v>1</v>
      </c>
      <c r="N354" s="1" t="s">
        <v>1</v>
      </c>
      <c r="O354" s="1" t="s">
        <v>3462</v>
      </c>
      <c r="P354" s="1" t="s">
        <v>1222</v>
      </c>
      <c r="Q354" s="1">
        <v>-1</v>
      </c>
      <c r="R354" s="1"/>
      <c r="S354" s="1"/>
      <c r="T354" s="1"/>
      <c r="U354" s="1"/>
      <c r="V354" s="1"/>
      <c r="W354" s="1"/>
      <c r="X354" s="1"/>
      <c r="Y354" s="1"/>
      <c r="Z354" s="1"/>
      <c r="AA354" s="1"/>
      <c r="AB354" s="1"/>
      <c r="AC354" s="1"/>
      <c r="AD354" s="1"/>
      <c r="AE354" s="1"/>
      <c r="AF354" s="1"/>
    </row>
    <row r="355" spans="1:32" hidden="1" x14ac:dyDescent="0.25">
      <c r="A355" s="1">
        <v>354</v>
      </c>
      <c r="B355" s="1"/>
      <c r="C355" s="1" t="s">
        <v>2999</v>
      </c>
      <c r="D355" s="1" t="s">
        <v>4847</v>
      </c>
      <c r="E355">
        <v>2011</v>
      </c>
      <c r="F355" s="1" t="s">
        <v>0</v>
      </c>
      <c r="G355" s="1" t="s">
        <v>4848</v>
      </c>
      <c r="H355" s="1" t="s">
        <v>1187</v>
      </c>
      <c r="I355" s="1" t="s">
        <v>1</v>
      </c>
      <c r="J355" s="1" t="s">
        <v>1</v>
      </c>
      <c r="K355" s="1" t="s">
        <v>3000</v>
      </c>
      <c r="L355" s="1" t="s">
        <v>1</v>
      </c>
      <c r="M355" s="1" t="s">
        <v>1</v>
      </c>
      <c r="N355" s="1" t="s">
        <v>1</v>
      </c>
      <c r="O355" s="1" t="s">
        <v>4849</v>
      </c>
      <c r="P355" s="1" t="s">
        <v>3001</v>
      </c>
      <c r="Q355" s="1">
        <v>-1</v>
      </c>
      <c r="R355" s="1"/>
      <c r="S355" s="1"/>
      <c r="T355" s="1"/>
      <c r="U355" s="1"/>
      <c r="V355" s="1"/>
      <c r="W355" s="1"/>
      <c r="X355" s="1"/>
      <c r="Y355" s="1"/>
      <c r="Z355" s="1"/>
      <c r="AA355" s="1"/>
      <c r="AB355" s="1"/>
      <c r="AC355" s="1"/>
      <c r="AD355" s="1"/>
      <c r="AE355" s="1"/>
      <c r="AF355" s="1"/>
    </row>
    <row r="356" spans="1:32" hidden="1" x14ac:dyDescent="0.25">
      <c r="A356" s="1">
        <v>355</v>
      </c>
      <c r="B356" s="1"/>
      <c r="C356" s="1" t="s">
        <v>921</v>
      </c>
      <c r="D356" s="1" t="s">
        <v>920</v>
      </c>
      <c r="E356">
        <v>2015</v>
      </c>
      <c r="F356" s="1" t="s">
        <v>0</v>
      </c>
      <c r="G356" s="1" t="s">
        <v>3254</v>
      </c>
      <c r="H356" s="1" t="s">
        <v>71</v>
      </c>
      <c r="I356" s="1" t="s">
        <v>3141</v>
      </c>
      <c r="J356" s="1" t="s">
        <v>1</v>
      </c>
      <c r="K356" s="1" t="s">
        <v>922</v>
      </c>
      <c r="L356" s="1" t="s">
        <v>1</v>
      </c>
      <c r="M356" s="1" t="s">
        <v>1</v>
      </c>
      <c r="N356" s="1" t="s">
        <v>1</v>
      </c>
      <c r="O356" s="1" t="s">
        <v>3255</v>
      </c>
      <c r="P356" s="1" t="s">
        <v>923</v>
      </c>
      <c r="Q356" s="1">
        <v>-1</v>
      </c>
      <c r="R356" s="1"/>
      <c r="S356" s="1"/>
      <c r="T356" s="1"/>
      <c r="U356" s="1"/>
      <c r="V356" s="1"/>
      <c r="W356" s="1"/>
      <c r="X356" s="1"/>
      <c r="Y356" s="1"/>
      <c r="Z356" s="1"/>
      <c r="AA356" s="1"/>
      <c r="AB356" s="1"/>
      <c r="AC356" s="1"/>
      <c r="AD356" s="1"/>
      <c r="AE356" s="1"/>
      <c r="AF356" s="1"/>
    </row>
    <row r="357" spans="1:32" hidden="1" x14ac:dyDescent="0.25">
      <c r="A357" s="1">
        <v>356</v>
      </c>
      <c r="B357" s="1"/>
      <c r="C357" s="1" t="s">
        <v>2091</v>
      </c>
      <c r="D357" s="1" t="s">
        <v>4122</v>
      </c>
      <c r="E357">
        <v>2013</v>
      </c>
      <c r="F357" s="1" t="s">
        <v>0</v>
      </c>
      <c r="G357" s="1" t="s">
        <v>4123</v>
      </c>
      <c r="H357" s="1" t="s">
        <v>2092</v>
      </c>
      <c r="I357" s="1" t="s">
        <v>1</v>
      </c>
      <c r="J357" s="1" t="s">
        <v>1</v>
      </c>
      <c r="K357" s="1" t="s">
        <v>3195</v>
      </c>
      <c r="L357" s="1" t="s">
        <v>1</v>
      </c>
      <c r="M357" s="1" t="s">
        <v>1</v>
      </c>
      <c r="N357" s="1" t="s">
        <v>1</v>
      </c>
      <c r="O357" s="1" t="s">
        <v>4124</v>
      </c>
      <c r="P357" s="1" t="s">
        <v>2093</v>
      </c>
      <c r="Q357" s="1">
        <v>1</v>
      </c>
      <c r="R357" s="1">
        <v>-1</v>
      </c>
      <c r="S357" s="1"/>
      <c r="T357" s="1"/>
      <c r="U357" s="1"/>
      <c r="V357" s="1"/>
      <c r="W357" s="1"/>
      <c r="X357" s="1"/>
      <c r="Y357" s="1"/>
      <c r="Z357" s="1"/>
      <c r="AA357" s="1"/>
      <c r="AB357" s="1"/>
      <c r="AC357" s="1"/>
      <c r="AD357" s="1"/>
      <c r="AE357" s="1"/>
      <c r="AF357" s="1"/>
    </row>
    <row r="358" spans="1:32" hidden="1" x14ac:dyDescent="0.25">
      <c r="A358" s="1">
        <v>357</v>
      </c>
      <c r="B358" s="1"/>
      <c r="C358" s="1" t="s">
        <v>826</v>
      </c>
      <c r="D358" s="1" t="s">
        <v>3191</v>
      </c>
      <c r="E358">
        <v>2017</v>
      </c>
      <c r="F358" s="1" t="s">
        <v>0</v>
      </c>
      <c r="G358" s="1" t="s">
        <v>3192</v>
      </c>
      <c r="H358" s="1" t="s">
        <v>1</v>
      </c>
      <c r="I358" s="1" t="s">
        <v>828</v>
      </c>
      <c r="J358" s="1" t="s">
        <v>1</v>
      </c>
      <c r="K358" s="1" t="s">
        <v>829</v>
      </c>
      <c r="L358" s="1" t="s">
        <v>827</v>
      </c>
      <c r="M358" s="1" t="s">
        <v>1</v>
      </c>
      <c r="N358" s="1" t="s">
        <v>831</v>
      </c>
      <c r="O358" s="1" t="s">
        <v>3193</v>
      </c>
      <c r="P358" s="1" t="s">
        <v>830</v>
      </c>
      <c r="Q358" s="1">
        <v>-1</v>
      </c>
      <c r="R358" s="1"/>
      <c r="S358" s="1"/>
      <c r="T358" s="1"/>
      <c r="U358" s="1"/>
      <c r="V358" s="1"/>
      <c r="W358" s="1"/>
      <c r="X358" s="1"/>
      <c r="Y358" s="1"/>
      <c r="Z358" s="1"/>
      <c r="AA358" s="1"/>
      <c r="AB358" s="1"/>
      <c r="AC358" s="1"/>
      <c r="AD358" s="1"/>
      <c r="AE358" s="1"/>
      <c r="AF358" s="1"/>
    </row>
    <row r="359" spans="1:32" hidden="1" x14ac:dyDescent="0.25">
      <c r="A359" s="1">
        <v>358</v>
      </c>
      <c r="B359" s="1"/>
      <c r="C359" s="1" t="s">
        <v>816</v>
      </c>
      <c r="D359" s="1" t="s">
        <v>1</v>
      </c>
      <c r="E359">
        <v>2017</v>
      </c>
      <c r="F359" s="1" t="s">
        <v>116</v>
      </c>
      <c r="G359" s="1" t="s">
        <v>1</v>
      </c>
      <c r="H359" s="1" t="s">
        <v>817</v>
      </c>
      <c r="I359" s="1" t="s">
        <v>1</v>
      </c>
      <c r="J359" s="1" t="s">
        <v>1</v>
      </c>
      <c r="K359" s="1" t="s">
        <v>3181</v>
      </c>
      <c r="L359" s="1" t="s">
        <v>1</v>
      </c>
      <c r="M359" s="1" t="s">
        <v>1</v>
      </c>
      <c r="N359" s="1" t="s">
        <v>1</v>
      </c>
      <c r="O359" s="1" t="s">
        <v>3182</v>
      </c>
      <c r="P359" s="1" t="s">
        <v>818</v>
      </c>
      <c r="Q359" s="1">
        <v>-1</v>
      </c>
      <c r="R359" s="1"/>
      <c r="S359" s="1"/>
      <c r="T359" s="1"/>
      <c r="U359" s="1"/>
      <c r="V359" s="1"/>
      <c r="W359" s="1"/>
      <c r="X359" s="1"/>
      <c r="Y359" s="1"/>
      <c r="Z359" s="1"/>
      <c r="AA359" s="1"/>
      <c r="AB359" s="1"/>
      <c r="AC359" s="1"/>
      <c r="AD359" s="1"/>
      <c r="AE359" s="1"/>
      <c r="AF359" s="1"/>
    </row>
    <row r="360" spans="1:32" hidden="1" x14ac:dyDescent="0.25">
      <c r="A360" s="1">
        <v>359</v>
      </c>
      <c r="B360" s="1"/>
      <c r="C360" s="1" t="s">
        <v>1269</v>
      </c>
      <c r="D360" s="1" t="s">
        <v>3493</v>
      </c>
      <c r="E360">
        <v>2015</v>
      </c>
      <c r="F360" s="1" t="s">
        <v>116</v>
      </c>
      <c r="G360" s="1" t="s">
        <v>3495</v>
      </c>
      <c r="H360" s="1" t="s">
        <v>1270</v>
      </c>
      <c r="I360" s="1" t="s">
        <v>3142</v>
      </c>
      <c r="J360" s="1" t="s">
        <v>3141</v>
      </c>
      <c r="K360" s="1" t="s">
        <v>3494</v>
      </c>
      <c r="L360" s="1" t="s">
        <v>1</v>
      </c>
      <c r="M360" s="1" t="s">
        <v>1</v>
      </c>
      <c r="N360" s="1" t="s">
        <v>1</v>
      </c>
      <c r="O360" s="1" t="s">
        <v>1</v>
      </c>
      <c r="P360" s="1" t="s">
        <v>1271</v>
      </c>
      <c r="Q360" s="1">
        <v>-1</v>
      </c>
      <c r="R360" s="1"/>
      <c r="S360" s="1"/>
      <c r="T360" s="1"/>
      <c r="U360" s="1"/>
      <c r="V360" s="1"/>
      <c r="W360" s="1"/>
      <c r="X360" s="1"/>
      <c r="Y360" s="1"/>
      <c r="Z360" s="1"/>
      <c r="AA360" s="1"/>
      <c r="AB360" s="1"/>
      <c r="AC360" s="1"/>
      <c r="AD360" s="1"/>
      <c r="AE360" s="1"/>
      <c r="AF360" s="1"/>
    </row>
    <row r="361" spans="1:32" hidden="1" x14ac:dyDescent="0.25">
      <c r="A361" s="1">
        <v>360</v>
      </c>
      <c r="B361" s="1"/>
      <c r="C361" s="1" t="s">
        <v>779</v>
      </c>
      <c r="D361" s="1" t="s">
        <v>1</v>
      </c>
      <c r="E361">
        <v>2011</v>
      </c>
      <c r="F361" s="1" t="s">
        <v>116</v>
      </c>
      <c r="G361" s="1" t="s">
        <v>3159</v>
      </c>
      <c r="H361" s="1" t="s">
        <v>781</v>
      </c>
      <c r="I361" s="1" t="s">
        <v>1</v>
      </c>
      <c r="J361" s="1" t="s">
        <v>1</v>
      </c>
      <c r="K361" s="1" t="s">
        <v>782</v>
      </c>
      <c r="L361" s="1" t="s">
        <v>1</v>
      </c>
      <c r="M361" s="1" t="s">
        <v>1</v>
      </c>
      <c r="N361" s="1" t="s">
        <v>1</v>
      </c>
      <c r="O361" s="1" t="s">
        <v>3160</v>
      </c>
      <c r="P361" s="1" t="s">
        <v>780</v>
      </c>
      <c r="Q361" s="1">
        <v>-1</v>
      </c>
      <c r="R361" s="1"/>
      <c r="S361" s="1"/>
      <c r="T361" s="1"/>
      <c r="U361" s="1"/>
      <c r="V361" s="1"/>
      <c r="W361" s="1"/>
      <c r="X361" s="1"/>
      <c r="Y361" s="1"/>
      <c r="Z361" s="1"/>
      <c r="AA361" s="1"/>
      <c r="AB361" s="1"/>
      <c r="AC361" s="1"/>
      <c r="AD361" s="1"/>
      <c r="AE361" s="1"/>
      <c r="AF361" s="1"/>
    </row>
    <row r="362" spans="1:32" hidden="1" x14ac:dyDescent="0.25">
      <c r="A362" s="1">
        <v>361</v>
      </c>
      <c r="B362" s="1"/>
      <c r="C362" s="1" t="s">
        <v>759</v>
      </c>
      <c r="D362" s="1" t="s">
        <v>1</v>
      </c>
      <c r="E362">
        <v>2008</v>
      </c>
      <c r="F362" s="1" t="s">
        <v>116</v>
      </c>
      <c r="G362" s="1" t="s">
        <v>1</v>
      </c>
      <c r="H362" s="1" t="s">
        <v>760</v>
      </c>
      <c r="I362" s="1" t="s">
        <v>1</v>
      </c>
      <c r="J362" s="1" t="s">
        <v>1</v>
      </c>
      <c r="K362" s="1" t="s">
        <v>3141</v>
      </c>
      <c r="L362" s="1" t="s">
        <v>1</v>
      </c>
      <c r="M362" s="1" t="s">
        <v>1</v>
      </c>
      <c r="N362" s="1" t="s">
        <v>1</v>
      </c>
      <c r="O362" s="1" t="s">
        <v>3144</v>
      </c>
      <c r="P362" s="1" t="s">
        <v>761</v>
      </c>
      <c r="Q362" s="1">
        <v>-1</v>
      </c>
      <c r="R362" s="1"/>
      <c r="S362" s="1"/>
      <c r="T362" s="1"/>
      <c r="U362" s="1"/>
      <c r="V362" s="1"/>
      <c r="W362" s="1"/>
      <c r="X362" s="1"/>
      <c r="Y362" s="1"/>
      <c r="Z362" s="1"/>
      <c r="AA362" s="1"/>
      <c r="AB362" s="1"/>
      <c r="AC362" s="1"/>
      <c r="AD362" s="1"/>
      <c r="AE362" s="1"/>
      <c r="AF362" s="1"/>
    </row>
    <row r="363" spans="1:32" hidden="1" x14ac:dyDescent="0.25">
      <c r="A363" s="1">
        <v>362</v>
      </c>
      <c r="B363" s="1"/>
      <c r="C363" s="1" t="s">
        <v>762</v>
      </c>
      <c r="D363" s="1" t="s">
        <v>1</v>
      </c>
      <c r="E363">
        <v>2008</v>
      </c>
      <c r="F363" s="1" t="s">
        <v>116</v>
      </c>
      <c r="G363" s="1" t="s">
        <v>3146</v>
      </c>
      <c r="H363" s="1" t="s">
        <v>763</v>
      </c>
      <c r="I363" s="1" t="s">
        <v>1</v>
      </c>
      <c r="J363" s="1" t="s">
        <v>1</v>
      </c>
      <c r="K363" s="1" t="s">
        <v>3145</v>
      </c>
      <c r="L363" s="1" t="s">
        <v>1</v>
      </c>
      <c r="M363" s="1" t="s">
        <v>1</v>
      </c>
      <c r="N363" s="1" t="s">
        <v>1</v>
      </c>
      <c r="O363" s="1" t="s">
        <v>3147</v>
      </c>
      <c r="P363" s="1" t="s">
        <v>764</v>
      </c>
      <c r="Q363" s="1">
        <v>-1</v>
      </c>
      <c r="R363" s="1"/>
      <c r="S363" s="1"/>
      <c r="T363" s="1"/>
      <c r="U363" s="1"/>
      <c r="V363" s="1"/>
      <c r="W363" s="1"/>
      <c r="X363" s="1"/>
      <c r="Y363" s="1"/>
      <c r="Z363" s="1"/>
      <c r="AA363" s="1"/>
      <c r="AB363" s="1"/>
      <c r="AC363" s="1"/>
      <c r="AD363" s="1"/>
      <c r="AE363" s="1"/>
      <c r="AF363" s="1"/>
    </row>
    <row r="364" spans="1:32" hidden="1" x14ac:dyDescent="0.25">
      <c r="A364" s="1">
        <v>363</v>
      </c>
      <c r="B364" s="1"/>
      <c r="C364" s="1" t="s">
        <v>1854</v>
      </c>
      <c r="D364" s="1" t="s">
        <v>1853</v>
      </c>
      <c r="E364">
        <v>2012</v>
      </c>
      <c r="F364" s="1" t="s">
        <v>116</v>
      </c>
      <c r="G364" s="1" t="s">
        <v>3944</v>
      </c>
      <c r="H364" s="1" t="s">
        <v>1136</v>
      </c>
      <c r="I364" s="1" t="s">
        <v>3943</v>
      </c>
      <c r="J364" s="1" t="s">
        <v>3166</v>
      </c>
      <c r="K364" s="1" t="s">
        <v>1855</v>
      </c>
      <c r="L364" s="1" t="s">
        <v>1</v>
      </c>
      <c r="M364" s="1" t="s">
        <v>1</v>
      </c>
      <c r="N364" s="1" t="s">
        <v>1857</v>
      </c>
      <c r="O364" s="1" t="s">
        <v>3945</v>
      </c>
      <c r="P364" s="1" t="s">
        <v>1856</v>
      </c>
      <c r="Q364" s="1">
        <v>-1</v>
      </c>
      <c r="R364" s="1"/>
      <c r="S364" s="1"/>
      <c r="T364" s="1"/>
      <c r="U364" s="1"/>
      <c r="V364" s="1"/>
      <c r="W364" s="1"/>
      <c r="X364" s="1"/>
      <c r="Y364" s="1"/>
      <c r="Z364" s="1"/>
      <c r="AA364" s="1"/>
      <c r="AB364" s="1"/>
      <c r="AC364" s="1"/>
      <c r="AD364" s="1"/>
      <c r="AE364" s="1"/>
      <c r="AF364" s="1"/>
    </row>
    <row r="365" spans="1:32" hidden="1" x14ac:dyDescent="0.25">
      <c r="A365" s="1">
        <v>364</v>
      </c>
      <c r="B365" s="1"/>
      <c r="C365" s="1" t="s">
        <v>2974</v>
      </c>
      <c r="D365" s="1" t="s">
        <v>4827</v>
      </c>
      <c r="E365">
        <v>2011</v>
      </c>
      <c r="F365" s="1" t="s">
        <v>0</v>
      </c>
      <c r="G365" s="1" t="s">
        <v>4828</v>
      </c>
      <c r="H365" s="1" t="s">
        <v>2975</v>
      </c>
      <c r="I365" s="1" t="s">
        <v>1</v>
      </c>
      <c r="J365" s="1" t="s">
        <v>1</v>
      </c>
      <c r="K365" s="1" t="s">
        <v>2976</v>
      </c>
      <c r="L365" s="1" t="s">
        <v>1</v>
      </c>
      <c r="M365" s="1" t="s">
        <v>1</v>
      </c>
      <c r="N365" s="1" t="s">
        <v>1</v>
      </c>
      <c r="O365" s="1" t="s">
        <v>4829</v>
      </c>
      <c r="P365" s="1" t="s">
        <v>2977</v>
      </c>
      <c r="Q365" s="1">
        <v>-1</v>
      </c>
      <c r="R365" s="1"/>
      <c r="S365" s="1"/>
      <c r="T365" s="1"/>
      <c r="U365" s="1"/>
      <c r="V365" s="1"/>
      <c r="W365" s="1"/>
      <c r="X365" s="1"/>
      <c r="Y365" s="1"/>
      <c r="Z365" s="1"/>
      <c r="AA365" s="1"/>
      <c r="AB365" s="1"/>
      <c r="AC365" s="1"/>
      <c r="AD365" s="1"/>
      <c r="AE365" s="1"/>
      <c r="AF365" s="1"/>
    </row>
    <row r="366" spans="1:32" hidden="1" x14ac:dyDescent="0.25">
      <c r="A366" s="1">
        <v>365</v>
      </c>
      <c r="B366" s="1"/>
      <c r="C366" s="1" t="s">
        <v>2464</v>
      </c>
      <c r="D366" s="1" t="s">
        <v>2463</v>
      </c>
      <c r="E366">
        <v>2016</v>
      </c>
      <c r="F366" s="1" t="s">
        <v>0</v>
      </c>
      <c r="G366" s="1" t="s">
        <v>4418</v>
      </c>
      <c r="H366" s="1" t="s">
        <v>2466</v>
      </c>
      <c r="I366" s="1" t="s">
        <v>1</v>
      </c>
      <c r="J366" s="1" t="s">
        <v>1</v>
      </c>
      <c r="K366" s="1" t="s">
        <v>2465</v>
      </c>
      <c r="L366" s="1" t="s">
        <v>1</v>
      </c>
      <c r="M366" s="1" t="s">
        <v>1</v>
      </c>
      <c r="N366" s="1" t="s">
        <v>1</v>
      </c>
      <c r="O366" s="1" t="s">
        <v>4419</v>
      </c>
      <c r="P366" s="1" t="s">
        <v>2467</v>
      </c>
      <c r="Q366" s="1">
        <v>-1</v>
      </c>
      <c r="R366" s="1"/>
      <c r="S366" s="1"/>
      <c r="T366" s="1"/>
      <c r="U366" s="1"/>
      <c r="V366" s="1"/>
      <c r="W366" s="1"/>
      <c r="X366" s="1"/>
      <c r="Y366" s="1"/>
      <c r="Z366" s="1"/>
      <c r="AA366" s="1"/>
      <c r="AB366" s="1"/>
      <c r="AC366" s="1"/>
      <c r="AD366" s="1"/>
      <c r="AE366" s="1"/>
      <c r="AF366" s="1"/>
    </row>
    <row r="367" spans="1:32" hidden="1" x14ac:dyDescent="0.25">
      <c r="A367" s="1">
        <v>366</v>
      </c>
      <c r="B367" s="1"/>
      <c r="C367" s="1" t="s">
        <v>2741</v>
      </c>
      <c r="D367" s="1" t="s">
        <v>4643</v>
      </c>
      <c r="E367">
        <v>2014</v>
      </c>
      <c r="F367" s="1" t="s">
        <v>0</v>
      </c>
      <c r="G367" s="1" t="s">
        <v>4644</v>
      </c>
      <c r="H367" s="1" t="s">
        <v>1085</v>
      </c>
      <c r="I367" s="1" t="s">
        <v>1</v>
      </c>
      <c r="J367" s="1" t="s">
        <v>1</v>
      </c>
      <c r="K367" s="1" t="s">
        <v>2742</v>
      </c>
      <c r="L367" s="1" t="s">
        <v>1</v>
      </c>
      <c r="M367" s="1" t="s">
        <v>1</v>
      </c>
      <c r="N367" s="1" t="s">
        <v>1</v>
      </c>
      <c r="O367" s="1" t="s">
        <v>4645</v>
      </c>
      <c r="P367" s="1" t="s">
        <v>2743</v>
      </c>
      <c r="Q367" s="1">
        <v>-1</v>
      </c>
      <c r="R367" s="1"/>
      <c r="S367" s="1"/>
      <c r="T367" s="1"/>
      <c r="U367" s="1"/>
      <c r="V367" s="1"/>
      <c r="W367" s="1"/>
      <c r="X367" s="1"/>
      <c r="Y367" s="1"/>
      <c r="Z367" s="1"/>
      <c r="AA367" s="1"/>
      <c r="AB367" s="1"/>
      <c r="AC367" s="1"/>
      <c r="AD367" s="1"/>
      <c r="AE367" s="1"/>
      <c r="AF367" s="1"/>
    </row>
    <row r="368" spans="1:32" hidden="1" x14ac:dyDescent="0.25">
      <c r="A368" s="1">
        <v>367</v>
      </c>
      <c r="B368" s="1"/>
      <c r="C368" s="1" t="s">
        <v>2958</v>
      </c>
      <c r="D368" s="1" t="s">
        <v>4816</v>
      </c>
      <c r="E368">
        <v>2016</v>
      </c>
      <c r="F368" s="1" t="s">
        <v>0</v>
      </c>
      <c r="G368" s="1" t="s">
        <v>4817</v>
      </c>
      <c r="H368" s="1" t="s">
        <v>8</v>
      </c>
      <c r="I368" s="1" t="s">
        <v>1</v>
      </c>
      <c r="J368" s="1" t="s">
        <v>1</v>
      </c>
      <c r="K368" s="1" t="s">
        <v>2959</v>
      </c>
      <c r="L368" s="1" t="s">
        <v>1</v>
      </c>
      <c r="M368" s="1" t="s">
        <v>1</v>
      </c>
      <c r="N368" s="1" t="s">
        <v>1</v>
      </c>
      <c r="O368" s="1" t="s">
        <v>4818</v>
      </c>
      <c r="P368" s="1" t="s">
        <v>2960</v>
      </c>
      <c r="Q368" s="1">
        <v>-1</v>
      </c>
      <c r="R368" s="1"/>
      <c r="S368" s="1"/>
      <c r="T368" s="1"/>
      <c r="U368" s="1"/>
      <c r="V368" s="1"/>
      <c r="W368" s="1"/>
      <c r="X368" s="1"/>
      <c r="Y368" s="1"/>
      <c r="Z368" s="1"/>
      <c r="AA368" s="1"/>
      <c r="AB368" s="1"/>
      <c r="AC368" s="1"/>
      <c r="AD368" s="1"/>
      <c r="AE368" s="1"/>
      <c r="AF368" s="1"/>
    </row>
    <row r="369" spans="1:32" hidden="1" x14ac:dyDescent="0.25">
      <c r="A369" s="1">
        <v>368</v>
      </c>
      <c r="B369" s="1"/>
      <c r="C369" s="1" t="s">
        <v>2738</v>
      </c>
      <c r="D369" s="1" t="s">
        <v>4640</v>
      </c>
      <c r="E369">
        <v>2014</v>
      </c>
      <c r="F369" s="1" t="s">
        <v>0</v>
      </c>
      <c r="G369" s="1" t="s">
        <v>4641</v>
      </c>
      <c r="H369" s="1" t="s">
        <v>1526</v>
      </c>
      <c r="I369" s="1" t="s">
        <v>1</v>
      </c>
      <c r="J369" s="1" t="s">
        <v>1</v>
      </c>
      <c r="K369" s="1" t="s">
        <v>2739</v>
      </c>
      <c r="L369" s="1" t="s">
        <v>1</v>
      </c>
      <c r="M369" s="1" t="s">
        <v>1</v>
      </c>
      <c r="N369" s="1" t="s">
        <v>1</v>
      </c>
      <c r="O369" s="1" t="s">
        <v>4642</v>
      </c>
      <c r="P369" s="1" t="s">
        <v>2740</v>
      </c>
      <c r="Q369" s="1">
        <v>-1</v>
      </c>
      <c r="R369" s="1"/>
      <c r="S369" s="1"/>
      <c r="T369" s="1"/>
      <c r="U369" s="1"/>
      <c r="V369" s="1"/>
      <c r="W369" s="1"/>
      <c r="X369" s="1"/>
      <c r="Y369" s="1"/>
      <c r="Z369" s="1"/>
      <c r="AA369" s="1"/>
      <c r="AB369" s="1"/>
      <c r="AC369" s="1"/>
      <c r="AD369" s="1"/>
      <c r="AE369" s="1"/>
      <c r="AF369" s="1"/>
    </row>
    <row r="370" spans="1:32" hidden="1" x14ac:dyDescent="0.25">
      <c r="A370" s="1">
        <v>369</v>
      </c>
      <c r="B370" s="1"/>
      <c r="C370" s="1" t="s">
        <v>1379</v>
      </c>
      <c r="D370" s="1" t="s">
        <v>3571</v>
      </c>
      <c r="E370">
        <v>2009</v>
      </c>
      <c r="F370" s="1" t="s">
        <v>0</v>
      </c>
      <c r="G370" s="1" t="s">
        <v>1</v>
      </c>
      <c r="H370" s="1" t="s">
        <v>1</v>
      </c>
      <c r="I370" s="1" t="s">
        <v>1</v>
      </c>
      <c r="J370" s="1" t="s">
        <v>1</v>
      </c>
      <c r="K370" s="1" t="s">
        <v>1380</v>
      </c>
      <c r="L370" s="1" t="s">
        <v>1</v>
      </c>
      <c r="M370" s="1" t="s">
        <v>1</v>
      </c>
      <c r="N370" s="1" t="s">
        <v>1382</v>
      </c>
      <c r="O370" s="1" t="s">
        <v>3572</v>
      </c>
      <c r="P370" s="1" t="s">
        <v>1381</v>
      </c>
      <c r="Q370" s="1">
        <v>-1</v>
      </c>
      <c r="R370" s="1"/>
      <c r="S370" s="1"/>
      <c r="T370" s="1"/>
      <c r="U370" s="1"/>
      <c r="V370" s="1"/>
      <c r="W370" s="1"/>
      <c r="X370" s="1"/>
      <c r="Y370" s="1"/>
      <c r="Z370" s="1"/>
      <c r="AA370" s="1"/>
      <c r="AB370" s="1"/>
      <c r="AC370" s="1"/>
      <c r="AD370" s="1"/>
      <c r="AE370" s="1"/>
      <c r="AF370" s="1"/>
    </row>
    <row r="371" spans="1:32" hidden="1" x14ac:dyDescent="0.25">
      <c r="A371" s="1">
        <v>370</v>
      </c>
      <c r="B371" s="1"/>
      <c r="C371" s="1" t="s">
        <v>2612</v>
      </c>
      <c r="D371" s="1" t="s">
        <v>4539</v>
      </c>
      <c r="E371">
        <v>2015</v>
      </c>
      <c r="F371" s="1" t="s">
        <v>127</v>
      </c>
      <c r="G371" s="1" t="s">
        <v>4540</v>
      </c>
      <c r="H371" s="1" t="s">
        <v>800</v>
      </c>
      <c r="I371" s="1" t="s">
        <v>1</v>
      </c>
      <c r="J371" s="1" t="s">
        <v>1</v>
      </c>
      <c r="K371" s="1" t="s">
        <v>2613</v>
      </c>
      <c r="L371" s="1" t="s">
        <v>688</v>
      </c>
      <c r="M371" s="1" t="s">
        <v>776</v>
      </c>
      <c r="N371" s="1" t="s">
        <v>2615</v>
      </c>
      <c r="O371" s="1" t="s">
        <v>4541</v>
      </c>
      <c r="P371" s="1" t="s">
        <v>2614</v>
      </c>
      <c r="Q371" s="1">
        <v>1</v>
      </c>
      <c r="R371" s="6">
        <v>-1</v>
      </c>
      <c r="S371" s="1"/>
      <c r="T371" s="1"/>
      <c r="U371" s="1"/>
      <c r="V371" s="1"/>
      <c r="W371" s="1"/>
      <c r="X371" s="1"/>
      <c r="Y371" s="1"/>
      <c r="Z371" s="1"/>
      <c r="AA371" s="1"/>
      <c r="AB371" s="1"/>
      <c r="AC371" s="1"/>
      <c r="AD371" s="1"/>
      <c r="AE371" s="1"/>
      <c r="AF371" s="1"/>
    </row>
    <row r="372" spans="1:32" hidden="1" x14ac:dyDescent="0.25">
      <c r="A372" s="1">
        <v>371</v>
      </c>
      <c r="B372" s="1"/>
      <c r="C372" s="1" t="s">
        <v>1987</v>
      </c>
      <c r="D372" s="1" t="s">
        <v>4047</v>
      </c>
      <c r="E372">
        <v>2014</v>
      </c>
      <c r="F372" s="1" t="s">
        <v>0</v>
      </c>
      <c r="G372" s="1" t="s">
        <v>4048</v>
      </c>
      <c r="H372" s="1" t="s">
        <v>1032</v>
      </c>
      <c r="I372" s="1" t="s">
        <v>3174</v>
      </c>
      <c r="J372" s="1" t="s">
        <v>1</v>
      </c>
      <c r="K372" s="1" t="s">
        <v>1580</v>
      </c>
      <c r="L372" s="1" t="s">
        <v>1</v>
      </c>
      <c r="M372" s="1" t="s">
        <v>1</v>
      </c>
      <c r="N372" s="1" t="s">
        <v>1</v>
      </c>
      <c r="O372" s="1" t="s">
        <v>4049</v>
      </c>
      <c r="P372" s="1" t="s">
        <v>1988</v>
      </c>
      <c r="Q372" s="1">
        <v>1</v>
      </c>
      <c r="R372" s="1">
        <v>-1</v>
      </c>
      <c r="S372" s="1"/>
      <c r="T372" s="1"/>
      <c r="U372" s="1"/>
      <c r="V372" s="1"/>
      <c r="W372" s="1"/>
      <c r="X372" s="1"/>
      <c r="Y372" s="1"/>
      <c r="Z372" s="1"/>
      <c r="AA372" s="1"/>
      <c r="AB372" s="1"/>
      <c r="AC372" s="1"/>
      <c r="AD372" s="1"/>
      <c r="AE372" s="1"/>
      <c r="AF372" s="1"/>
    </row>
    <row r="373" spans="1:32" hidden="1" x14ac:dyDescent="0.25">
      <c r="A373" s="1">
        <v>372</v>
      </c>
      <c r="B373" s="1"/>
      <c r="C373" s="1" t="s">
        <v>2174</v>
      </c>
      <c r="D373" s="1" t="s">
        <v>4187</v>
      </c>
      <c r="E373">
        <v>2012</v>
      </c>
      <c r="F373" s="1" t="s">
        <v>138</v>
      </c>
      <c r="G373" s="1" t="s">
        <v>4189</v>
      </c>
      <c r="H373" s="1" t="s">
        <v>2175</v>
      </c>
      <c r="I373" s="1" t="s">
        <v>4188</v>
      </c>
      <c r="J373" s="1" t="s">
        <v>1</v>
      </c>
      <c r="K373" s="1" t="s">
        <v>2177</v>
      </c>
      <c r="L373" s="1" t="s">
        <v>2176</v>
      </c>
      <c r="M373" s="1" t="s">
        <v>1</v>
      </c>
      <c r="N373" s="1" t="s">
        <v>2179</v>
      </c>
      <c r="O373" s="1" t="s">
        <v>4190</v>
      </c>
      <c r="P373" s="1" t="s">
        <v>2178</v>
      </c>
      <c r="Q373" s="1">
        <v>-1</v>
      </c>
      <c r="R373" s="1"/>
      <c r="S373" s="1"/>
      <c r="T373" s="1"/>
      <c r="U373" s="1"/>
      <c r="V373" s="1"/>
      <c r="W373" s="1"/>
      <c r="X373" s="1"/>
      <c r="Y373" s="1"/>
      <c r="Z373" s="1"/>
      <c r="AA373" s="1"/>
      <c r="AB373" s="1"/>
      <c r="AC373" s="1"/>
      <c r="AD373" s="1"/>
      <c r="AE373" s="1"/>
      <c r="AF373" s="1"/>
    </row>
    <row r="374" spans="1:32" hidden="1" x14ac:dyDescent="0.25">
      <c r="A374" s="1">
        <v>373</v>
      </c>
      <c r="B374" s="1"/>
      <c r="C374" s="1" t="s">
        <v>2697</v>
      </c>
      <c r="D374" s="1" t="s">
        <v>2696</v>
      </c>
      <c r="E374">
        <v>2011</v>
      </c>
      <c r="F374" s="1" t="s">
        <v>0</v>
      </c>
      <c r="G374" s="1" t="s">
        <v>4607</v>
      </c>
      <c r="H374" s="1" t="s">
        <v>2698</v>
      </c>
      <c r="I374" s="1" t="s">
        <v>1</v>
      </c>
      <c r="J374" s="1" t="s">
        <v>1</v>
      </c>
      <c r="K374" s="1" t="s">
        <v>2699</v>
      </c>
      <c r="L374" s="1" t="s">
        <v>1</v>
      </c>
      <c r="M374" s="1" t="s">
        <v>1</v>
      </c>
      <c r="N374" s="1" t="s">
        <v>1</v>
      </c>
      <c r="O374" s="1" t="s">
        <v>4608</v>
      </c>
      <c r="P374" s="1" t="s">
        <v>2700</v>
      </c>
      <c r="Q374" s="1">
        <v>1</v>
      </c>
      <c r="R374" s="1">
        <v>-1</v>
      </c>
      <c r="S374" s="1"/>
      <c r="T374" s="1"/>
      <c r="U374" s="1"/>
      <c r="V374" s="1"/>
      <c r="W374" s="1"/>
      <c r="X374" s="1"/>
      <c r="Y374" s="1"/>
      <c r="Z374" s="1"/>
      <c r="AA374" s="1"/>
      <c r="AB374" s="1"/>
      <c r="AC374" s="1"/>
      <c r="AD374" s="1"/>
      <c r="AE374" s="1"/>
      <c r="AF374" s="1"/>
    </row>
    <row r="375" spans="1:32" hidden="1" x14ac:dyDescent="0.25">
      <c r="A375" s="1">
        <v>374</v>
      </c>
      <c r="B375" s="1"/>
      <c r="C375" s="1" t="s">
        <v>2455</v>
      </c>
      <c r="D375" s="1" t="s">
        <v>4413</v>
      </c>
      <c r="E375">
        <v>2013</v>
      </c>
      <c r="F375" s="1" t="s">
        <v>0</v>
      </c>
      <c r="G375" s="1" t="s">
        <v>4414</v>
      </c>
      <c r="H375" s="1" t="s">
        <v>2456</v>
      </c>
      <c r="I375" s="1" t="s">
        <v>1</v>
      </c>
      <c r="J375" s="1" t="s">
        <v>1</v>
      </c>
      <c r="K375" s="1" t="s">
        <v>2457</v>
      </c>
      <c r="L375" s="1" t="s">
        <v>1</v>
      </c>
      <c r="M375" s="1" t="s">
        <v>1</v>
      </c>
      <c r="N375" s="1" t="s">
        <v>1</v>
      </c>
      <c r="O375" s="1" t="s">
        <v>4415</v>
      </c>
      <c r="P375" s="1" t="s">
        <v>2458</v>
      </c>
      <c r="Q375" s="1">
        <v>-1</v>
      </c>
      <c r="R375" s="1"/>
      <c r="S375" s="1"/>
      <c r="T375" s="1"/>
      <c r="U375" s="1"/>
      <c r="V375" s="1"/>
      <c r="W375" s="1"/>
      <c r="X375" s="1"/>
      <c r="Y375" s="1"/>
      <c r="Z375" s="1"/>
      <c r="AA375" s="1"/>
      <c r="AB375" s="1"/>
      <c r="AC375" s="1"/>
      <c r="AD375" s="1"/>
      <c r="AE375" s="1"/>
      <c r="AF375" s="1"/>
    </row>
    <row r="376" spans="1:32" hidden="1" x14ac:dyDescent="0.25">
      <c r="A376" s="1">
        <v>375</v>
      </c>
      <c r="B376" s="1"/>
      <c r="C376" s="1" t="s">
        <v>2373</v>
      </c>
      <c r="D376" s="1" t="s">
        <v>4345</v>
      </c>
      <c r="E376">
        <v>2014</v>
      </c>
      <c r="F376" s="1" t="s">
        <v>0</v>
      </c>
      <c r="G376" s="1" t="s">
        <v>4346</v>
      </c>
      <c r="H376" s="1" t="s">
        <v>1085</v>
      </c>
      <c r="I376" s="1" t="s">
        <v>1</v>
      </c>
      <c r="J376" s="1" t="s">
        <v>1</v>
      </c>
      <c r="K376" s="1" t="s">
        <v>2374</v>
      </c>
      <c r="L376" s="1" t="s">
        <v>1</v>
      </c>
      <c r="M376" s="1" t="s">
        <v>1</v>
      </c>
      <c r="N376" s="1" t="s">
        <v>1</v>
      </c>
      <c r="O376" s="1" t="s">
        <v>4347</v>
      </c>
      <c r="P376" s="1" t="s">
        <v>2375</v>
      </c>
      <c r="Q376" s="1">
        <v>-1</v>
      </c>
      <c r="R376" s="1"/>
      <c r="S376" s="1"/>
      <c r="T376" s="1"/>
      <c r="U376" s="1"/>
      <c r="V376" s="1"/>
      <c r="W376" s="1"/>
      <c r="X376" s="1"/>
      <c r="Y376" s="1"/>
      <c r="Z376" s="1"/>
      <c r="AA376" s="1"/>
      <c r="AB376" s="1"/>
      <c r="AC376" s="1"/>
      <c r="AD376" s="1"/>
      <c r="AE376" s="1"/>
      <c r="AF376" s="1"/>
    </row>
    <row r="377" spans="1:32" hidden="1" x14ac:dyDescent="0.25">
      <c r="A377" s="1">
        <v>376</v>
      </c>
      <c r="B377" s="1"/>
      <c r="C377" s="1" t="s">
        <v>1500</v>
      </c>
      <c r="D377" s="1" t="s">
        <v>1499</v>
      </c>
      <c r="E377">
        <v>2016</v>
      </c>
      <c r="F377" s="1" t="s">
        <v>0</v>
      </c>
      <c r="G377" s="1" t="s">
        <v>3677</v>
      </c>
      <c r="H377" s="1" t="s">
        <v>866</v>
      </c>
      <c r="I377" s="1" t="s">
        <v>1</v>
      </c>
      <c r="J377" s="1" t="s">
        <v>1</v>
      </c>
      <c r="K377" s="1" t="s">
        <v>3184</v>
      </c>
      <c r="L377" s="1" t="s">
        <v>1</v>
      </c>
      <c r="M377" s="1" t="s">
        <v>1</v>
      </c>
      <c r="N377" s="1" t="s">
        <v>1</v>
      </c>
      <c r="O377" s="1" t="s">
        <v>3678</v>
      </c>
      <c r="P377" s="1" t="s">
        <v>1501</v>
      </c>
      <c r="Q377" s="1">
        <v>-1</v>
      </c>
      <c r="R377" s="1"/>
      <c r="S377" s="1"/>
      <c r="T377" s="1"/>
      <c r="U377" s="1"/>
      <c r="V377" s="1"/>
      <c r="W377" s="1"/>
      <c r="X377" s="1"/>
      <c r="Y377" s="1"/>
      <c r="Z377" s="1"/>
      <c r="AA377" s="1"/>
      <c r="AB377" s="1"/>
      <c r="AC377" s="1"/>
      <c r="AD377" s="1"/>
      <c r="AE377" s="1"/>
      <c r="AF377" s="1"/>
    </row>
    <row r="378" spans="1:32" hidden="1" x14ac:dyDescent="0.25">
      <c r="A378" s="1">
        <v>377</v>
      </c>
      <c r="B378" s="1"/>
      <c r="C378" s="1" t="s">
        <v>2928</v>
      </c>
      <c r="D378" s="1" t="s">
        <v>4788</v>
      </c>
      <c r="E378">
        <v>2016</v>
      </c>
      <c r="F378" s="1" t="s">
        <v>116</v>
      </c>
      <c r="G378" s="1" t="s">
        <v>4790</v>
      </c>
      <c r="H378" s="1" t="s">
        <v>925</v>
      </c>
      <c r="I378" s="1" t="s">
        <v>3257</v>
      </c>
      <c r="J378" s="1" t="s">
        <v>1</v>
      </c>
      <c r="K378" s="1" t="s">
        <v>4789</v>
      </c>
      <c r="L378" s="1" t="s">
        <v>1</v>
      </c>
      <c r="M378" s="1" t="s">
        <v>1</v>
      </c>
      <c r="N378" s="1" t="s">
        <v>2930</v>
      </c>
      <c r="O378" s="1" t="s">
        <v>4791</v>
      </c>
      <c r="P378" s="1" t="s">
        <v>2929</v>
      </c>
      <c r="Q378" s="1">
        <v>-1</v>
      </c>
      <c r="R378" s="1"/>
      <c r="S378" s="1"/>
      <c r="T378" s="1"/>
      <c r="U378" s="1"/>
      <c r="V378" s="1"/>
      <c r="W378" s="1"/>
      <c r="X378" s="1"/>
      <c r="Y378" s="1"/>
      <c r="Z378" s="1"/>
      <c r="AA378" s="1"/>
      <c r="AB378" s="1"/>
      <c r="AC378" s="1"/>
      <c r="AD378" s="1"/>
      <c r="AE378" s="1"/>
      <c r="AF378" s="1"/>
    </row>
    <row r="379" spans="1:32" hidden="1" x14ac:dyDescent="0.25">
      <c r="A379" s="1">
        <v>378</v>
      </c>
      <c r="B379" s="1"/>
      <c r="C379" s="1" t="s">
        <v>326</v>
      </c>
      <c r="D379" s="1" t="s">
        <v>1</v>
      </c>
      <c r="E379">
        <v>2013</v>
      </c>
      <c r="F379" s="1" t="s">
        <v>244</v>
      </c>
      <c r="G379" s="1" t="s">
        <v>1</v>
      </c>
      <c r="H379" s="1" t="s">
        <v>1</v>
      </c>
      <c r="I379" s="1" t="s">
        <v>3164</v>
      </c>
      <c r="J379" s="1" t="s">
        <v>1</v>
      </c>
      <c r="K379" s="1" t="s">
        <v>786</v>
      </c>
      <c r="L379" s="1" t="s">
        <v>247</v>
      </c>
      <c r="M379" s="1" t="s">
        <v>1</v>
      </c>
      <c r="N379" s="1" t="s">
        <v>327</v>
      </c>
      <c r="O379" s="1" t="s">
        <v>1</v>
      </c>
      <c r="P379" s="1" t="s">
        <v>328</v>
      </c>
      <c r="Q379" s="1">
        <v>-1</v>
      </c>
      <c r="R379" s="1"/>
      <c r="S379" s="1"/>
      <c r="T379" s="1"/>
      <c r="U379" s="1"/>
      <c r="V379" s="1"/>
      <c r="W379" s="1"/>
      <c r="X379" s="1"/>
      <c r="Y379" s="1"/>
      <c r="Z379" s="1"/>
      <c r="AA379" s="1"/>
      <c r="AB379" s="1"/>
      <c r="AC379" s="1"/>
      <c r="AD379" s="1"/>
      <c r="AE379" s="1"/>
      <c r="AF379" s="1"/>
    </row>
    <row r="380" spans="1:32" hidden="1" x14ac:dyDescent="0.25">
      <c r="A380" s="1">
        <v>379</v>
      </c>
      <c r="B380" s="1"/>
      <c r="C380" s="1" t="s">
        <v>765</v>
      </c>
      <c r="D380" s="1" t="s">
        <v>1</v>
      </c>
      <c r="E380">
        <v>2009</v>
      </c>
      <c r="F380" s="1" t="s">
        <v>116</v>
      </c>
      <c r="G380" s="1" t="s">
        <v>3149</v>
      </c>
      <c r="H380" s="1" t="s">
        <v>766</v>
      </c>
      <c r="I380" s="1" t="s">
        <v>1</v>
      </c>
      <c r="J380" s="1" t="s">
        <v>1</v>
      </c>
      <c r="K380" s="1" t="s">
        <v>3148</v>
      </c>
      <c r="L380" s="1" t="s">
        <v>1</v>
      </c>
      <c r="M380" s="1" t="s">
        <v>1</v>
      </c>
      <c r="N380" s="1" t="s">
        <v>1</v>
      </c>
      <c r="O380" s="1" t="s">
        <v>3150</v>
      </c>
      <c r="P380" s="1" t="s">
        <v>3151</v>
      </c>
      <c r="Q380" s="1">
        <v>-1</v>
      </c>
      <c r="R380" s="1"/>
      <c r="S380" s="1"/>
      <c r="T380" s="1"/>
      <c r="U380" s="1"/>
      <c r="V380" s="1"/>
      <c r="W380" s="1"/>
      <c r="X380" s="1"/>
      <c r="Y380" s="1"/>
      <c r="Z380" s="1"/>
      <c r="AA380" s="1"/>
      <c r="AB380" s="1"/>
      <c r="AC380" s="1"/>
      <c r="AD380" s="1"/>
      <c r="AE380" s="1"/>
      <c r="AF380" s="1"/>
    </row>
    <row r="381" spans="1:32" hidden="1" x14ac:dyDescent="0.25">
      <c r="A381" s="1">
        <v>380</v>
      </c>
      <c r="B381" s="1"/>
      <c r="C381" s="1" t="s">
        <v>2479</v>
      </c>
      <c r="D381" s="1" t="s">
        <v>4430</v>
      </c>
      <c r="E381">
        <v>2016</v>
      </c>
      <c r="F381" s="1" t="s">
        <v>138</v>
      </c>
      <c r="G381" s="1" t="s">
        <v>4431</v>
      </c>
      <c r="H381" s="1" t="s">
        <v>2480</v>
      </c>
      <c r="I381" s="1" t="s">
        <v>1</v>
      </c>
      <c r="J381" s="1" t="s">
        <v>1</v>
      </c>
      <c r="K381" s="1" t="s">
        <v>2481</v>
      </c>
      <c r="L381" s="1" t="s">
        <v>2067</v>
      </c>
      <c r="M381" s="1" t="s">
        <v>1</v>
      </c>
      <c r="N381" s="1" t="s">
        <v>2482</v>
      </c>
      <c r="O381" s="1" t="s">
        <v>4432</v>
      </c>
      <c r="P381" s="1" t="s">
        <v>4433</v>
      </c>
      <c r="Q381" s="1">
        <v>-1</v>
      </c>
      <c r="R381" s="1"/>
      <c r="S381" s="1"/>
      <c r="T381" s="1"/>
      <c r="U381" s="1"/>
      <c r="V381" s="1"/>
      <c r="W381" s="1"/>
      <c r="X381" s="1"/>
      <c r="Y381" s="1"/>
      <c r="Z381" s="1"/>
      <c r="AA381" s="1"/>
      <c r="AB381" s="1"/>
      <c r="AC381" s="1"/>
      <c r="AD381" s="1"/>
      <c r="AE381" s="1"/>
      <c r="AF381" s="1"/>
    </row>
    <row r="382" spans="1:32" hidden="1" x14ac:dyDescent="0.25">
      <c r="A382" s="1">
        <v>381</v>
      </c>
      <c r="B382" s="1"/>
      <c r="C382" s="1" t="s">
        <v>2852</v>
      </c>
      <c r="D382" s="1" t="s">
        <v>4733</v>
      </c>
      <c r="E382">
        <v>2016</v>
      </c>
      <c r="F382" s="1" t="s">
        <v>0</v>
      </c>
      <c r="G382" s="1" t="s">
        <v>4734</v>
      </c>
      <c r="H382" s="1" t="s">
        <v>2853</v>
      </c>
      <c r="I382" s="1" t="s">
        <v>1</v>
      </c>
      <c r="J382" s="1" t="s">
        <v>1</v>
      </c>
      <c r="K382" s="1" t="s">
        <v>3195</v>
      </c>
      <c r="L382" s="1" t="s">
        <v>1</v>
      </c>
      <c r="M382" s="1" t="s">
        <v>1</v>
      </c>
      <c r="N382" s="1" t="s">
        <v>1</v>
      </c>
      <c r="O382" s="1" t="s">
        <v>4735</v>
      </c>
      <c r="P382" s="1" t="s">
        <v>2854</v>
      </c>
      <c r="Q382" s="1">
        <v>-1</v>
      </c>
      <c r="R382" s="1"/>
      <c r="S382" s="1"/>
      <c r="T382" s="1"/>
      <c r="U382" s="1"/>
      <c r="V382" s="1"/>
      <c r="W382" s="1"/>
      <c r="X382" s="1"/>
      <c r="Y382" s="1"/>
      <c r="Z382" s="1"/>
      <c r="AA382" s="1"/>
      <c r="AB382" s="1"/>
      <c r="AC382" s="1"/>
      <c r="AD382" s="1"/>
      <c r="AE382" s="1"/>
      <c r="AF382" s="1"/>
    </row>
    <row r="383" spans="1:32" hidden="1" x14ac:dyDescent="0.25">
      <c r="A383" s="1">
        <v>382</v>
      </c>
      <c r="B383" s="1"/>
      <c r="C383" s="1" t="s">
        <v>2326</v>
      </c>
      <c r="D383" s="1" t="s">
        <v>4307</v>
      </c>
      <c r="E383">
        <v>2017</v>
      </c>
      <c r="F383" s="1" t="s">
        <v>0</v>
      </c>
      <c r="G383" s="1" t="s">
        <v>4308</v>
      </c>
      <c r="H383" s="1" t="s">
        <v>97</v>
      </c>
      <c r="I383" s="1" t="s">
        <v>1</v>
      </c>
      <c r="J383" s="1" t="s">
        <v>1</v>
      </c>
      <c r="K383" s="1" t="s">
        <v>2327</v>
      </c>
      <c r="L383" s="1" t="s">
        <v>1</v>
      </c>
      <c r="M383" s="1" t="s">
        <v>1</v>
      </c>
      <c r="N383" s="1" t="s">
        <v>1</v>
      </c>
      <c r="O383" s="1" t="s">
        <v>4309</v>
      </c>
      <c r="P383" s="1" t="s">
        <v>2328</v>
      </c>
      <c r="Q383" s="1">
        <v>-1</v>
      </c>
      <c r="R383" s="1"/>
      <c r="S383" s="1"/>
      <c r="T383" s="1"/>
      <c r="U383" s="1"/>
      <c r="V383" s="1"/>
      <c r="W383" s="1"/>
      <c r="X383" s="1"/>
      <c r="Y383" s="1"/>
      <c r="Z383" s="1"/>
      <c r="AA383" s="1"/>
      <c r="AB383" s="1"/>
      <c r="AC383" s="1"/>
      <c r="AD383" s="1"/>
      <c r="AE383" s="1"/>
      <c r="AF383" s="1"/>
    </row>
    <row r="384" spans="1:32" hidden="1" x14ac:dyDescent="0.25">
      <c r="A384" s="1">
        <v>383</v>
      </c>
      <c r="B384" s="1"/>
      <c r="C384" s="1" t="s">
        <v>2460</v>
      </c>
      <c r="D384" s="1" t="s">
        <v>2459</v>
      </c>
      <c r="E384">
        <v>2016</v>
      </c>
      <c r="F384" s="1" t="s">
        <v>0</v>
      </c>
      <c r="G384" s="1" t="s">
        <v>4416</v>
      </c>
      <c r="H384" s="1" t="s">
        <v>2461</v>
      </c>
      <c r="I384" s="1" t="s">
        <v>1</v>
      </c>
      <c r="J384" s="1" t="s">
        <v>1</v>
      </c>
      <c r="K384" s="1" t="s">
        <v>3195</v>
      </c>
      <c r="L384" s="1" t="s">
        <v>1</v>
      </c>
      <c r="M384" s="1" t="s">
        <v>1</v>
      </c>
      <c r="N384" s="1" t="s">
        <v>1</v>
      </c>
      <c r="O384" s="1" t="s">
        <v>4417</v>
      </c>
      <c r="P384" s="1" t="s">
        <v>2462</v>
      </c>
      <c r="Q384" s="1">
        <v>-1</v>
      </c>
      <c r="R384" s="1"/>
      <c r="S384" s="1"/>
      <c r="T384" s="1"/>
      <c r="U384" s="1"/>
      <c r="V384" s="1"/>
      <c r="W384" s="1"/>
      <c r="X384" s="1"/>
      <c r="Y384" s="1"/>
      <c r="Z384" s="1"/>
      <c r="AA384" s="1"/>
      <c r="AB384" s="1"/>
      <c r="AC384" s="1"/>
      <c r="AD384" s="1"/>
      <c r="AE384" s="1"/>
      <c r="AF384" s="1"/>
    </row>
    <row r="385" spans="1:32" hidden="1" x14ac:dyDescent="0.25">
      <c r="A385" s="1">
        <v>384</v>
      </c>
      <c r="B385" s="1"/>
      <c r="C385" s="1" t="s">
        <v>2511</v>
      </c>
      <c r="D385" s="1" t="s">
        <v>4454</v>
      </c>
      <c r="E385">
        <v>2017</v>
      </c>
      <c r="F385" s="1" t="s">
        <v>0</v>
      </c>
      <c r="G385" s="1" t="s">
        <v>4455</v>
      </c>
      <c r="H385" s="1" t="s">
        <v>2512</v>
      </c>
      <c r="I385" s="1" t="s">
        <v>1</v>
      </c>
      <c r="J385" s="1" t="s">
        <v>1</v>
      </c>
      <c r="K385" s="1" t="s">
        <v>2513</v>
      </c>
      <c r="L385" s="1" t="s">
        <v>1</v>
      </c>
      <c r="M385" s="1" t="s">
        <v>1</v>
      </c>
      <c r="N385" s="1" t="s">
        <v>1</v>
      </c>
      <c r="O385" s="1" t="s">
        <v>4456</v>
      </c>
      <c r="P385" s="1" t="s">
        <v>2514</v>
      </c>
      <c r="Q385" s="1">
        <v>-1</v>
      </c>
      <c r="R385" s="1"/>
      <c r="S385" s="1"/>
      <c r="T385" s="1"/>
      <c r="U385" s="1"/>
      <c r="V385" s="1"/>
      <c r="W385" s="1"/>
      <c r="X385" s="1"/>
      <c r="Y385" s="1"/>
      <c r="Z385" s="1"/>
      <c r="AA385" s="1"/>
      <c r="AB385" s="1"/>
      <c r="AC385" s="1"/>
      <c r="AD385" s="1"/>
      <c r="AE385" s="1"/>
      <c r="AF385" s="1"/>
    </row>
    <row r="386" spans="1:32" hidden="1" x14ac:dyDescent="0.25">
      <c r="A386" s="1">
        <v>385</v>
      </c>
      <c r="B386" s="1"/>
      <c r="C386" s="1" t="s">
        <v>769</v>
      </c>
      <c r="D386" s="1" t="s">
        <v>1</v>
      </c>
      <c r="E386">
        <v>2010</v>
      </c>
      <c r="F386" s="1" t="s">
        <v>116</v>
      </c>
      <c r="G386" s="1" t="s">
        <v>1</v>
      </c>
      <c r="H386" s="1" t="s">
        <v>770</v>
      </c>
      <c r="I386" s="1" t="s">
        <v>1</v>
      </c>
      <c r="J386" s="1" t="s">
        <v>1</v>
      </c>
      <c r="K386" s="1" t="s">
        <v>3154</v>
      </c>
      <c r="L386" s="1" t="s">
        <v>1</v>
      </c>
      <c r="M386" s="1" t="s">
        <v>1</v>
      </c>
      <c r="N386" s="1" t="s">
        <v>1</v>
      </c>
      <c r="O386" s="1" t="s">
        <v>3155</v>
      </c>
      <c r="P386" s="1" t="s">
        <v>771</v>
      </c>
      <c r="Q386" s="1">
        <v>-1</v>
      </c>
      <c r="R386" s="1"/>
      <c r="S386" s="1"/>
      <c r="T386" s="1"/>
      <c r="U386" s="1"/>
      <c r="V386" s="1"/>
      <c r="W386" s="1"/>
      <c r="X386" s="1"/>
      <c r="Y386" s="1"/>
      <c r="Z386" s="1"/>
      <c r="AA386" s="1"/>
      <c r="AB386" s="1"/>
      <c r="AC386" s="1"/>
      <c r="AD386" s="1"/>
      <c r="AE386" s="1"/>
      <c r="AF386" s="1"/>
    </row>
    <row r="387" spans="1:32" hidden="1" x14ac:dyDescent="0.25">
      <c r="A387" s="1">
        <v>386</v>
      </c>
      <c r="B387" s="1"/>
      <c r="C387" s="1" t="s">
        <v>772</v>
      </c>
      <c r="D387" s="1" t="s">
        <v>1</v>
      </c>
      <c r="E387">
        <v>2010</v>
      </c>
      <c r="F387" s="1" t="s">
        <v>116</v>
      </c>
      <c r="G387" s="1" t="s">
        <v>1</v>
      </c>
      <c r="H387" s="1" t="s">
        <v>773</v>
      </c>
      <c r="I387" s="1" t="s">
        <v>1</v>
      </c>
      <c r="J387" s="1" t="s">
        <v>1</v>
      </c>
      <c r="K387" s="1" t="s">
        <v>3141</v>
      </c>
      <c r="L387" s="1" t="s">
        <v>1</v>
      </c>
      <c r="M387" s="1" t="s">
        <v>1</v>
      </c>
      <c r="N387" s="1" t="s">
        <v>1</v>
      </c>
      <c r="O387" s="1" t="s">
        <v>3156</v>
      </c>
      <c r="P387" s="1" t="s">
        <v>3157</v>
      </c>
      <c r="Q387" s="1">
        <v>-1</v>
      </c>
      <c r="R387" s="1"/>
      <c r="S387" s="1"/>
      <c r="T387" s="1"/>
      <c r="U387" s="1"/>
      <c r="V387" s="1"/>
      <c r="W387" s="1"/>
      <c r="X387" s="1"/>
      <c r="Y387" s="1"/>
      <c r="Z387" s="1"/>
      <c r="AA387" s="1"/>
      <c r="AB387" s="1"/>
      <c r="AC387" s="1"/>
      <c r="AD387" s="1"/>
      <c r="AE387" s="1"/>
      <c r="AF387" s="1"/>
    </row>
    <row r="388" spans="1:32" hidden="1" x14ac:dyDescent="0.25">
      <c r="A388" s="1">
        <v>387</v>
      </c>
      <c r="B388" s="1"/>
      <c r="C388" s="8" t="s">
        <v>783</v>
      </c>
      <c r="D388" s="1" t="s">
        <v>1</v>
      </c>
      <c r="E388">
        <v>2011</v>
      </c>
      <c r="F388" s="1" t="s">
        <v>116</v>
      </c>
      <c r="G388" s="1" t="s">
        <v>3162</v>
      </c>
      <c r="H388" s="1" t="s">
        <v>784</v>
      </c>
      <c r="I388" s="1" t="s">
        <v>1</v>
      </c>
      <c r="J388" s="1" t="s">
        <v>1</v>
      </c>
      <c r="K388" s="1" t="s">
        <v>3161</v>
      </c>
      <c r="L388" s="1" t="s">
        <v>1</v>
      </c>
      <c r="M388" s="1" t="s">
        <v>1</v>
      </c>
      <c r="N388" s="1" t="s">
        <v>1</v>
      </c>
      <c r="O388" s="1" t="s">
        <v>3163</v>
      </c>
      <c r="P388" s="1" t="s">
        <v>785</v>
      </c>
      <c r="Q388" s="1">
        <v>1</v>
      </c>
      <c r="R388" s="1">
        <v>-1</v>
      </c>
      <c r="S388" s="1"/>
      <c r="T388" s="1"/>
      <c r="U388" s="1"/>
      <c r="V388" s="1"/>
      <c r="W388" s="1"/>
      <c r="X388" s="1"/>
      <c r="Y388" s="1"/>
      <c r="Z388" s="1"/>
      <c r="AA388" s="1"/>
      <c r="AB388" s="1"/>
      <c r="AC388" s="1"/>
      <c r="AD388" s="1"/>
      <c r="AE388" s="1"/>
      <c r="AF388" s="1"/>
    </row>
    <row r="389" spans="1:32" hidden="1" x14ac:dyDescent="0.25">
      <c r="A389" s="1">
        <v>388</v>
      </c>
      <c r="B389" s="1"/>
      <c r="C389" s="1" t="s">
        <v>875</v>
      </c>
      <c r="D389" s="1" t="s">
        <v>3223</v>
      </c>
      <c r="E389">
        <v>2010</v>
      </c>
      <c r="F389" s="1" t="s">
        <v>0</v>
      </c>
      <c r="G389" s="1" t="s">
        <v>3225</v>
      </c>
      <c r="H389" s="1" t="s">
        <v>877</v>
      </c>
      <c r="I389" s="1" t="s">
        <v>1</v>
      </c>
      <c r="J389" s="1" t="s">
        <v>1</v>
      </c>
      <c r="K389" s="1" t="s">
        <v>3224</v>
      </c>
      <c r="L389" s="1" t="s">
        <v>1</v>
      </c>
      <c r="M389" s="1" t="s">
        <v>1</v>
      </c>
      <c r="N389" s="1" t="s">
        <v>1</v>
      </c>
      <c r="O389" s="1" t="s">
        <v>3226</v>
      </c>
      <c r="P389" s="1" t="s">
        <v>878</v>
      </c>
      <c r="Q389" s="1">
        <v>-1</v>
      </c>
      <c r="R389" s="1"/>
      <c r="S389" s="1"/>
      <c r="T389" s="1"/>
      <c r="U389" s="1"/>
      <c r="V389" s="1"/>
      <c r="W389" s="1"/>
      <c r="X389" s="1"/>
      <c r="Y389" s="1"/>
      <c r="Z389" s="1"/>
      <c r="AA389" s="1"/>
      <c r="AB389" s="1"/>
      <c r="AC389" s="1"/>
      <c r="AD389" s="1"/>
      <c r="AE389" s="1"/>
      <c r="AF389" s="1"/>
    </row>
    <row r="390" spans="1:32" hidden="1" x14ac:dyDescent="0.25">
      <c r="A390" s="1">
        <v>389</v>
      </c>
      <c r="B390" s="1"/>
      <c r="C390" s="1" t="s">
        <v>2438</v>
      </c>
      <c r="D390" s="1" t="s">
        <v>4398</v>
      </c>
      <c r="E390">
        <v>2010</v>
      </c>
      <c r="F390" s="1" t="s">
        <v>0</v>
      </c>
      <c r="G390" s="1" t="s">
        <v>4399</v>
      </c>
      <c r="H390" s="1" t="s">
        <v>2411</v>
      </c>
      <c r="I390" s="1" t="s">
        <v>1</v>
      </c>
      <c r="J390" s="1" t="s">
        <v>1</v>
      </c>
      <c r="K390" s="1" t="s">
        <v>3202</v>
      </c>
      <c r="L390" s="1" t="s">
        <v>1</v>
      </c>
      <c r="M390" s="1" t="s">
        <v>1</v>
      </c>
      <c r="N390" s="1" t="s">
        <v>1</v>
      </c>
      <c r="O390" s="1" t="s">
        <v>4400</v>
      </c>
      <c r="P390" s="1" t="s">
        <v>2439</v>
      </c>
      <c r="Q390" s="1">
        <v>1</v>
      </c>
      <c r="R390" s="1">
        <v>-1</v>
      </c>
      <c r="S390" s="1"/>
      <c r="T390" s="1"/>
      <c r="U390" s="1"/>
      <c r="V390" s="1"/>
      <c r="W390" s="1"/>
      <c r="X390" s="1"/>
      <c r="Y390" s="1"/>
      <c r="Z390" s="1"/>
      <c r="AA390" s="1"/>
      <c r="AB390" s="1"/>
      <c r="AC390" s="1"/>
      <c r="AD390" s="1"/>
      <c r="AE390" s="1"/>
      <c r="AF390" s="1"/>
    </row>
    <row r="391" spans="1:32" hidden="1" x14ac:dyDescent="0.25">
      <c r="A391" s="1">
        <v>390</v>
      </c>
      <c r="B391" s="1"/>
      <c r="C391" s="1" t="s">
        <v>2192</v>
      </c>
      <c r="D391" s="1" t="s">
        <v>4205</v>
      </c>
      <c r="E391">
        <v>2016</v>
      </c>
      <c r="F391" s="1" t="s">
        <v>0</v>
      </c>
      <c r="G391" s="1" t="s">
        <v>4206</v>
      </c>
      <c r="H391" s="1" t="s">
        <v>2193</v>
      </c>
      <c r="I391" s="1" t="s">
        <v>1</v>
      </c>
      <c r="J391" s="1" t="s">
        <v>1</v>
      </c>
      <c r="K391" s="1" t="s">
        <v>3767</v>
      </c>
      <c r="L391" s="1" t="s">
        <v>1</v>
      </c>
      <c r="M391" s="1" t="s">
        <v>1</v>
      </c>
      <c r="N391" s="1" t="s">
        <v>1</v>
      </c>
      <c r="O391" s="1" t="s">
        <v>4207</v>
      </c>
      <c r="P391" s="1" t="s">
        <v>2194</v>
      </c>
      <c r="Q391" s="1">
        <v>-1</v>
      </c>
      <c r="R391" s="1"/>
      <c r="S391" s="1"/>
      <c r="T391" s="1"/>
      <c r="U391" s="1"/>
      <c r="V391" s="1"/>
      <c r="W391" s="1"/>
      <c r="X391" s="1"/>
      <c r="Y391" s="1"/>
      <c r="Z391" s="1"/>
      <c r="AA391" s="1"/>
      <c r="AB391" s="1"/>
      <c r="AC391" s="1"/>
      <c r="AD391" s="1"/>
      <c r="AE391" s="1"/>
      <c r="AF391" s="1"/>
    </row>
    <row r="392" spans="1:32" hidden="1" x14ac:dyDescent="0.25">
      <c r="A392" s="1">
        <v>391</v>
      </c>
      <c r="B392" s="1"/>
      <c r="C392" s="1" t="s">
        <v>2238</v>
      </c>
      <c r="D392" s="1" t="s">
        <v>4238</v>
      </c>
      <c r="E392">
        <v>2010</v>
      </c>
      <c r="F392" s="1" t="s">
        <v>0</v>
      </c>
      <c r="G392" s="1" t="s">
        <v>4239</v>
      </c>
      <c r="H392" s="1" t="s">
        <v>1697</v>
      </c>
      <c r="I392" s="1" t="s">
        <v>1</v>
      </c>
      <c r="J392" s="1" t="s">
        <v>1</v>
      </c>
      <c r="K392" s="1" t="s">
        <v>2239</v>
      </c>
      <c r="L392" s="1" t="s">
        <v>1</v>
      </c>
      <c r="M392" s="1" t="s">
        <v>1</v>
      </c>
      <c r="N392" s="1" t="s">
        <v>1</v>
      </c>
      <c r="O392" s="1" t="s">
        <v>4240</v>
      </c>
      <c r="P392" s="1" t="s">
        <v>2240</v>
      </c>
      <c r="Q392" s="1">
        <v>-1</v>
      </c>
      <c r="R392" s="1"/>
      <c r="S392" s="1"/>
      <c r="T392" s="1"/>
      <c r="U392" s="1"/>
      <c r="V392" s="1"/>
      <c r="W392" s="1"/>
      <c r="X392" s="1"/>
      <c r="Y392" s="1"/>
      <c r="Z392" s="1"/>
      <c r="AA392" s="1"/>
      <c r="AB392" s="1"/>
      <c r="AC392" s="1"/>
      <c r="AD392" s="1"/>
      <c r="AE392" s="1"/>
      <c r="AF392" s="1"/>
    </row>
    <row r="393" spans="1:32" hidden="1" x14ac:dyDescent="0.25">
      <c r="A393" s="1">
        <v>392</v>
      </c>
      <c r="B393" s="1"/>
      <c r="C393" s="1" t="s">
        <v>2213</v>
      </c>
      <c r="D393" s="1" t="s">
        <v>4223</v>
      </c>
      <c r="E393">
        <v>2016</v>
      </c>
      <c r="F393" s="1" t="s">
        <v>0</v>
      </c>
      <c r="G393" s="1" t="s">
        <v>1</v>
      </c>
      <c r="H393" s="1" t="s">
        <v>1</v>
      </c>
      <c r="I393" s="1" t="s">
        <v>3141</v>
      </c>
      <c r="J393" s="1" t="s">
        <v>1</v>
      </c>
      <c r="K393" s="1" t="s">
        <v>2214</v>
      </c>
      <c r="L393" s="1" t="s">
        <v>336</v>
      </c>
      <c r="M393" s="1" t="s">
        <v>1</v>
      </c>
      <c r="N393" s="1" t="s">
        <v>2216</v>
      </c>
      <c r="O393" s="1" t="s">
        <v>4224</v>
      </c>
      <c r="P393" s="1" t="s">
        <v>2215</v>
      </c>
      <c r="Q393" s="1">
        <v>-1</v>
      </c>
      <c r="R393" s="1"/>
      <c r="S393" s="1"/>
      <c r="T393" s="1"/>
      <c r="U393" s="1"/>
      <c r="V393" s="1"/>
      <c r="W393" s="1"/>
      <c r="X393" s="1"/>
      <c r="Y393" s="1"/>
      <c r="Z393" s="1"/>
      <c r="AA393" s="1"/>
      <c r="AB393" s="1"/>
      <c r="AC393" s="1"/>
      <c r="AD393" s="1"/>
      <c r="AE393" s="1"/>
      <c r="AF393" s="1"/>
    </row>
    <row r="394" spans="1:32" hidden="1" x14ac:dyDescent="0.25">
      <c r="A394" s="1">
        <v>393</v>
      </c>
      <c r="B394" s="1"/>
      <c r="C394" s="1" t="s">
        <v>39</v>
      </c>
      <c r="D394" s="1" t="s">
        <v>4220</v>
      </c>
      <c r="E394">
        <v>2017</v>
      </c>
      <c r="F394" s="1" t="s">
        <v>0</v>
      </c>
      <c r="G394" s="1" t="s">
        <v>4221</v>
      </c>
      <c r="H394" s="1" t="s">
        <v>1</v>
      </c>
      <c r="I394" s="1" t="s">
        <v>1</v>
      </c>
      <c r="J394" s="1" t="s">
        <v>1</v>
      </c>
      <c r="K394" s="1" t="s">
        <v>1</v>
      </c>
      <c r="L394" s="1" t="s">
        <v>241</v>
      </c>
      <c r="M394" s="1" t="s">
        <v>1</v>
      </c>
      <c r="N394" s="1" t="s">
        <v>2212</v>
      </c>
      <c r="O394" s="1" t="s">
        <v>4222</v>
      </c>
      <c r="P394" s="1" t="s">
        <v>2211</v>
      </c>
      <c r="Q394" s="1">
        <v>-1</v>
      </c>
      <c r="R394" s="1"/>
      <c r="S394" s="1"/>
      <c r="T394" s="1"/>
      <c r="U394" s="1"/>
      <c r="V394" s="1"/>
      <c r="W394" s="1"/>
      <c r="X394" s="1"/>
      <c r="Y394" s="1"/>
      <c r="Z394" s="1"/>
      <c r="AA394" s="1"/>
      <c r="AB394" s="1"/>
      <c r="AC394" s="1"/>
      <c r="AD394" s="1"/>
      <c r="AE394" s="1"/>
      <c r="AF394" s="1"/>
    </row>
    <row r="395" spans="1:32" hidden="1" x14ac:dyDescent="0.25">
      <c r="A395" s="1">
        <v>394</v>
      </c>
      <c r="B395" s="1"/>
      <c r="C395" s="1" t="s">
        <v>1507</v>
      </c>
      <c r="D395" s="1" t="s">
        <v>3683</v>
      </c>
      <c r="E395">
        <v>2014</v>
      </c>
      <c r="F395" s="1" t="s">
        <v>116</v>
      </c>
      <c r="G395" s="1" t="s">
        <v>3685</v>
      </c>
      <c r="H395" s="1" t="s">
        <v>1508</v>
      </c>
      <c r="I395" s="1" t="s">
        <v>3684</v>
      </c>
      <c r="J395" s="1" t="s">
        <v>3524</v>
      </c>
      <c r="K395" s="1" t="s">
        <v>1509</v>
      </c>
      <c r="L395" s="1" t="s">
        <v>1232</v>
      </c>
      <c r="M395" s="1" t="s">
        <v>1</v>
      </c>
      <c r="N395" s="1" t="s">
        <v>1511</v>
      </c>
      <c r="O395" s="1" t="s">
        <v>3686</v>
      </c>
      <c r="P395" s="1" t="s">
        <v>1510</v>
      </c>
      <c r="Q395" s="1">
        <v>-1</v>
      </c>
      <c r="R395" s="1"/>
      <c r="S395" s="1"/>
      <c r="T395" s="1"/>
      <c r="U395" s="1"/>
      <c r="V395" s="1"/>
      <c r="W395" s="1"/>
      <c r="X395" s="1"/>
      <c r="Y395" s="1"/>
      <c r="Z395" s="1"/>
      <c r="AA395" s="1"/>
      <c r="AB395" s="1"/>
      <c r="AC395" s="1"/>
      <c r="AD395" s="1"/>
      <c r="AE395" s="1"/>
      <c r="AF395" s="1"/>
    </row>
    <row r="396" spans="1:32" hidden="1" x14ac:dyDescent="0.25">
      <c r="A396" s="1">
        <v>395</v>
      </c>
      <c r="B396" s="1"/>
      <c r="C396" s="1" t="s">
        <v>1257</v>
      </c>
      <c r="D396" s="1" t="s">
        <v>3482</v>
      </c>
      <c r="E396">
        <v>2011</v>
      </c>
      <c r="F396" s="1" t="s">
        <v>0</v>
      </c>
      <c r="G396" s="1" t="s">
        <v>3483</v>
      </c>
      <c r="H396" s="1" t="s">
        <v>1</v>
      </c>
      <c r="I396" s="1" t="s">
        <v>1</v>
      </c>
      <c r="J396" s="1" t="s">
        <v>1</v>
      </c>
      <c r="K396" s="1" t="s">
        <v>1258</v>
      </c>
      <c r="L396" s="1" t="s">
        <v>1</v>
      </c>
      <c r="M396" s="1" t="s">
        <v>1</v>
      </c>
      <c r="N396" s="1" t="s">
        <v>1260</v>
      </c>
      <c r="O396" s="1" t="s">
        <v>3484</v>
      </c>
      <c r="P396" s="1" t="s">
        <v>1259</v>
      </c>
      <c r="Q396" s="1">
        <v>1</v>
      </c>
      <c r="R396" s="1">
        <v>-1</v>
      </c>
      <c r="S396" s="1"/>
      <c r="T396" s="1"/>
      <c r="U396" s="1"/>
      <c r="V396" s="1"/>
      <c r="W396" s="1"/>
      <c r="X396" s="1"/>
      <c r="Y396" s="1"/>
      <c r="Z396" s="1"/>
      <c r="AA396" s="1"/>
      <c r="AB396" s="1"/>
      <c r="AC396" s="1"/>
      <c r="AD396" s="1"/>
      <c r="AE396" s="1"/>
      <c r="AF396" s="1"/>
    </row>
    <row r="397" spans="1:32" x14ac:dyDescent="0.25">
      <c r="A397" s="1">
        <v>396</v>
      </c>
      <c r="B397" s="1">
        <v>21</v>
      </c>
      <c r="C397" s="5" t="s">
        <v>615</v>
      </c>
      <c r="D397" s="1" t="s">
        <v>614</v>
      </c>
      <c r="E397">
        <v>2015</v>
      </c>
      <c r="F397" s="1" t="s">
        <v>244</v>
      </c>
      <c r="G397" s="1" t="s">
        <v>4527</v>
      </c>
      <c r="H397" s="1" t="s">
        <v>1</v>
      </c>
      <c r="I397" s="1" t="s">
        <v>3507</v>
      </c>
      <c r="J397" s="1" t="s">
        <v>1</v>
      </c>
      <c r="K397" s="1" t="s">
        <v>2598</v>
      </c>
      <c r="L397" s="1" t="s">
        <v>247</v>
      </c>
      <c r="M397" s="1" t="s">
        <v>1</v>
      </c>
      <c r="N397" s="1" t="s">
        <v>2599</v>
      </c>
      <c r="O397" s="1" t="s">
        <v>617</v>
      </c>
      <c r="P397" s="1" t="s">
        <v>618</v>
      </c>
      <c r="Q397" s="1">
        <v>1</v>
      </c>
      <c r="R397" s="1">
        <v>1</v>
      </c>
      <c r="S397" s="1">
        <v>7</v>
      </c>
      <c r="T397" s="1" t="s">
        <v>5048</v>
      </c>
      <c r="U397" s="1" t="s">
        <v>5050</v>
      </c>
      <c r="V397" s="1" t="s">
        <v>5049</v>
      </c>
      <c r="W397" s="1" t="s">
        <v>4974</v>
      </c>
      <c r="X397" s="1" t="s">
        <v>658</v>
      </c>
      <c r="Y397" s="1" t="s">
        <v>834</v>
      </c>
      <c r="Z397" s="1" t="s">
        <v>726</v>
      </c>
      <c r="AA397" s="1"/>
      <c r="AB397" s="1">
        <v>4</v>
      </c>
      <c r="AC397" s="1">
        <v>3</v>
      </c>
      <c r="AD397" s="1">
        <v>2</v>
      </c>
      <c r="AE397" s="1">
        <v>4</v>
      </c>
      <c r="AF397" s="1"/>
    </row>
    <row r="398" spans="1:32" hidden="1" x14ac:dyDescent="0.25">
      <c r="A398" s="1">
        <v>397</v>
      </c>
      <c r="B398" s="1"/>
      <c r="C398" s="1" t="s">
        <v>3124</v>
      </c>
      <c r="D398" s="1" t="s">
        <v>4939</v>
      </c>
      <c r="E398">
        <v>2016</v>
      </c>
      <c r="F398" s="1" t="s">
        <v>244</v>
      </c>
      <c r="G398" s="1" t="s">
        <v>4940</v>
      </c>
      <c r="H398" s="1" t="s">
        <v>2617</v>
      </c>
      <c r="I398" s="1" t="s">
        <v>4543</v>
      </c>
      <c r="J398" s="1" t="s">
        <v>1</v>
      </c>
      <c r="K398" s="1" t="s">
        <v>3125</v>
      </c>
      <c r="L398" s="1" t="s">
        <v>2618</v>
      </c>
      <c r="M398" s="1" t="s">
        <v>1</v>
      </c>
      <c r="N398" s="1" t="s">
        <v>3127</v>
      </c>
      <c r="O398" s="1" t="s">
        <v>1</v>
      </c>
      <c r="P398" s="1" t="s">
        <v>3126</v>
      </c>
      <c r="Q398" s="1">
        <v>-1</v>
      </c>
      <c r="R398" s="1"/>
      <c r="S398" s="1"/>
      <c r="T398" s="1"/>
      <c r="U398" s="1"/>
      <c r="V398" s="1"/>
      <c r="W398" s="1"/>
      <c r="X398" s="1"/>
      <c r="Y398" s="1"/>
      <c r="Z398" s="1"/>
      <c r="AA398" s="1"/>
      <c r="AB398" s="1"/>
      <c r="AC398" s="1"/>
      <c r="AD398" s="1"/>
      <c r="AE398" s="1"/>
      <c r="AF398" s="1"/>
    </row>
    <row r="399" spans="1:32" hidden="1" x14ac:dyDescent="0.25">
      <c r="A399" s="1">
        <v>398</v>
      </c>
      <c r="B399" s="1"/>
      <c r="C399" s="1" t="s">
        <v>2111</v>
      </c>
      <c r="D399" s="1" t="s">
        <v>4140</v>
      </c>
      <c r="E399">
        <v>2010</v>
      </c>
      <c r="F399" s="1" t="s">
        <v>0</v>
      </c>
      <c r="G399" s="1" t="s">
        <v>1</v>
      </c>
      <c r="H399" s="1" t="s">
        <v>2112</v>
      </c>
      <c r="I399" s="1" t="s">
        <v>1</v>
      </c>
      <c r="J399" s="1" t="s">
        <v>1</v>
      </c>
      <c r="K399" s="1" t="s">
        <v>3356</v>
      </c>
      <c r="L399" s="1" t="s">
        <v>1</v>
      </c>
      <c r="M399" s="1" t="s">
        <v>1</v>
      </c>
      <c r="N399" s="1" t="s">
        <v>1</v>
      </c>
      <c r="O399" s="1" t="s">
        <v>4141</v>
      </c>
      <c r="P399" s="1" t="s">
        <v>2113</v>
      </c>
      <c r="Q399" s="1">
        <v>-1</v>
      </c>
      <c r="R399" s="1"/>
      <c r="S399" s="1"/>
      <c r="T399" s="1"/>
      <c r="U399" s="1"/>
      <c r="V399" s="1"/>
      <c r="W399" s="1"/>
      <c r="X399" s="1"/>
      <c r="Y399" s="1"/>
      <c r="Z399" s="1"/>
      <c r="AA399" s="1"/>
      <c r="AB399" s="1"/>
      <c r="AC399" s="1"/>
      <c r="AD399" s="1"/>
      <c r="AE399" s="1"/>
      <c r="AF399" s="1"/>
    </row>
    <row r="400" spans="1:32" hidden="1" x14ac:dyDescent="0.25">
      <c r="A400" s="1">
        <v>399</v>
      </c>
      <c r="B400" s="1"/>
      <c r="C400" s="1" t="s">
        <v>2125</v>
      </c>
      <c r="D400" s="1" t="s">
        <v>4151</v>
      </c>
      <c r="E400">
        <v>2014</v>
      </c>
      <c r="F400" s="1" t="s">
        <v>116</v>
      </c>
      <c r="G400" s="1" t="s">
        <v>4152</v>
      </c>
      <c r="H400" s="1" t="s">
        <v>2126</v>
      </c>
      <c r="I400" s="1" t="s">
        <v>3732</v>
      </c>
      <c r="J400" s="1" t="s">
        <v>3143</v>
      </c>
      <c r="K400" s="1" t="s">
        <v>2127</v>
      </c>
      <c r="L400" s="1" t="s">
        <v>1</v>
      </c>
      <c r="M400" s="1" t="s">
        <v>1</v>
      </c>
      <c r="N400" s="1" t="s">
        <v>1</v>
      </c>
      <c r="O400" s="1" t="s">
        <v>4153</v>
      </c>
      <c r="P400" s="1" t="s">
        <v>2128</v>
      </c>
      <c r="Q400" s="1">
        <v>-1</v>
      </c>
      <c r="R400" s="1"/>
      <c r="S400" s="1"/>
      <c r="T400" s="1"/>
      <c r="U400" s="1"/>
      <c r="V400" s="1"/>
      <c r="W400" s="1"/>
      <c r="X400" s="1"/>
      <c r="Y400" s="1"/>
      <c r="Z400" s="1"/>
      <c r="AA400" s="1"/>
      <c r="AB400" s="1"/>
      <c r="AC400" s="1"/>
      <c r="AD400" s="1"/>
      <c r="AE400" s="1"/>
      <c r="AF400" s="1"/>
    </row>
    <row r="401" spans="1:32" hidden="1" x14ac:dyDescent="0.25">
      <c r="A401" s="1">
        <v>400</v>
      </c>
      <c r="B401" s="1"/>
      <c r="C401" s="1" t="s">
        <v>1625</v>
      </c>
      <c r="D401" s="1" t="s">
        <v>3779</v>
      </c>
      <c r="E401">
        <v>2009</v>
      </c>
      <c r="F401" s="1" t="s">
        <v>0</v>
      </c>
      <c r="G401" s="1" t="s">
        <v>3780</v>
      </c>
      <c r="H401" s="1" t="s">
        <v>1537</v>
      </c>
      <c r="I401" s="1" t="s">
        <v>1</v>
      </c>
      <c r="J401" s="1" t="s">
        <v>1</v>
      </c>
      <c r="K401" s="1" t="s">
        <v>968</v>
      </c>
      <c r="L401" s="1" t="s">
        <v>1</v>
      </c>
      <c r="M401" s="1" t="s">
        <v>1</v>
      </c>
      <c r="N401" s="1" t="s">
        <v>1</v>
      </c>
      <c r="O401" s="1" t="s">
        <v>3781</v>
      </c>
      <c r="P401" s="1" t="s">
        <v>1626</v>
      </c>
      <c r="Q401" s="1">
        <v>-1</v>
      </c>
      <c r="R401" s="1"/>
      <c r="S401" s="1"/>
      <c r="T401" s="1"/>
      <c r="U401" s="1"/>
      <c r="V401" s="1"/>
      <c r="W401" s="1"/>
      <c r="X401" s="1"/>
      <c r="Y401" s="1"/>
      <c r="Z401" s="1"/>
      <c r="AA401" s="1"/>
      <c r="AB401" s="1"/>
      <c r="AC401" s="1"/>
      <c r="AD401" s="1"/>
      <c r="AE401" s="1"/>
      <c r="AF401" s="1"/>
    </row>
    <row r="402" spans="1:32" hidden="1" x14ac:dyDescent="0.25">
      <c r="A402" s="1">
        <v>401</v>
      </c>
      <c r="B402" s="1"/>
      <c r="C402" s="1" t="s">
        <v>1361</v>
      </c>
      <c r="D402" s="1" t="s">
        <v>1360</v>
      </c>
      <c r="E402">
        <v>2008</v>
      </c>
      <c r="F402" s="1" t="s">
        <v>127</v>
      </c>
      <c r="G402" s="1" t="s">
        <v>3556</v>
      </c>
      <c r="H402" s="1" t="s">
        <v>1362</v>
      </c>
      <c r="I402" s="1" t="s">
        <v>1</v>
      </c>
      <c r="J402" s="1" t="s">
        <v>1</v>
      </c>
      <c r="K402" s="1" t="s">
        <v>3555</v>
      </c>
      <c r="L402" s="1" t="s">
        <v>1363</v>
      </c>
      <c r="M402" s="1" t="s">
        <v>1</v>
      </c>
      <c r="N402" s="1" t="s">
        <v>1364</v>
      </c>
      <c r="O402" s="1" t="s">
        <v>3557</v>
      </c>
      <c r="P402" s="1" t="s">
        <v>3558</v>
      </c>
      <c r="Q402" s="1">
        <v>-1</v>
      </c>
      <c r="R402" s="1"/>
      <c r="S402" s="1"/>
      <c r="T402" s="1"/>
      <c r="U402" s="1"/>
      <c r="V402" s="1"/>
      <c r="W402" s="1"/>
      <c r="X402" s="1"/>
      <c r="Y402" s="1"/>
      <c r="Z402" s="1"/>
      <c r="AA402" s="1"/>
      <c r="AB402" s="1"/>
      <c r="AC402" s="1"/>
      <c r="AD402" s="1"/>
      <c r="AE402" s="1"/>
      <c r="AF402" s="1"/>
    </row>
    <row r="403" spans="1:32" hidden="1" x14ac:dyDescent="0.25">
      <c r="A403" s="1">
        <v>402</v>
      </c>
      <c r="B403" s="1"/>
      <c r="C403" s="1" t="s">
        <v>2275</v>
      </c>
      <c r="D403" s="1" t="s">
        <v>4271</v>
      </c>
      <c r="E403">
        <v>2017</v>
      </c>
      <c r="F403" s="1" t="s">
        <v>0</v>
      </c>
      <c r="G403" s="1" t="s">
        <v>4272</v>
      </c>
      <c r="H403" s="1" t="s">
        <v>2276</v>
      </c>
      <c r="I403" s="1" t="s">
        <v>1</v>
      </c>
      <c r="J403" s="1" t="s">
        <v>1</v>
      </c>
      <c r="K403" s="1" t="s">
        <v>2277</v>
      </c>
      <c r="L403" s="1" t="s">
        <v>1</v>
      </c>
      <c r="M403" s="1" t="s">
        <v>1</v>
      </c>
      <c r="N403" s="1" t="s">
        <v>1</v>
      </c>
      <c r="O403" s="1" t="s">
        <v>4273</v>
      </c>
      <c r="P403" s="1" t="s">
        <v>2278</v>
      </c>
      <c r="Q403" s="1">
        <v>-1</v>
      </c>
      <c r="R403" s="1"/>
      <c r="S403" s="1"/>
      <c r="T403" s="1"/>
      <c r="U403" s="1"/>
      <c r="V403" s="1"/>
      <c r="W403" s="1"/>
      <c r="X403" s="1"/>
      <c r="Y403" s="1"/>
      <c r="Z403" s="1"/>
      <c r="AA403" s="1"/>
      <c r="AB403" s="1"/>
      <c r="AC403" s="1"/>
      <c r="AD403" s="1"/>
      <c r="AE403" s="1"/>
      <c r="AF403" s="1"/>
    </row>
    <row r="404" spans="1:32" hidden="1" x14ac:dyDescent="0.25">
      <c r="A404" s="1">
        <v>403</v>
      </c>
      <c r="B404" s="1"/>
      <c r="C404" s="1" t="s">
        <v>1609</v>
      </c>
      <c r="D404" s="1" t="s">
        <v>3766</v>
      </c>
      <c r="E404">
        <v>2013</v>
      </c>
      <c r="F404" s="1" t="s">
        <v>0</v>
      </c>
      <c r="G404" s="1" t="s">
        <v>1</v>
      </c>
      <c r="H404" s="1" t="s">
        <v>1610</v>
      </c>
      <c r="I404" s="1" t="s">
        <v>1</v>
      </c>
      <c r="J404" s="1" t="s">
        <v>1</v>
      </c>
      <c r="K404" s="1" t="s">
        <v>3767</v>
      </c>
      <c r="L404" s="1" t="s">
        <v>1</v>
      </c>
      <c r="M404" s="1" t="s">
        <v>1</v>
      </c>
      <c r="N404" s="1" t="s">
        <v>1</v>
      </c>
      <c r="O404" s="1" t="s">
        <v>3768</v>
      </c>
      <c r="P404" s="1" t="s">
        <v>1611</v>
      </c>
      <c r="Q404" s="1">
        <v>-1</v>
      </c>
      <c r="R404" s="1"/>
      <c r="S404" s="1"/>
      <c r="T404" s="1"/>
      <c r="U404" s="1"/>
      <c r="V404" s="1"/>
      <c r="W404" s="1"/>
      <c r="X404" s="1"/>
      <c r="Y404" s="1"/>
      <c r="Z404" s="1"/>
      <c r="AA404" s="1"/>
      <c r="AB404" s="1"/>
      <c r="AC404" s="1"/>
      <c r="AD404" s="1"/>
      <c r="AE404" s="1"/>
      <c r="AF404" s="1"/>
    </row>
    <row r="405" spans="1:32" hidden="1" x14ac:dyDescent="0.25">
      <c r="A405" s="1">
        <v>404</v>
      </c>
      <c r="B405" s="1"/>
      <c r="C405" s="1" t="s">
        <v>1145</v>
      </c>
      <c r="D405" s="1" t="s">
        <v>1144</v>
      </c>
      <c r="E405">
        <v>2008</v>
      </c>
      <c r="F405" s="1" t="s">
        <v>0</v>
      </c>
      <c r="G405" s="1" t="s">
        <v>3410</v>
      </c>
      <c r="H405" s="1" t="s">
        <v>1146</v>
      </c>
      <c r="I405" s="1" t="s">
        <v>1</v>
      </c>
      <c r="J405" s="1" t="s">
        <v>1</v>
      </c>
      <c r="K405" s="1" t="s">
        <v>1147</v>
      </c>
      <c r="L405" s="1" t="s">
        <v>1</v>
      </c>
      <c r="M405" s="1" t="s">
        <v>1</v>
      </c>
      <c r="N405" s="1" t="s">
        <v>1</v>
      </c>
      <c r="O405" s="1" t="s">
        <v>3411</v>
      </c>
      <c r="P405" s="1" t="s">
        <v>1149</v>
      </c>
      <c r="Q405" s="1">
        <v>-1</v>
      </c>
      <c r="R405" s="1"/>
      <c r="S405" s="1"/>
      <c r="T405" s="1"/>
      <c r="U405" s="1"/>
      <c r="V405" s="1"/>
      <c r="W405" s="1"/>
      <c r="X405" s="1"/>
      <c r="Y405" s="1"/>
      <c r="Z405" s="1"/>
      <c r="AA405" s="1"/>
      <c r="AB405" s="1"/>
      <c r="AC405" s="1"/>
      <c r="AD405" s="1"/>
      <c r="AE405" s="1"/>
      <c r="AF405" s="1"/>
    </row>
    <row r="406" spans="1:32" hidden="1" x14ac:dyDescent="0.25">
      <c r="A406" s="1">
        <v>405</v>
      </c>
      <c r="B406" s="1"/>
      <c r="C406" s="1" t="s">
        <v>2121</v>
      </c>
      <c r="D406" s="1" t="s">
        <v>4148</v>
      </c>
      <c r="E406">
        <v>2015</v>
      </c>
      <c r="F406" s="1" t="s">
        <v>0</v>
      </c>
      <c r="G406" s="1" t="s">
        <v>4149</v>
      </c>
      <c r="H406" s="1" t="s">
        <v>2122</v>
      </c>
      <c r="I406" s="1" t="s">
        <v>1</v>
      </c>
      <c r="J406" s="1" t="s">
        <v>1</v>
      </c>
      <c r="K406" s="1" t="s">
        <v>2123</v>
      </c>
      <c r="L406" s="1" t="s">
        <v>1</v>
      </c>
      <c r="M406" s="1" t="s">
        <v>1</v>
      </c>
      <c r="N406" s="1" t="s">
        <v>1</v>
      </c>
      <c r="O406" s="1" t="s">
        <v>4150</v>
      </c>
      <c r="P406" s="1" t="s">
        <v>2124</v>
      </c>
      <c r="Q406" s="1">
        <v>-1</v>
      </c>
      <c r="R406" s="1"/>
      <c r="S406" s="1"/>
      <c r="T406" s="1"/>
      <c r="U406" s="1"/>
      <c r="V406" s="1"/>
      <c r="W406" s="1"/>
      <c r="X406" s="1"/>
      <c r="Y406" s="1"/>
      <c r="Z406" s="1"/>
      <c r="AA406" s="1"/>
      <c r="AB406" s="1"/>
      <c r="AC406" s="1"/>
      <c r="AD406" s="1"/>
      <c r="AE406" s="1"/>
      <c r="AF406" s="1"/>
    </row>
    <row r="407" spans="1:32" hidden="1" x14ac:dyDescent="0.25">
      <c r="A407" s="1">
        <v>406</v>
      </c>
      <c r="B407" s="1"/>
      <c r="C407" s="1" t="s">
        <v>1484</v>
      </c>
      <c r="D407" s="1" t="s">
        <v>3666</v>
      </c>
      <c r="E407">
        <v>2009</v>
      </c>
      <c r="F407" s="1" t="s">
        <v>0</v>
      </c>
      <c r="G407" s="1" t="s">
        <v>3667</v>
      </c>
      <c r="H407" s="1" t="s">
        <v>1485</v>
      </c>
      <c r="I407" s="1" t="s">
        <v>1</v>
      </c>
      <c r="J407" s="1" t="s">
        <v>1</v>
      </c>
      <c r="K407" s="1" t="s">
        <v>1486</v>
      </c>
      <c r="L407" s="1" t="s">
        <v>1</v>
      </c>
      <c r="M407" s="1" t="s">
        <v>1</v>
      </c>
      <c r="N407" s="1" t="s">
        <v>1</v>
      </c>
      <c r="O407" s="1" t="s">
        <v>3668</v>
      </c>
      <c r="P407" s="1" t="s">
        <v>1487</v>
      </c>
      <c r="Q407" s="1">
        <v>-1</v>
      </c>
      <c r="R407" s="1"/>
      <c r="S407" s="1"/>
      <c r="T407" s="1"/>
      <c r="U407" s="1"/>
      <c r="V407" s="1"/>
      <c r="W407" s="1"/>
      <c r="X407" s="1"/>
      <c r="Y407" s="1"/>
      <c r="Z407" s="1"/>
      <c r="AA407" s="1"/>
      <c r="AB407" s="1"/>
      <c r="AC407" s="1"/>
      <c r="AD407" s="1"/>
      <c r="AE407" s="1"/>
      <c r="AF407" s="1"/>
    </row>
    <row r="408" spans="1:32" hidden="1" x14ac:dyDescent="0.25">
      <c r="A408" s="1">
        <v>407</v>
      </c>
      <c r="B408" s="1"/>
      <c r="C408" s="1" t="s">
        <v>1334</v>
      </c>
      <c r="D408" s="1" t="s">
        <v>3540</v>
      </c>
      <c r="E408">
        <v>2003</v>
      </c>
      <c r="F408" s="1" t="s">
        <v>0</v>
      </c>
      <c r="G408" s="1" t="s">
        <v>1</v>
      </c>
      <c r="H408" s="1" t="s">
        <v>1</v>
      </c>
      <c r="I408" s="1" t="s">
        <v>1</v>
      </c>
      <c r="J408" s="1" t="s">
        <v>1</v>
      </c>
      <c r="K408" s="1" t="s">
        <v>1335</v>
      </c>
      <c r="L408" s="1" t="s">
        <v>1</v>
      </c>
      <c r="M408" s="1" t="s">
        <v>1</v>
      </c>
      <c r="N408" s="1" t="s">
        <v>1337</v>
      </c>
      <c r="O408" s="1" t="s">
        <v>3541</v>
      </c>
      <c r="P408" s="1" t="s">
        <v>1336</v>
      </c>
      <c r="Q408" s="1">
        <v>-1</v>
      </c>
      <c r="R408" s="1"/>
      <c r="S408" s="1"/>
      <c r="T408" s="1"/>
      <c r="U408" s="1"/>
      <c r="V408" s="1"/>
      <c r="W408" s="1"/>
      <c r="X408" s="1"/>
      <c r="Y408" s="1"/>
      <c r="Z408" s="1"/>
      <c r="AA408" s="1"/>
      <c r="AB408" s="1"/>
      <c r="AC408" s="1"/>
      <c r="AD408" s="1"/>
      <c r="AE408" s="1"/>
      <c r="AF408" s="1"/>
    </row>
    <row r="409" spans="1:32" hidden="1" x14ac:dyDescent="0.25">
      <c r="A409" s="1">
        <v>408</v>
      </c>
      <c r="B409" s="1"/>
      <c r="C409" s="1" t="s">
        <v>1980</v>
      </c>
      <c r="D409" s="1" t="s">
        <v>4042</v>
      </c>
      <c r="E409">
        <v>2014</v>
      </c>
      <c r="F409" s="1" t="s">
        <v>244</v>
      </c>
      <c r="G409" s="1" t="s">
        <v>1</v>
      </c>
      <c r="H409" s="1" t="s">
        <v>1</v>
      </c>
      <c r="I409" s="1" t="s">
        <v>3607</v>
      </c>
      <c r="J409" s="1" t="s">
        <v>1</v>
      </c>
      <c r="K409" s="1" t="s">
        <v>3929</v>
      </c>
      <c r="L409" s="1" t="s">
        <v>247</v>
      </c>
      <c r="M409" s="1" t="s">
        <v>1</v>
      </c>
      <c r="N409" s="1" t="s">
        <v>1982</v>
      </c>
      <c r="O409" s="1" t="s">
        <v>4043</v>
      </c>
      <c r="P409" s="1" t="s">
        <v>1981</v>
      </c>
      <c r="Q409" s="1">
        <v>1</v>
      </c>
      <c r="R409" s="1">
        <v>-1</v>
      </c>
      <c r="S409" s="1"/>
      <c r="T409" s="1"/>
      <c r="U409" s="1"/>
      <c r="V409" s="1"/>
      <c r="W409" s="1"/>
      <c r="X409" s="1"/>
      <c r="Y409" s="1"/>
      <c r="Z409" s="1"/>
      <c r="AA409" s="1"/>
      <c r="AB409" s="1"/>
      <c r="AC409" s="1"/>
      <c r="AD409" s="1"/>
      <c r="AE409" s="1"/>
      <c r="AF409" s="1"/>
    </row>
    <row r="410" spans="1:32" hidden="1" x14ac:dyDescent="0.25">
      <c r="A410" s="1">
        <v>409</v>
      </c>
      <c r="B410" s="1"/>
      <c r="C410" s="1" t="s">
        <v>1878</v>
      </c>
      <c r="D410" s="1" t="s">
        <v>3965</v>
      </c>
      <c r="E410">
        <v>2014</v>
      </c>
      <c r="F410" s="1" t="s">
        <v>0</v>
      </c>
      <c r="G410" s="1" t="s">
        <v>3966</v>
      </c>
      <c r="H410" s="1" t="s">
        <v>1879</v>
      </c>
      <c r="I410" s="1" t="s">
        <v>1</v>
      </c>
      <c r="J410" s="1" t="s">
        <v>1</v>
      </c>
      <c r="K410" s="1" t="s">
        <v>1772</v>
      </c>
      <c r="L410" s="1" t="s">
        <v>1</v>
      </c>
      <c r="M410" s="1" t="s">
        <v>1</v>
      </c>
      <c r="N410" s="1" t="s">
        <v>1</v>
      </c>
      <c r="O410" s="1" t="s">
        <v>3967</v>
      </c>
      <c r="P410" s="1" t="s">
        <v>1880</v>
      </c>
      <c r="Q410" s="1">
        <v>-1</v>
      </c>
      <c r="R410" s="1"/>
      <c r="S410" s="1"/>
      <c r="T410" s="1"/>
      <c r="U410" s="1"/>
      <c r="V410" s="1"/>
      <c r="W410" s="1"/>
      <c r="X410" s="1"/>
      <c r="Y410" s="1"/>
      <c r="Z410" s="1"/>
      <c r="AA410" s="1"/>
      <c r="AB410" s="1"/>
      <c r="AC410" s="1"/>
      <c r="AD410" s="1"/>
      <c r="AE410" s="1"/>
      <c r="AF410" s="1"/>
    </row>
    <row r="411" spans="1:32" hidden="1" x14ac:dyDescent="0.25">
      <c r="A411" s="1">
        <v>410</v>
      </c>
      <c r="B411" s="1"/>
      <c r="C411" s="1" t="s">
        <v>2547</v>
      </c>
      <c r="D411" s="1" t="s">
        <v>4482</v>
      </c>
      <c r="E411">
        <v>2016</v>
      </c>
      <c r="F411" s="1" t="s">
        <v>0</v>
      </c>
      <c r="G411" s="1" t="s">
        <v>4483</v>
      </c>
      <c r="H411" s="1" t="s">
        <v>2548</v>
      </c>
      <c r="I411" s="1" t="s">
        <v>1</v>
      </c>
      <c r="J411" s="1" t="s">
        <v>1</v>
      </c>
      <c r="K411" s="1" t="s">
        <v>3195</v>
      </c>
      <c r="L411" s="1" t="s">
        <v>1</v>
      </c>
      <c r="M411" s="1" t="s">
        <v>1</v>
      </c>
      <c r="N411" s="1" t="s">
        <v>1</v>
      </c>
      <c r="O411" s="1" t="s">
        <v>4484</v>
      </c>
      <c r="P411" s="1" t="s">
        <v>2549</v>
      </c>
      <c r="Q411" s="1">
        <v>-1</v>
      </c>
      <c r="R411" s="1"/>
      <c r="S411" s="1"/>
      <c r="T411" s="1"/>
      <c r="U411" s="1"/>
      <c r="V411" s="1"/>
      <c r="W411" s="1"/>
      <c r="X411" s="1"/>
      <c r="Y411" s="1"/>
      <c r="Z411" s="1"/>
      <c r="AA411" s="1"/>
      <c r="AB411" s="1"/>
      <c r="AC411" s="1"/>
      <c r="AD411" s="1"/>
      <c r="AE411" s="1"/>
      <c r="AF411" s="1"/>
    </row>
    <row r="412" spans="1:32" hidden="1" x14ac:dyDescent="0.25">
      <c r="A412" s="1">
        <v>411</v>
      </c>
      <c r="B412" s="1"/>
      <c r="C412" s="1" t="s">
        <v>1962</v>
      </c>
      <c r="D412" s="1" t="s">
        <v>1961</v>
      </c>
      <c r="E412">
        <v>2012</v>
      </c>
      <c r="F412" s="1" t="s">
        <v>138</v>
      </c>
      <c r="G412" s="1" t="s">
        <v>4032</v>
      </c>
      <c r="H412" s="1" t="s">
        <v>1963</v>
      </c>
      <c r="I412" s="1" t="s">
        <v>1</v>
      </c>
      <c r="J412" s="1" t="s">
        <v>1</v>
      </c>
      <c r="K412" s="1" t="s">
        <v>1965</v>
      </c>
      <c r="L412" s="1" t="s">
        <v>1964</v>
      </c>
      <c r="M412" s="1" t="s">
        <v>1</v>
      </c>
      <c r="N412" s="1" t="s">
        <v>1967</v>
      </c>
      <c r="O412" s="1" t="s">
        <v>4033</v>
      </c>
      <c r="P412" s="1" t="s">
        <v>1966</v>
      </c>
      <c r="Q412" s="1">
        <v>-1</v>
      </c>
      <c r="R412" s="1"/>
      <c r="S412" s="1"/>
      <c r="T412" s="1"/>
      <c r="U412" s="1"/>
      <c r="V412" s="1"/>
      <c r="W412" s="1"/>
      <c r="X412" s="1"/>
      <c r="Y412" s="1"/>
      <c r="Z412" s="1"/>
      <c r="AA412" s="1"/>
      <c r="AB412" s="1"/>
      <c r="AC412" s="1"/>
      <c r="AD412" s="1"/>
      <c r="AE412" s="1"/>
      <c r="AF412" s="1"/>
    </row>
    <row r="413" spans="1:32" hidden="1" x14ac:dyDescent="0.25">
      <c r="A413" s="1">
        <v>412</v>
      </c>
      <c r="B413" s="1"/>
      <c r="C413" s="1" t="s">
        <v>2199</v>
      </c>
      <c r="D413" s="1" t="s">
        <v>4211</v>
      </c>
      <c r="E413">
        <v>2017</v>
      </c>
      <c r="F413" s="1" t="s">
        <v>116</v>
      </c>
      <c r="G413" s="1" t="s">
        <v>4212</v>
      </c>
      <c r="H413" s="1" t="s">
        <v>2200</v>
      </c>
      <c r="I413" s="1" t="s">
        <v>1267</v>
      </c>
      <c r="J413" s="1" t="s">
        <v>3489</v>
      </c>
      <c r="K413" s="1" t="s">
        <v>3224</v>
      </c>
      <c r="L413" s="1" t="s">
        <v>1</v>
      </c>
      <c r="M413" s="1" t="s">
        <v>1</v>
      </c>
      <c r="N413" s="1" t="s">
        <v>1</v>
      </c>
      <c r="O413" s="1" t="s">
        <v>4213</v>
      </c>
      <c r="P413" s="1" t="s">
        <v>2201</v>
      </c>
      <c r="Q413" s="1">
        <v>-1</v>
      </c>
      <c r="R413" s="1"/>
      <c r="S413" s="1"/>
      <c r="T413" s="1"/>
      <c r="U413" s="1"/>
      <c r="V413" s="1"/>
      <c r="W413" s="1"/>
      <c r="X413" s="1"/>
      <c r="Y413" s="1"/>
      <c r="Z413" s="1"/>
      <c r="AA413" s="1"/>
      <c r="AB413" s="1"/>
      <c r="AC413" s="1"/>
      <c r="AD413" s="1"/>
      <c r="AE413" s="1"/>
      <c r="AF413" s="1"/>
    </row>
    <row r="414" spans="1:32" hidden="1" x14ac:dyDescent="0.25">
      <c r="A414" s="1">
        <v>413</v>
      </c>
      <c r="B414" s="1"/>
      <c r="C414" s="1" t="s">
        <v>3075</v>
      </c>
      <c r="D414" s="1" t="s">
        <v>4898</v>
      </c>
      <c r="E414">
        <v>2007</v>
      </c>
      <c r="F414" s="1" t="s">
        <v>0</v>
      </c>
      <c r="G414" s="1" t="s">
        <v>4901</v>
      </c>
      <c r="H414" s="1" t="s">
        <v>3076</v>
      </c>
      <c r="I414" s="1" t="s">
        <v>1</v>
      </c>
      <c r="J414" s="1" t="s">
        <v>1</v>
      </c>
      <c r="K414" s="1" t="s">
        <v>3077</v>
      </c>
      <c r="L414" s="1" t="s">
        <v>1</v>
      </c>
      <c r="M414" s="1" t="s">
        <v>1</v>
      </c>
      <c r="N414" s="1" t="s">
        <v>1</v>
      </c>
      <c r="O414" s="1" t="s">
        <v>4902</v>
      </c>
      <c r="P414" s="1" t="s">
        <v>3078</v>
      </c>
      <c r="Q414" s="1">
        <v>-1</v>
      </c>
      <c r="R414" s="1"/>
      <c r="S414" s="1"/>
      <c r="T414" s="1"/>
      <c r="U414" s="1"/>
      <c r="V414" s="1"/>
      <c r="W414" s="1"/>
      <c r="X414" s="1"/>
      <c r="Y414" s="1"/>
      <c r="Z414" s="1"/>
      <c r="AA414" s="1"/>
      <c r="AB414" s="1"/>
      <c r="AC414" s="1"/>
      <c r="AD414" s="1"/>
      <c r="AE414" s="1"/>
      <c r="AF414" s="1"/>
    </row>
    <row r="415" spans="1:32" hidden="1" x14ac:dyDescent="0.25">
      <c r="A415" s="1">
        <v>414</v>
      </c>
      <c r="B415" s="1"/>
      <c r="C415" s="1" t="s">
        <v>2471</v>
      </c>
      <c r="D415" s="1" t="s">
        <v>4422</v>
      </c>
      <c r="E415">
        <v>2012</v>
      </c>
      <c r="F415" s="1" t="s">
        <v>116</v>
      </c>
      <c r="G415" s="1" t="s">
        <v>4424</v>
      </c>
      <c r="H415" s="1" t="s">
        <v>2472</v>
      </c>
      <c r="I415" s="1" t="s">
        <v>4423</v>
      </c>
      <c r="J415" s="1" t="s">
        <v>3141</v>
      </c>
      <c r="K415" s="1" t="s">
        <v>2473</v>
      </c>
      <c r="L415" s="1" t="s">
        <v>1</v>
      </c>
      <c r="M415" s="1" t="s">
        <v>1</v>
      </c>
      <c r="N415" s="1" t="s">
        <v>1</v>
      </c>
      <c r="O415" s="1" t="s">
        <v>4425</v>
      </c>
      <c r="P415" s="1" t="s">
        <v>2474</v>
      </c>
      <c r="Q415" s="1">
        <v>-1</v>
      </c>
      <c r="R415" s="1"/>
      <c r="S415" s="1"/>
      <c r="T415" s="1"/>
      <c r="U415" s="1"/>
      <c r="V415" s="1"/>
      <c r="W415" s="1"/>
      <c r="X415" s="1"/>
      <c r="Y415" s="1"/>
      <c r="Z415" s="1"/>
      <c r="AA415" s="1"/>
      <c r="AB415" s="1"/>
      <c r="AC415" s="1"/>
      <c r="AD415" s="1"/>
      <c r="AE415" s="1"/>
      <c r="AF415" s="1"/>
    </row>
    <row r="416" spans="1:32" x14ac:dyDescent="0.25">
      <c r="A416" s="1">
        <v>415</v>
      </c>
      <c r="B416" s="1">
        <v>22</v>
      </c>
      <c r="C416" s="1" t="s">
        <v>3046</v>
      </c>
      <c r="D416" s="1" t="s">
        <v>3045</v>
      </c>
      <c r="E416">
        <v>2013</v>
      </c>
      <c r="F416" s="1" t="s">
        <v>127</v>
      </c>
      <c r="G416" s="1" t="s">
        <v>4885</v>
      </c>
      <c r="H416" s="1" t="s">
        <v>3047</v>
      </c>
      <c r="I416" s="1" t="s">
        <v>1</v>
      </c>
      <c r="J416" s="1" t="s">
        <v>1</v>
      </c>
      <c r="K416" s="1" t="s">
        <v>3048</v>
      </c>
      <c r="L416" s="1" t="s">
        <v>447</v>
      </c>
      <c r="M416" s="1" t="s">
        <v>1</v>
      </c>
      <c r="N416" s="1" t="s">
        <v>3050</v>
      </c>
      <c r="O416" s="1" t="s">
        <v>4886</v>
      </c>
      <c r="P416" s="1" t="s">
        <v>3049</v>
      </c>
      <c r="Q416" s="1">
        <v>1</v>
      </c>
      <c r="R416" s="1">
        <v>1</v>
      </c>
      <c r="S416" s="1">
        <v>5</v>
      </c>
      <c r="T416" s="1" t="s">
        <v>5026</v>
      </c>
      <c r="U416" s="1" t="s">
        <v>731</v>
      </c>
      <c r="V416" s="1" t="s">
        <v>5000</v>
      </c>
      <c r="W416" s="1" t="s">
        <v>4976</v>
      </c>
      <c r="X416" s="1" t="s">
        <v>127</v>
      </c>
      <c r="Y416" s="1" t="s">
        <v>5003</v>
      </c>
      <c r="Z416" s="1"/>
      <c r="AA416" s="1"/>
      <c r="AB416" s="1">
        <v>2</v>
      </c>
      <c r="AC416" s="1">
        <v>1</v>
      </c>
      <c r="AD416" s="1">
        <v>1</v>
      </c>
      <c r="AE416" s="1">
        <v>2</v>
      </c>
      <c r="AF416" s="1"/>
    </row>
    <row r="417" spans="1:32" hidden="1" x14ac:dyDescent="0.25">
      <c r="A417" s="1">
        <v>416</v>
      </c>
      <c r="B417" s="1"/>
      <c r="C417" s="1" t="s">
        <v>2436</v>
      </c>
      <c r="D417" s="1" t="s">
        <v>4395</v>
      </c>
      <c r="E417">
        <v>2008</v>
      </c>
      <c r="F417" s="1" t="s">
        <v>0</v>
      </c>
      <c r="G417" s="1" t="s">
        <v>4396</v>
      </c>
      <c r="H417" s="1" t="s">
        <v>908</v>
      </c>
      <c r="I417" s="1" t="s">
        <v>1</v>
      </c>
      <c r="J417" s="1" t="s">
        <v>1</v>
      </c>
      <c r="K417" s="1" t="s">
        <v>1355</v>
      </c>
      <c r="L417" s="1" t="s">
        <v>1</v>
      </c>
      <c r="M417" s="1" t="s">
        <v>1</v>
      </c>
      <c r="N417" s="1" t="s">
        <v>1</v>
      </c>
      <c r="O417" s="1" t="s">
        <v>4397</v>
      </c>
      <c r="P417" s="1" t="s">
        <v>2437</v>
      </c>
      <c r="Q417" s="1">
        <v>-1</v>
      </c>
      <c r="R417" s="1"/>
      <c r="S417" s="1"/>
      <c r="T417" s="1"/>
      <c r="U417" s="1"/>
      <c r="V417" s="1"/>
      <c r="W417" s="1"/>
      <c r="X417" s="1"/>
      <c r="Y417" s="1"/>
      <c r="Z417" s="1"/>
      <c r="AA417" s="1"/>
      <c r="AB417" s="1"/>
      <c r="AC417" s="1"/>
      <c r="AD417" s="1"/>
      <c r="AE417" s="1"/>
      <c r="AF417" s="1"/>
    </row>
    <row r="418" spans="1:32" hidden="1" x14ac:dyDescent="0.25">
      <c r="A418" s="1">
        <v>417</v>
      </c>
      <c r="B418" s="1"/>
      <c r="C418" s="1" t="s">
        <v>2723</v>
      </c>
      <c r="D418" s="1" t="s">
        <v>4629</v>
      </c>
      <c r="E418">
        <v>2016</v>
      </c>
      <c r="F418" s="1" t="s">
        <v>0</v>
      </c>
      <c r="G418" s="1" t="s">
        <v>4630</v>
      </c>
      <c r="H418" s="1" t="s">
        <v>2724</v>
      </c>
      <c r="I418" s="1" t="s">
        <v>1</v>
      </c>
      <c r="J418" s="1" t="s">
        <v>1</v>
      </c>
      <c r="K418" s="1" t="s">
        <v>2725</v>
      </c>
      <c r="L418" s="1" t="s">
        <v>1</v>
      </c>
      <c r="M418" s="1" t="s">
        <v>1</v>
      </c>
      <c r="N418" s="1" t="s">
        <v>1</v>
      </c>
      <c r="O418" s="1" t="s">
        <v>4631</v>
      </c>
      <c r="P418" s="1" t="s">
        <v>2726</v>
      </c>
      <c r="Q418" s="1">
        <v>-1</v>
      </c>
      <c r="R418" s="1"/>
      <c r="S418" s="1"/>
      <c r="T418" s="1"/>
      <c r="U418" s="1"/>
      <c r="V418" s="1"/>
      <c r="W418" s="1"/>
      <c r="X418" s="1"/>
      <c r="Y418" s="1"/>
      <c r="Z418" s="1"/>
      <c r="AA418" s="1"/>
      <c r="AB418" s="1"/>
      <c r="AC418" s="1"/>
      <c r="AD418" s="1"/>
      <c r="AE418" s="1"/>
      <c r="AF418" s="1"/>
    </row>
    <row r="419" spans="1:32" hidden="1" x14ac:dyDescent="0.25">
      <c r="A419" s="1">
        <v>418</v>
      </c>
      <c r="B419" s="1"/>
      <c r="C419" s="1" t="s">
        <v>2117</v>
      </c>
      <c r="D419" s="1" t="s">
        <v>4144</v>
      </c>
      <c r="E419">
        <v>2017</v>
      </c>
      <c r="F419" s="1" t="s">
        <v>138</v>
      </c>
      <c r="G419" s="1" t="s">
        <v>4146</v>
      </c>
      <c r="H419" s="1" t="s">
        <v>2117</v>
      </c>
      <c r="I419" s="1" t="s">
        <v>1</v>
      </c>
      <c r="J419" s="1" t="s">
        <v>1</v>
      </c>
      <c r="K419" s="1" t="s">
        <v>4145</v>
      </c>
      <c r="L419" s="1" t="s">
        <v>2118</v>
      </c>
      <c r="M419" s="1" t="s">
        <v>1</v>
      </c>
      <c r="N419" s="1" t="s">
        <v>2120</v>
      </c>
      <c r="O419" s="1" t="s">
        <v>4147</v>
      </c>
      <c r="P419" s="1" t="s">
        <v>2119</v>
      </c>
      <c r="Q419" s="1">
        <v>-1</v>
      </c>
      <c r="R419" s="1"/>
      <c r="S419" s="1"/>
      <c r="T419" s="1"/>
      <c r="U419" s="1"/>
      <c r="V419" s="1"/>
      <c r="W419" s="1"/>
      <c r="X419" s="1"/>
      <c r="Y419" s="1"/>
      <c r="Z419" s="1"/>
      <c r="AA419" s="1"/>
      <c r="AB419" s="1"/>
      <c r="AC419" s="1"/>
      <c r="AD419" s="1"/>
      <c r="AE419" s="1"/>
      <c r="AF419" s="1"/>
    </row>
    <row r="420" spans="1:32" hidden="1" x14ac:dyDescent="0.25">
      <c r="A420" s="1">
        <v>419</v>
      </c>
      <c r="B420" s="1"/>
      <c r="C420" s="1" t="s">
        <v>1548</v>
      </c>
      <c r="D420" s="1" t="s">
        <v>3714</v>
      </c>
      <c r="E420">
        <v>2014</v>
      </c>
      <c r="F420" s="1" t="s">
        <v>0</v>
      </c>
      <c r="G420" s="1" t="s">
        <v>3715</v>
      </c>
      <c r="H420" s="1" t="s">
        <v>1</v>
      </c>
      <c r="I420" s="1" t="s">
        <v>3141</v>
      </c>
      <c r="J420" s="1" t="s">
        <v>1</v>
      </c>
      <c r="K420" s="1" t="s">
        <v>1549</v>
      </c>
      <c r="L420" s="1" t="s">
        <v>237</v>
      </c>
      <c r="M420" s="1" t="s">
        <v>1</v>
      </c>
      <c r="N420" s="1" t="s">
        <v>1551</v>
      </c>
      <c r="O420" s="1" t="s">
        <v>3716</v>
      </c>
      <c r="P420" s="1" t="s">
        <v>1550</v>
      </c>
      <c r="Q420" s="1">
        <v>-1</v>
      </c>
      <c r="R420" s="1"/>
      <c r="S420" s="1"/>
      <c r="T420" s="1"/>
      <c r="U420" s="1"/>
      <c r="V420" s="1"/>
      <c r="W420" s="1"/>
      <c r="X420" s="1"/>
      <c r="Y420" s="1"/>
      <c r="Z420" s="1"/>
      <c r="AA420" s="1"/>
      <c r="AB420" s="1"/>
      <c r="AC420" s="1"/>
      <c r="AD420" s="1"/>
      <c r="AE420" s="1"/>
      <c r="AF420" s="1"/>
    </row>
    <row r="421" spans="1:32" hidden="1" x14ac:dyDescent="0.25">
      <c r="A421" s="1">
        <v>420</v>
      </c>
      <c r="B421" s="1"/>
      <c r="C421" s="1" t="s">
        <v>1835</v>
      </c>
      <c r="D421" s="1" t="s">
        <v>3925</v>
      </c>
      <c r="E421">
        <v>2016</v>
      </c>
      <c r="F421" s="1" t="s">
        <v>0</v>
      </c>
      <c r="G421" s="1" t="s">
        <v>3926</v>
      </c>
      <c r="H421" s="1" t="s">
        <v>1836</v>
      </c>
      <c r="I421" s="1" t="s">
        <v>1</v>
      </c>
      <c r="J421" s="1" t="s">
        <v>1</v>
      </c>
      <c r="K421" s="1" t="s">
        <v>3767</v>
      </c>
      <c r="L421" s="1" t="s">
        <v>1</v>
      </c>
      <c r="M421" s="1" t="s">
        <v>1</v>
      </c>
      <c r="N421" s="1" t="s">
        <v>1</v>
      </c>
      <c r="O421" s="1" t="s">
        <v>3927</v>
      </c>
      <c r="P421" s="1" t="s">
        <v>1837</v>
      </c>
      <c r="Q421" s="1">
        <v>-1</v>
      </c>
      <c r="R421" s="1"/>
      <c r="S421" s="1"/>
      <c r="T421" s="1"/>
      <c r="U421" s="1"/>
      <c r="V421" s="1"/>
      <c r="W421" s="1"/>
      <c r="X421" s="1"/>
      <c r="Y421" s="1"/>
      <c r="Z421" s="1"/>
      <c r="AA421" s="1"/>
      <c r="AB421" s="1"/>
      <c r="AC421" s="1"/>
      <c r="AD421" s="1"/>
      <c r="AE421" s="1"/>
      <c r="AF421" s="1"/>
    </row>
    <row r="422" spans="1:32" hidden="1" x14ac:dyDescent="0.25">
      <c r="A422" s="1">
        <v>421</v>
      </c>
      <c r="B422" s="1"/>
      <c r="C422" s="1" t="s">
        <v>1383</v>
      </c>
      <c r="D422" s="1" t="s">
        <v>3571</v>
      </c>
      <c r="E422">
        <v>2009</v>
      </c>
      <c r="F422" s="1" t="s">
        <v>0</v>
      </c>
      <c r="G422" s="1" t="s">
        <v>1</v>
      </c>
      <c r="H422" s="1" t="s">
        <v>1</v>
      </c>
      <c r="I422" s="1" t="s">
        <v>3573</v>
      </c>
      <c r="J422" s="1" t="s">
        <v>1</v>
      </c>
      <c r="K422" s="1" t="s">
        <v>1</v>
      </c>
      <c r="L422" s="1" t="s">
        <v>1</v>
      </c>
      <c r="M422" s="1" t="s">
        <v>1</v>
      </c>
      <c r="N422" s="1" t="s">
        <v>1385</v>
      </c>
      <c r="O422" s="1" t="s">
        <v>3574</v>
      </c>
      <c r="P422" s="1" t="s">
        <v>1384</v>
      </c>
      <c r="Q422" s="1">
        <v>-1</v>
      </c>
      <c r="R422" s="1"/>
      <c r="S422" s="1"/>
      <c r="T422" s="1"/>
      <c r="U422" s="1"/>
      <c r="V422" s="1"/>
      <c r="W422" s="1"/>
      <c r="X422" s="1"/>
      <c r="Y422" s="1"/>
      <c r="Z422" s="1"/>
      <c r="AA422" s="1"/>
      <c r="AB422" s="1"/>
      <c r="AC422" s="1"/>
      <c r="AD422" s="1"/>
      <c r="AE422" s="1"/>
      <c r="AF422" s="1"/>
    </row>
    <row r="423" spans="1:32" hidden="1" x14ac:dyDescent="0.25">
      <c r="A423" s="1">
        <v>422</v>
      </c>
      <c r="B423" s="1"/>
      <c r="C423" s="1" t="s">
        <v>1677</v>
      </c>
      <c r="D423" s="1" t="s">
        <v>1676</v>
      </c>
      <c r="E423">
        <v>2013</v>
      </c>
      <c r="F423" s="1" t="s">
        <v>127</v>
      </c>
      <c r="G423" s="1" t="s">
        <v>3819</v>
      </c>
      <c r="H423" s="1" t="s">
        <v>1678</v>
      </c>
      <c r="I423" s="1" t="s">
        <v>1</v>
      </c>
      <c r="J423" s="1" t="s">
        <v>1</v>
      </c>
      <c r="K423" s="1" t="s">
        <v>1679</v>
      </c>
      <c r="L423" s="1" t="s">
        <v>447</v>
      </c>
      <c r="M423" s="1" t="s">
        <v>1</v>
      </c>
      <c r="N423" s="1" t="s">
        <v>1681</v>
      </c>
      <c r="O423" s="1" t="s">
        <v>3820</v>
      </c>
      <c r="P423" s="1" t="s">
        <v>1680</v>
      </c>
      <c r="Q423" s="1">
        <v>-1</v>
      </c>
      <c r="R423" s="1"/>
      <c r="S423" s="1"/>
      <c r="T423" s="1"/>
      <c r="U423" s="1"/>
      <c r="V423" s="1"/>
      <c r="W423" s="1"/>
      <c r="X423" s="1"/>
      <c r="Y423" s="1"/>
      <c r="Z423" s="1"/>
      <c r="AA423" s="1"/>
      <c r="AB423" s="1"/>
      <c r="AC423" s="1"/>
      <c r="AD423" s="1"/>
      <c r="AE423" s="1"/>
      <c r="AF423" s="1"/>
    </row>
    <row r="424" spans="1:32" hidden="1" x14ac:dyDescent="0.25">
      <c r="A424" s="1">
        <v>423</v>
      </c>
      <c r="B424" s="1"/>
      <c r="C424" s="1" t="s">
        <v>1953</v>
      </c>
      <c r="D424" s="1" t="s">
        <v>4026</v>
      </c>
      <c r="E424">
        <v>2010</v>
      </c>
      <c r="F424" s="1" t="s">
        <v>0</v>
      </c>
      <c r="G424" s="1" t="s">
        <v>4027</v>
      </c>
      <c r="H424" s="1" t="s">
        <v>1954</v>
      </c>
      <c r="I424" s="1" t="s">
        <v>1</v>
      </c>
      <c r="J424" s="1" t="s">
        <v>1</v>
      </c>
      <c r="K424" s="1" t="s">
        <v>1955</v>
      </c>
      <c r="L424" s="1" t="s">
        <v>1</v>
      </c>
      <c r="M424" s="1" t="s">
        <v>1</v>
      </c>
      <c r="N424" s="1" t="s">
        <v>1</v>
      </c>
      <c r="O424" s="1" t="s">
        <v>4028</v>
      </c>
      <c r="P424" s="1" t="s">
        <v>1956</v>
      </c>
      <c r="Q424" s="1">
        <v>-1</v>
      </c>
      <c r="R424" s="1"/>
      <c r="S424" s="1"/>
      <c r="T424" s="1"/>
      <c r="U424" s="1"/>
      <c r="V424" s="1"/>
      <c r="W424" s="1"/>
      <c r="X424" s="1"/>
      <c r="Y424" s="1"/>
      <c r="Z424" s="1"/>
      <c r="AA424" s="1"/>
      <c r="AB424" s="1"/>
      <c r="AC424" s="1"/>
      <c r="AD424" s="1"/>
      <c r="AE424" s="1"/>
      <c r="AF424" s="1"/>
    </row>
    <row r="425" spans="1:32" hidden="1" x14ac:dyDescent="0.25">
      <c r="A425" s="1">
        <v>424</v>
      </c>
      <c r="B425" s="1"/>
      <c r="C425" s="1" t="s">
        <v>1811</v>
      </c>
      <c r="D425" s="1" t="s">
        <v>3904</v>
      </c>
      <c r="E425">
        <v>2016</v>
      </c>
      <c r="F425" s="1" t="s">
        <v>0</v>
      </c>
      <c r="G425" s="1" t="s">
        <v>3905</v>
      </c>
      <c r="H425" s="1" t="s">
        <v>1812</v>
      </c>
      <c r="I425" s="1" t="s">
        <v>1</v>
      </c>
      <c r="J425" s="1" t="s">
        <v>1</v>
      </c>
      <c r="K425" s="1" t="s">
        <v>1813</v>
      </c>
      <c r="L425" s="1" t="s">
        <v>1</v>
      </c>
      <c r="M425" s="1" t="s">
        <v>1</v>
      </c>
      <c r="N425" s="1" t="s">
        <v>1</v>
      </c>
      <c r="O425" s="1" t="s">
        <v>3906</v>
      </c>
      <c r="P425" s="1" t="s">
        <v>1815</v>
      </c>
      <c r="Q425" s="1">
        <v>-1</v>
      </c>
      <c r="R425" s="1"/>
      <c r="S425" s="1"/>
      <c r="T425" s="1"/>
      <c r="U425" s="1"/>
      <c r="V425" s="1"/>
      <c r="W425" s="1"/>
      <c r="X425" s="1"/>
      <c r="Y425" s="1"/>
      <c r="Z425" s="1"/>
      <c r="AA425" s="1"/>
      <c r="AB425" s="1"/>
      <c r="AC425" s="1"/>
      <c r="AD425" s="1"/>
      <c r="AE425" s="1"/>
      <c r="AF425" s="1"/>
    </row>
    <row r="426" spans="1:32" hidden="1" x14ac:dyDescent="0.25">
      <c r="A426" s="1">
        <v>425</v>
      </c>
      <c r="B426" s="1"/>
      <c r="C426" s="1" t="s">
        <v>952</v>
      </c>
      <c r="D426" s="1" t="s">
        <v>3278</v>
      </c>
      <c r="E426">
        <v>2013</v>
      </c>
      <c r="F426" s="1" t="s">
        <v>0</v>
      </c>
      <c r="G426" s="1" t="s">
        <v>3279</v>
      </c>
      <c r="H426" s="1" t="s">
        <v>953</v>
      </c>
      <c r="I426" s="1" t="s">
        <v>1</v>
      </c>
      <c r="J426" s="1" t="s">
        <v>1</v>
      </c>
      <c r="K426" s="1" t="s">
        <v>954</v>
      </c>
      <c r="L426" s="1" t="s">
        <v>1</v>
      </c>
      <c r="M426" s="1" t="s">
        <v>1</v>
      </c>
      <c r="N426" s="1" t="s">
        <v>1</v>
      </c>
      <c r="O426" s="1" t="s">
        <v>3280</v>
      </c>
      <c r="P426" s="1" t="s">
        <v>955</v>
      </c>
      <c r="Q426" s="1">
        <v>-1</v>
      </c>
      <c r="R426" s="1"/>
      <c r="S426" s="1"/>
      <c r="T426" s="1"/>
      <c r="U426" s="1"/>
      <c r="V426" s="1"/>
      <c r="W426" s="1"/>
      <c r="X426" s="1"/>
      <c r="Y426" s="1"/>
      <c r="Z426" s="1"/>
      <c r="AA426" s="1"/>
      <c r="AB426" s="1"/>
      <c r="AC426" s="1"/>
      <c r="AD426" s="1"/>
      <c r="AE426" s="1"/>
      <c r="AF426" s="1"/>
    </row>
    <row r="427" spans="1:32" hidden="1" x14ac:dyDescent="0.25">
      <c r="A427" s="1">
        <v>426</v>
      </c>
      <c r="B427" s="1"/>
      <c r="C427" s="1" t="s">
        <v>4613</v>
      </c>
      <c r="D427" s="1" t="s">
        <v>4612</v>
      </c>
      <c r="E427">
        <v>2012</v>
      </c>
      <c r="F427" s="1" t="s">
        <v>0</v>
      </c>
      <c r="G427" s="1" t="s">
        <v>4614</v>
      </c>
      <c r="H427" s="1" t="s">
        <v>1</v>
      </c>
      <c r="I427" s="1" t="s">
        <v>1</v>
      </c>
      <c r="J427" s="1" t="s">
        <v>1</v>
      </c>
      <c r="K427" s="1" t="s">
        <v>2705</v>
      </c>
      <c r="L427" s="1" t="s">
        <v>1</v>
      </c>
      <c r="M427" s="1" t="s">
        <v>1</v>
      </c>
      <c r="N427" s="1" t="s">
        <v>2706</v>
      </c>
      <c r="O427" s="1" t="s">
        <v>4615</v>
      </c>
      <c r="P427" s="1" t="s">
        <v>4616</v>
      </c>
      <c r="Q427" s="1">
        <v>-1</v>
      </c>
      <c r="R427" s="1"/>
      <c r="S427" s="1"/>
      <c r="T427" s="1"/>
      <c r="U427" s="1"/>
      <c r="V427" s="1"/>
      <c r="W427" s="1"/>
      <c r="X427" s="1"/>
      <c r="Y427" s="1"/>
      <c r="Z427" s="1"/>
      <c r="AA427" s="1"/>
      <c r="AB427" s="1"/>
      <c r="AC427" s="1"/>
      <c r="AD427" s="1"/>
      <c r="AE427" s="1"/>
      <c r="AF427" s="1"/>
    </row>
    <row r="428" spans="1:32" hidden="1" x14ac:dyDescent="0.25">
      <c r="A428" s="1">
        <v>427</v>
      </c>
      <c r="B428" s="1"/>
      <c r="C428" s="1" t="s">
        <v>969</v>
      </c>
      <c r="D428" s="1" t="s">
        <v>3295</v>
      </c>
      <c r="E428">
        <v>2015</v>
      </c>
      <c r="F428" s="1" t="s">
        <v>116</v>
      </c>
      <c r="G428" s="1" t="s">
        <v>3296</v>
      </c>
      <c r="H428" s="1" t="s">
        <v>876</v>
      </c>
      <c r="I428" s="1" t="s">
        <v>3281</v>
      </c>
      <c r="J428" s="1" t="s">
        <v>1</v>
      </c>
      <c r="K428" s="1" t="s">
        <v>970</v>
      </c>
      <c r="L428" s="1" t="s">
        <v>1</v>
      </c>
      <c r="M428" s="1" t="s">
        <v>1</v>
      </c>
      <c r="N428" s="1" t="s">
        <v>972</v>
      </c>
      <c r="O428" s="1" t="s">
        <v>3297</v>
      </c>
      <c r="P428" s="1" t="s">
        <v>971</v>
      </c>
      <c r="Q428" s="1">
        <v>-1</v>
      </c>
      <c r="R428" s="1"/>
      <c r="S428" s="1"/>
      <c r="T428" s="1"/>
      <c r="U428" s="1"/>
      <c r="V428" s="1"/>
      <c r="W428" s="1"/>
      <c r="X428" s="1"/>
      <c r="Y428" s="1"/>
      <c r="Z428" s="1"/>
      <c r="AA428" s="1"/>
      <c r="AB428" s="1"/>
      <c r="AC428" s="1"/>
      <c r="AD428" s="1"/>
      <c r="AE428" s="1"/>
      <c r="AF428" s="1"/>
    </row>
    <row r="429" spans="1:32" hidden="1" x14ac:dyDescent="0.25">
      <c r="A429" s="1">
        <v>428</v>
      </c>
      <c r="B429" s="1"/>
      <c r="C429" s="1" t="s">
        <v>1746</v>
      </c>
      <c r="D429" s="1" t="s">
        <v>1745</v>
      </c>
      <c r="E429">
        <v>2013</v>
      </c>
      <c r="F429" s="1" t="s">
        <v>244</v>
      </c>
      <c r="G429" s="1" t="s">
        <v>3862</v>
      </c>
      <c r="H429" s="1" t="s">
        <v>514</v>
      </c>
      <c r="I429" s="1" t="s">
        <v>3680</v>
      </c>
      <c r="J429" s="1" t="s">
        <v>1</v>
      </c>
      <c r="K429" s="1" t="s">
        <v>1747</v>
      </c>
      <c r="L429" s="1" t="s">
        <v>247</v>
      </c>
      <c r="M429" s="1" t="s">
        <v>1</v>
      </c>
      <c r="N429" s="1" t="s">
        <v>1749</v>
      </c>
      <c r="O429" s="1" t="s">
        <v>3863</v>
      </c>
      <c r="P429" s="1" t="s">
        <v>1748</v>
      </c>
      <c r="Q429" s="1">
        <v>-1</v>
      </c>
      <c r="R429" s="1"/>
      <c r="S429" s="1"/>
      <c r="T429" s="1"/>
      <c r="U429" s="1"/>
      <c r="V429" s="1"/>
      <c r="W429" s="1"/>
      <c r="X429" s="1"/>
      <c r="Y429" s="1"/>
      <c r="Z429" s="1"/>
      <c r="AA429" s="1"/>
      <c r="AB429" s="1"/>
      <c r="AC429" s="1"/>
      <c r="AD429" s="1"/>
      <c r="AE429" s="1"/>
      <c r="AF429" s="1"/>
    </row>
    <row r="430" spans="1:32" hidden="1" x14ac:dyDescent="0.25">
      <c r="A430" s="1">
        <v>429</v>
      </c>
      <c r="B430" s="1"/>
      <c r="C430" s="8" t="s">
        <v>1754</v>
      </c>
      <c r="D430" s="1" t="s">
        <v>3865</v>
      </c>
      <c r="E430">
        <v>2010</v>
      </c>
      <c r="F430" s="1" t="s">
        <v>138</v>
      </c>
      <c r="G430" s="1" t="s">
        <v>3866</v>
      </c>
      <c r="H430" s="1" t="s">
        <v>1755</v>
      </c>
      <c r="I430" s="1" t="s">
        <v>1</v>
      </c>
      <c r="J430" s="1" t="s">
        <v>1</v>
      </c>
      <c r="K430" s="1" t="s">
        <v>1757</v>
      </c>
      <c r="L430" s="1" t="s">
        <v>1756</v>
      </c>
      <c r="M430" s="1" t="s">
        <v>1</v>
      </c>
      <c r="N430" s="1" t="s">
        <v>1759</v>
      </c>
      <c r="O430" s="1" t="s">
        <v>3867</v>
      </c>
      <c r="P430" s="1" t="s">
        <v>1758</v>
      </c>
      <c r="Q430" s="1">
        <v>-1</v>
      </c>
      <c r="R430" s="1"/>
      <c r="S430" s="1"/>
      <c r="T430" s="1"/>
      <c r="U430" s="1"/>
      <c r="V430" s="1"/>
      <c r="W430" s="1"/>
      <c r="X430" s="1"/>
      <c r="Y430" s="1"/>
      <c r="Z430" s="1"/>
      <c r="AA430" s="1"/>
      <c r="AB430" s="1"/>
      <c r="AC430" s="1"/>
      <c r="AD430" s="1"/>
      <c r="AE430" s="1"/>
      <c r="AF430" s="1"/>
    </row>
    <row r="431" spans="1:32" hidden="1" x14ac:dyDescent="0.25">
      <c r="A431" s="1">
        <v>430</v>
      </c>
      <c r="B431" s="1"/>
      <c r="C431" s="1" t="s">
        <v>1070</v>
      </c>
      <c r="D431" s="1" t="s">
        <v>1069</v>
      </c>
      <c r="E431">
        <v>2017</v>
      </c>
      <c r="F431" s="1" t="s">
        <v>116</v>
      </c>
      <c r="G431" s="1" t="s">
        <v>3354</v>
      </c>
      <c r="H431" s="1" t="s">
        <v>702</v>
      </c>
      <c r="I431" s="1" t="s">
        <v>3179</v>
      </c>
      <c r="J431" s="1" t="s">
        <v>1</v>
      </c>
      <c r="K431" s="1" t="s">
        <v>1071</v>
      </c>
      <c r="L431" s="1" t="s">
        <v>1</v>
      </c>
      <c r="M431" s="1" t="s">
        <v>1</v>
      </c>
      <c r="N431" s="1" t="s">
        <v>1073</v>
      </c>
      <c r="O431" s="1" t="s">
        <v>3355</v>
      </c>
      <c r="P431" s="1" t="s">
        <v>1072</v>
      </c>
      <c r="Q431" s="1">
        <v>-1</v>
      </c>
      <c r="R431" s="1"/>
      <c r="S431" s="1"/>
      <c r="T431" s="1"/>
      <c r="U431" s="1"/>
      <c r="V431" s="1"/>
      <c r="W431" s="1"/>
      <c r="X431" s="1"/>
      <c r="Y431" s="1"/>
      <c r="Z431" s="1"/>
      <c r="AA431" s="1"/>
      <c r="AB431" s="1"/>
      <c r="AC431" s="1"/>
      <c r="AD431" s="1"/>
      <c r="AE431" s="1"/>
      <c r="AF431" s="1"/>
    </row>
    <row r="432" spans="1:32" hidden="1" x14ac:dyDescent="0.25">
      <c r="A432" s="1">
        <v>431</v>
      </c>
      <c r="B432" s="1"/>
      <c r="C432" s="1" t="s">
        <v>871</v>
      </c>
      <c r="D432" s="1" t="s">
        <v>3221</v>
      </c>
      <c r="E432">
        <v>2015</v>
      </c>
      <c r="F432" s="1" t="s">
        <v>658</v>
      </c>
      <c r="G432" s="1" t="s">
        <v>3222</v>
      </c>
      <c r="H432" s="1" t="s">
        <v>872</v>
      </c>
      <c r="I432" s="1" t="s">
        <v>1</v>
      </c>
      <c r="J432" s="1" t="s">
        <v>1</v>
      </c>
      <c r="K432" s="1" t="s">
        <v>874</v>
      </c>
      <c r="L432" s="1" t="s">
        <v>666</v>
      </c>
      <c r="M432" s="1" t="s">
        <v>873</v>
      </c>
      <c r="N432" s="1" t="s">
        <v>1</v>
      </c>
      <c r="O432" s="1" t="s">
        <v>1</v>
      </c>
      <c r="P432" s="1" t="s">
        <v>4964</v>
      </c>
      <c r="Q432" s="1">
        <v>-1</v>
      </c>
      <c r="R432" s="1"/>
      <c r="S432" s="1"/>
      <c r="T432" s="1"/>
      <c r="U432" s="1"/>
      <c r="V432" s="1"/>
      <c r="W432" s="1"/>
      <c r="X432" s="1"/>
      <c r="Y432" s="1"/>
      <c r="Z432" s="1"/>
      <c r="AA432" s="1"/>
      <c r="AB432" s="1"/>
      <c r="AC432" s="1"/>
      <c r="AD432" s="1"/>
      <c r="AE432" s="1"/>
      <c r="AF432" s="1"/>
    </row>
    <row r="433" spans="1:32" hidden="1" x14ac:dyDescent="0.25">
      <c r="A433" s="1">
        <v>432</v>
      </c>
      <c r="B433" s="1"/>
      <c r="C433" s="1" t="s">
        <v>2917</v>
      </c>
      <c r="D433" s="1" t="s">
        <v>4781</v>
      </c>
      <c r="E433">
        <v>2012</v>
      </c>
      <c r="F433" s="1" t="s">
        <v>116</v>
      </c>
      <c r="G433" s="1" t="s">
        <v>4782</v>
      </c>
      <c r="H433" s="1" t="s">
        <v>1045</v>
      </c>
      <c r="I433" s="1" t="s">
        <v>3583</v>
      </c>
      <c r="J433" s="1" t="s">
        <v>3174</v>
      </c>
      <c r="K433" s="1" t="s">
        <v>2918</v>
      </c>
      <c r="L433" s="1" t="s">
        <v>1</v>
      </c>
      <c r="M433" s="1" t="s">
        <v>1</v>
      </c>
      <c r="N433" s="1" t="s">
        <v>2920</v>
      </c>
      <c r="O433" s="1" t="s">
        <v>4783</v>
      </c>
      <c r="P433" s="1" t="s">
        <v>2919</v>
      </c>
      <c r="Q433" s="1">
        <v>-1</v>
      </c>
      <c r="R433" s="1"/>
      <c r="S433" s="1"/>
      <c r="T433" s="1"/>
      <c r="U433" s="1"/>
      <c r="V433" s="1"/>
      <c r="W433" s="1"/>
      <c r="X433" s="1"/>
      <c r="Y433" s="1"/>
      <c r="Z433" s="1"/>
      <c r="AA433" s="1"/>
      <c r="AB433" s="1"/>
      <c r="AC433" s="1"/>
      <c r="AD433" s="1"/>
      <c r="AE433" s="1"/>
      <c r="AF433" s="1"/>
    </row>
    <row r="434" spans="1:32" hidden="1" x14ac:dyDescent="0.25">
      <c r="A434" s="1">
        <v>433</v>
      </c>
      <c r="B434" s="1"/>
      <c r="C434" s="1" t="s">
        <v>1612</v>
      </c>
      <c r="D434" s="1" t="s">
        <v>3769</v>
      </c>
      <c r="E434">
        <v>2017</v>
      </c>
      <c r="F434" s="1" t="s">
        <v>116</v>
      </c>
      <c r="G434" s="1" t="s">
        <v>3772</v>
      </c>
      <c r="H434" s="1" t="s">
        <v>1613</v>
      </c>
      <c r="I434" s="1" t="s">
        <v>3770</v>
      </c>
      <c r="J434" s="1" t="s">
        <v>3771</v>
      </c>
      <c r="K434" s="1" t="s">
        <v>1615</v>
      </c>
      <c r="L434" s="1" t="s">
        <v>1614</v>
      </c>
      <c r="M434" s="1" t="s">
        <v>1</v>
      </c>
      <c r="N434" s="1" t="s">
        <v>1617</v>
      </c>
      <c r="O434" s="1" t="s">
        <v>3773</v>
      </c>
      <c r="P434" s="1" t="s">
        <v>1616</v>
      </c>
      <c r="Q434" s="1">
        <v>-1</v>
      </c>
      <c r="R434" s="1"/>
      <c r="S434" s="1"/>
      <c r="T434" s="1"/>
      <c r="U434" s="1"/>
      <c r="V434" s="1"/>
      <c r="W434" s="1"/>
      <c r="X434" s="1"/>
      <c r="Y434" s="1"/>
      <c r="Z434" s="1"/>
      <c r="AA434" s="1"/>
      <c r="AB434" s="1"/>
      <c r="AC434" s="1"/>
      <c r="AD434" s="1"/>
      <c r="AE434" s="1"/>
      <c r="AF434" s="1"/>
    </row>
    <row r="435" spans="1:32" hidden="1" x14ac:dyDescent="0.25">
      <c r="A435" s="1">
        <v>434</v>
      </c>
      <c r="B435" s="1"/>
      <c r="C435" s="1" t="s">
        <v>3115</v>
      </c>
      <c r="D435" s="1" t="s">
        <v>4930</v>
      </c>
      <c r="E435">
        <v>2016</v>
      </c>
      <c r="F435" s="1" t="s">
        <v>0</v>
      </c>
      <c r="G435" s="1" t="s">
        <v>4931</v>
      </c>
      <c r="H435" s="1" t="s">
        <v>92</v>
      </c>
      <c r="I435" s="1" t="s">
        <v>1</v>
      </c>
      <c r="J435" s="1" t="s">
        <v>1</v>
      </c>
      <c r="K435" s="1" t="s">
        <v>3490</v>
      </c>
      <c r="L435" s="1" t="s">
        <v>1</v>
      </c>
      <c r="M435" s="1" t="s">
        <v>1</v>
      </c>
      <c r="N435" s="1" t="s">
        <v>1</v>
      </c>
      <c r="O435" s="1" t="s">
        <v>4932</v>
      </c>
      <c r="P435" s="1" t="s">
        <v>3116</v>
      </c>
      <c r="Q435" s="1">
        <v>-1</v>
      </c>
      <c r="R435" s="1"/>
      <c r="S435" s="1"/>
      <c r="T435" s="1"/>
      <c r="U435" s="1"/>
      <c r="V435" s="1"/>
      <c r="W435" s="1"/>
      <c r="X435" s="1"/>
      <c r="Y435" s="1"/>
      <c r="Z435" s="1"/>
      <c r="AA435" s="1"/>
      <c r="AB435" s="1"/>
      <c r="AC435" s="1"/>
      <c r="AD435" s="1"/>
      <c r="AE435" s="1"/>
      <c r="AF435" s="1"/>
    </row>
    <row r="436" spans="1:32" hidden="1" x14ac:dyDescent="0.25">
      <c r="A436" s="1">
        <v>435</v>
      </c>
      <c r="B436" s="1"/>
      <c r="C436" s="8" t="s">
        <v>523</v>
      </c>
      <c r="D436" s="1" t="s">
        <v>522</v>
      </c>
      <c r="E436">
        <v>2013</v>
      </c>
      <c r="F436" s="1" t="s">
        <v>127</v>
      </c>
      <c r="G436" s="1" t="s">
        <v>4118</v>
      </c>
      <c r="H436" s="1" t="s">
        <v>446</v>
      </c>
      <c r="I436" s="1" t="s">
        <v>1</v>
      </c>
      <c r="J436" s="1" t="s">
        <v>1</v>
      </c>
      <c r="K436" s="1" t="s">
        <v>2086</v>
      </c>
      <c r="L436" s="1" t="s">
        <v>447</v>
      </c>
      <c r="M436" s="1" t="s">
        <v>1</v>
      </c>
      <c r="N436" s="1" t="s">
        <v>524</v>
      </c>
      <c r="O436" s="1" t="s">
        <v>525</v>
      </c>
      <c r="P436" s="1" t="s">
        <v>526</v>
      </c>
      <c r="Q436" s="1">
        <v>-1</v>
      </c>
      <c r="R436" s="1"/>
      <c r="S436" s="1"/>
      <c r="T436" s="1"/>
      <c r="U436" s="1"/>
      <c r="V436" s="1"/>
      <c r="W436" s="1"/>
      <c r="X436" s="1"/>
      <c r="Y436" s="1"/>
      <c r="Z436" s="1"/>
      <c r="AA436" s="1"/>
      <c r="AB436" s="1"/>
      <c r="AC436" s="1"/>
      <c r="AD436" s="1"/>
      <c r="AE436" s="1"/>
      <c r="AF436" s="1"/>
    </row>
    <row r="437" spans="1:32" hidden="1" x14ac:dyDescent="0.25">
      <c r="A437" s="1">
        <v>436</v>
      </c>
      <c r="B437" s="1"/>
      <c r="C437" s="1" t="s">
        <v>2822</v>
      </c>
      <c r="D437" s="1" t="s">
        <v>4706</v>
      </c>
      <c r="E437">
        <v>2001</v>
      </c>
      <c r="F437" s="1" t="s">
        <v>116</v>
      </c>
      <c r="G437" s="1" t="s">
        <v>4708</v>
      </c>
      <c r="H437" s="1" t="s">
        <v>1136</v>
      </c>
      <c r="I437" s="1" t="s">
        <v>4707</v>
      </c>
      <c r="J437" s="1" t="s">
        <v>4283</v>
      </c>
      <c r="K437" s="1" t="s">
        <v>2823</v>
      </c>
      <c r="L437" s="1" t="s">
        <v>1</v>
      </c>
      <c r="M437" s="1" t="s">
        <v>1</v>
      </c>
      <c r="N437" s="1" t="s">
        <v>2825</v>
      </c>
      <c r="O437" s="1" t="s">
        <v>4709</v>
      </c>
      <c r="P437" s="1" t="s">
        <v>2824</v>
      </c>
      <c r="Q437" s="1">
        <v>-1</v>
      </c>
      <c r="R437" s="1"/>
      <c r="S437" s="1"/>
      <c r="T437" s="1"/>
      <c r="U437" s="1"/>
      <c r="V437" s="1"/>
      <c r="W437" s="1"/>
      <c r="X437" s="1"/>
      <c r="Y437" s="1"/>
      <c r="Z437" s="1"/>
      <c r="AA437" s="1"/>
      <c r="AB437" s="1"/>
      <c r="AC437" s="1"/>
      <c r="AD437" s="1"/>
      <c r="AE437" s="1"/>
      <c r="AF437" s="1"/>
    </row>
    <row r="438" spans="1:32" hidden="1" x14ac:dyDescent="0.25">
      <c r="A438" s="1">
        <v>437</v>
      </c>
      <c r="B438" s="1"/>
      <c r="C438" s="1" t="s">
        <v>2585</v>
      </c>
      <c r="D438" s="1" t="s">
        <v>4514</v>
      </c>
      <c r="E438">
        <v>2017</v>
      </c>
      <c r="F438" s="1" t="s">
        <v>0</v>
      </c>
      <c r="G438" s="1" t="s">
        <v>4516</v>
      </c>
      <c r="H438" s="1" t="s">
        <v>97</v>
      </c>
      <c r="I438" s="1" t="s">
        <v>1</v>
      </c>
      <c r="J438" s="1" t="s">
        <v>1</v>
      </c>
      <c r="K438" s="1" t="s">
        <v>4515</v>
      </c>
      <c r="L438" s="1" t="s">
        <v>1</v>
      </c>
      <c r="M438" s="1" t="s">
        <v>1</v>
      </c>
      <c r="N438" s="1" t="s">
        <v>1</v>
      </c>
      <c r="O438" s="1" t="s">
        <v>4517</v>
      </c>
      <c r="P438" s="1" t="s">
        <v>2586</v>
      </c>
      <c r="Q438" s="1">
        <v>-1</v>
      </c>
      <c r="R438" s="1"/>
      <c r="S438" s="1"/>
      <c r="T438" s="1"/>
      <c r="U438" s="1"/>
      <c r="V438" s="1"/>
      <c r="W438" s="1"/>
      <c r="X438" s="1"/>
      <c r="Y438" s="1"/>
      <c r="Z438" s="1"/>
      <c r="AA438" s="1"/>
      <c r="AB438" s="1"/>
      <c r="AC438" s="1"/>
      <c r="AD438" s="1"/>
      <c r="AE438" s="1"/>
      <c r="AF438" s="1"/>
    </row>
    <row r="439" spans="1:32" hidden="1" x14ac:dyDescent="0.25">
      <c r="A439" s="1">
        <v>438</v>
      </c>
      <c r="B439" s="1"/>
      <c r="C439" s="1" t="s">
        <v>2830</v>
      </c>
      <c r="D439" s="1" t="s">
        <v>4713</v>
      </c>
      <c r="E439">
        <v>2015</v>
      </c>
      <c r="F439" s="1" t="s">
        <v>0</v>
      </c>
      <c r="G439" s="1" t="s">
        <v>4711</v>
      </c>
      <c r="H439" s="1" t="s">
        <v>2831</v>
      </c>
      <c r="I439" s="1" t="s">
        <v>1</v>
      </c>
      <c r="J439" s="1" t="s">
        <v>1</v>
      </c>
      <c r="K439" s="1" t="s">
        <v>2827</v>
      </c>
      <c r="L439" s="1" t="s">
        <v>1</v>
      </c>
      <c r="M439" s="1" t="s">
        <v>1</v>
      </c>
      <c r="N439" s="1" t="s">
        <v>1</v>
      </c>
      <c r="O439" s="1" t="s">
        <v>4714</v>
      </c>
      <c r="P439" s="1" t="s">
        <v>2832</v>
      </c>
      <c r="Q439" s="1">
        <v>-1</v>
      </c>
      <c r="R439" s="1"/>
      <c r="S439" s="1"/>
      <c r="T439" s="1"/>
      <c r="U439" s="1"/>
      <c r="V439" s="1"/>
      <c r="W439" s="1"/>
      <c r="X439" s="1"/>
      <c r="Y439" s="1"/>
      <c r="Z439" s="1"/>
      <c r="AA439" s="1"/>
      <c r="AB439" s="1"/>
      <c r="AC439" s="1"/>
      <c r="AD439" s="1"/>
      <c r="AE439" s="1"/>
      <c r="AF439" s="1"/>
    </row>
    <row r="440" spans="1:32" hidden="1" x14ac:dyDescent="0.25">
      <c r="A440" s="1">
        <v>439</v>
      </c>
      <c r="B440" s="1"/>
      <c r="C440" s="1" t="s">
        <v>2826</v>
      </c>
      <c r="D440" s="1" t="s">
        <v>4710</v>
      </c>
      <c r="E440">
        <v>2017</v>
      </c>
      <c r="F440" s="1" t="s">
        <v>0</v>
      </c>
      <c r="G440" s="1" t="s">
        <v>4711</v>
      </c>
      <c r="H440" s="1" t="s">
        <v>1</v>
      </c>
      <c r="I440" s="1" t="s">
        <v>1</v>
      </c>
      <c r="J440" s="1" t="s">
        <v>1</v>
      </c>
      <c r="K440" s="1" t="s">
        <v>2827</v>
      </c>
      <c r="L440" s="1" t="s">
        <v>237</v>
      </c>
      <c r="M440" s="1" t="s">
        <v>1</v>
      </c>
      <c r="N440" s="1" t="s">
        <v>2829</v>
      </c>
      <c r="O440" s="1" t="s">
        <v>4712</v>
      </c>
      <c r="P440" s="1" t="s">
        <v>2828</v>
      </c>
      <c r="Q440" s="1">
        <v>-1</v>
      </c>
      <c r="R440" s="1"/>
      <c r="S440" s="1"/>
      <c r="T440" s="1"/>
      <c r="U440" s="1"/>
      <c r="V440" s="1"/>
      <c r="W440" s="1"/>
      <c r="X440" s="1"/>
      <c r="Y440" s="1"/>
      <c r="Z440" s="1"/>
      <c r="AA440" s="1"/>
      <c r="AB440" s="1"/>
      <c r="AC440" s="1"/>
      <c r="AD440" s="1"/>
      <c r="AE440" s="1"/>
      <c r="AF440" s="1"/>
    </row>
    <row r="441" spans="1:32" hidden="1" x14ac:dyDescent="0.25">
      <c r="A441" s="1">
        <v>440</v>
      </c>
      <c r="B441" s="1"/>
      <c r="C441" s="1" t="s">
        <v>2100</v>
      </c>
      <c r="D441" s="1" t="s">
        <v>4131</v>
      </c>
      <c r="E441">
        <v>2016</v>
      </c>
      <c r="F441" s="1" t="s">
        <v>116</v>
      </c>
      <c r="G441" s="1" t="s">
        <v>4132</v>
      </c>
      <c r="H441" s="1" t="s">
        <v>876</v>
      </c>
      <c r="I441" s="1" t="s">
        <v>3918</v>
      </c>
      <c r="J441" s="1" t="s">
        <v>1</v>
      </c>
      <c r="K441" s="1" t="s">
        <v>2101</v>
      </c>
      <c r="L441" s="1" t="s">
        <v>474</v>
      </c>
      <c r="M441" s="1" t="s">
        <v>1</v>
      </c>
      <c r="N441" s="1" t="s">
        <v>2103</v>
      </c>
      <c r="O441" s="1" t="s">
        <v>4133</v>
      </c>
      <c r="P441" s="1" t="s">
        <v>2102</v>
      </c>
      <c r="Q441" s="1">
        <v>-1</v>
      </c>
      <c r="R441" s="1"/>
      <c r="S441" s="1"/>
      <c r="T441" s="1"/>
      <c r="U441" s="1"/>
      <c r="V441" s="1"/>
      <c r="W441" s="1"/>
      <c r="X441" s="1"/>
      <c r="Y441" s="1"/>
      <c r="Z441" s="1"/>
      <c r="AA441" s="1"/>
      <c r="AB441" s="1"/>
      <c r="AC441" s="1"/>
      <c r="AD441" s="1"/>
      <c r="AE441" s="1"/>
      <c r="AF441" s="1"/>
    </row>
    <row r="442" spans="1:32" hidden="1" x14ac:dyDescent="0.25">
      <c r="A442" s="1">
        <v>441</v>
      </c>
      <c r="B442" s="1"/>
      <c r="C442" s="1" t="s">
        <v>1002</v>
      </c>
      <c r="D442" s="1" t="s">
        <v>3313</v>
      </c>
      <c r="E442">
        <v>2014</v>
      </c>
      <c r="F442" s="1" t="s">
        <v>0</v>
      </c>
      <c r="G442" s="1" t="s">
        <v>1</v>
      </c>
      <c r="H442" s="1" t="s">
        <v>904</v>
      </c>
      <c r="I442" s="1" t="s">
        <v>1</v>
      </c>
      <c r="J442" s="1" t="s">
        <v>1</v>
      </c>
      <c r="K442" s="1" t="s">
        <v>1003</v>
      </c>
      <c r="L442" s="1" t="s">
        <v>1</v>
      </c>
      <c r="M442" s="1" t="s">
        <v>1</v>
      </c>
      <c r="N442" s="1" t="s">
        <v>1</v>
      </c>
      <c r="O442" s="1" t="s">
        <v>3314</v>
      </c>
      <c r="P442" s="1" t="s">
        <v>1004</v>
      </c>
      <c r="Q442" s="1">
        <v>-1</v>
      </c>
      <c r="R442" s="1"/>
      <c r="S442" s="1"/>
      <c r="T442" s="1"/>
      <c r="U442" s="1"/>
      <c r="V442" s="1"/>
      <c r="W442" s="1"/>
      <c r="X442" s="1"/>
      <c r="Y442" s="1"/>
      <c r="Z442" s="1"/>
      <c r="AA442" s="1"/>
      <c r="AB442" s="1"/>
      <c r="AC442" s="1"/>
      <c r="AD442" s="1"/>
      <c r="AE442" s="1"/>
      <c r="AF442" s="1"/>
    </row>
    <row r="443" spans="1:32" hidden="1" x14ac:dyDescent="0.25">
      <c r="A443" s="1">
        <v>442</v>
      </c>
      <c r="B443" s="1"/>
      <c r="C443" s="1" t="s">
        <v>2818</v>
      </c>
      <c r="D443" s="1" t="s">
        <v>4702</v>
      </c>
      <c r="E443">
        <v>2010</v>
      </c>
      <c r="F443" s="1" t="s">
        <v>127</v>
      </c>
      <c r="G443" s="1" t="s">
        <v>4704</v>
      </c>
      <c r="H443" s="1" t="s">
        <v>2819</v>
      </c>
      <c r="I443" s="1" t="s">
        <v>1</v>
      </c>
      <c r="J443" s="1" t="s">
        <v>1</v>
      </c>
      <c r="K443" s="1" t="s">
        <v>4703</v>
      </c>
      <c r="L443" s="1" t="s">
        <v>2820</v>
      </c>
      <c r="M443" s="1" t="s">
        <v>1</v>
      </c>
      <c r="N443" s="1" t="s">
        <v>2821</v>
      </c>
      <c r="O443" s="1" t="s">
        <v>1</v>
      </c>
      <c r="P443" s="1" t="s">
        <v>4705</v>
      </c>
      <c r="Q443" s="1">
        <v>-1</v>
      </c>
      <c r="R443" s="1"/>
      <c r="S443" s="1"/>
      <c r="T443" s="1"/>
      <c r="U443" s="1"/>
      <c r="V443" s="1"/>
      <c r="W443" s="1"/>
      <c r="X443" s="1"/>
      <c r="Y443" s="1"/>
      <c r="Z443" s="1"/>
      <c r="AA443" s="1"/>
      <c r="AB443" s="1"/>
      <c r="AC443" s="1"/>
      <c r="AD443" s="1"/>
      <c r="AE443" s="1"/>
      <c r="AF443" s="1"/>
    </row>
    <row r="444" spans="1:32" hidden="1" x14ac:dyDescent="0.25">
      <c r="A444" s="1">
        <v>443</v>
      </c>
      <c r="B444" s="1"/>
      <c r="C444" s="1" t="s">
        <v>888</v>
      </c>
      <c r="D444" s="1" t="s">
        <v>20</v>
      </c>
      <c r="E444">
        <v>2010</v>
      </c>
      <c r="F444" s="1" t="s">
        <v>0</v>
      </c>
      <c r="G444" s="1" t="s">
        <v>3233</v>
      </c>
      <c r="H444" s="1" t="s">
        <v>21</v>
      </c>
      <c r="I444" s="1" t="s">
        <v>3141</v>
      </c>
      <c r="J444" s="1" t="s">
        <v>1</v>
      </c>
      <c r="K444" s="1" t="s">
        <v>889</v>
      </c>
      <c r="L444" s="1" t="s">
        <v>1</v>
      </c>
      <c r="M444" s="1" t="s">
        <v>1</v>
      </c>
      <c r="N444" s="1" t="s">
        <v>1</v>
      </c>
      <c r="O444" s="1" t="s">
        <v>23</v>
      </c>
      <c r="P444" s="1" t="s">
        <v>890</v>
      </c>
      <c r="Q444" s="1">
        <v>-1</v>
      </c>
      <c r="R444" s="1"/>
      <c r="S444" s="1"/>
      <c r="T444" s="1"/>
      <c r="U444" s="1"/>
      <c r="V444" s="1"/>
      <c r="W444" s="1"/>
      <c r="X444" s="1"/>
      <c r="Y444" s="1"/>
      <c r="Z444" s="1"/>
      <c r="AA444" s="1"/>
      <c r="AB444" s="1"/>
      <c r="AC444" s="1"/>
      <c r="AD444" s="1"/>
      <c r="AE444" s="1"/>
      <c r="AF444" s="1"/>
    </row>
    <row r="445" spans="1:32" hidden="1" x14ac:dyDescent="0.25">
      <c r="A445" s="1">
        <v>444</v>
      </c>
      <c r="B445" s="1"/>
      <c r="C445" s="1" t="s">
        <v>1488</v>
      </c>
      <c r="D445" s="1" t="s">
        <v>3669</v>
      </c>
      <c r="E445">
        <v>2013</v>
      </c>
      <c r="F445" s="1" t="s">
        <v>658</v>
      </c>
      <c r="G445" s="1" t="s">
        <v>3670</v>
      </c>
      <c r="H445" s="1" t="s">
        <v>1489</v>
      </c>
      <c r="I445" s="1" t="s">
        <v>1</v>
      </c>
      <c r="J445" s="1" t="s">
        <v>1</v>
      </c>
      <c r="K445" s="1" t="s">
        <v>1491</v>
      </c>
      <c r="L445" s="1" t="s">
        <v>666</v>
      </c>
      <c r="M445" s="1" t="s">
        <v>1490</v>
      </c>
      <c r="N445" s="1" t="s">
        <v>1</v>
      </c>
      <c r="O445" s="1" t="s">
        <v>1</v>
      </c>
      <c r="P445" s="1" t="s">
        <v>4963</v>
      </c>
      <c r="Q445" s="1">
        <v>-1</v>
      </c>
      <c r="R445" s="1"/>
      <c r="S445" s="1"/>
      <c r="T445" s="1"/>
      <c r="U445" s="1"/>
      <c r="V445" s="1"/>
      <c r="W445" s="1"/>
      <c r="X445" s="1"/>
      <c r="Y445" s="1"/>
      <c r="Z445" s="1"/>
      <c r="AA445" s="1"/>
      <c r="AB445" s="1"/>
      <c r="AC445" s="1"/>
      <c r="AD445" s="1"/>
      <c r="AE445" s="1"/>
      <c r="AF445" s="1"/>
    </row>
    <row r="446" spans="1:32" hidden="1" x14ac:dyDescent="0.25">
      <c r="A446" s="1">
        <v>445</v>
      </c>
      <c r="B446" s="1"/>
      <c r="C446" s="1" t="s">
        <v>2905</v>
      </c>
      <c r="D446" s="1" t="s">
        <v>4773</v>
      </c>
      <c r="E446">
        <v>2014</v>
      </c>
      <c r="F446" s="1" t="s">
        <v>0</v>
      </c>
      <c r="G446" s="1" t="s">
        <v>1</v>
      </c>
      <c r="H446" s="1" t="s">
        <v>1</v>
      </c>
      <c r="I446" s="1" t="s">
        <v>2906</v>
      </c>
      <c r="J446" s="1" t="s">
        <v>1</v>
      </c>
      <c r="K446" s="1" t="s">
        <v>2907</v>
      </c>
      <c r="L446" s="1" t="s">
        <v>360</v>
      </c>
      <c r="M446" s="1" t="s">
        <v>1</v>
      </c>
      <c r="N446" s="1" t="s">
        <v>2909</v>
      </c>
      <c r="O446" s="1" t="s">
        <v>4776</v>
      </c>
      <c r="P446" s="1" t="s">
        <v>2908</v>
      </c>
      <c r="Q446" s="1">
        <v>-1</v>
      </c>
      <c r="R446" s="1"/>
      <c r="S446" s="1"/>
      <c r="T446" s="1"/>
      <c r="U446" s="1"/>
      <c r="V446" s="1"/>
      <c r="W446" s="1"/>
      <c r="X446" s="1"/>
      <c r="Y446" s="1"/>
      <c r="Z446" s="1"/>
      <c r="AA446" s="1"/>
      <c r="AB446" s="1"/>
      <c r="AC446" s="1"/>
      <c r="AD446" s="1"/>
      <c r="AE446" s="1"/>
      <c r="AF446" s="1"/>
    </row>
    <row r="447" spans="1:32" hidden="1" x14ac:dyDescent="0.25">
      <c r="A447" s="1">
        <v>446</v>
      </c>
      <c r="B447" s="1"/>
      <c r="C447" s="1" t="s">
        <v>2707</v>
      </c>
      <c r="D447" s="1" t="s">
        <v>4617</v>
      </c>
      <c r="E447">
        <v>2013</v>
      </c>
      <c r="F447" s="1" t="s">
        <v>0</v>
      </c>
      <c r="G447" s="1" t="s">
        <v>4618</v>
      </c>
      <c r="H447" s="1" t="s">
        <v>944</v>
      </c>
      <c r="I447" s="1" t="s">
        <v>1</v>
      </c>
      <c r="J447" s="1" t="s">
        <v>1</v>
      </c>
      <c r="K447" s="1" t="s">
        <v>2708</v>
      </c>
      <c r="L447" s="1" t="s">
        <v>1</v>
      </c>
      <c r="M447" s="1" t="s">
        <v>1</v>
      </c>
      <c r="N447" s="1" t="s">
        <v>1</v>
      </c>
      <c r="O447" s="1" t="s">
        <v>4619</v>
      </c>
      <c r="P447" s="1" t="s">
        <v>2709</v>
      </c>
      <c r="Q447" s="1">
        <v>-1</v>
      </c>
      <c r="R447" s="1"/>
      <c r="S447" s="1"/>
      <c r="T447" s="1"/>
      <c r="U447" s="1"/>
      <c r="V447" s="1"/>
      <c r="W447" s="1"/>
      <c r="X447" s="1"/>
      <c r="Y447" s="1"/>
      <c r="Z447" s="1"/>
      <c r="AA447" s="1"/>
      <c r="AB447" s="1"/>
      <c r="AC447" s="1"/>
      <c r="AD447" s="1"/>
      <c r="AE447" s="1"/>
      <c r="AF447" s="1"/>
    </row>
    <row r="448" spans="1:32" x14ac:dyDescent="0.25">
      <c r="A448" s="1">
        <v>447</v>
      </c>
      <c r="B448" s="1">
        <v>23</v>
      </c>
      <c r="C448" s="1" t="s">
        <v>1732</v>
      </c>
      <c r="D448" s="1" t="s">
        <v>3851</v>
      </c>
      <c r="E448">
        <v>2012</v>
      </c>
      <c r="F448" s="1" t="s">
        <v>0</v>
      </c>
      <c r="G448" s="1" t="s">
        <v>3852</v>
      </c>
      <c r="H448" s="1" t="s">
        <v>108</v>
      </c>
      <c r="I448" s="1" t="s">
        <v>1</v>
      </c>
      <c r="J448" s="1" t="s">
        <v>1</v>
      </c>
      <c r="K448" s="1" t="s">
        <v>1733</v>
      </c>
      <c r="L448" s="1" t="s">
        <v>1</v>
      </c>
      <c r="M448" s="1" t="s">
        <v>1</v>
      </c>
      <c r="N448" s="1" t="s">
        <v>1</v>
      </c>
      <c r="O448" s="1" t="s">
        <v>3853</v>
      </c>
      <c r="P448" s="1" t="s">
        <v>1734</v>
      </c>
      <c r="Q448" s="1">
        <v>1</v>
      </c>
      <c r="R448" s="1">
        <v>1</v>
      </c>
      <c r="S448" s="1">
        <v>5</v>
      </c>
      <c r="T448" s="1" t="s">
        <v>4995</v>
      </c>
      <c r="U448" s="1" t="s">
        <v>731</v>
      </c>
      <c r="V448" s="1" t="s">
        <v>5000</v>
      </c>
      <c r="W448" s="1" t="s">
        <v>4974</v>
      </c>
      <c r="X448" s="1" t="s">
        <v>658</v>
      </c>
      <c r="Y448" s="1" t="s">
        <v>5052</v>
      </c>
      <c r="Z448" s="1" t="s">
        <v>5053</v>
      </c>
      <c r="AA448" s="1"/>
      <c r="AB448" s="1">
        <v>2</v>
      </c>
      <c r="AC448" s="1">
        <v>2</v>
      </c>
      <c r="AD448" s="1">
        <v>3</v>
      </c>
      <c r="AE448" s="1">
        <v>3</v>
      </c>
      <c r="AF448" s="1"/>
    </row>
    <row r="449" spans="1:32" hidden="1" x14ac:dyDescent="0.25">
      <c r="A449" s="1">
        <v>448</v>
      </c>
      <c r="B449" s="1"/>
      <c r="C449" s="1" t="s">
        <v>1386</v>
      </c>
      <c r="D449" s="1" t="s">
        <v>3575</v>
      </c>
      <c r="E449">
        <v>2015</v>
      </c>
      <c r="F449" s="1" t="s">
        <v>0</v>
      </c>
      <c r="G449" s="1" t="s">
        <v>3577</v>
      </c>
      <c r="H449" s="1" t="s">
        <v>1387</v>
      </c>
      <c r="I449" s="1" t="s">
        <v>1</v>
      </c>
      <c r="J449" s="1" t="s">
        <v>1</v>
      </c>
      <c r="K449" s="1" t="s">
        <v>3576</v>
      </c>
      <c r="L449" s="1" t="s">
        <v>1</v>
      </c>
      <c r="M449" s="1" t="s">
        <v>1</v>
      </c>
      <c r="N449" s="1" t="s">
        <v>1</v>
      </c>
      <c r="O449" s="1" t="s">
        <v>3578</v>
      </c>
      <c r="P449" s="1" t="s">
        <v>1388</v>
      </c>
      <c r="Q449" s="1">
        <v>-1</v>
      </c>
      <c r="R449" s="1"/>
      <c r="S449" s="1"/>
      <c r="T449" s="1"/>
      <c r="U449" s="1"/>
      <c r="V449" s="1"/>
      <c r="W449" s="1"/>
      <c r="X449" s="1"/>
      <c r="Y449" s="1"/>
      <c r="Z449" s="1"/>
      <c r="AA449" s="1"/>
      <c r="AB449" s="1"/>
      <c r="AC449" s="1"/>
      <c r="AD449" s="1"/>
      <c r="AE449" s="1"/>
      <c r="AF449" s="1"/>
    </row>
    <row r="450" spans="1:32" hidden="1" x14ac:dyDescent="0.25">
      <c r="A450" s="1">
        <v>449</v>
      </c>
      <c r="B450" s="1"/>
      <c r="C450" s="1" t="s">
        <v>2044</v>
      </c>
      <c r="D450" s="1" t="s">
        <v>4088</v>
      </c>
      <c r="E450">
        <v>2014</v>
      </c>
      <c r="F450" s="1" t="s">
        <v>0</v>
      </c>
      <c r="G450" s="1" t="s">
        <v>4089</v>
      </c>
      <c r="H450" s="1" t="s">
        <v>1032</v>
      </c>
      <c r="I450" s="1" t="s">
        <v>3174</v>
      </c>
      <c r="J450" s="1" t="s">
        <v>1</v>
      </c>
      <c r="K450" s="1" t="s">
        <v>2045</v>
      </c>
      <c r="L450" s="1" t="s">
        <v>1</v>
      </c>
      <c r="M450" s="1" t="s">
        <v>1</v>
      </c>
      <c r="N450" s="1" t="s">
        <v>1</v>
      </c>
      <c r="O450" s="1" t="s">
        <v>4090</v>
      </c>
      <c r="P450" s="1" t="s">
        <v>2046</v>
      </c>
      <c r="Q450" s="1">
        <v>-1</v>
      </c>
      <c r="R450" s="1"/>
      <c r="S450" s="1"/>
      <c r="T450" s="1"/>
      <c r="U450" s="1"/>
      <c r="V450" s="1"/>
      <c r="W450" s="1"/>
      <c r="X450" s="1"/>
      <c r="Y450" s="1"/>
      <c r="Z450" s="1"/>
      <c r="AA450" s="1"/>
      <c r="AB450" s="1"/>
      <c r="AC450" s="1"/>
      <c r="AD450" s="1"/>
      <c r="AE450" s="1"/>
      <c r="AF450" s="1"/>
    </row>
    <row r="451" spans="1:32" hidden="1" x14ac:dyDescent="0.25">
      <c r="A451" s="1">
        <v>450</v>
      </c>
      <c r="B451" s="1"/>
      <c r="C451" s="1" t="s">
        <v>948</v>
      </c>
      <c r="D451" s="1" t="s">
        <v>3275</v>
      </c>
      <c r="E451">
        <v>2012</v>
      </c>
      <c r="F451" s="1" t="s">
        <v>0</v>
      </c>
      <c r="G451" s="1" t="s">
        <v>3276</v>
      </c>
      <c r="H451" s="1" t="s">
        <v>1</v>
      </c>
      <c r="I451" s="1" t="s">
        <v>1</v>
      </c>
      <c r="J451" s="1" t="s">
        <v>1</v>
      </c>
      <c r="K451" s="1" t="s">
        <v>949</v>
      </c>
      <c r="L451" s="1" t="s">
        <v>1</v>
      </c>
      <c r="M451" s="1" t="s">
        <v>1</v>
      </c>
      <c r="N451" s="1" t="s">
        <v>951</v>
      </c>
      <c r="O451" s="1" t="s">
        <v>3277</v>
      </c>
      <c r="P451" s="1" t="s">
        <v>950</v>
      </c>
      <c r="Q451" s="1">
        <v>-1</v>
      </c>
      <c r="R451" s="1"/>
      <c r="S451" s="1"/>
      <c r="T451" s="1"/>
      <c r="U451" s="1"/>
      <c r="V451" s="1"/>
      <c r="W451" s="1"/>
      <c r="X451" s="1"/>
      <c r="Y451" s="1"/>
      <c r="Z451" s="1"/>
      <c r="AA451" s="1"/>
      <c r="AB451" s="1"/>
      <c r="AC451" s="1"/>
      <c r="AD451" s="1"/>
      <c r="AE451" s="1"/>
      <c r="AF451" s="1"/>
    </row>
    <row r="452" spans="1:32" hidden="1" x14ac:dyDescent="0.25">
      <c r="A452" s="1">
        <v>451</v>
      </c>
      <c r="B452" s="1"/>
      <c r="C452" s="1" t="s">
        <v>2048</v>
      </c>
      <c r="D452" s="1" t="s">
        <v>2047</v>
      </c>
      <c r="E452">
        <v>2006</v>
      </c>
      <c r="F452" s="1" t="s">
        <v>0</v>
      </c>
      <c r="G452" s="1" t="s">
        <v>4091</v>
      </c>
      <c r="H452" s="1" t="s">
        <v>2049</v>
      </c>
      <c r="I452" s="1" t="s">
        <v>3732</v>
      </c>
      <c r="J452" s="1" t="s">
        <v>1</v>
      </c>
      <c r="K452" s="1" t="s">
        <v>2050</v>
      </c>
      <c r="L452" s="1" t="s">
        <v>1</v>
      </c>
      <c r="M452" s="1" t="s">
        <v>1</v>
      </c>
      <c r="N452" s="1" t="s">
        <v>1</v>
      </c>
      <c r="O452" s="1" t="s">
        <v>4092</v>
      </c>
      <c r="P452" s="1" t="s">
        <v>2051</v>
      </c>
      <c r="Q452" s="1">
        <v>-1</v>
      </c>
      <c r="R452" s="1"/>
      <c r="S452" s="1"/>
      <c r="T452" s="1"/>
      <c r="U452" s="1"/>
      <c r="V452" s="1"/>
      <c r="W452" s="1"/>
      <c r="X452" s="1"/>
      <c r="Y452" s="1"/>
      <c r="Z452" s="1"/>
      <c r="AA452" s="1"/>
      <c r="AB452" s="1"/>
      <c r="AC452" s="1"/>
      <c r="AD452" s="1"/>
      <c r="AE452" s="1"/>
      <c r="AF452" s="1"/>
    </row>
    <row r="453" spans="1:32" hidden="1" x14ac:dyDescent="0.25">
      <c r="A453" s="1">
        <v>452</v>
      </c>
      <c r="B453" s="1"/>
      <c r="C453" s="1" t="s">
        <v>1973</v>
      </c>
      <c r="D453" s="1" t="s">
        <v>4037</v>
      </c>
      <c r="E453">
        <v>2013</v>
      </c>
      <c r="F453" s="1" t="s">
        <v>0</v>
      </c>
      <c r="G453" s="1" t="s">
        <v>1</v>
      </c>
      <c r="H453" s="1" t="s">
        <v>1908</v>
      </c>
      <c r="I453" s="1" t="s">
        <v>1</v>
      </c>
      <c r="J453" s="1" t="s">
        <v>1</v>
      </c>
      <c r="K453" s="1" t="s">
        <v>1974</v>
      </c>
      <c r="L453" s="1" t="s">
        <v>1</v>
      </c>
      <c r="M453" s="1" t="s">
        <v>1</v>
      </c>
      <c r="N453" s="1" t="s">
        <v>1</v>
      </c>
      <c r="O453" s="1" t="s">
        <v>4038</v>
      </c>
      <c r="P453" s="1" t="s">
        <v>1975</v>
      </c>
      <c r="Q453" s="1">
        <v>-1</v>
      </c>
      <c r="R453" s="1"/>
      <c r="S453" s="1"/>
      <c r="T453" s="1"/>
      <c r="U453" s="1"/>
      <c r="V453" s="1"/>
      <c r="W453" s="1"/>
      <c r="X453" s="1"/>
      <c r="Y453" s="1"/>
      <c r="Z453" s="1"/>
      <c r="AA453" s="1"/>
      <c r="AB453" s="1"/>
      <c r="AC453" s="1"/>
      <c r="AD453" s="1"/>
      <c r="AE453" s="1"/>
      <c r="AF453" s="1"/>
    </row>
    <row r="454" spans="1:32" hidden="1" x14ac:dyDescent="0.25">
      <c r="A454" s="1">
        <v>453</v>
      </c>
      <c r="B454" s="1"/>
      <c r="C454" s="1" t="s">
        <v>2430</v>
      </c>
      <c r="D454" s="1" t="s">
        <v>4389</v>
      </c>
      <c r="E454">
        <v>2015</v>
      </c>
      <c r="F454" s="1" t="s">
        <v>0</v>
      </c>
      <c r="G454" s="1" t="s">
        <v>4390</v>
      </c>
      <c r="H454" s="1" t="s">
        <v>2431</v>
      </c>
      <c r="I454" s="1" t="s">
        <v>1</v>
      </c>
      <c r="J454" s="1" t="s">
        <v>1</v>
      </c>
      <c r="K454" s="1" t="s">
        <v>3767</v>
      </c>
      <c r="L454" s="1" t="s">
        <v>1</v>
      </c>
      <c r="M454" s="1" t="s">
        <v>1</v>
      </c>
      <c r="N454" s="1" t="s">
        <v>1</v>
      </c>
      <c r="O454" s="1" t="s">
        <v>4391</v>
      </c>
      <c r="P454" s="1" t="s">
        <v>2432</v>
      </c>
      <c r="Q454" s="1">
        <v>-1</v>
      </c>
      <c r="R454" s="1"/>
      <c r="S454" s="1"/>
      <c r="T454" s="1"/>
      <c r="U454" s="1"/>
      <c r="V454" s="1"/>
      <c r="W454" s="1"/>
      <c r="X454" s="1"/>
      <c r="Y454" s="1"/>
      <c r="Z454" s="1"/>
      <c r="AA454" s="1"/>
      <c r="AB454" s="1"/>
      <c r="AC454" s="1"/>
      <c r="AD454" s="1"/>
      <c r="AE454" s="1"/>
      <c r="AF454" s="1"/>
    </row>
    <row r="455" spans="1:32" hidden="1" x14ac:dyDescent="0.25">
      <c r="A455" s="1">
        <v>454</v>
      </c>
      <c r="B455" s="1"/>
      <c r="C455" s="1" t="s">
        <v>1652</v>
      </c>
      <c r="D455" s="1" t="s">
        <v>3800</v>
      </c>
      <c r="E455">
        <v>2016</v>
      </c>
      <c r="F455" s="1" t="s">
        <v>244</v>
      </c>
      <c r="G455" s="1" t="s">
        <v>3801</v>
      </c>
      <c r="H455" s="1" t="s">
        <v>1</v>
      </c>
      <c r="I455" s="1" t="s">
        <v>1653</v>
      </c>
      <c r="J455" s="1" t="s">
        <v>1</v>
      </c>
      <c r="K455" s="1" t="s">
        <v>1654</v>
      </c>
      <c r="L455" s="1" t="s">
        <v>247</v>
      </c>
      <c r="M455" s="1" t="s">
        <v>1</v>
      </c>
      <c r="N455" s="1" t="s">
        <v>1656</v>
      </c>
      <c r="O455" s="1" t="s">
        <v>3802</v>
      </c>
      <c r="P455" s="1" t="s">
        <v>1655</v>
      </c>
      <c r="Q455" s="1">
        <v>1</v>
      </c>
      <c r="R455" s="1">
        <v>-1</v>
      </c>
      <c r="S455" s="1"/>
      <c r="T455" s="1"/>
      <c r="U455" s="1"/>
      <c r="V455" s="1"/>
      <c r="W455" s="1"/>
      <c r="X455" s="1"/>
      <c r="Y455" s="1"/>
      <c r="Z455" s="1"/>
      <c r="AA455" s="1"/>
      <c r="AB455" s="1"/>
      <c r="AC455" s="1"/>
      <c r="AD455" s="1"/>
      <c r="AE455" s="1"/>
      <c r="AF455" s="1"/>
    </row>
    <row r="456" spans="1:32" hidden="1" x14ac:dyDescent="0.25">
      <c r="A456" s="1">
        <v>455</v>
      </c>
      <c r="B456" s="1"/>
      <c r="C456" s="1" t="s">
        <v>2144</v>
      </c>
      <c r="D456" s="1" t="s">
        <v>4164</v>
      </c>
      <c r="E456">
        <v>2014</v>
      </c>
      <c r="F456" s="1" t="s">
        <v>0</v>
      </c>
      <c r="G456" s="1" t="s">
        <v>4165</v>
      </c>
      <c r="H456" s="1" t="s">
        <v>2145</v>
      </c>
      <c r="I456" s="1" t="s">
        <v>3141</v>
      </c>
      <c r="J456" s="1" t="s">
        <v>1</v>
      </c>
      <c r="K456" s="1" t="s">
        <v>2146</v>
      </c>
      <c r="L456" s="1" t="s">
        <v>1</v>
      </c>
      <c r="M456" s="1" t="s">
        <v>1</v>
      </c>
      <c r="N456" s="1" t="s">
        <v>1</v>
      </c>
      <c r="O456" s="1" t="s">
        <v>4166</v>
      </c>
      <c r="P456" s="1" t="s">
        <v>2147</v>
      </c>
      <c r="Q456" s="1">
        <v>-1</v>
      </c>
      <c r="R456" s="1"/>
      <c r="S456" s="1"/>
      <c r="T456" s="1"/>
      <c r="U456" s="1"/>
      <c r="V456" s="1"/>
      <c r="W456" s="1"/>
      <c r="X456" s="1"/>
      <c r="Y456" s="1"/>
      <c r="Z456" s="1"/>
      <c r="AA456" s="1"/>
      <c r="AB456" s="1"/>
      <c r="AC456" s="1"/>
      <c r="AD456" s="1"/>
      <c r="AE456" s="1"/>
      <c r="AF456" s="1"/>
    </row>
    <row r="457" spans="1:32" hidden="1" x14ac:dyDescent="0.25">
      <c r="A457" s="1">
        <v>456</v>
      </c>
      <c r="B457" s="1"/>
      <c r="C457" s="1" t="s">
        <v>1282</v>
      </c>
      <c r="D457" s="1" t="s">
        <v>3501</v>
      </c>
      <c r="E457">
        <v>2010</v>
      </c>
      <c r="F457" s="1" t="s">
        <v>244</v>
      </c>
      <c r="G457" s="1" t="s">
        <v>3502</v>
      </c>
      <c r="H457" s="1" t="s">
        <v>1</v>
      </c>
      <c r="I457" s="1" t="s">
        <v>1283</v>
      </c>
      <c r="J457" s="1" t="s">
        <v>1</v>
      </c>
      <c r="K457" s="1" t="s">
        <v>1284</v>
      </c>
      <c r="L457" s="1" t="s">
        <v>1</v>
      </c>
      <c r="M457" s="1" t="s">
        <v>1</v>
      </c>
      <c r="N457" s="1" t="s">
        <v>1286</v>
      </c>
      <c r="O457" s="1" t="s">
        <v>3503</v>
      </c>
      <c r="P457" s="1" t="s">
        <v>1285</v>
      </c>
      <c r="Q457" s="1">
        <v>-1</v>
      </c>
      <c r="R457" s="1"/>
      <c r="S457" s="1"/>
      <c r="T457" s="1"/>
      <c r="U457" s="1"/>
      <c r="V457" s="1"/>
      <c r="W457" s="1"/>
      <c r="X457" s="1"/>
      <c r="Y457" s="1"/>
      <c r="Z457" s="1"/>
      <c r="AA457" s="1"/>
      <c r="AB457" s="1"/>
      <c r="AC457" s="1"/>
      <c r="AD457" s="1"/>
      <c r="AE457" s="1"/>
      <c r="AF457" s="1"/>
    </row>
    <row r="458" spans="1:32" hidden="1" x14ac:dyDescent="0.25">
      <c r="A458" s="1">
        <v>457</v>
      </c>
      <c r="B458" s="1"/>
      <c r="C458" s="1" t="s">
        <v>3082</v>
      </c>
      <c r="D458" s="1" t="s">
        <v>4906</v>
      </c>
      <c r="E458">
        <v>2016</v>
      </c>
      <c r="F458" s="1" t="s">
        <v>0</v>
      </c>
      <c r="G458" s="1" t="s">
        <v>4907</v>
      </c>
      <c r="H458" s="1" t="s">
        <v>3083</v>
      </c>
      <c r="I458" s="1" t="s">
        <v>1</v>
      </c>
      <c r="J458" s="1" t="s">
        <v>1</v>
      </c>
      <c r="K458" s="1" t="s">
        <v>3084</v>
      </c>
      <c r="L458" s="1" t="s">
        <v>1</v>
      </c>
      <c r="M458" s="1" t="s">
        <v>1</v>
      </c>
      <c r="N458" s="1" t="s">
        <v>1</v>
      </c>
      <c r="O458" s="1" t="s">
        <v>4908</v>
      </c>
      <c r="P458" s="1" t="s">
        <v>3085</v>
      </c>
      <c r="Q458" s="1">
        <v>-1</v>
      </c>
      <c r="R458" s="1"/>
      <c r="S458" s="1"/>
      <c r="T458" s="1"/>
      <c r="U458" s="1"/>
      <c r="V458" s="1"/>
      <c r="W458" s="1"/>
      <c r="X458" s="1"/>
      <c r="Y458" s="1"/>
      <c r="Z458" s="1"/>
      <c r="AA458" s="1"/>
      <c r="AB458" s="1"/>
      <c r="AC458" s="1"/>
      <c r="AD458" s="1"/>
      <c r="AE458" s="1"/>
      <c r="AF458" s="1"/>
    </row>
    <row r="459" spans="1:32" hidden="1" x14ac:dyDescent="0.25">
      <c r="A459" s="1">
        <v>458</v>
      </c>
      <c r="B459" s="1"/>
      <c r="C459" s="1" t="s">
        <v>1605</v>
      </c>
      <c r="D459" s="1" t="s">
        <v>3764</v>
      </c>
      <c r="E459">
        <v>2014</v>
      </c>
      <c r="F459" s="1" t="s">
        <v>658</v>
      </c>
      <c r="G459" s="1" t="s">
        <v>3765</v>
      </c>
      <c r="H459" s="1" t="s">
        <v>1606</v>
      </c>
      <c r="I459" s="1" t="s">
        <v>1</v>
      </c>
      <c r="J459" s="1" t="s">
        <v>1</v>
      </c>
      <c r="K459" s="1" t="s">
        <v>1608</v>
      </c>
      <c r="L459" s="1" t="s">
        <v>666</v>
      </c>
      <c r="M459" s="1" t="s">
        <v>1607</v>
      </c>
      <c r="N459" s="1" t="s">
        <v>1</v>
      </c>
      <c r="O459" s="1" t="s">
        <v>1</v>
      </c>
      <c r="P459" s="1" t="s">
        <v>1</v>
      </c>
      <c r="Q459" s="1">
        <v>-1</v>
      </c>
      <c r="R459" s="1"/>
      <c r="S459" s="1"/>
      <c r="T459" s="1"/>
      <c r="U459" s="1"/>
      <c r="V459" s="1"/>
      <c r="W459" s="1"/>
      <c r="X459" s="1"/>
      <c r="Y459" s="1"/>
      <c r="Z459" s="1"/>
      <c r="AA459" s="1"/>
      <c r="AB459" s="1"/>
      <c r="AC459" s="1"/>
      <c r="AD459" s="1"/>
      <c r="AE459" s="1"/>
      <c r="AF459" s="1"/>
    </row>
    <row r="460" spans="1:32" hidden="1" x14ac:dyDescent="0.25">
      <c r="A460" s="1">
        <v>459</v>
      </c>
      <c r="B460" s="1"/>
      <c r="C460" s="1" t="s">
        <v>2889</v>
      </c>
      <c r="D460" s="1" t="s">
        <v>4761</v>
      </c>
      <c r="E460">
        <v>2017</v>
      </c>
      <c r="F460" s="1" t="s">
        <v>0</v>
      </c>
      <c r="G460" s="1" t="s">
        <v>4762</v>
      </c>
      <c r="H460" s="1" t="s">
        <v>2890</v>
      </c>
      <c r="I460" s="1" t="s">
        <v>1</v>
      </c>
      <c r="J460" s="1" t="s">
        <v>1</v>
      </c>
      <c r="K460" s="1" t="s">
        <v>2891</v>
      </c>
      <c r="L460" s="1" t="s">
        <v>1</v>
      </c>
      <c r="M460" s="1" t="s">
        <v>1</v>
      </c>
      <c r="N460" s="1" t="s">
        <v>1</v>
      </c>
      <c r="O460" s="1" t="s">
        <v>4763</v>
      </c>
      <c r="P460" s="1" t="s">
        <v>2892</v>
      </c>
      <c r="Q460" s="1">
        <v>-1</v>
      </c>
      <c r="R460" s="1"/>
      <c r="S460" s="1"/>
      <c r="T460" s="1"/>
      <c r="U460" s="1"/>
      <c r="V460" s="1"/>
      <c r="W460" s="1"/>
      <c r="X460" s="1"/>
      <c r="Y460" s="1"/>
      <c r="Z460" s="1"/>
      <c r="AA460" s="1"/>
      <c r="AB460" s="1"/>
      <c r="AC460" s="1"/>
      <c r="AD460" s="1"/>
      <c r="AE460" s="1"/>
      <c r="AF460" s="1"/>
    </row>
    <row r="461" spans="1:32" hidden="1" x14ac:dyDescent="0.25">
      <c r="A461" s="1">
        <v>460</v>
      </c>
      <c r="B461" s="1"/>
      <c r="C461" s="1" t="s">
        <v>2841</v>
      </c>
      <c r="D461" s="1" t="s">
        <v>4724</v>
      </c>
      <c r="E461">
        <v>2014</v>
      </c>
      <c r="F461" s="1" t="s">
        <v>127</v>
      </c>
      <c r="G461" s="1" t="s">
        <v>4725</v>
      </c>
      <c r="H461" s="1" t="s">
        <v>2842</v>
      </c>
      <c r="I461" s="1" t="s">
        <v>1</v>
      </c>
      <c r="J461" s="1" t="s">
        <v>1</v>
      </c>
      <c r="K461" s="1" t="s">
        <v>2844</v>
      </c>
      <c r="L461" s="1" t="s">
        <v>2843</v>
      </c>
      <c r="M461" s="1" t="s">
        <v>1</v>
      </c>
      <c r="N461" s="1" t="s">
        <v>2845</v>
      </c>
      <c r="O461" s="1" t="s">
        <v>1</v>
      </c>
      <c r="P461" s="1" t="s">
        <v>1</v>
      </c>
      <c r="Q461" s="1">
        <v>-1</v>
      </c>
      <c r="R461" s="1"/>
      <c r="S461" s="1"/>
      <c r="T461" s="1"/>
      <c r="U461" s="1"/>
      <c r="V461" s="1"/>
      <c r="W461" s="1"/>
      <c r="X461" s="1"/>
      <c r="Y461" s="1"/>
      <c r="Z461" s="1"/>
      <c r="AA461" s="1"/>
      <c r="AB461" s="1"/>
      <c r="AC461" s="1"/>
      <c r="AD461" s="1"/>
      <c r="AE461" s="1"/>
      <c r="AF461" s="1"/>
    </row>
    <row r="462" spans="1:32" hidden="1" x14ac:dyDescent="0.25">
      <c r="A462" s="1">
        <v>461</v>
      </c>
      <c r="B462" s="1"/>
      <c r="C462" s="1" t="s">
        <v>1458</v>
      </c>
      <c r="D462" s="1" t="s">
        <v>3642</v>
      </c>
      <c r="E462">
        <v>2016</v>
      </c>
      <c r="F462" s="1" t="s">
        <v>0</v>
      </c>
      <c r="G462" s="1" t="s">
        <v>3643</v>
      </c>
      <c r="H462" s="1" t="s">
        <v>8</v>
      </c>
      <c r="I462" s="1" t="s">
        <v>1</v>
      </c>
      <c r="J462" s="1" t="s">
        <v>1</v>
      </c>
      <c r="K462" s="1" t="s">
        <v>1459</v>
      </c>
      <c r="L462" s="1" t="s">
        <v>1</v>
      </c>
      <c r="M462" s="1" t="s">
        <v>1</v>
      </c>
      <c r="N462" s="1" t="s">
        <v>1</v>
      </c>
      <c r="O462" s="1" t="s">
        <v>3644</v>
      </c>
      <c r="P462" s="1" t="s">
        <v>1460</v>
      </c>
      <c r="Q462" s="1">
        <v>-1</v>
      </c>
      <c r="R462" s="1"/>
      <c r="S462" s="1"/>
      <c r="T462" s="1"/>
      <c r="U462" s="1"/>
      <c r="V462" s="1"/>
      <c r="W462" s="1"/>
      <c r="X462" s="1"/>
      <c r="Y462" s="1"/>
      <c r="Z462" s="1"/>
      <c r="AA462" s="1"/>
      <c r="AB462" s="1"/>
      <c r="AC462" s="1"/>
      <c r="AD462" s="1"/>
      <c r="AE462" s="1"/>
      <c r="AF462" s="1"/>
    </row>
    <row r="463" spans="1:32" hidden="1" x14ac:dyDescent="0.25">
      <c r="A463" s="1">
        <v>462</v>
      </c>
      <c r="B463" s="1"/>
      <c r="C463" s="1" t="s">
        <v>1932</v>
      </c>
      <c r="D463" s="1" t="s">
        <v>4006</v>
      </c>
      <c r="E463">
        <v>2014</v>
      </c>
      <c r="F463" s="1" t="s">
        <v>0</v>
      </c>
      <c r="G463" s="1" t="s">
        <v>4007</v>
      </c>
      <c r="H463" s="1" t="s">
        <v>1526</v>
      </c>
      <c r="I463" s="1" t="s">
        <v>1</v>
      </c>
      <c r="J463" s="1" t="s">
        <v>1</v>
      </c>
      <c r="K463" s="1" t="s">
        <v>1933</v>
      </c>
      <c r="L463" s="1" t="s">
        <v>1</v>
      </c>
      <c r="M463" s="1" t="s">
        <v>1</v>
      </c>
      <c r="N463" s="1" t="s">
        <v>1</v>
      </c>
      <c r="O463" s="1" t="s">
        <v>4008</v>
      </c>
      <c r="P463" s="1" t="s">
        <v>1934</v>
      </c>
      <c r="Q463" s="1">
        <v>-1</v>
      </c>
      <c r="R463" s="1"/>
      <c r="S463" s="1"/>
      <c r="T463" s="1"/>
      <c r="U463" s="1"/>
      <c r="V463" s="1"/>
      <c r="W463" s="1"/>
      <c r="X463" s="1"/>
      <c r="Y463" s="1"/>
      <c r="Z463" s="1"/>
      <c r="AA463" s="1"/>
      <c r="AB463" s="1"/>
      <c r="AC463" s="1"/>
      <c r="AD463" s="1"/>
      <c r="AE463" s="1"/>
      <c r="AF463" s="1"/>
    </row>
    <row r="464" spans="1:32" hidden="1" x14ac:dyDescent="0.25">
      <c r="A464" s="1">
        <v>463</v>
      </c>
      <c r="B464" s="1"/>
      <c r="C464" s="1" t="s">
        <v>1915</v>
      </c>
      <c r="D464" s="1" t="s">
        <v>3992</v>
      </c>
      <c r="E464">
        <v>2016</v>
      </c>
      <c r="F464" s="1" t="s">
        <v>0</v>
      </c>
      <c r="G464" s="1" t="s">
        <v>1</v>
      </c>
      <c r="H464" s="1" t="s">
        <v>1916</v>
      </c>
      <c r="I464" s="1" t="s">
        <v>1</v>
      </c>
      <c r="J464" s="1" t="s">
        <v>1</v>
      </c>
      <c r="K464" s="1" t="s">
        <v>1917</v>
      </c>
      <c r="L464" s="1" t="s">
        <v>1</v>
      </c>
      <c r="M464" s="1" t="s">
        <v>1</v>
      </c>
      <c r="N464" s="1" t="s">
        <v>1</v>
      </c>
      <c r="O464" s="1" t="s">
        <v>3993</v>
      </c>
      <c r="P464" s="1" t="s">
        <v>1918</v>
      </c>
      <c r="Q464" s="1">
        <v>-1</v>
      </c>
      <c r="R464" s="1"/>
      <c r="S464" s="1"/>
      <c r="T464" s="1"/>
      <c r="U464" s="1"/>
      <c r="V464" s="1"/>
      <c r="W464" s="1"/>
      <c r="X464" s="1"/>
      <c r="Y464" s="1"/>
      <c r="Z464" s="1"/>
      <c r="AA464" s="1"/>
      <c r="AB464" s="1"/>
      <c r="AC464" s="1"/>
      <c r="AD464" s="1"/>
      <c r="AE464" s="1"/>
      <c r="AF464" s="1"/>
    </row>
    <row r="465" spans="1:32" hidden="1" x14ac:dyDescent="0.25">
      <c r="A465" s="1">
        <v>464</v>
      </c>
      <c r="B465" s="1"/>
      <c r="C465" s="1" t="s">
        <v>2077</v>
      </c>
      <c r="D465" s="1" t="s">
        <v>685</v>
      </c>
      <c r="E465">
        <v>2014</v>
      </c>
      <c r="F465" s="1" t="s">
        <v>127</v>
      </c>
      <c r="G465" s="1" t="s">
        <v>4110</v>
      </c>
      <c r="H465" s="1" t="s">
        <v>687</v>
      </c>
      <c r="I465" s="1" t="s">
        <v>1</v>
      </c>
      <c r="J465" s="1" t="s">
        <v>1</v>
      </c>
      <c r="K465" s="1" t="s">
        <v>4109</v>
      </c>
      <c r="L465" s="1" t="s">
        <v>688</v>
      </c>
      <c r="M465" s="1" t="s">
        <v>776</v>
      </c>
      <c r="N465" s="1" t="s">
        <v>2079</v>
      </c>
      <c r="O465" s="1" t="s">
        <v>4111</v>
      </c>
      <c r="P465" s="1" t="s">
        <v>2078</v>
      </c>
      <c r="Q465" s="1">
        <v>-1</v>
      </c>
      <c r="R465" s="1"/>
      <c r="S465" s="1"/>
      <c r="T465" s="1"/>
      <c r="U465" s="1"/>
      <c r="V465" s="1"/>
      <c r="W465" s="1"/>
      <c r="X465" s="1"/>
      <c r="Y465" s="1"/>
      <c r="Z465" s="1"/>
      <c r="AA465" s="1"/>
      <c r="AB465" s="1"/>
      <c r="AC465" s="1"/>
      <c r="AD465" s="1"/>
      <c r="AE465" s="1"/>
      <c r="AF465" s="1"/>
    </row>
    <row r="466" spans="1:32" hidden="1" x14ac:dyDescent="0.25">
      <c r="A466" s="1">
        <v>465</v>
      </c>
      <c r="B466" s="1"/>
      <c r="C466" s="1" t="s">
        <v>753</v>
      </c>
      <c r="D466" s="1" t="s">
        <v>1</v>
      </c>
      <c r="E466">
        <v>2007</v>
      </c>
      <c r="F466" s="1" t="s">
        <v>116</v>
      </c>
      <c r="G466" s="1" t="s">
        <v>1</v>
      </c>
      <c r="H466" s="1" t="s">
        <v>754</v>
      </c>
      <c r="I466" s="1" t="s">
        <v>3142</v>
      </c>
      <c r="J466" s="1" t="s">
        <v>3143</v>
      </c>
      <c r="K466" s="1" t="s">
        <v>755</v>
      </c>
      <c r="L466" s="1" t="s">
        <v>1</v>
      </c>
      <c r="M466" s="1" t="s">
        <v>1</v>
      </c>
      <c r="N466" s="1" t="s">
        <v>1</v>
      </c>
      <c r="O466" s="1" t="s">
        <v>1</v>
      </c>
      <c r="P466" s="1" t="s">
        <v>756</v>
      </c>
      <c r="Q466" s="1">
        <v>-1</v>
      </c>
      <c r="R466" s="1"/>
      <c r="S466" s="1"/>
      <c r="T466" s="1"/>
      <c r="U466" s="1"/>
      <c r="V466" s="1"/>
      <c r="W466" s="1"/>
      <c r="X466" s="1"/>
      <c r="Y466" s="1"/>
      <c r="Z466" s="1"/>
      <c r="AA466" s="1"/>
      <c r="AB466" s="1"/>
      <c r="AC466" s="1"/>
      <c r="AD466" s="1"/>
      <c r="AE466" s="1"/>
      <c r="AF466" s="1"/>
    </row>
    <row r="467" spans="1:32" hidden="1" x14ac:dyDescent="0.25">
      <c r="A467" s="1">
        <v>466</v>
      </c>
      <c r="B467" s="1"/>
      <c r="C467" s="1" t="s">
        <v>2799</v>
      </c>
      <c r="D467" s="1" t="s">
        <v>4687</v>
      </c>
      <c r="E467">
        <v>2014</v>
      </c>
      <c r="F467" s="1" t="s">
        <v>0</v>
      </c>
      <c r="G467" s="1" t="s">
        <v>4688</v>
      </c>
      <c r="H467" s="1" t="s">
        <v>1085</v>
      </c>
      <c r="I467" s="1" t="s">
        <v>1</v>
      </c>
      <c r="J467" s="1" t="s">
        <v>1</v>
      </c>
      <c r="K467" s="1" t="s">
        <v>2800</v>
      </c>
      <c r="L467" s="1" t="s">
        <v>1</v>
      </c>
      <c r="M467" s="1" t="s">
        <v>1</v>
      </c>
      <c r="N467" s="1" t="s">
        <v>1</v>
      </c>
      <c r="O467" s="1" t="s">
        <v>4689</v>
      </c>
      <c r="P467" s="1" t="s">
        <v>2801</v>
      </c>
      <c r="Q467" s="1">
        <v>-1</v>
      </c>
      <c r="R467" s="1"/>
      <c r="S467" s="1"/>
      <c r="T467" s="1"/>
      <c r="U467" s="1"/>
      <c r="V467" s="1"/>
      <c r="W467" s="1"/>
      <c r="X467" s="1"/>
      <c r="Y467" s="1"/>
      <c r="Z467" s="1"/>
      <c r="AA467" s="1"/>
      <c r="AB467" s="1"/>
      <c r="AC467" s="1"/>
      <c r="AD467" s="1"/>
      <c r="AE467" s="1"/>
      <c r="AF467" s="1"/>
    </row>
    <row r="468" spans="1:32" hidden="1" x14ac:dyDescent="0.25">
      <c r="A468" s="1">
        <v>467</v>
      </c>
      <c r="B468" s="1"/>
      <c r="C468" s="1" t="s">
        <v>2159</v>
      </c>
      <c r="D468" s="1" t="s">
        <v>2158</v>
      </c>
      <c r="E468">
        <v>2016</v>
      </c>
      <c r="F468" s="1" t="s">
        <v>0</v>
      </c>
      <c r="G468" s="1" t="s">
        <v>4176</v>
      </c>
      <c r="H468" s="1" t="s">
        <v>2160</v>
      </c>
      <c r="I468" s="1" t="s">
        <v>1</v>
      </c>
      <c r="J468" s="1" t="s">
        <v>1</v>
      </c>
      <c r="K468" s="1" t="s">
        <v>2161</v>
      </c>
      <c r="L468" s="1" t="s">
        <v>1</v>
      </c>
      <c r="M468" s="1" t="s">
        <v>1</v>
      </c>
      <c r="N468" s="1" t="s">
        <v>1</v>
      </c>
      <c r="O468" s="1" t="s">
        <v>4177</v>
      </c>
      <c r="P468" s="1" t="s">
        <v>2162</v>
      </c>
      <c r="Q468" s="1">
        <v>-1</v>
      </c>
      <c r="R468" s="1"/>
      <c r="S468" s="1"/>
      <c r="T468" s="1"/>
      <c r="U468" s="1"/>
      <c r="V468" s="1"/>
      <c r="W468" s="1"/>
      <c r="X468" s="1"/>
      <c r="Y468" s="1"/>
      <c r="Z468" s="1"/>
      <c r="AA468" s="1"/>
      <c r="AB468" s="1"/>
      <c r="AC468" s="1"/>
      <c r="AD468" s="1"/>
      <c r="AE468" s="1"/>
      <c r="AF468" s="1"/>
    </row>
    <row r="469" spans="1:32" x14ac:dyDescent="0.25">
      <c r="A469" s="1">
        <v>468</v>
      </c>
      <c r="B469" s="1">
        <v>24</v>
      </c>
      <c r="C469" s="1" t="s">
        <v>1634</v>
      </c>
      <c r="D469" s="1" t="s">
        <v>3788</v>
      </c>
      <c r="E469">
        <v>2010</v>
      </c>
      <c r="F469" s="1" t="s">
        <v>244</v>
      </c>
      <c r="G469" s="1" t="s">
        <v>3789</v>
      </c>
      <c r="H469" s="1" t="s">
        <v>1</v>
      </c>
      <c r="I469" s="1" t="s">
        <v>1177</v>
      </c>
      <c r="J469" s="1" t="s">
        <v>1</v>
      </c>
      <c r="K469" s="1" t="s">
        <v>1635</v>
      </c>
      <c r="L469" s="1" t="s">
        <v>247</v>
      </c>
      <c r="M469" s="1" t="s">
        <v>1</v>
      </c>
      <c r="N469" s="1" t="s">
        <v>1637</v>
      </c>
      <c r="O469" s="1" t="s">
        <v>3790</v>
      </c>
      <c r="P469" s="1" t="s">
        <v>1636</v>
      </c>
      <c r="Q469" s="1">
        <v>1</v>
      </c>
      <c r="R469" s="1">
        <v>1</v>
      </c>
      <c r="S469" s="1">
        <v>5</v>
      </c>
      <c r="T469" s="1" t="s">
        <v>4995</v>
      </c>
      <c r="U469" s="1" t="s">
        <v>5054</v>
      </c>
      <c r="V469" s="1" t="s">
        <v>5000</v>
      </c>
      <c r="W469" s="1" t="s">
        <v>4976</v>
      </c>
      <c r="X469" s="1" t="s">
        <v>5012</v>
      </c>
      <c r="Y469" s="1" t="s">
        <v>834</v>
      </c>
      <c r="Z469" s="1" t="s">
        <v>726</v>
      </c>
      <c r="AA469" s="1" t="s">
        <v>5007</v>
      </c>
      <c r="AB469" s="1">
        <v>1</v>
      </c>
      <c r="AC469" s="1">
        <v>1</v>
      </c>
      <c r="AD469" s="1">
        <v>1</v>
      </c>
      <c r="AE469" s="1">
        <v>1</v>
      </c>
      <c r="AF469" s="1"/>
    </row>
    <row r="470" spans="1:32" hidden="1" x14ac:dyDescent="0.25">
      <c r="A470" s="1">
        <v>469</v>
      </c>
      <c r="B470" s="1"/>
      <c r="C470" s="1" t="s">
        <v>2747</v>
      </c>
      <c r="D470" s="1" t="s">
        <v>4649</v>
      </c>
      <c r="E470">
        <v>2014</v>
      </c>
      <c r="F470" s="1" t="s">
        <v>244</v>
      </c>
      <c r="G470" s="1" t="s">
        <v>1</v>
      </c>
      <c r="H470" s="1" t="s">
        <v>1</v>
      </c>
      <c r="I470" s="1" t="s">
        <v>3607</v>
      </c>
      <c r="J470" s="1" t="s">
        <v>1</v>
      </c>
      <c r="K470" s="1" t="s">
        <v>2748</v>
      </c>
      <c r="L470" s="1" t="s">
        <v>247</v>
      </c>
      <c r="M470" s="1" t="s">
        <v>1</v>
      </c>
      <c r="N470" s="1" t="s">
        <v>2750</v>
      </c>
      <c r="O470" s="1" t="s">
        <v>4650</v>
      </c>
      <c r="P470" s="1" t="s">
        <v>2749</v>
      </c>
      <c r="Q470" s="1">
        <v>-1</v>
      </c>
      <c r="R470" s="1"/>
      <c r="S470" s="1"/>
      <c r="T470" s="1"/>
      <c r="U470" s="1"/>
      <c r="V470" s="1"/>
      <c r="W470" s="1"/>
      <c r="X470" s="1"/>
      <c r="Y470" s="1"/>
      <c r="Z470" s="1"/>
      <c r="AA470" s="1"/>
      <c r="AB470" s="1"/>
      <c r="AC470" s="1"/>
      <c r="AD470" s="1"/>
      <c r="AE470" s="1"/>
      <c r="AF470" s="1"/>
    </row>
    <row r="471" spans="1:32" hidden="1" x14ac:dyDescent="0.25">
      <c r="A471" s="1">
        <v>470</v>
      </c>
      <c r="B471" s="1"/>
      <c r="C471" s="1" t="s">
        <v>3138</v>
      </c>
      <c r="D471" s="1" t="s">
        <v>4950</v>
      </c>
      <c r="E471">
        <v>2013</v>
      </c>
      <c r="F471" s="1" t="s">
        <v>0</v>
      </c>
      <c r="G471" s="1" t="s">
        <v>4951</v>
      </c>
      <c r="H471" s="1" t="s">
        <v>3139</v>
      </c>
      <c r="I471" s="1" t="s">
        <v>1</v>
      </c>
      <c r="J471" s="1" t="s">
        <v>1</v>
      </c>
      <c r="K471" s="1" t="s">
        <v>3195</v>
      </c>
      <c r="L471" s="1" t="s">
        <v>1</v>
      </c>
      <c r="M471" s="1" t="s">
        <v>1</v>
      </c>
      <c r="N471" s="1" t="s">
        <v>1</v>
      </c>
      <c r="O471" s="1" t="s">
        <v>4952</v>
      </c>
      <c r="P471" s="1" t="s">
        <v>3140</v>
      </c>
      <c r="Q471" s="1">
        <v>-1</v>
      </c>
      <c r="R471" s="1"/>
      <c r="S471" s="1"/>
      <c r="T471" s="1"/>
      <c r="U471" s="1"/>
      <c r="V471" s="1"/>
      <c r="W471" s="1"/>
      <c r="X471" s="1"/>
      <c r="Y471" s="1"/>
      <c r="Z471" s="1"/>
      <c r="AA471" s="1"/>
      <c r="AB471" s="1"/>
      <c r="AC471" s="1"/>
      <c r="AD471" s="1"/>
      <c r="AE471" s="1"/>
      <c r="AF471" s="1"/>
    </row>
    <row r="472" spans="1:32" hidden="1" x14ac:dyDescent="0.25">
      <c r="A472" s="1">
        <v>471</v>
      </c>
      <c r="B472" s="1"/>
      <c r="C472" s="1" t="s">
        <v>2261</v>
      </c>
      <c r="D472" s="1" t="s">
        <v>4253</v>
      </c>
      <c r="E472">
        <v>2015</v>
      </c>
      <c r="F472" s="1" t="s">
        <v>244</v>
      </c>
      <c r="G472" s="1" t="s">
        <v>4255</v>
      </c>
      <c r="H472" s="1" t="s">
        <v>1</v>
      </c>
      <c r="I472" s="1" t="s">
        <v>4254</v>
      </c>
      <c r="J472" s="1" t="s">
        <v>1</v>
      </c>
      <c r="K472" s="1" t="s">
        <v>2262</v>
      </c>
      <c r="L472" s="1" t="s">
        <v>247</v>
      </c>
      <c r="M472" s="1" t="s">
        <v>1</v>
      </c>
      <c r="N472" s="1" t="s">
        <v>2264</v>
      </c>
      <c r="O472" s="1" t="s">
        <v>4256</v>
      </c>
      <c r="P472" s="1" t="s">
        <v>2263</v>
      </c>
      <c r="Q472" s="1">
        <v>-1</v>
      </c>
      <c r="R472" s="1"/>
      <c r="S472" s="1"/>
      <c r="T472" s="1"/>
      <c r="U472" s="1"/>
      <c r="V472" s="1"/>
      <c r="W472" s="1"/>
      <c r="X472" s="1"/>
      <c r="Y472" s="1"/>
      <c r="Z472" s="1"/>
      <c r="AA472" s="1"/>
      <c r="AB472" s="1"/>
      <c r="AC472" s="1"/>
      <c r="AD472" s="1"/>
      <c r="AE472" s="1"/>
      <c r="AF472" s="1"/>
    </row>
    <row r="473" spans="1:32" hidden="1" x14ac:dyDescent="0.25">
      <c r="A473" s="1">
        <v>472</v>
      </c>
      <c r="B473" s="1"/>
      <c r="C473" s="1" t="s">
        <v>2249</v>
      </c>
      <c r="D473" s="1" t="s">
        <v>43</v>
      </c>
      <c r="E473">
        <v>2014</v>
      </c>
      <c r="F473" s="1" t="s">
        <v>0</v>
      </c>
      <c r="G473" s="1" t="s">
        <v>1</v>
      </c>
      <c r="H473" s="1" t="s">
        <v>1</v>
      </c>
      <c r="I473" s="1" t="s">
        <v>3143</v>
      </c>
      <c r="J473" s="1" t="s">
        <v>1</v>
      </c>
      <c r="K473" s="1" t="s">
        <v>2250</v>
      </c>
      <c r="L473" s="1" t="s">
        <v>336</v>
      </c>
      <c r="M473" s="1" t="s">
        <v>1</v>
      </c>
      <c r="N473" s="1" t="s">
        <v>2252</v>
      </c>
      <c r="O473" s="1" t="s">
        <v>4247</v>
      </c>
      <c r="P473" s="1" t="s">
        <v>2251</v>
      </c>
      <c r="Q473" s="1">
        <v>-1</v>
      </c>
      <c r="R473" s="1"/>
      <c r="S473" s="1"/>
      <c r="T473" s="1"/>
      <c r="U473" s="1"/>
      <c r="V473" s="1"/>
      <c r="W473" s="1"/>
      <c r="X473" s="1"/>
      <c r="Y473" s="1"/>
      <c r="Z473" s="1"/>
      <c r="AA473" s="1"/>
      <c r="AB473" s="1"/>
      <c r="AC473" s="1"/>
      <c r="AD473" s="1"/>
      <c r="AE473" s="1"/>
      <c r="AF473" s="1"/>
    </row>
    <row r="474" spans="1:32" hidden="1" x14ac:dyDescent="0.25">
      <c r="A474" s="1">
        <v>473</v>
      </c>
      <c r="B474" s="1"/>
      <c r="C474" s="1" t="s">
        <v>937</v>
      </c>
      <c r="D474" s="1" t="s">
        <v>3266</v>
      </c>
      <c r="E474">
        <v>2005</v>
      </c>
      <c r="F474" s="1" t="s">
        <v>658</v>
      </c>
      <c r="G474" s="1" t="s">
        <v>3267</v>
      </c>
      <c r="H474" s="1" t="s">
        <v>938</v>
      </c>
      <c r="I474" s="1" t="s">
        <v>1</v>
      </c>
      <c r="J474" s="1" t="s">
        <v>1</v>
      </c>
      <c r="K474" s="1" t="s">
        <v>940</v>
      </c>
      <c r="L474" s="1" t="s">
        <v>666</v>
      </c>
      <c r="M474" s="1" t="s">
        <v>939</v>
      </c>
      <c r="N474" s="1" t="s">
        <v>1</v>
      </c>
      <c r="O474" s="1" t="s">
        <v>1</v>
      </c>
      <c r="P474" s="1" t="s">
        <v>1</v>
      </c>
      <c r="Q474" s="1">
        <v>-1</v>
      </c>
      <c r="R474" s="1"/>
      <c r="S474" s="1"/>
      <c r="T474" s="1"/>
      <c r="U474" s="1"/>
      <c r="V474" s="1"/>
      <c r="W474" s="1"/>
      <c r="X474" s="1"/>
      <c r="Y474" s="1"/>
      <c r="Z474" s="1"/>
      <c r="AA474" s="1"/>
      <c r="AB474" s="1"/>
      <c r="AC474" s="1"/>
      <c r="AD474" s="1"/>
      <c r="AE474" s="1"/>
      <c r="AF474" s="1"/>
    </row>
    <row r="475" spans="1:32" hidden="1" x14ac:dyDescent="0.25">
      <c r="A475" s="1">
        <v>474</v>
      </c>
      <c r="B475" s="1"/>
      <c r="C475" s="1" t="s">
        <v>1194</v>
      </c>
      <c r="D475" s="1" t="s">
        <v>3441</v>
      </c>
      <c r="E475">
        <v>2011</v>
      </c>
      <c r="F475" s="1" t="s">
        <v>116</v>
      </c>
      <c r="G475" s="1" t="s">
        <v>3443</v>
      </c>
      <c r="H475" s="1" t="s">
        <v>1195</v>
      </c>
      <c r="I475" s="1" t="s">
        <v>3442</v>
      </c>
      <c r="J475" s="1" t="s">
        <v>3174</v>
      </c>
      <c r="K475" s="1" t="s">
        <v>1196</v>
      </c>
      <c r="L475" s="1" t="s">
        <v>1</v>
      </c>
      <c r="M475" s="1" t="s">
        <v>1</v>
      </c>
      <c r="N475" s="1" t="s">
        <v>1</v>
      </c>
      <c r="O475" s="1" t="s">
        <v>3444</v>
      </c>
      <c r="P475" s="1" t="s">
        <v>1197</v>
      </c>
      <c r="Q475" s="1">
        <v>-1</v>
      </c>
      <c r="R475" s="1"/>
      <c r="S475" s="1"/>
      <c r="T475" s="1"/>
      <c r="U475" s="1"/>
      <c r="V475" s="1"/>
      <c r="W475" s="1"/>
      <c r="X475" s="1"/>
      <c r="Y475" s="1"/>
      <c r="Z475" s="1"/>
      <c r="AA475" s="1"/>
      <c r="AB475" s="1"/>
      <c r="AC475" s="1"/>
      <c r="AD475" s="1"/>
      <c r="AE475" s="1"/>
      <c r="AF475" s="1"/>
    </row>
    <row r="476" spans="1:32" hidden="1" x14ac:dyDescent="0.25">
      <c r="A476" s="1">
        <v>475</v>
      </c>
      <c r="B476" s="1"/>
      <c r="C476" s="1" t="s">
        <v>1926</v>
      </c>
      <c r="D476" s="1" t="s">
        <v>4000</v>
      </c>
      <c r="E476">
        <v>2010</v>
      </c>
      <c r="F476" s="1" t="s">
        <v>0</v>
      </c>
      <c r="G476" s="1" t="s">
        <v>4001</v>
      </c>
      <c r="H476" s="1" t="s">
        <v>1927</v>
      </c>
      <c r="I476" s="1" t="s">
        <v>1</v>
      </c>
      <c r="J476" s="1" t="s">
        <v>1</v>
      </c>
      <c r="K476" s="1" t="s">
        <v>3184</v>
      </c>
      <c r="L476" s="1" t="s">
        <v>1</v>
      </c>
      <c r="M476" s="1" t="s">
        <v>1</v>
      </c>
      <c r="N476" s="1" t="s">
        <v>1</v>
      </c>
      <c r="O476" s="1" t="s">
        <v>4002</v>
      </c>
      <c r="P476" s="1" t="s">
        <v>1928</v>
      </c>
      <c r="Q476" s="1">
        <v>-1</v>
      </c>
      <c r="R476" s="1"/>
      <c r="S476" s="1"/>
      <c r="T476" s="1"/>
      <c r="U476" s="1"/>
      <c r="V476" s="1"/>
      <c r="W476" s="1"/>
      <c r="X476" s="1"/>
      <c r="Y476" s="1"/>
      <c r="Z476" s="1"/>
      <c r="AA476" s="1"/>
      <c r="AB476" s="1"/>
      <c r="AC476" s="1"/>
      <c r="AD476" s="1"/>
      <c r="AE476" s="1"/>
      <c r="AF476" s="1"/>
    </row>
    <row r="477" spans="1:32" hidden="1" x14ac:dyDescent="0.25">
      <c r="A477" s="1">
        <v>476</v>
      </c>
      <c r="B477" s="1"/>
      <c r="C477" s="1" t="s">
        <v>356</v>
      </c>
      <c r="D477" s="1" t="s">
        <v>1</v>
      </c>
      <c r="E477">
        <v>2015</v>
      </c>
      <c r="F477" s="1" t="s">
        <v>0</v>
      </c>
      <c r="G477" s="1" t="s">
        <v>1</v>
      </c>
      <c r="H477" s="1" t="s">
        <v>1</v>
      </c>
      <c r="I477" s="1" t="s">
        <v>3141</v>
      </c>
      <c r="J477" s="1" t="s">
        <v>1</v>
      </c>
      <c r="K477" s="1" t="s">
        <v>1</v>
      </c>
      <c r="L477" s="1" t="s">
        <v>237</v>
      </c>
      <c r="M477" s="1" t="s">
        <v>1</v>
      </c>
      <c r="N477" s="1" t="s">
        <v>807</v>
      </c>
      <c r="O477" s="1" t="s">
        <v>1</v>
      </c>
      <c r="P477" s="1" t="s">
        <v>358</v>
      </c>
      <c r="Q477" s="1">
        <v>-1</v>
      </c>
      <c r="R477" s="1"/>
      <c r="S477" s="1"/>
      <c r="T477" s="1"/>
      <c r="U477" s="1"/>
      <c r="V477" s="1"/>
      <c r="W477" s="1"/>
      <c r="X477" s="1"/>
      <c r="Y477" s="1"/>
      <c r="Z477" s="1"/>
      <c r="AA477" s="1"/>
      <c r="AB477" s="1"/>
      <c r="AC477" s="1"/>
      <c r="AD477" s="1"/>
      <c r="AE477" s="1"/>
      <c r="AF477" s="1"/>
    </row>
    <row r="478" spans="1:32" hidden="1" x14ac:dyDescent="0.25">
      <c r="A478" s="1">
        <v>477</v>
      </c>
      <c r="B478" s="1"/>
      <c r="C478" s="1" t="s">
        <v>332</v>
      </c>
      <c r="D478" s="1" t="s">
        <v>1</v>
      </c>
      <c r="E478">
        <v>2014</v>
      </c>
      <c r="F478" s="1" t="s">
        <v>0</v>
      </c>
      <c r="G478" s="1" t="s">
        <v>1</v>
      </c>
      <c r="H478" s="1" t="s">
        <v>1</v>
      </c>
      <c r="I478" s="1" t="s">
        <v>798</v>
      </c>
      <c r="J478" s="1" t="s">
        <v>1</v>
      </c>
      <c r="K478" s="1" t="s">
        <v>1</v>
      </c>
      <c r="L478" s="1" t="s">
        <v>237</v>
      </c>
      <c r="M478" s="1" t="s">
        <v>1</v>
      </c>
      <c r="N478" s="1" t="s">
        <v>333</v>
      </c>
      <c r="O478" s="1" t="s">
        <v>1</v>
      </c>
      <c r="P478" s="1" t="s">
        <v>334</v>
      </c>
      <c r="Q478" s="1">
        <v>-1</v>
      </c>
      <c r="R478" s="1"/>
      <c r="S478" s="1"/>
      <c r="T478" s="1"/>
      <c r="U478" s="1"/>
      <c r="V478" s="1"/>
      <c r="W478" s="1"/>
      <c r="X478" s="1"/>
      <c r="Y478" s="1"/>
      <c r="Z478" s="1"/>
      <c r="AA478" s="1"/>
      <c r="AB478" s="1"/>
      <c r="AC478" s="1"/>
      <c r="AD478" s="1"/>
      <c r="AE478" s="1"/>
      <c r="AF478" s="1"/>
    </row>
    <row r="479" spans="1:32" hidden="1" x14ac:dyDescent="0.25">
      <c r="A479" s="1">
        <v>478</v>
      </c>
      <c r="B479" s="1"/>
      <c r="C479" s="1" t="s">
        <v>1130</v>
      </c>
      <c r="D479" s="1" t="s">
        <v>3401</v>
      </c>
      <c r="E479">
        <v>2011</v>
      </c>
      <c r="F479" s="1" t="s">
        <v>116</v>
      </c>
      <c r="G479" s="1" t="s">
        <v>3403</v>
      </c>
      <c r="H479" s="1" t="s">
        <v>1131</v>
      </c>
      <c r="I479" s="1" t="s">
        <v>3402</v>
      </c>
      <c r="J479" s="1" t="s">
        <v>3141</v>
      </c>
      <c r="K479" s="1" t="s">
        <v>1132</v>
      </c>
      <c r="L479" s="1" t="s">
        <v>1</v>
      </c>
      <c r="M479" s="1" t="s">
        <v>1</v>
      </c>
      <c r="N479" s="1" t="s">
        <v>1134</v>
      </c>
      <c r="O479" s="1" t="s">
        <v>3404</v>
      </c>
      <c r="P479" s="1" t="s">
        <v>1133</v>
      </c>
      <c r="Q479" s="1">
        <v>-1</v>
      </c>
      <c r="R479" s="1"/>
      <c r="S479" s="1"/>
      <c r="T479" s="1"/>
      <c r="U479" s="1"/>
      <c r="V479" s="1"/>
      <c r="W479" s="1"/>
      <c r="X479" s="1"/>
      <c r="Y479" s="1"/>
      <c r="Z479" s="1"/>
      <c r="AA479" s="1"/>
      <c r="AB479" s="1"/>
      <c r="AC479" s="1"/>
      <c r="AD479" s="1"/>
      <c r="AE479" s="1"/>
      <c r="AF479" s="1"/>
    </row>
    <row r="480" spans="1:32" x14ac:dyDescent="0.25">
      <c r="A480" s="1">
        <v>479</v>
      </c>
      <c r="B480" s="1">
        <v>25</v>
      </c>
      <c r="C480" s="1" t="s">
        <v>1084</v>
      </c>
      <c r="D480" s="1" t="s">
        <v>3363</v>
      </c>
      <c r="E480">
        <v>2014</v>
      </c>
      <c r="F480" s="1" t="s">
        <v>0</v>
      </c>
      <c r="G480" s="1" t="s">
        <v>3364</v>
      </c>
      <c r="H480" s="1" t="s">
        <v>1085</v>
      </c>
      <c r="I480" s="1" t="s">
        <v>1</v>
      </c>
      <c r="J480" s="1" t="s">
        <v>1</v>
      </c>
      <c r="K480" s="1" t="s">
        <v>1086</v>
      </c>
      <c r="L480" s="1" t="s">
        <v>1</v>
      </c>
      <c r="M480" s="1" t="s">
        <v>1</v>
      </c>
      <c r="N480" s="1" t="s">
        <v>1</v>
      </c>
      <c r="O480" s="1" t="s">
        <v>3365</v>
      </c>
      <c r="P480" s="1" t="s">
        <v>1087</v>
      </c>
      <c r="Q480" s="1">
        <v>1</v>
      </c>
      <c r="R480" s="1">
        <v>1</v>
      </c>
      <c r="S480" s="1">
        <v>5</v>
      </c>
      <c r="T480" s="1" t="s">
        <v>5055</v>
      </c>
      <c r="U480" s="1" t="s">
        <v>5015</v>
      </c>
      <c r="V480" s="1" t="s">
        <v>4999</v>
      </c>
      <c r="W480" s="1" t="s">
        <v>4974</v>
      </c>
      <c r="X480" s="1" t="s">
        <v>5012</v>
      </c>
      <c r="Y480" s="1" t="s">
        <v>5003</v>
      </c>
      <c r="Z480" s="1"/>
      <c r="AA480" s="1" t="s">
        <v>5006</v>
      </c>
      <c r="AB480" s="1">
        <v>2</v>
      </c>
      <c r="AC480" s="1">
        <v>2</v>
      </c>
      <c r="AD480" s="1">
        <v>1</v>
      </c>
      <c r="AE480" s="1">
        <v>1</v>
      </c>
      <c r="AF480" s="1"/>
    </row>
    <row r="481" spans="1:32" hidden="1" x14ac:dyDescent="0.25">
      <c r="A481" s="1">
        <v>480</v>
      </c>
      <c r="B481" s="1"/>
      <c r="C481" s="1" t="s">
        <v>2370</v>
      </c>
      <c r="D481" s="1" t="s">
        <v>4342</v>
      </c>
      <c r="E481">
        <v>2016</v>
      </c>
      <c r="F481" s="1" t="s">
        <v>0</v>
      </c>
      <c r="G481" s="1" t="s">
        <v>4343</v>
      </c>
      <c r="H481" s="1" t="s">
        <v>2371</v>
      </c>
      <c r="I481" s="1" t="s">
        <v>1</v>
      </c>
      <c r="J481" s="1" t="s">
        <v>1</v>
      </c>
      <c r="K481" s="1" t="s">
        <v>3356</v>
      </c>
      <c r="L481" s="1" t="s">
        <v>1</v>
      </c>
      <c r="M481" s="1" t="s">
        <v>1</v>
      </c>
      <c r="N481" s="1" t="s">
        <v>1</v>
      </c>
      <c r="O481" s="1" t="s">
        <v>4344</v>
      </c>
      <c r="P481" s="1" t="s">
        <v>2372</v>
      </c>
      <c r="Q481" s="1">
        <v>1</v>
      </c>
      <c r="R481" s="1">
        <v>-1</v>
      </c>
      <c r="S481" s="1"/>
      <c r="T481" s="1"/>
      <c r="U481" s="1"/>
      <c r="V481" s="1"/>
      <c r="W481" s="1"/>
      <c r="X481" s="1"/>
      <c r="Y481" s="1"/>
      <c r="Z481" s="1"/>
      <c r="AA481" s="1"/>
      <c r="AB481" s="1"/>
      <c r="AC481" s="1"/>
      <c r="AD481" s="1"/>
      <c r="AE481" s="1"/>
      <c r="AF481" s="1"/>
    </row>
    <row r="482" spans="1:32" hidden="1" x14ac:dyDescent="0.25">
      <c r="A482" s="1">
        <v>481</v>
      </c>
      <c r="B482" s="1"/>
      <c r="C482" s="1" t="s">
        <v>2384</v>
      </c>
      <c r="D482" s="1" t="s">
        <v>4354</v>
      </c>
      <c r="E482">
        <v>2017</v>
      </c>
      <c r="F482" s="1" t="s">
        <v>116</v>
      </c>
      <c r="G482" s="1" t="s">
        <v>4356</v>
      </c>
      <c r="H482" s="1" t="s">
        <v>2385</v>
      </c>
      <c r="I482" s="1" t="s">
        <v>4355</v>
      </c>
      <c r="J482" s="1" t="s">
        <v>1</v>
      </c>
      <c r="K482" s="1" t="s">
        <v>2386</v>
      </c>
      <c r="L482" s="1" t="s">
        <v>1</v>
      </c>
      <c r="M482" s="1" t="s">
        <v>1</v>
      </c>
      <c r="N482" s="1" t="s">
        <v>2388</v>
      </c>
      <c r="O482" s="1" t="s">
        <v>4357</v>
      </c>
      <c r="P482" s="1" t="s">
        <v>2387</v>
      </c>
      <c r="Q482" s="1">
        <v>-1</v>
      </c>
      <c r="R482" s="1"/>
      <c r="S482" s="1"/>
      <c r="T482" s="1"/>
      <c r="U482" s="1"/>
      <c r="V482" s="1"/>
      <c r="W482" s="1"/>
      <c r="X482" s="1"/>
      <c r="Y482" s="1"/>
      <c r="Z482" s="1"/>
      <c r="AA482" s="1"/>
      <c r="AB482" s="1"/>
      <c r="AC482" s="1"/>
      <c r="AD482" s="1"/>
      <c r="AE482" s="1"/>
      <c r="AF482" s="1"/>
    </row>
    <row r="483" spans="1:32" hidden="1" x14ac:dyDescent="0.25">
      <c r="A483" s="1">
        <v>482</v>
      </c>
      <c r="B483" s="1"/>
      <c r="C483" s="8" t="s">
        <v>2639</v>
      </c>
      <c r="D483" s="1" t="s">
        <v>4562</v>
      </c>
      <c r="E483">
        <v>2016</v>
      </c>
      <c r="F483" s="1" t="s">
        <v>116</v>
      </c>
      <c r="G483" s="1" t="s">
        <v>4563</v>
      </c>
      <c r="H483" s="1" t="s">
        <v>1419</v>
      </c>
      <c r="I483" s="1" t="s">
        <v>3201</v>
      </c>
      <c r="J483" s="1" t="s">
        <v>1</v>
      </c>
      <c r="K483" s="1" t="s">
        <v>2638</v>
      </c>
      <c r="L483" s="1" t="s">
        <v>1</v>
      </c>
      <c r="M483" s="1" t="s">
        <v>1</v>
      </c>
      <c r="N483" s="1" t="s">
        <v>2641</v>
      </c>
      <c r="O483" s="1" t="s">
        <v>4564</v>
      </c>
      <c r="P483" s="1" t="s">
        <v>2640</v>
      </c>
      <c r="Q483" s="1">
        <v>-1</v>
      </c>
      <c r="R483" s="1"/>
      <c r="S483" s="1"/>
      <c r="T483" s="1"/>
      <c r="U483" s="1"/>
      <c r="V483" s="1"/>
      <c r="W483" s="1"/>
      <c r="X483" s="1"/>
      <c r="Y483" s="1"/>
      <c r="Z483" s="1"/>
      <c r="AA483" s="1"/>
      <c r="AB483" s="1"/>
      <c r="AC483" s="1"/>
      <c r="AD483" s="1"/>
      <c r="AE483" s="1"/>
      <c r="AF483" s="1"/>
    </row>
    <row r="484" spans="1:32" hidden="1" x14ac:dyDescent="0.25">
      <c r="A484" s="1">
        <v>483</v>
      </c>
      <c r="B484" s="1"/>
      <c r="C484" s="1" t="s">
        <v>3024</v>
      </c>
      <c r="D484" s="1" t="s">
        <v>4866</v>
      </c>
      <c r="E484">
        <v>2010</v>
      </c>
      <c r="F484" s="1" t="s">
        <v>0</v>
      </c>
      <c r="G484" s="1" t="s">
        <v>4867</v>
      </c>
      <c r="H484" s="1" t="s">
        <v>3025</v>
      </c>
      <c r="I484" s="1" t="s">
        <v>1</v>
      </c>
      <c r="J484" s="1" t="s">
        <v>1</v>
      </c>
      <c r="K484" s="1" t="s">
        <v>3026</v>
      </c>
      <c r="L484" s="1" t="s">
        <v>1</v>
      </c>
      <c r="M484" s="1" t="s">
        <v>1</v>
      </c>
      <c r="N484" s="1" t="s">
        <v>1</v>
      </c>
      <c r="O484" s="1" t="s">
        <v>4868</v>
      </c>
      <c r="P484" s="1" t="s">
        <v>3027</v>
      </c>
      <c r="Q484" s="1">
        <v>-1</v>
      </c>
      <c r="R484" s="1"/>
      <c r="S484" s="1"/>
      <c r="T484" s="1"/>
      <c r="U484" s="1"/>
      <c r="V484" s="1"/>
      <c r="W484" s="1"/>
      <c r="X484" s="1"/>
      <c r="Y484" s="1"/>
      <c r="Z484" s="1"/>
      <c r="AA484" s="1"/>
      <c r="AB484" s="1"/>
      <c r="AC484" s="1"/>
      <c r="AD484" s="1"/>
      <c r="AE484" s="1"/>
      <c r="AF484" s="1"/>
    </row>
    <row r="485" spans="1:32" hidden="1" x14ac:dyDescent="0.25">
      <c r="A485" s="1">
        <v>484</v>
      </c>
      <c r="B485" s="1"/>
      <c r="C485" s="1" t="s">
        <v>1692</v>
      </c>
      <c r="D485" s="1" t="s">
        <v>3830</v>
      </c>
      <c r="E485">
        <v>2010</v>
      </c>
      <c r="F485" s="1" t="s">
        <v>0</v>
      </c>
      <c r="G485" s="1" t="s">
        <v>1</v>
      </c>
      <c r="H485" s="1" t="s">
        <v>1693</v>
      </c>
      <c r="I485" s="1" t="s">
        <v>1</v>
      </c>
      <c r="J485" s="1" t="s">
        <v>1</v>
      </c>
      <c r="K485" s="1" t="s">
        <v>1694</v>
      </c>
      <c r="L485" s="1" t="s">
        <v>1</v>
      </c>
      <c r="M485" s="1" t="s">
        <v>1</v>
      </c>
      <c r="N485" s="1" t="s">
        <v>1</v>
      </c>
      <c r="O485" s="1" t="s">
        <v>3831</v>
      </c>
      <c r="P485" s="1" t="s">
        <v>1695</v>
      </c>
      <c r="Q485" s="1">
        <v>-1</v>
      </c>
      <c r="R485" s="1"/>
      <c r="S485" s="1"/>
      <c r="T485" s="1"/>
      <c r="U485" s="1"/>
      <c r="V485" s="1"/>
      <c r="W485" s="1"/>
      <c r="X485" s="1"/>
      <c r="Y485" s="1"/>
      <c r="Z485" s="1"/>
      <c r="AA485" s="1"/>
      <c r="AB485" s="1"/>
      <c r="AC485" s="1"/>
      <c r="AD485" s="1"/>
      <c r="AE485" s="1"/>
      <c r="AF485" s="1"/>
    </row>
    <row r="486" spans="1:32" hidden="1" x14ac:dyDescent="0.25">
      <c r="A486" s="1">
        <v>485</v>
      </c>
      <c r="B486" s="1"/>
      <c r="C486" s="1" t="s">
        <v>1397</v>
      </c>
      <c r="D486" s="1" t="s">
        <v>3586</v>
      </c>
      <c r="E486">
        <v>2014</v>
      </c>
      <c r="F486" s="1" t="s">
        <v>0</v>
      </c>
      <c r="G486" s="1" t="s">
        <v>3587</v>
      </c>
      <c r="H486" s="1" t="s">
        <v>1398</v>
      </c>
      <c r="I486" s="1" t="s">
        <v>1</v>
      </c>
      <c r="J486" s="1" t="s">
        <v>1</v>
      </c>
      <c r="K486" s="1" t="s">
        <v>1399</v>
      </c>
      <c r="L486" s="1" t="s">
        <v>1</v>
      </c>
      <c r="M486" s="1" t="s">
        <v>1</v>
      </c>
      <c r="N486" s="1" t="s">
        <v>1</v>
      </c>
      <c r="O486" s="1" t="s">
        <v>3588</v>
      </c>
      <c r="P486" s="1" t="s">
        <v>1400</v>
      </c>
      <c r="Q486" s="1">
        <v>-1</v>
      </c>
      <c r="R486" s="1"/>
      <c r="S486" s="1"/>
      <c r="T486" s="1"/>
      <c r="U486" s="1"/>
      <c r="V486" s="1"/>
      <c r="W486" s="1"/>
      <c r="X486" s="1"/>
      <c r="Y486" s="1"/>
      <c r="Z486" s="1"/>
      <c r="AA486" s="1"/>
      <c r="AB486" s="1"/>
      <c r="AC486" s="1"/>
      <c r="AD486" s="1"/>
      <c r="AE486" s="1"/>
      <c r="AF486" s="1"/>
    </row>
    <row r="487" spans="1:32" hidden="1" x14ac:dyDescent="0.25">
      <c r="A487" s="1">
        <v>486</v>
      </c>
      <c r="B487" s="1"/>
      <c r="C487" s="1" t="s">
        <v>1093</v>
      </c>
      <c r="D487" s="1" t="s">
        <v>1092</v>
      </c>
      <c r="E487">
        <v>2009</v>
      </c>
      <c r="F487" s="1" t="s">
        <v>0</v>
      </c>
      <c r="G487" s="1" t="s">
        <v>3369</v>
      </c>
      <c r="H487" s="1" t="s">
        <v>1094</v>
      </c>
      <c r="I487" s="1" t="s">
        <v>1</v>
      </c>
      <c r="J487" s="1" t="s">
        <v>1</v>
      </c>
      <c r="K487" s="1" t="s">
        <v>1095</v>
      </c>
      <c r="L487" s="1" t="s">
        <v>1</v>
      </c>
      <c r="M487" s="1" t="s">
        <v>1</v>
      </c>
      <c r="N487" s="1" t="s">
        <v>1</v>
      </c>
      <c r="O487" s="1" t="s">
        <v>3370</v>
      </c>
      <c r="P487" s="1" t="s">
        <v>1096</v>
      </c>
      <c r="Q487" s="1">
        <v>-1</v>
      </c>
      <c r="R487" s="1"/>
      <c r="S487" s="1"/>
      <c r="T487" s="1"/>
      <c r="U487" s="1"/>
      <c r="V487" s="1"/>
      <c r="W487" s="1"/>
      <c r="X487" s="1"/>
      <c r="Y487" s="1"/>
      <c r="Z487" s="1"/>
      <c r="AA487" s="1"/>
      <c r="AB487" s="1"/>
      <c r="AC487" s="1"/>
      <c r="AD487" s="1"/>
      <c r="AE487" s="1"/>
      <c r="AF487" s="1"/>
    </row>
    <row r="488" spans="1:32" hidden="1" x14ac:dyDescent="0.25">
      <c r="A488" s="1">
        <v>487</v>
      </c>
      <c r="B488" s="1"/>
      <c r="C488" s="1" t="s">
        <v>1682</v>
      </c>
      <c r="D488" s="1" t="s">
        <v>3821</v>
      </c>
      <c r="E488">
        <v>2006</v>
      </c>
      <c r="F488" s="1" t="s">
        <v>0</v>
      </c>
      <c r="G488" s="1" t="s">
        <v>3822</v>
      </c>
      <c r="H488" s="1" t="s">
        <v>1683</v>
      </c>
      <c r="I488" s="1" t="s">
        <v>1</v>
      </c>
      <c r="J488" s="1" t="s">
        <v>1</v>
      </c>
      <c r="K488" s="1" t="s">
        <v>1684</v>
      </c>
      <c r="L488" s="1" t="s">
        <v>1</v>
      </c>
      <c r="M488" s="1" t="s">
        <v>1</v>
      </c>
      <c r="N488" s="1" t="s">
        <v>1</v>
      </c>
      <c r="O488" s="1" t="s">
        <v>3823</v>
      </c>
      <c r="P488" s="1" t="s">
        <v>1685</v>
      </c>
      <c r="Q488" s="1">
        <v>-1</v>
      </c>
      <c r="R488" s="1"/>
      <c r="S488" s="1"/>
      <c r="T488" s="1"/>
      <c r="U488" s="1"/>
      <c r="V488" s="1"/>
      <c r="W488" s="1"/>
      <c r="X488" s="1"/>
      <c r="Y488" s="1"/>
      <c r="Z488" s="1"/>
      <c r="AA488" s="1"/>
      <c r="AB488" s="1"/>
      <c r="AC488" s="1"/>
      <c r="AD488" s="1"/>
      <c r="AE488" s="1"/>
      <c r="AF488" s="1"/>
    </row>
    <row r="489" spans="1:32" hidden="1" x14ac:dyDescent="0.25">
      <c r="A489" s="1">
        <v>488</v>
      </c>
      <c r="B489" s="1"/>
      <c r="C489" s="1" t="s">
        <v>25</v>
      </c>
      <c r="D489" s="1" t="s">
        <v>24</v>
      </c>
      <c r="E489">
        <v>2013</v>
      </c>
      <c r="F489" s="1" t="s">
        <v>0</v>
      </c>
      <c r="G489" s="1" t="s">
        <v>1</v>
      </c>
      <c r="H489" s="1" t="s">
        <v>26</v>
      </c>
      <c r="I489" s="1" t="s">
        <v>1</v>
      </c>
      <c r="J489" s="1" t="s">
        <v>1</v>
      </c>
      <c r="K489" s="1" t="s">
        <v>3356</v>
      </c>
      <c r="L489" s="1" t="s">
        <v>1</v>
      </c>
      <c r="M489" s="1" t="s">
        <v>1</v>
      </c>
      <c r="N489" s="1" t="s">
        <v>1</v>
      </c>
      <c r="O489" s="1" t="s">
        <v>27</v>
      </c>
      <c r="P489" s="1" t="s">
        <v>1512</v>
      </c>
      <c r="Q489" s="1">
        <v>-1</v>
      </c>
      <c r="R489" s="1"/>
      <c r="S489" s="1"/>
      <c r="T489" s="1"/>
      <c r="U489" s="1"/>
      <c r="V489" s="1"/>
      <c r="W489" s="1"/>
      <c r="X489" s="1"/>
      <c r="Y489" s="1"/>
      <c r="Z489" s="1"/>
      <c r="AA489" s="1"/>
      <c r="AB489" s="1"/>
      <c r="AC489" s="1"/>
      <c r="AD489" s="1"/>
      <c r="AE489" s="1"/>
      <c r="AF489" s="1"/>
    </row>
    <row r="490" spans="1:32" hidden="1" x14ac:dyDescent="0.25">
      <c r="A490" s="1">
        <v>489</v>
      </c>
      <c r="B490" s="1"/>
      <c r="C490" s="1" t="s">
        <v>2400</v>
      </c>
      <c r="D490" s="1" t="s">
        <v>4364</v>
      </c>
      <c r="E490">
        <v>2012</v>
      </c>
      <c r="F490" s="1" t="s">
        <v>116</v>
      </c>
      <c r="G490" s="1" t="s">
        <v>4365</v>
      </c>
      <c r="H490" s="1" t="s">
        <v>846</v>
      </c>
      <c r="I490" s="1" t="s">
        <v>3531</v>
      </c>
      <c r="J490" s="1" t="s">
        <v>3319</v>
      </c>
      <c r="K490" s="1" t="s">
        <v>2401</v>
      </c>
      <c r="L490" s="1" t="s">
        <v>1</v>
      </c>
      <c r="M490" s="1" t="s">
        <v>1</v>
      </c>
      <c r="N490" s="1" t="s">
        <v>2403</v>
      </c>
      <c r="O490" s="1" t="s">
        <v>4366</v>
      </c>
      <c r="P490" s="1" t="s">
        <v>2402</v>
      </c>
      <c r="Q490" s="1">
        <v>-1</v>
      </c>
      <c r="R490" s="1"/>
      <c r="S490" s="1"/>
      <c r="T490" s="1"/>
      <c r="U490" s="1"/>
      <c r="V490" s="1"/>
      <c r="W490" s="1"/>
      <c r="X490" s="1"/>
      <c r="Y490" s="1"/>
      <c r="Z490" s="1"/>
      <c r="AA490" s="1"/>
      <c r="AB490" s="1"/>
      <c r="AC490" s="1"/>
      <c r="AD490" s="1"/>
      <c r="AE490" s="1"/>
      <c r="AF490" s="1"/>
    </row>
    <row r="491" spans="1:32" hidden="1" x14ac:dyDescent="0.25">
      <c r="A491" s="1">
        <v>490</v>
      </c>
      <c r="B491" s="1"/>
      <c r="C491" s="1" t="s">
        <v>2163</v>
      </c>
      <c r="D491" s="1" t="s">
        <v>4178</v>
      </c>
      <c r="E491">
        <v>2011</v>
      </c>
      <c r="F491" s="1" t="s">
        <v>116</v>
      </c>
      <c r="G491" s="1" t="s">
        <v>4179</v>
      </c>
      <c r="H491" s="1" t="s">
        <v>1394</v>
      </c>
      <c r="I491" s="1" t="s">
        <v>3918</v>
      </c>
      <c r="J491" s="1" t="s">
        <v>3143</v>
      </c>
      <c r="K491" s="1" t="s">
        <v>2164</v>
      </c>
      <c r="L491" s="1" t="s">
        <v>1</v>
      </c>
      <c r="M491" s="1" t="s">
        <v>1</v>
      </c>
      <c r="N491" s="1" t="s">
        <v>1</v>
      </c>
      <c r="O491" s="1" t="s">
        <v>4180</v>
      </c>
      <c r="P491" s="1" t="s">
        <v>2165</v>
      </c>
      <c r="Q491" s="1">
        <v>-1</v>
      </c>
      <c r="R491" s="1"/>
      <c r="S491" s="1"/>
      <c r="T491" s="1"/>
      <c r="U491" s="1"/>
      <c r="V491" s="1"/>
      <c r="W491" s="1"/>
      <c r="X491" s="1"/>
      <c r="Y491" s="1"/>
      <c r="Z491" s="1"/>
      <c r="AA491" s="1"/>
      <c r="AB491" s="1"/>
      <c r="AC491" s="1"/>
      <c r="AD491" s="1"/>
      <c r="AE491" s="1"/>
      <c r="AF491" s="1"/>
    </row>
    <row r="492" spans="1:32" hidden="1" x14ac:dyDescent="0.25">
      <c r="A492" s="1">
        <v>491</v>
      </c>
      <c r="B492" s="1"/>
      <c r="C492" s="1" t="s">
        <v>2526</v>
      </c>
      <c r="D492" s="1" t="s">
        <v>4465</v>
      </c>
      <c r="E492">
        <v>2009</v>
      </c>
      <c r="F492" s="1" t="s">
        <v>0</v>
      </c>
      <c r="G492" s="1" t="s">
        <v>4466</v>
      </c>
      <c r="H492" s="1" t="s">
        <v>1308</v>
      </c>
      <c r="I492" s="1" t="s">
        <v>1</v>
      </c>
      <c r="J492" s="1" t="s">
        <v>1</v>
      </c>
      <c r="K492" s="1" t="s">
        <v>2527</v>
      </c>
      <c r="L492" s="1" t="s">
        <v>1</v>
      </c>
      <c r="M492" s="1" t="s">
        <v>1</v>
      </c>
      <c r="N492" s="1" t="s">
        <v>1</v>
      </c>
      <c r="O492" s="1" t="s">
        <v>4467</v>
      </c>
      <c r="P492" s="1" t="s">
        <v>2528</v>
      </c>
      <c r="Q492" s="1">
        <v>-1</v>
      </c>
      <c r="R492" s="1"/>
      <c r="S492" s="1"/>
      <c r="T492" s="1"/>
      <c r="U492" s="1"/>
      <c r="V492" s="1"/>
      <c r="W492" s="1"/>
      <c r="X492" s="1"/>
      <c r="Y492" s="1"/>
      <c r="Z492" s="1"/>
      <c r="AA492" s="1"/>
      <c r="AB492" s="1"/>
      <c r="AC492" s="1"/>
      <c r="AD492" s="1"/>
      <c r="AE492" s="1"/>
      <c r="AF492" s="1"/>
    </row>
    <row r="493" spans="1:32" hidden="1" x14ac:dyDescent="0.25">
      <c r="A493" s="1">
        <v>492</v>
      </c>
      <c r="B493" s="1"/>
      <c r="C493" s="1" t="s">
        <v>2866</v>
      </c>
      <c r="D493" s="1" t="s">
        <v>4741</v>
      </c>
      <c r="E493">
        <v>2009</v>
      </c>
      <c r="F493" s="1" t="s">
        <v>0</v>
      </c>
      <c r="G493" s="1" t="s">
        <v>4742</v>
      </c>
      <c r="H493" s="1" t="s">
        <v>2867</v>
      </c>
      <c r="I493" s="1" t="s">
        <v>1</v>
      </c>
      <c r="J493" s="1" t="s">
        <v>1</v>
      </c>
      <c r="K493" s="1" t="s">
        <v>3272</v>
      </c>
      <c r="L493" s="1" t="s">
        <v>1</v>
      </c>
      <c r="M493" s="1" t="s">
        <v>1</v>
      </c>
      <c r="N493" s="1" t="s">
        <v>1</v>
      </c>
      <c r="O493" s="1" t="s">
        <v>4743</v>
      </c>
      <c r="P493" s="1" t="s">
        <v>2868</v>
      </c>
      <c r="Q493" s="1">
        <v>-1</v>
      </c>
      <c r="R493" s="1"/>
      <c r="S493" s="1"/>
      <c r="T493" s="1"/>
      <c r="U493" s="1"/>
      <c r="V493" s="1"/>
      <c r="W493" s="1"/>
      <c r="X493" s="1"/>
      <c r="Y493" s="1"/>
      <c r="Z493" s="1"/>
      <c r="AA493" s="1"/>
      <c r="AB493" s="1"/>
      <c r="AC493" s="1"/>
      <c r="AD493" s="1"/>
      <c r="AE493" s="1"/>
      <c r="AF493" s="1"/>
    </row>
    <row r="494" spans="1:32" hidden="1" x14ac:dyDescent="0.25">
      <c r="A494" s="1">
        <v>493</v>
      </c>
      <c r="B494" s="1"/>
      <c r="C494" s="1" t="s">
        <v>2005</v>
      </c>
      <c r="D494" s="1" t="s">
        <v>4062</v>
      </c>
      <c r="E494">
        <v>2015</v>
      </c>
      <c r="F494" s="1" t="s">
        <v>0</v>
      </c>
      <c r="G494" s="1" t="s">
        <v>4063</v>
      </c>
      <c r="H494" s="1" t="s">
        <v>1387</v>
      </c>
      <c r="I494" s="1" t="s">
        <v>1</v>
      </c>
      <c r="J494" s="1" t="s">
        <v>1</v>
      </c>
      <c r="K494" s="1" t="s">
        <v>2006</v>
      </c>
      <c r="L494" s="1" t="s">
        <v>1</v>
      </c>
      <c r="M494" s="1" t="s">
        <v>1</v>
      </c>
      <c r="N494" s="1" t="s">
        <v>1</v>
      </c>
      <c r="O494" s="1" t="s">
        <v>4064</v>
      </c>
      <c r="P494" s="1" t="s">
        <v>2007</v>
      </c>
      <c r="Q494" s="1">
        <v>-1</v>
      </c>
      <c r="R494" s="1"/>
      <c r="S494" s="1"/>
      <c r="T494" s="1"/>
      <c r="U494" s="1"/>
      <c r="V494" s="1"/>
      <c r="W494" s="1"/>
      <c r="X494" s="1"/>
      <c r="Y494" s="1"/>
      <c r="Z494" s="1"/>
      <c r="AA494" s="1"/>
      <c r="AB494" s="1"/>
      <c r="AC494" s="1"/>
      <c r="AD494" s="1"/>
      <c r="AE494" s="1"/>
      <c r="AF494" s="1"/>
    </row>
    <row r="495" spans="1:32" hidden="1" x14ac:dyDescent="0.25">
      <c r="A495" s="1">
        <v>494</v>
      </c>
      <c r="B495" s="1"/>
      <c r="C495" s="1" t="s">
        <v>1243</v>
      </c>
      <c r="D495" s="1" t="s">
        <v>3470</v>
      </c>
      <c r="E495">
        <v>2009</v>
      </c>
      <c r="F495" s="1" t="s">
        <v>0</v>
      </c>
      <c r="G495" s="1" t="s">
        <v>3473</v>
      </c>
      <c r="H495" s="1" t="s">
        <v>1244</v>
      </c>
      <c r="I495" s="1" t="s">
        <v>3174</v>
      </c>
      <c r="J495" s="1" t="s">
        <v>1</v>
      </c>
      <c r="K495" s="1" t="s">
        <v>3430</v>
      </c>
      <c r="L495" s="1" t="s">
        <v>1</v>
      </c>
      <c r="M495" s="1" t="s">
        <v>1</v>
      </c>
      <c r="N495" s="1" t="s">
        <v>1</v>
      </c>
      <c r="O495" s="1" t="s">
        <v>3474</v>
      </c>
      <c r="P495" s="1" t="s">
        <v>1245</v>
      </c>
      <c r="Q495" s="1">
        <v>-1</v>
      </c>
      <c r="R495" s="1"/>
      <c r="S495" s="1"/>
      <c r="T495" s="1"/>
      <c r="U495" s="1"/>
      <c r="V495" s="1"/>
      <c r="W495" s="1"/>
      <c r="X495" s="1"/>
      <c r="Y495" s="1"/>
      <c r="Z495" s="1"/>
      <c r="AA495" s="1"/>
      <c r="AB495" s="1"/>
      <c r="AC495" s="1"/>
      <c r="AD495" s="1"/>
      <c r="AE495" s="1"/>
      <c r="AF495" s="1"/>
    </row>
    <row r="496" spans="1:32" x14ac:dyDescent="0.25">
      <c r="A496" s="1">
        <v>495</v>
      </c>
      <c r="B496" s="1">
        <v>26</v>
      </c>
      <c r="C496" s="5" t="s">
        <v>2885</v>
      </c>
      <c r="D496" s="1" t="s">
        <v>4758</v>
      </c>
      <c r="E496">
        <v>2017</v>
      </c>
      <c r="F496" s="1" t="s">
        <v>0</v>
      </c>
      <c r="G496" s="1" t="s">
        <v>4759</v>
      </c>
      <c r="H496" s="1" t="s">
        <v>1</v>
      </c>
      <c r="I496" s="1" t="s">
        <v>1</v>
      </c>
      <c r="J496" s="1" t="s">
        <v>1</v>
      </c>
      <c r="K496" s="1" t="s">
        <v>2886</v>
      </c>
      <c r="L496" s="1" t="s">
        <v>237</v>
      </c>
      <c r="M496" s="1" t="s">
        <v>1</v>
      </c>
      <c r="N496" s="1" t="s">
        <v>2888</v>
      </c>
      <c r="O496" s="1" t="s">
        <v>4760</v>
      </c>
      <c r="P496" s="1" t="s">
        <v>2887</v>
      </c>
      <c r="Q496" s="1">
        <v>1</v>
      </c>
      <c r="R496" s="1">
        <v>1</v>
      </c>
      <c r="S496" s="1">
        <v>5.5</v>
      </c>
      <c r="T496" s="1" t="s">
        <v>5045</v>
      </c>
      <c r="U496" s="1" t="s">
        <v>5015</v>
      </c>
      <c r="V496" s="1" t="s">
        <v>5000</v>
      </c>
      <c r="W496" s="1" t="s">
        <v>4976</v>
      </c>
      <c r="X496" s="1" t="s">
        <v>658</v>
      </c>
      <c r="Y496" s="1" t="s">
        <v>834</v>
      </c>
      <c r="Z496" s="1" t="s">
        <v>726</v>
      </c>
      <c r="AA496" s="1" t="s">
        <v>5006</v>
      </c>
      <c r="AB496" s="1">
        <v>2</v>
      </c>
      <c r="AC496" s="1">
        <v>1</v>
      </c>
      <c r="AD496" s="1">
        <v>1</v>
      </c>
      <c r="AE496" s="1">
        <v>2</v>
      </c>
      <c r="AF496" s="1"/>
    </row>
    <row r="497" spans="1:32" x14ac:dyDescent="0.25">
      <c r="A497" s="1">
        <v>496</v>
      </c>
      <c r="B497" s="1">
        <v>27</v>
      </c>
      <c r="C497" s="1" t="s">
        <v>96</v>
      </c>
      <c r="D497" s="1" t="s">
        <v>95</v>
      </c>
      <c r="E497">
        <v>2017</v>
      </c>
      <c r="F497" s="1" t="s">
        <v>0</v>
      </c>
      <c r="G497" s="1" t="s">
        <v>4732</v>
      </c>
      <c r="H497" s="1" t="s">
        <v>97</v>
      </c>
      <c r="I497" s="1" t="s">
        <v>1</v>
      </c>
      <c r="J497" s="1" t="s">
        <v>1</v>
      </c>
      <c r="K497" s="1" t="s">
        <v>2817</v>
      </c>
      <c r="L497" s="1" t="s">
        <v>1</v>
      </c>
      <c r="M497" s="1" t="s">
        <v>1</v>
      </c>
      <c r="N497" s="1" t="s">
        <v>1</v>
      </c>
      <c r="O497" s="1" t="s">
        <v>99</v>
      </c>
      <c r="P497" s="1" t="s">
        <v>100</v>
      </c>
      <c r="Q497" s="1">
        <v>1</v>
      </c>
      <c r="R497" s="1">
        <v>1</v>
      </c>
      <c r="S497" s="1">
        <v>5</v>
      </c>
      <c r="T497" s="1" t="s">
        <v>5056</v>
      </c>
      <c r="U497" s="1" t="s">
        <v>5058</v>
      </c>
      <c r="V497" s="1" t="s">
        <v>4999</v>
      </c>
      <c r="W497" s="1" t="s">
        <v>4974</v>
      </c>
      <c r="X497" s="1" t="s">
        <v>658</v>
      </c>
      <c r="Y497" s="1" t="s">
        <v>834</v>
      </c>
      <c r="Z497" s="1" t="s">
        <v>5057</v>
      </c>
      <c r="AA497" s="1" t="s">
        <v>5006</v>
      </c>
      <c r="AB497" s="1">
        <v>4</v>
      </c>
      <c r="AC497" s="1">
        <v>2</v>
      </c>
      <c r="AD497" s="1">
        <v>3</v>
      </c>
      <c r="AE497" s="1">
        <v>4</v>
      </c>
      <c r="AF497" s="1"/>
    </row>
    <row r="498" spans="1:32" hidden="1" x14ac:dyDescent="0.25">
      <c r="A498" s="1">
        <v>497</v>
      </c>
      <c r="B498" s="1"/>
      <c r="C498" s="1" t="s">
        <v>3131</v>
      </c>
      <c r="D498" s="1" t="s">
        <v>4944</v>
      </c>
      <c r="E498">
        <v>2012</v>
      </c>
      <c r="F498" s="1" t="s">
        <v>116</v>
      </c>
      <c r="G498" s="1" t="s">
        <v>4945</v>
      </c>
      <c r="H498" s="1" t="s">
        <v>846</v>
      </c>
      <c r="I498" s="1" t="s">
        <v>3531</v>
      </c>
      <c r="J498" s="1" t="s">
        <v>3319</v>
      </c>
      <c r="K498" s="1" t="s">
        <v>3132</v>
      </c>
      <c r="L498" s="1" t="s">
        <v>1</v>
      </c>
      <c r="M498" s="1" t="s">
        <v>1</v>
      </c>
      <c r="N498" s="1" t="s">
        <v>3134</v>
      </c>
      <c r="O498" s="1" t="s">
        <v>4946</v>
      </c>
      <c r="P498" s="1" t="s">
        <v>3133</v>
      </c>
      <c r="Q498" s="1">
        <v>1</v>
      </c>
      <c r="R498" s="1">
        <v>-1</v>
      </c>
      <c r="S498" s="1"/>
      <c r="T498" s="1"/>
      <c r="U498" s="1"/>
      <c r="V498" s="1"/>
      <c r="W498" s="1"/>
      <c r="X498" s="1"/>
      <c r="Y498" s="1"/>
      <c r="Z498" s="1"/>
      <c r="AA498" s="1"/>
      <c r="AB498" s="1"/>
      <c r="AC498" s="1"/>
      <c r="AD498" s="1"/>
      <c r="AE498" s="1"/>
      <c r="AF498" s="1"/>
    </row>
    <row r="499" spans="1:32" hidden="1" x14ac:dyDescent="0.25">
      <c r="A499" s="1">
        <v>498</v>
      </c>
      <c r="B499" s="1"/>
      <c r="C499" s="1" t="s">
        <v>988</v>
      </c>
      <c r="D499" s="1" t="s">
        <v>3308</v>
      </c>
      <c r="E499">
        <v>2011</v>
      </c>
      <c r="F499" s="1" t="s">
        <v>0</v>
      </c>
      <c r="G499" s="1" t="s">
        <v>3307</v>
      </c>
      <c r="H499" s="1" t="s">
        <v>1</v>
      </c>
      <c r="I499" s="1" t="s">
        <v>1</v>
      </c>
      <c r="J499" s="1" t="s">
        <v>1</v>
      </c>
      <c r="K499" s="1" t="s">
        <v>987</v>
      </c>
      <c r="L499" s="1" t="s">
        <v>1</v>
      </c>
      <c r="M499" s="1" t="s">
        <v>1</v>
      </c>
      <c r="N499" s="1" t="s">
        <v>990</v>
      </c>
      <c r="O499" s="1" t="s">
        <v>3309</v>
      </c>
      <c r="P499" s="1" t="s">
        <v>989</v>
      </c>
      <c r="Q499" s="1">
        <v>-1</v>
      </c>
      <c r="R499" s="1"/>
      <c r="S499" s="1"/>
      <c r="T499" s="1"/>
      <c r="U499" s="1"/>
      <c r="V499" s="1"/>
      <c r="W499" s="1"/>
      <c r="X499" s="1"/>
      <c r="Y499" s="1"/>
      <c r="Z499" s="1"/>
      <c r="AA499" s="1"/>
      <c r="AB499" s="1"/>
      <c r="AC499" s="1"/>
      <c r="AD499" s="1"/>
      <c r="AE499" s="1"/>
      <c r="AF499" s="1"/>
    </row>
    <row r="500" spans="1:32" hidden="1" x14ac:dyDescent="0.25">
      <c r="A500" s="1">
        <v>499</v>
      </c>
      <c r="B500" s="1"/>
      <c r="C500" s="1" t="s">
        <v>1823</v>
      </c>
      <c r="D500" s="1" t="s">
        <v>3914</v>
      </c>
      <c r="E500">
        <v>2015</v>
      </c>
      <c r="F500" s="1" t="s">
        <v>0</v>
      </c>
      <c r="G500" s="1" t="s">
        <v>3915</v>
      </c>
      <c r="H500" s="1" t="s">
        <v>1824</v>
      </c>
      <c r="I500" s="1" t="s">
        <v>1</v>
      </c>
      <c r="J500" s="1" t="s">
        <v>1</v>
      </c>
      <c r="K500" s="1" t="s">
        <v>1825</v>
      </c>
      <c r="L500" s="1" t="s">
        <v>1</v>
      </c>
      <c r="M500" s="1" t="s">
        <v>1</v>
      </c>
      <c r="N500" s="1" t="s">
        <v>1</v>
      </c>
      <c r="O500" s="1" t="s">
        <v>3916</v>
      </c>
      <c r="P500" s="1" t="s">
        <v>1826</v>
      </c>
      <c r="Q500" s="1">
        <v>-1</v>
      </c>
      <c r="R500" s="1"/>
      <c r="S500" s="1"/>
      <c r="T500" s="1"/>
      <c r="U500" s="1"/>
      <c r="V500" s="1"/>
      <c r="W500" s="1"/>
      <c r="X500" s="1"/>
      <c r="Y500" s="1"/>
      <c r="Z500" s="1"/>
      <c r="AA500" s="1"/>
      <c r="AB500" s="1"/>
      <c r="AC500" s="1"/>
      <c r="AD500" s="1"/>
      <c r="AE500" s="1"/>
      <c r="AF500" s="1"/>
    </row>
    <row r="501" spans="1:32" x14ac:dyDescent="0.25">
      <c r="A501" s="1">
        <v>500</v>
      </c>
      <c r="B501" s="1">
        <v>28</v>
      </c>
      <c r="C501" s="1" t="s">
        <v>2942</v>
      </c>
      <c r="D501" s="1" t="s">
        <v>4801</v>
      </c>
      <c r="E501">
        <v>2016</v>
      </c>
      <c r="F501" s="1" t="s">
        <v>116</v>
      </c>
      <c r="G501" s="1" t="s">
        <v>4803</v>
      </c>
      <c r="H501" s="1" t="s">
        <v>2943</v>
      </c>
      <c r="I501" s="1" t="s">
        <v>4802</v>
      </c>
      <c r="J501" s="1" t="s">
        <v>3174</v>
      </c>
      <c r="K501" s="1" t="s">
        <v>1</v>
      </c>
      <c r="L501" s="1" t="s">
        <v>2944</v>
      </c>
      <c r="M501" s="1" t="s">
        <v>1</v>
      </c>
      <c r="N501" s="1" t="s">
        <v>2946</v>
      </c>
      <c r="O501" s="1" t="s">
        <v>4804</v>
      </c>
      <c r="P501" s="1" t="s">
        <v>2945</v>
      </c>
      <c r="Q501" s="1">
        <v>1</v>
      </c>
      <c r="R501" s="6">
        <v>1</v>
      </c>
      <c r="S501" s="1">
        <v>6</v>
      </c>
      <c r="T501" s="1" t="s">
        <v>5059</v>
      </c>
      <c r="U501" s="1" t="s">
        <v>5060</v>
      </c>
      <c r="V501" s="1" t="s">
        <v>5000</v>
      </c>
      <c r="W501" s="1" t="s">
        <v>4974</v>
      </c>
      <c r="X501" s="1" t="s">
        <v>116</v>
      </c>
      <c r="Y501" s="1" t="s">
        <v>834</v>
      </c>
      <c r="Z501" s="1" t="s">
        <v>726</v>
      </c>
      <c r="AA501" s="1" t="s">
        <v>5007</v>
      </c>
      <c r="AB501" s="1">
        <v>4</v>
      </c>
      <c r="AC501" s="1">
        <v>2</v>
      </c>
      <c r="AD501" s="1">
        <v>3</v>
      </c>
      <c r="AE501" s="1">
        <v>4</v>
      </c>
      <c r="AF501" s="1"/>
    </row>
    <row r="502" spans="1:32" hidden="1" x14ac:dyDescent="0.25">
      <c r="A502" s="1">
        <v>501</v>
      </c>
      <c r="B502" s="1"/>
      <c r="C502" s="1" t="s">
        <v>1246</v>
      </c>
      <c r="D502" s="1" t="s">
        <v>3470</v>
      </c>
      <c r="E502">
        <v>2009</v>
      </c>
      <c r="F502" s="1" t="s">
        <v>0</v>
      </c>
      <c r="G502" s="1" t="s">
        <v>1</v>
      </c>
      <c r="H502" s="1" t="s">
        <v>1</v>
      </c>
      <c r="I502" s="1" t="s">
        <v>1</v>
      </c>
      <c r="J502" s="1" t="s">
        <v>1</v>
      </c>
      <c r="K502" s="1" t="s">
        <v>1</v>
      </c>
      <c r="L502" s="1" t="s">
        <v>1</v>
      </c>
      <c r="M502" s="1" t="s">
        <v>1</v>
      </c>
      <c r="N502" s="1" t="s">
        <v>1248</v>
      </c>
      <c r="O502" s="1" t="s">
        <v>3475</v>
      </c>
      <c r="P502" s="1" t="s">
        <v>1247</v>
      </c>
      <c r="Q502" s="1">
        <v>-1</v>
      </c>
      <c r="R502" s="1"/>
      <c r="S502" s="1"/>
      <c r="T502" s="1"/>
      <c r="U502" s="1"/>
      <c r="V502" s="1"/>
      <c r="W502" s="1"/>
      <c r="X502" s="1"/>
      <c r="Y502" s="1"/>
      <c r="Z502" s="1"/>
      <c r="AA502" s="1"/>
      <c r="AB502" s="1"/>
      <c r="AC502" s="1"/>
      <c r="AD502" s="1"/>
      <c r="AE502" s="1"/>
      <c r="AF502" s="1"/>
    </row>
    <row r="503" spans="1:32" hidden="1" x14ac:dyDescent="0.25">
      <c r="A503" s="1">
        <v>502</v>
      </c>
      <c r="B503" s="1"/>
      <c r="C503" s="1" t="s">
        <v>929</v>
      </c>
      <c r="D503" s="1" t="s">
        <v>3260</v>
      </c>
      <c r="E503">
        <v>2017</v>
      </c>
      <c r="F503" s="1" t="s">
        <v>0</v>
      </c>
      <c r="G503" s="1" t="s">
        <v>3261</v>
      </c>
      <c r="H503" s="1" t="s">
        <v>930</v>
      </c>
      <c r="I503" s="1" t="s">
        <v>1</v>
      </c>
      <c r="J503" s="1" t="s">
        <v>1</v>
      </c>
      <c r="K503" s="1" t="s">
        <v>931</v>
      </c>
      <c r="L503" s="1" t="s">
        <v>1</v>
      </c>
      <c r="M503" s="1" t="s">
        <v>1</v>
      </c>
      <c r="N503" s="1" t="s">
        <v>1</v>
      </c>
      <c r="O503" s="1" t="s">
        <v>3262</v>
      </c>
      <c r="P503" s="1" t="s">
        <v>932</v>
      </c>
      <c r="Q503" s="1">
        <v>-1</v>
      </c>
      <c r="R503" s="1"/>
      <c r="S503" s="1"/>
      <c r="T503" s="1"/>
      <c r="U503" s="1"/>
      <c r="V503" s="1"/>
      <c r="W503" s="1"/>
      <c r="X503" s="1"/>
      <c r="Y503" s="1"/>
      <c r="Z503" s="1"/>
      <c r="AA503" s="1"/>
      <c r="AB503" s="1"/>
      <c r="AC503" s="1"/>
      <c r="AD503" s="1"/>
      <c r="AE503" s="1"/>
      <c r="AF503" s="1"/>
    </row>
    <row r="504" spans="1:32" hidden="1" x14ac:dyDescent="0.25">
      <c r="A504" s="1">
        <v>503</v>
      </c>
      <c r="B504" s="1"/>
      <c r="C504" s="1" t="s">
        <v>1206</v>
      </c>
      <c r="D504" s="1" t="s">
        <v>1205</v>
      </c>
      <c r="E504">
        <v>2009</v>
      </c>
      <c r="F504" s="1" t="s">
        <v>116</v>
      </c>
      <c r="G504" s="1" t="s">
        <v>1</v>
      </c>
      <c r="H504" s="1" t="s">
        <v>1207</v>
      </c>
      <c r="I504" s="1" t="s">
        <v>3453</v>
      </c>
      <c r="J504" s="1" t="s">
        <v>3143</v>
      </c>
      <c r="K504" s="1" t="s">
        <v>1208</v>
      </c>
      <c r="L504" s="1" t="s">
        <v>1</v>
      </c>
      <c r="M504" s="1" t="s">
        <v>1</v>
      </c>
      <c r="N504" s="1" t="s">
        <v>1210</v>
      </c>
      <c r="O504" s="1" t="s">
        <v>3454</v>
      </c>
      <c r="P504" s="1" t="s">
        <v>1209</v>
      </c>
      <c r="Q504" s="1">
        <v>-1</v>
      </c>
      <c r="R504" s="1"/>
      <c r="S504" s="1"/>
      <c r="T504" s="1"/>
      <c r="U504" s="1"/>
      <c r="V504" s="1"/>
      <c r="W504" s="1"/>
      <c r="X504" s="1"/>
      <c r="Y504" s="1"/>
      <c r="Z504" s="1"/>
      <c r="AA504" s="1"/>
      <c r="AB504" s="1"/>
      <c r="AC504" s="1"/>
      <c r="AD504" s="1"/>
      <c r="AE504" s="1"/>
      <c r="AF504" s="1"/>
    </row>
    <row r="505" spans="1:32" hidden="1" x14ac:dyDescent="0.25">
      <c r="A505" s="1">
        <v>504</v>
      </c>
      <c r="B505" s="1"/>
      <c r="C505" s="1" t="s">
        <v>2751</v>
      </c>
      <c r="D505" s="1" t="s">
        <v>4651</v>
      </c>
      <c r="E505">
        <v>2016</v>
      </c>
      <c r="F505" s="1" t="s">
        <v>116</v>
      </c>
      <c r="G505" s="1" t="s">
        <v>1</v>
      </c>
      <c r="H505" s="1" t="s">
        <v>2752</v>
      </c>
      <c r="I505" s="1" t="s">
        <v>3442</v>
      </c>
      <c r="J505" s="1" t="s">
        <v>3174</v>
      </c>
      <c r="K505" s="1" t="s">
        <v>4652</v>
      </c>
      <c r="L505" s="1" t="s">
        <v>2753</v>
      </c>
      <c r="M505" s="1" t="s">
        <v>1</v>
      </c>
      <c r="N505" s="1" t="s">
        <v>2755</v>
      </c>
      <c r="O505" s="1" t="s">
        <v>4653</v>
      </c>
      <c r="P505" s="1" t="s">
        <v>2754</v>
      </c>
      <c r="Q505" s="1">
        <v>-1</v>
      </c>
      <c r="R505" s="1"/>
      <c r="S505" s="1"/>
      <c r="T505" s="1"/>
      <c r="U505" s="1"/>
      <c r="V505" s="1"/>
      <c r="W505" s="1"/>
      <c r="X505" s="1"/>
      <c r="Y505" s="1"/>
      <c r="Z505" s="1"/>
      <c r="AA505" s="1"/>
      <c r="AB505" s="1"/>
      <c r="AC505" s="1"/>
      <c r="AD505" s="1"/>
      <c r="AE505" s="1"/>
      <c r="AF505" s="1"/>
    </row>
    <row r="506" spans="1:32" hidden="1" x14ac:dyDescent="0.25">
      <c r="A506" s="1">
        <v>505</v>
      </c>
      <c r="B506" s="1"/>
      <c r="C506" s="1" t="s">
        <v>1311</v>
      </c>
      <c r="D506" s="1" t="s">
        <v>3523</v>
      </c>
      <c r="E506">
        <v>2015</v>
      </c>
      <c r="F506" s="1" t="s">
        <v>116</v>
      </c>
      <c r="G506" s="1" t="s">
        <v>3526</v>
      </c>
      <c r="H506" s="1" t="s">
        <v>233</v>
      </c>
      <c r="I506" s="1" t="s">
        <v>3524</v>
      </c>
      <c r="J506" s="1" t="s">
        <v>3141</v>
      </c>
      <c r="K506" s="1" t="s">
        <v>3525</v>
      </c>
      <c r="L506" s="1" t="s">
        <v>1102</v>
      </c>
      <c r="M506" s="1" t="s">
        <v>1</v>
      </c>
      <c r="N506" s="1" t="s">
        <v>1313</v>
      </c>
      <c r="O506" s="1" t="s">
        <v>3527</v>
      </c>
      <c r="P506" s="1" t="s">
        <v>1312</v>
      </c>
      <c r="Q506" s="1">
        <v>-1</v>
      </c>
      <c r="R506" s="1"/>
      <c r="S506" s="1"/>
      <c r="T506" s="1"/>
      <c r="U506" s="1"/>
      <c r="V506" s="1"/>
      <c r="W506" s="1"/>
      <c r="X506" s="1"/>
      <c r="Y506" s="1"/>
      <c r="Z506" s="1"/>
      <c r="AA506" s="1"/>
      <c r="AB506" s="1"/>
      <c r="AC506" s="1"/>
      <c r="AD506" s="1"/>
      <c r="AE506" s="1"/>
      <c r="AF506" s="1"/>
    </row>
    <row r="507" spans="1:32" hidden="1" x14ac:dyDescent="0.25">
      <c r="A507" s="1">
        <v>506</v>
      </c>
      <c r="B507" s="1"/>
      <c r="C507" s="1" t="s">
        <v>2522</v>
      </c>
      <c r="D507" s="1" t="s">
        <v>2521</v>
      </c>
      <c r="E507">
        <v>2007</v>
      </c>
      <c r="F507" s="1" t="s">
        <v>0</v>
      </c>
      <c r="G507" s="1" t="s">
        <v>4463</v>
      </c>
      <c r="H507" s="1" t="s">
        <v>2523</v>
      </c>
      <c r="I507" s="1" t="s">
        <v>1</v>
      </c>
      <c r="J507" s="1" t="s">
        <v>1</v>
      </c>
      <c r="K507" s="1" t="s">
        <v>2524</v>
      </c>
      <c r="L507" s="1" t="s">
        <v>1</v>
      </c>
      <c r="M507" s="1" t="s">
        <v>1</v>
      </c>
      <c r="N507" s="1" t="s">
        <v>1</v>
      </c>
      <c r="O507" s="1" t="s">
        <v>4464</v>
      </c>
      <c r="P507" s="1" t="s">
        <v>2525</v>
      </c>
      <c r="Q507" s="1">
        <v>-1</v>
      </c>
      <c r="R507" s="1"/>
      <c r="S507" s="1"/>
      <c r="T507" s="1"/>
      <c r="U507" s="1"/>
      <c r="V507" s="1"/>
      <c r="W507" s="1"/>
      <c r="X507" s="1"/>
      <c r="Y507" s="1"/>
      <c r="Z507" s="1"/>
      <c r="AA507" s="1"/>
      <c r="AB507" s="1"/>
      <c r="AC507" s="1"/>
      <c r="AD507" s="1"/>
      <c r="AE507" s="1"/>
      <c r="AF507" s="1"/>
    </row>
    <row r="508" spans="1:32" hidden="1" x14ac:dyDescent="0.25">
      <c r="A508" s="1">
        <v>507</v>
      </c>
      <c r="B508" s="1"/>
      <c r="C508" s="1" t="s">
        <v>2515</v>
      </c>
      <c r="D508" s="1" t="s">
        <v>4457</v>
      </c>
      <c r="E508">
        <v>2012</v>
      </c>
      <c r="F508" s="1" t="s">
        <v>0</v>
      </c>
      <c r="G508" s="1" t="s">
        <v>4458</v>
      </c>
      <c r="H508" s="1" t="s">
        <v>2516</v>
      </c>
      <c r="I508" s="1" t="s">
        <v>1</v>
      </c>
      <c r="J508" s="1" t="s">
        <v>1</v>
      </c>
      <c r="K508" s="1" t="s">
        <v>3184</v>
      </c>
      <c r="L508" s="1" t="s">
        <v>1</v>
      </c>
      <c r="M508" s="1" t="s">
        <v>1</v>
      </c>
      <c r="N508" s="1" t="s">
        <v>1</v>
      </c>
      <c r="O508" s="1" t="s">
        <v>4459</v>
      </c>
      <c r="P508" s="1" t="s">
        <v>2517</v>
      </c>
      <c r="Q508" s="1">
        <v>-1</v>
      </c>
      <c r="R508" s="1"/>
      <c r="S508" s="1"/>
      <c r="T508" s="1"/>
      <c r="U508" s="1"/>
      <c r="V508" s="1"/>
      <c r="W508" s="1"/>
      <c r="X508" s="1"/>
      <c r="Y508" s="1"/>
      <c r="Z508" s="1"/>
      <c r="AA508" s="1"/>
      <c r="AB508" s="1"/>
      <c r="AC508" s="1"/>
      <c r="AD508" s="1"/>
      <c r="AE508" s="1"/>
      <c r="AF508" s="1"/>
    </row>
    <row r="509" spans="1:32" hidden="1" x14ac:dyDescent="0.25">
      <c r="A509" s="1">
        <v>508</v>
      </c>
      <c r="B509" s="1"/>
      <c r="C509" s="1" t="s">
        <v>3086</v>
      </c>
      <c r="D509" s="1" t="s">
        <v>4909</v>
      </c>
      <c r="E509">
        <v>2010</v>
      </c>
      <c r="F509" s="1" t="s">
        <v>0</v>
      </c>
      <c r="G509" s="1" t="s">
        <v>4910</v>
      </c>
      <c r="H509" s="1" t="s">
        <v>3087</v>
      </c>
      <c r="I509" s="1" t="s">
        <v>1</v>
      </c>
      <c r="J509" s="1" t="s">
        <v>1</v>
      </c>
      <c r="K509" s="1" t="s">
        <v>3088</v>
      </c>
      <c r="L509" s="1" t="s">
        <v>1</v>
      </c>
      <c r="M509" s="1" t="s">
        <v>1</v>
      </c>
      <c r="N509" s="1" t="s">
        <v>1</v>
      </c>
      <c r="O509" s="1" t="s">
        <v>4911</v>
      </c>
      <c r="P509" s="1" t="s">
        <v>3089</v>
      </c>
      <c r="Q509" s="1">
        <v>-1</v>
      </c>
      <c r="R509" s="1"/>
      <c r="S509" s="1"/>
      <c r="T509" s="1"/>
      <c r="U509" s="1"/>
      <c r="V509" s="1"/>
      <c r="W509" s="1"/>
      <c r="X509" s="1"/>
      <c r="Y509" s="1"/>
      <c r="Z509" s="1"/>
      <c r="AA509" s="1"/>
      <c r="AB509" s="1"/>
      <c r="AC509" s="1"/>
      <c r="AD509" s="1"/>
      <c r="AE509" s="1"/>
      <c r="AF509" s="1"/>
    </row>
    <row r="510" spans="1:32" hidden="1" x14ac:dyDescent="0.25">
      <c r="A510" s="1">
        <v>509</v>
      </c>
      <c r="B510" s="1"/>
      <c r="C510" s="1" t="s">
        <v>2190</v>
      </c>
      <c r="D510" s="1" t="s">
        <v>4202</v>
      </c>
      <c r="E510">
        <v>2014</v>
      </c>
      <c r="F510" s="1" t="s">
        <v>0</v>
      </c>
      <c r="G510" s="1" t="s">
        <v>4203</v>
      </c>
      <c r="H510" s="1" t="s">
        <v>1768</v>
      </c>
      <c r="I510" s="1" t="s">
        <v>1</v>
      </c>
      <c r="J510" s="1" t="s">
        <v>1</v>
      </c>
      <c r="K510" s="1" t="s">
        <v>3224</v>
      </c>
      <c r="L510" s="1" t="s">
        <v>1</v>
      </c>
      <c r="M510" s="1" t="s">
        <v>1</v>
      </c>
      <c r="N510" s="1" t="s">
        <v>1</v>
      </c>
      <c r="O510" s="1" t="s">
        <v>4204</v>
      </c>
      <c r="P510" s="1" t="s">
        <v>2191</v>
      </c>
      <c r="Q510" s="1">
        <v>-1</v>
      </c>
      <c r="R510" s="1"/>
      <c r="S510" s="1"/>
      <c r="T510" s="1"/>
      <c r="U510" s="1"/>
      <c r="V510" s="1"/>
      <c r="W510" s="1"/>
      <c r="X510" s="1"/>
      <c r="Y510" s="1"/>
      <c r="Z510" s="1"/>
      <c r="AA510" s="1"/>
      <c r="AB510" s="1"/>
      <c r="AC510" s="1"/>
      <c r="AD510" s="1"/>
      <c r="AE510" s="1"/>
      <c r="AF510" s="1"/>
    </row>
    <row r="511" spans="1:32" hidden="1" x14ac:dyDescent="0.25">
      <c r="A511" s="1">
        <v>510</v>
      </c>
      <c r="B511" s="1"/>
      <c r="C511" s="1" t="s">
        <v>1135</v>
      </c>
      <c r="D511" s="1" t="s">
        <v>3405</v>
      </c>
      <c r="E511">
        <v>2006</v>
      </c>
      <c r="F511" s="1" t="s">
        <v>116</v>
      </c>
      <c r="G511" s="1" t="s">
        <v>3406</v>
      </c>
      <c r="H511" s="1" t="s">
        <v>1136</v>
      </c>
      <c r="I511" s="1" t="s">
        <v>3347</v>
      </c>
      <c r="J511" s="1" t="s">
        <v>3142</v>
      </c>
      <c r="K511" s="1" t="s">
        <v>1137</v>
      </c>
      <c r="L511" s="1" t="s">
        <v>1</v>
      </c>
      <c r="M511" s="1" t="s">
        <v>1</v>
      </c>
      <c r="N511" s="1" t="s">
        <v>1139</v>
      </c>
      <c r="O511" s="1" t="s">
        <v>3407</v>
      </c>
      <c r="P511" s="1" t="s">
        <v>1138</v>
      </c>
      <c r="Q511" s="1">
        <v>-1</v>
      </c>
      <c r="R511" s="1"/>
      <c r="S511" s="1"/>
      <c r="T511" s="1"/>
      <c r="U511" s="1"/>
      <c r="V511" s="1"/>
      <c r="W511" s="1"/>
      <c r="X511" s="1"/>
      <c r="Y511" s="1"/>
      <c r="Z511" s="1"/>
      <c r="AA511" s="1"/>
      <c r="AB511" s="1"/>
      <c r="AC511" s="1"/>
      <c r="AD511" s="1"/>
      <c r="AE511" s="1"/>
      <c r="AF511" s="1"/>
    </row>
    <row r="512" spans="1:32" hidden="1" x14ac:dyDescent="0.25">
      <c r="A512" s="1">
        <v>511</v>
      </c>
      <c r="B512" s="1"/>
      <c r="C512" s="1" t="s">
        <v>1322</v>
      </c>
      <c r="D512" s="1" t="s">
        <v>3534</v>
      </c>
      <c r="E512">
        <v>2011</v>
      </c>
      <c r="F512" s="1" t="s">
        <v>116</v>
      </c>
      <c r="G512" s="1" t="s">
        <v>3536</v>
      </c>
      <c r="H512" s="1" t="s">
        <v>1045</v>
      </c>
      <c r="I512" s="1" t="s">
        <v>3535</v>
      </c>
      <c r="J512" s="1" t="s">
        <v>1323</v>
      </c>
      <c r="K512" s="1" t="s">
        <v>1324</v>
      </c>
      <c r="L512" s="1" t="s">
        <v>1</v>
      </c>
      <c r="M512" s="1" t="s">
        <v>1</v>
      </c>
      <c r="N512" s="1" t="s">
        <v>1326</v>
      </c>
      <c r="O512" s="1" t="s">
        <v>3537</v>
      </c>
      <c r="P512" s="1" t="s">
        <v>1325</v>
      </c>
      <c r="Q512" s="1">
        <v>-1</v>
      </c>
      <c r="R512" s="1"/>
      <c r="S512" s="1"/>
      <c r="T512" s="1"/>
      <c r="U512" s="1"/>
      <c r="V512" s="1"/>
      <c r="W512" s="1"/>
      <c r="X512" s="1"/>
      <c r="Y512" s="1"/>
      <c r="Z512" s="1"/>
      <c r="AA512" s="1"/>
      <c r="AB512" s="1"/>
      <c r="AC512" s="1"/>
      <c r="AD512" s="1"/>
      <c r="AE512" s="1"/>
      <c r="AF512" s="1"/>
    </row>
    <row r="513" spans="1:32" hidden="1" x14ac:dyDescent="0.25">
      <c r="A513" s="1">
        <v>512</v>
      </c>
      <c r="B513" s="1"/>
      <c r="C513" s="1" t="s">
        <v>2678</v>
      </c>
      <c r="D513" s="1" t="s">
        <v>4591</v>
      </c>
      <c r="E513">
        <v>2017</v>
      </c>
      <c r="F513" s="1" t="s">
        <v>116</v>
      </c>
      <c r="G513" s="1" t="s">
        <v>4593</v>
      </c>
      <c r="H513" s="1" t="s">
        <v>846</v>
      </c>
      <c r="I513" s="1" t="s">
        <v>4592</v>
      </c>
      <c r="J513" s="1" t="s">
        <v>1</v>
      </c>
      <c r="K513" s="1" t="s">
        <v>2679</v>
      </c>
      <c r="L513" s="1" t="s">
        <v>1</v>
      </c>
      <c r="M513" s="1" t="s">
        <v>1</v>
      </c>
      <c r="N513" s="1" t="s">
        <v>2681</v>
      </c>
      <c r="O513" s="1" t="s">
        <v>4594</v>
      </c>
      <c r="P513" s="1" t="s">
        <v>2680</v>
      </c>
      <c r="Q513" s="1">
        <v>-1</v>
      </c>
      <c r="R513" s="1"/>
      <c r="S513" s="1"/>
      <c r="T513" s="1"/>
      <c r="U513" s="1"/>
      <c r="V513" s="1"/>
      <c r="W513" s="1"/>
      <c r="X513" s="1"/>
      <c r="Y513" s="1"/>
      <c r="Z513" s="1"/>
      <c r="AA513" s="1"/>
      <c r="AB513" s="1"/>
      <c r="AC513" s="1"/>
      <c r="AD513" s="1"/>
      <c r="AE513" s="1"/>
      <c r="AF513" s="1"/>
    </row>
    <row r="514" spans="1:32" x14ac:dyDescent="0.25">
      <c r="A514" s="1">
        <v>513</v>
      </c>
      <c r="B514" s="1">
        <v>29</v>
      </c>
      <c r="C514" s="1" t="s">
        <v>2207</v>
      </c>
      <c r="D514" s="1" t="s">
        <v>4217</v>
      </c>
      <c r="E514">
        <v>2013</v>
      </c>
      <c r="F514" s="1" t="s">
        <v>116</v>
      </c>
      <c r="G514" s="1" t="s">
        <v>1</v>
      </c>
      <c r="H514" s="1" t="s">
        <v>1644</v>
      </c>
      <c r="I514" s="1" t="s">
        <v>4035</v>
      </c>
      <c r="J514" s="1" t="s">
        <v>3174</v>
      </c>
      <c r="K514" s="1" t="s">
        <v>2208</v>
      </c>
      <c r="L514" s="1" t="s">
        <v>1</v>
      </c>
      <c r="M514" s="1" t="s">
        <v>1</v>
      </c>
      <c r="N514" s="1" t="s">
        <v>2210</v>
      </c>
      <c r="O514" s="1" t="s">
        <v>4218</v>
      </c>
      <c r="P514" s="1" t="s">
        <v>2209</v>
      </c>
      <c r="Q514" s="1">
        <v>1</v>
      </c>
      <c r="R514" s="1">
        <v>1</v>
      </c>
      <c r="S514" s="1">
        <v>5</v>
      </c>
      <c r="T514" s="1" t="s">
        <v>728</v>
      </c>
      <c r="U514" s="1" t="s">
        <v>731</v>
      </c>
      <c r="V514" s="1" t="s">
        <v>2135</v>
      </c>
      <c r="W514" s="1" t="s">
        <v>4974</v>
      </c>
      <c r="X514" s="1" t="s">
        <v>116</v>
      </c>
      <c r="Y514" s="1" t="s">
        <v>5018</v>
      </c>
      <c r="Z514" s="1" t="s">
        <v>5017</v>
      </c>
      <c r="AA514" s="1" t="s">
        <v>4987</v>
      </c>
      <c r="AB514" s="1">
        <v>4</v>
      </c>
      <c r="AC514" s="1">
        <v>4</v>
      </c>
      <c r="AD514" s="1">
        <v>2</v>
      </c>
      <c r="AE514" s="1">
        <v>4</v>
      </c>
      <c r="AF514" s="1"/>
    </row>
    <row r="515" spans="1:32" hidden="1" x14ac:dyDescent="0.25">
      <c r="A515" s="1">
        <v>514</v>
      </c>
      <c r="B515" s="1"/>
      <c r="C515" s="1" t="s">
        <v>1461</v>
      </c>
      <c r="D515" s="1" t="s">
        <v>3645</v>
      </c>
      <c r="E515">
        <v>2015</v>
      </c>
      <c r="F515" s="1" t="s">
        <v>0</v>
      </c>
      <c r="G515" s="1" t="s">
        <v>3646</v>
      </c>
      <c r="H515" s="1" t="s">
        <v>1462</v>
      </c>
      <c r="I515" s="1" t="s">
        <v>1</v>
      </c>
      <c r="J515" s="1" t="s">
        <v>1</v>
      </c>
      <c r="K515" s="1" t="s">
        <v>1463</v>
      </c>
      <c r="L515" s="1" t="s">
        <v>1</v>
      </c>
      <c r="M515" s="1" t="s">
        <v>1</v>
      </c>
      <c r="N515" s="1" t="s">
        <v>1</v>
      </c>
      <c r="O515" s="1" t="s">
        <v>3647</v>
      </c>
      <c r="P515" s="1" t="s">
        <v>3648</v>
      </c>
      <c r="Q515" s="1">
        <v>1</v>
      </c>
      <c r="R515" s="1">
        <v>-1</v>
      </c>
      <c r="S515" s="1"/>
      <c r="T515" s="1"/>
      <c r="U515" s="1"/>
      <c r="V515" s="1"/>
      <c r="W515" s="1"/>
      <c r="X515" s="1"/>
      <c r="Y515" s="1"/>
      <c r="Z515" s="1"/>
      <c r="AA515" s="1"/>
      <c r="AB515" s="1"/>
      <c r="AC515" s="1"/>
      <c r="AD515" s="1"/>
      <c r="AE515" s="1"/>
      <c r="AF515" s="1"/>
    </row>
    <row r="516" spans="1:32" hidden="1" x14ac:dyDescent="0.25">
      <c r="A516" s="1">
        <v>515</v>
      </c>
      <c r="B516" s="1"/>
      <c r="C516" s="1" t="s">
        <v>1881</v>
      </c>
      <c r="D516" s="1" t="s">
        <v>3968</v>
      </c>
      <c r="E516">
        <v>2013</v>
      </c>
      <c r="F516" s="1" t="s">
        <v>127</v>
      </c>
      <c r="G516" s="1" t="s">
        <v>3970</v>
      </c>
      <c r="H516" s="1" t="s">
        <v>1882</v>
      </c>
      <c r="I516" s="1" t="s">
        <v>3969</v>
      </c>
      <c r="J516" s="1" t="s">
        <v>1</v>
      </c>
      <c r="K516" s="1" t="s">
        <v>1883</v>
      </c>
      <c r="L516" s="1" t="s">
        <v>447</v>
      </c>
      <c r="M516" s="1" t="s">
        <v>1</v>
      </c>
      <c r="N516" s="1" t="s">
        <v>1885</v>
      </c>
      <c r="O516" s="1" t="s">
        <v>3971</v>
      </c>
      <c r="P516" s="1" t="s">
        <v>1884</v>
      </c>
      <c r="Q516" s="1">
        <v>-1</v>
      </c>
      <c r="R516" s="1"/>
      <c r="S516" s="1"/>
      <c r="T516" s="1"/>
      <c r="U516" s="1"/>
      <c r="V516" s="1"/>
      <c r="W516" s="1"/>
      <c r="X516" s="1"/>
      <c r="Y516" s="1"/>
      <c r="Z516" s="1"/>
      <c r="AA516" s="1"/>
      <c r="AB516" s="1"/>
      <c r="AC516" s="1"/>
      <c r="AD516" s="1"/>
      <c r="AE516" s="1"/>
      <c r="AF516" s="1"/>
    </row>
    <row r="517" spans="1:32" hidden="1" x14ac:dyDescent="0.25">
      <c r="A517" s="1">
        <v>516</v>
      </c>
      <c r="B517" s="1"/>
      <c r="C517" s="1" t="s">
        <v>1696</v>
      </c>
      <c r="D517" s="1" t="s">
        <v>3830</v>
      </c>
      <c r="E517">
        <v>2010</v>
      </c>
      <c r="F517" s="1" t="s">
        <v>0</v>
      </c>
      <c r="G517" s="1" t="s">
        <v>3832</v>
      </c>
      <c r="H517" s="1" t="s">
        <v>1697</v>
      </c>
      <c r="I517" s="1" t="s">
        <v>1</v>
      </c>
      <c r="J517" s="1" t="s">
        <v>1</v>
      </c>
      <c r="K517" s="1" t="s">
        <v>1698</v>
      </c>
      <c r="L517" s="1" t="s">
        <v>1</v>
      </c>
      <c r="M517" s="1" t="s">
        <v>1</v>
      </c>
      <c r="N517" s="1" t="s">
        <v>1</v>
      </c>
      <c r="O517" s="1" t="s">
        <v>3833</v>
      </c>
      <c r="P517" s="1" t="s">
        <v>1699</v>
      </c>
      <c r="Q517" s="1">
        <v>-1</v>
      </c>
      <c r="R517" s="1"/>
      <c r="S517" s="1"/>
      <c r="T517" s="1"/>
      <c r="U517" s="1"/>
      <c r="V517" s="1"/>
      <c r="W517" s="1"/>
      <c r="X517" s="1"/>
      <c r="Y517" s="1"/>
      <c r="Z517" s="1"/>
      <c r="AA517" s="1"/>
      <c r="AB517" s="1"/>
      <c r="AC517" s="1"/>
      <c r="AD517" s="1"/>
      <c r="AE517" s="1"/>
      <c r="AF517" s="1"/>
    </row>
    <row r="518" spans="1:32" hidden="1" x14ac:dyDescent="0.25">
      <c r="A518" s="1">
        <v>517</v>
      </c>
      <c r="B518" s="1"/>
      <c r="C518" s="1" t="s">
        <v>2323</v>
      </c>
      <c r="D518" s="1" t="s">
        <v>4304</v>
      </c>
      <c r="E518">
        <v>2009</v>
      </c>
      <c r="F518" s="1" t="s">
        <v>0</v>
      </c>
      <c r="G518" s="1" t="s">
        <v>4305</v>
      </c>
      <c r="H518" s="1" t="s">
        <v>1537</v>
      </c>
      <c r="I518" s="1" t="s">
        <v>1</v>
      </c>
      <c r="J518" s="1" t="s">
        <v>1</v>
      </c>
      <c r="K518" s="1" t="s">
        <v>2324</v>
      </c>
      <c r="L518" s="1" t="s">
        <v>1</v>
      </c>
      <c r="M518" s="1" t="s">
        <v>1</v>
      </c>
      <c r="N518" s="1" t="s">
        <v>1</v>
      </c>
      <c r="O518" s="1" t="s">
        <v>4306</v>
      </c>
      <c r="P518" s="1" t="s">
        <v>2325</v>
      </c>
      <c r="Q518" s="1">
        <v>-1</v>
      </c>
      <c r="R518" s="1"/>
      <c r="S518" s="1"/>
      <c r="T518" s="1"/>
      <c r="U518" s="1"/>
      <c r="V518" s="1"/>
      <c r="W518" s="1"/>
      <c r="X518" s="1"/>
      <c r="Y518" s="1"/>
      <c r="Z518" s="1"/>
      <c r="AA518" s="1"/>
      <c r="AB518" s="1"/>
      <c r="AC518" s="1"/>
      <c r="AD518" s="1"/>
      <c r="AE518" s="1"/>
      <c r="AF518" s="1"/>
    </row>
    <row r="519" spans="1:32" hidden="1" x14ac:dyDescent="0.25">
      <c r="A519" s="1">
        <v>518</v>
      </c>
      <c r="B519" s="1"/>
      <c r="C519" s="1" t="s">
        <v>1871</v>
      </c>
      <c r="D519" s="1" t="s">
        <v>3959</v>
      </c>
      <c r="E519">
        <v>2011</v>
      </c>
      <c r="F519" s="1" t="s">
        <v>0</v>
      </c>
      <c r="G519" s="1" t="s">
        <v>3960</v>
      </c>
      <c r="H519" s="1" t="s">
        <v>1872</v>
      </c>
      <c r="I519" s="1" t="s">
        <v>1</v>
      </c>
      <c r="J519" s="1" t="s">
        <v>1</v>
      </c>
      <c r="K519" s="1" t="s">
        <v>3808</v>
      </c>
      <c r="L519" s="1" t="s">
        <v>1</v>
      </c>
      <c r="M519" s="1" t="s">
        <v>1</v>
      </c>
      <c r="N519" s="1" t="s">
        <v>1</v>
      </c>
      <c r="O519" s="1" t="s">
        <v>3961</v>
      </c>
      <c r="P519" s="1" t="s">
        <v>1873</v>
      </c>
      <c r="Q519" s="1">
        <v>1</v>
      </c>
      <c r="R519" s="1">
        <v>-1</v>
      </c>
      <c r="S519" s="1"/>
      <c r="T519" s="1"/>
      <c r="U519" s="1"/>
      <c r="V519" s="1"/>
      <c r="W519" s="1"/>
      <c r="X519" s="1"/>
      <c r="Y519" s="1"/>
      <c r="Z519" s="1"/>
      <c r="AA519" s="1"/>
      <c r="AB519" s="1"/>
      <c r="AC519" s="1"/>
      <c r="AD519" s="1"/>
      <c r="AE519" s="1"/>
      <c r="AF519" s="1"/>
    </row>
    <row r="520" spans="1:32" hidden="1" x14ac:dyDescent="0.25">
      <c r="A520" s="1">
        <v>519</v>
      </c>
      <c r="B520" s="1"/>
      <c r="C520" s="1" t="s">
        <v>2495</v>
      </c>
      <c r="D520" s="1" t="s">
        <v>4442</v>
      </c>
      <c r="E520">
        <v>2014</v>
      </c>
      <c r="F520" s="1" t="s">
        <v>0</v>
      </c>
      <c r="G520" s="1" t="s">
        <v>4443</v>
      </c>
      <c r="H520" s="1" t="s">
        <v>2496</v>
      </c>
      <c r="I520" s="1" t="s">
        <v>1</v>
      </c>
      <c r="J520" s="1" t="s">
        <v>1</v>
      </c>
      <c r="K520" s="1" t="s">
        <v>2497</v>
      </c>
      <c r="L520" s="1" t="s">
        <v>1</v>
      </c>
      <c r="M520" s="1" t="s">
        <v>1</v>
      </c>
      <c r="N520" s="1" t="s">
        <v>1</v>
      </c>
      <c r="O520" s="1" t="s">
        <v>4444</v>
      </c>
      <c r="P520" s="1" t="s">
        <v>2498</v>
      </c>
      <c r="Q520" s="1">
        <v>-1</v>
      </c>
      <c r="R520" s="1"/>
      <c r="S520" s="1"/>
      <c r="T520" s="1"/>
      <c r="U520" s="1"/>
      <c r="V520" s="1"/>
      <c r="W520" s="1"/>
      <c r="X520" s="1"/>
      <c r="Y520" s="1"/>
      <c r="Z520" s="1"/>
      <c r="AA520" s="1"/>
      <c r="AB520" s="1"/>
      <c r="AC520" s="1"/>
      <c r="AD520" s="1"/>
      <c r="AE520" s="1"/>
      <c r="AF520" s="1"/>
    </row>
    <row r="521" spans="1:32" hidden="1" x14ac:dyDescent="0.25">
      <c r="A521" s="1">
        <v>520</v>
      </c>
      <c r="B521" s="1"/>
      <c r="C521" s="1" t="s">
        <v>1805</v>
      </c>
      <c r="D521" s="1" t="s">
        <v>3898</v>
      </c>
      <c r="E521">
        <v>2006</v>
      </c>
      <c r="F521" s="1" t="s">
        <v>0</v>
      </c>
      <c r="G521" s="1" t="s">
        <v>3899</v>
      </c>
      <c r="H521" s="1" t="s">
        <v>1806</v>
      </c>
      <c r="I521" s="1" t="s">
        <v>1</v>
      </c>
      <c r="J521" s="1" t="s">
        <v>1</v>
      </c>
      <c r="K521" s="1" t="s">
        <v>1807</v>
      </c>
      <c r="L521" s="1" t="s">
        <v>1</v>
      </c>
      <c r="M521" s="1" t="s">
        <v>1</v>
      </c>
      <c r="N521" s="1" t="s">
        <v>1</v>
      </c>
      <c r="O521" s="1" t="s">
        <v>3900</v>
      </c>
      <c r="P521" s="1" t="s">
        <v>1808</v>
      </c>
      <c r="Q521" s="1">
        <v>-1</v>
      </c>
      <c r="R521" s="1"/>
      <c r="S521" s="1"/>
      <c r="T521" s="1"/>
      <c r="U521" s="1"/>
      <c r="V521" s="1"/>
      <c r="W521" s="1"/>
      <c r="X521" s="1"/>
      <c r="Y521" s="1"/>
      <c r="Z521" s="1"/>
      <c r="AA521" s="1"/>
      <c r="AB521" s="1"/>
      <c r="AC521" s="1"/>
      <c r="AD521" s="1"/>
      <c r="AE521" s="1"/>
      <c r="AF521" s="1"/>
    </row>
    <row r="522" spans="1:32" hidden="1" x14ac:dyDescent="0.25">
      <c r="A522" s="1">
        <v>521</v>
      </c>
      <c r="B522" s="1"/>
      <c r="C522" s="1" t="s">
        <v>1957</v>
      </c>
      <c r="D522" s="1" t="s">
        <v>4029</v>
      </c>
      <c r="E522">
        <v>2005</v>
      </c>
      <c r="F522" s="1" t="s">
        <v>0</v>
      </c>
      <c r="G522" s="1" t="s">
        <v>4030</v>
      </c>
      <c r="H522" s="1" t="s">
        <v>1958</v>
      </c>
      <c r="I522" s="1" t="s">
        <v>3174</v>
      </c>
      <c r="J522" s="1" t="s">
        <v>1</v>
      </c>
      <c r="K522" s="1" t="s">
        <v>1959</v>
      </c>
      <c r="L522" s="1" t="s">
        <v>1</v>
      </c>
      <c r="M522" s="1" t="s">
        <v>1</v>
      </c>
      <c r="N522" s="1" t="s">
        <v>1</v>
      </c>
      <c r="O522" s="1" t="s">
        <v>4031</v>
      </c>
      <c r="P522" s="1" t="s">
        <v>1960</v>
      </c>
      <c r="Q522" s="1">
        <v>-1</v>
      </c>
      <c r="R522" s="1"/>
      <c r="S522" s="1"/>
      <c r="T522" s="1"/>
      <c r="U522" s="1"/>
      <c r="V522" s="1"/>
      <c r="W522" s="1"/>
      <c r="X522" s="1"/>
      <c r="Y522" s="1"/>
      <c r="Z522" s="1"/>
      <c r="AA522" s="1"/>
      <c r="AB522" s="1"/>
      <c r="AC522" s="1"/>
      <c r="AD522" s="1"/>
      <c r="AE522" s="1"/>
      <c r="AF522" s="1"/>
    </row>
    <row r="523" spans="1:32" hidden="1" x14ac:dyDescent="0.25">
      <c r="A523" s="1">
        <v>522</v>
      </c>
      <c r="B523" s="1"/>
      <c r="C523" s="1" t="s">
        <v>2653</v>
      </c>
      <c r="D523" s="1" t="s">
        <v>4569</v>
      </c>
      <c r="E523">
        <v>2007</v>
      </c>
      <c r="F523" s="1" t="s">
        <v>0</v>
      </c>
      <c r="G523" s="1" t="s">
        <v>4574</v>
      </c>
      <c r="H523" s="1" t="s">
        <v>2654</v>
      </c>
      <c r="I523" s="1" t="s">
        <v>1</v>
      </c>
      <c r="J523" s="1" t="s">
        <v>1</v>
      </c>
      <c r="K523" s="1" t="s">
        <v>2655</v>
      </c>
      <c r="L523" s="1" t="s">
        <v>1</v>
      </c>
      <c r="M523" s="1" t="s">
        <v>1</v>
      </c>
      <c r="N523" s="1" t="s">
        <v>1</v>
      </c>
      <c r="O523" s="1" t="s">
        <v>4575</v>
      </c>
      <c r="P523" s="1" t="s">
        <v>2656</v>
      </c>
      <c r="Q523" s="1">
        <v>-1</v>
      </c>
      <c r="R523" s="1"/>
      <c r="S523" s="1"/>
      <c r="T523" s="1"/>
      <c r="U523" s="1"/>
      <c r="V523" s="1"/>
      <c r="W523" s="1"/>
      <c r="X523" s="1"/>
      <c r="Y523" s="1"/>
      <c r="Z523" s="1"/>
      <c r="AA523" s="1"/>
      <c r="AB523" s="1"/>
      <c r="AC523" s="1"/>
      <c r="AD523" s="1"/>
      <c r="AE523" s="1"/>
      <c r="AF523" s="1"/>
    </row>
    <row r="524" spans="1:32" hidden="1" x14ac:dyDescent="0.25">
      <c r="A524" s="1">
        <v>523</v>
      </c>
      <c r="B524" s="1"/>
      <c r="C524" s="1" t="s">
        <v>1348</v>
      </c>
      <c r="D524" s="1" t="s">
        <v>3546</v>
      </c>
      <c r="E524">
        <v>2008</v>
      </c>
      <c r="F524" s="1" t="s">
        <v>116</v>
      </c>
      <c r="G524" s="1" t="s">
        <v>3547</v>
      </c>
      <c r="H524" s="1" t="s">
        <v>1349</v>
      </c>
      <c r="I524" s="1" t="s">
        <v>3165</v>
      </c>
      <c r="J524" s="1" t="s">
        <v>3142</v>
      </c>
      <c r="K524" s="1" t="s">
        <v>1350</v>
      </c>
      <c r="L524" s="1" t="s">
        <v>1</v>
      </c>
      <c r="M524" s="1" t="s">
        <v>1</v>
      </c>
      <c r="N524" s="1" t="s">
        <v>1352</v>
      </c>
      <c r="O524" s="1" t="s">
        <v>3548</v>
      </c>
      <c r="P524" s="1" t="s">
        <v>1351</v>
      </c>
      <c r="Q524" s="1">
        <v>-1</v>
      </c>
      <c r="R524" s="1"/>
      <c r="S524" s="1"/>
      <c r="T524" s="1"/>
      <c r="U524" s="1"/>
      <c r="V524" s="1"/>
      <c r="W524" s="1"/>
      <c r="X524" s="1"/>
      <c r="Y524" s="1"/>
      <c r="Z524" s="1"/>
      <c r="AA524" s="1"/>
      <c r="AB524" s="1"/>
      <c r="AC524" s="1"/>
      <c r="AD524" s="1"/>
      <c r="AE524" s="1"/>
      <c r="AF524" s="1"/>
    </row>
    <row r="525" spans="1:32" hidden="1" x14ac:dyDescent="0.25">
      <c r="A525" s="1">
        <v>524</v>
      </c>
      <c r="B525" s="1"/>
      <c r="C525" s="1" t="s">
        <v>896</v>
      </c>
      <c r="D525" s="1" t="s">
        <v>3238</v>
      </c>
      <c r="E525">
        <v>2015</v>
      </c>
      <c r="F525" s="1" t="s">
        <v>0</v>
      </c>
      <c r="G525" s="1" t="s">
        <v>3239</v>
      </c>
      <c r="H525" s="1" t="s">
        <v>897</v>
      </c>
      <c r="I525" s="1" t="s">
        <v>1</v>
      </c>
      <c r="J525" s="1" t="s">
        <v>1</v>
      </c>
      <c r="K525" s="1" t="s">
        <v>898</v>
      </c>
      <c r="L525" s="1" t="s">
        <v>1</v>
      </c>
      <c r="M525" s="1" t="s">
        <v>1</v>
      </c>
      <c r="N525" s="1" t="s">
        <v>1</v>
      </c>
      <c r="O525" s="1" t="s">
        <v>3240</v>
      </c>
      <c r="P525" s="1" t="s">
        <v>899</v>
      </c>
      <c r="Q525" s="1">
        <v>-1</v>
      </c>
      <c r="R525" s="1"/>
      <c r="S525" s="1"/>
      <c r="T525" s="1"/>
      <c r="U525" s="1"/>
      <c r="V525" s="1"/>
      <c r="W525" s="1"/>
      <c r="X525" s="1"/>
      <c r="Y525" s="1"/>
      <c r="Z525" s="1"/>
      <c r="AA525" s="1"/>
      <c r="AB525" s="1"/>
      <c r="AC525" s="1"/>
      <c r="AD525" s="1"/>
      <c r="AE525" s="1"/>
      <c r="AF525" s="1"/>
    </row>
    <row r="526" spans="1:32" hidden="1" x14ac:dyDescent="0.25">
      <c r="A526" s="1">
        <v>525</v>
      </c>
      <c r="B526" s="1"/>
      <c r="C526" s="1" t="s">
        <v>3036</v>
      </c>
      <c r="D526" s="1" t="s">
        <v>4875</v>
      </c>
      <c r="E526">
        <v>2015</v>
      </c>
      <c r="F526" s="1" t="s">
        <v>0</v>
      </c>
      <c r="G526" s="1" t="s">
        <v>4876</v>
      </c>
      <c r="H526" s="1" t="s">
        <v>3037</v>
      </c>
      <c r="I526" s="1" t="s">
        <v>1</v>
      </c>
      <c r="J526" s="1" t="s">
        <v>1</v>
      </c>
      <c r="K526" s="1" t="s">
        <v>2780</v>
      </c>
      <c r="L526" s="1" t="s">
        <v>1</v>
      </c>
      <c r="M526" s="1" t="s">
        <v>1</v>
      </c>
      <c r="N526" s="1" t="s">
        <v>1</v>
      </c>
      <c r="O526" s="1" t="s">
        <v>4877</v>
      </c>
      <c r="P526" s="1" t="s">
        <v>3038</v>
      </c>
      <c r="Q526" s="1">
        <v>-1</v>
      </c>
      <c r="R526" s="1"/>
      <c r="S526" s="1"/>
      <c r="T526" s="1"/>
      <c r="U526" s="1"/>
      <c r="V526" s="1"/>
      <c r="W526" s="1"/>
      <c r="X526" s="1"/>
      <c r="Y526" s="1"/>
      <c r="Z526" s="1"/>
      <c r="AA526" s="1"/>
      <c r="AB526" s="1"/>
      <c r="AC526" s="1"/>
      <c r="AD526" s="1"/>
      <c r="AE526" s="1"/>
      <c r="AF526" s="1"/>
    </row>
    <row r="527" spans="1:32" hidden="1" x14ac:dyDescent="0.25">
      <c r="A527" s="1">
        <v>526</v>
      </c>
      <c r="B527" s="1"/>
      <c r="C527" s="1" t="s">
        <v>2130</v>
      </c>
      <c r="D527" s="1" t="s">
        <v>2129</v>
      </c>
      <c r="E527">
        <v>2012</v>
      </c>
      <c r="F527" s="1" t="s">
        <v>0</v>
      </c>
      <c r="G527" s="1" t="s">
        <v>4154</v>
      </c>
      <c r="H527" s="1" t="s">
        <v>2131</v>
      </c>
      <c r="I527" s="1" t="s">
        <v>1</v>
      </c>
      <c r="J527" s="1" t="s">
        <v>1</v>
      </c>
      <c r="K527" s="1" t="s">
        <v>2132</v>
      </c>
      <c r="L527" s="1" t="s">
        <v>1</v>
      </c>
      <c r="M527" s="1" t="s">
        <v>1</v>
      </c>
      <c r="N527" s="1" t="s">
        <v>1</v>
      </c>
      <c r="O527" s="1" t="s">
        <v>4155</v>
      </c>
      <c r="P527" s="1" t="s">
        <v>2136</v>
      </c>
      <c r="Q527" s="1">
        <v>-1</v>
      </c>
      <c r="R527" s="1"/>
      <c r="S527" s="1"/>
      <c r="T527" s="1"/>
      <c r="U527" s="1"/>
      <c r="V527" s="1"/>
      <c r="W527" s="1"/>
      <c r="X527" s="1"/>
      <c r="Y527" s="1"/>
      <c r="Z527" s="1"/>
      <c r="AA527" s="1"/>
      <c r="AB527" s="1"/>
      <c r="AC527" s="1"/>
      <c r="AD527" s="1"/>
      <c r="AE527" s="1"/>
      <c r="AF527" s="1"/>
    </row>
    <row r="528" spans="1:32" x14ac:dyDescent="0.25">
      <c r="A528" s="1">
        <v>527</v>
      </c>
      <c r="B528" s="1">
        <v>30</v>
      </c>
      <c r="C528" s="1" t="s">
        <v>2625</v>
      </c>
      <c r="D528" s="1" t="s">
        <v>4549</v>
      </c>
      <c r="E528">
        <v>2015</v>
      </c>
      <c r="F528" s="1" t="s">
        <v>244</v>
      </c>
      <c r="G528" s="1" t="s">
        <v>4550</v>
      </c>
      <c r="H528" s="1" t="s">
        <v>1</v>
      </c>
      <c r="I528" s="1" t="s">
        <v>4192</v>
      </c>
      <c r="J528" s="1" t="s">
        <v>1</v>
      </c>
      <c r="K528" s="1" t="s">
        <v>2626</v>
      </c>
      <c r="L528" s="1" t="s">
        <v>247</v>
      </c>
      <c r="M528" s="1" t="s">
        <v>1</v>
      </c>
      <c r="N528" s="1" t="s">
        <v>2628</v>
      </c>
      <c r="O528" s="1" t="s">
        <v>4551</v>
      </c>
      <c r="P528" s="1" t="s">
        <v>2627</v>
      </c>
      <c r="Q528" s="1">
        <v>1</v>
      </c>
      <c r="R528" s="1">
        <v>1</v>
      </c>
      <c r="S528" s="1">
        <v>6</v>
      </c>
      <c r="T528" s="1" t="s">
        <v>4995</v>
      </c>
      <c r="U528" s="1" t="s">
        <v>5061</v>
      </c>
      <c r="V528" s="1" t="s">
        <v>5000</v>
      </c>
      <c r="W528" s="1" t="s">
        <v>4976</v>
      </c>
      <c r="X528" s="1" t="s">
        <v>5012</v>
      </c>
      <c r="Y528" s="1" t="s">
        <v>5003</v>
      </c>
      <c r="Z528" s="1"/>
      <c r="AA528" s="1"/>
      <c r="AB528" s="1">
        <v>1</v>
      </c>
      <c r="AC528" s="1">
        <v>1</v>
      </c>
      <c r="AD528" s="1">
        <v>1</v>
      </c>
      <c r="AE528" s="1">
        <v>1</v>
      </c>
      <c r="AF528" s="1"/>
    </row>
    <row r="529" spans="1:32" hidden="1" x14ac:dyDescent="0.25">
      <c r="A529" s="1">
        <v>528</v>
      </c>
      <c r="B529" s="1"/>
      <c r="C529" s="1" t="s">
        <v>2701</v>
      </c>
      <c r="D529" s="1" t="s">
        <v>4609</v>
      </c>
      <c r="E529">
        <v>2014</v>
      </c>
      <c r="F529" s="1" t="s">
        <v>116</v>
      </c>
      <c r="G529" s="1" t="s">
        <v>4610</v>
      </c>
      <c r="H529" s="1" t="s">
        <v>1010</v>
      </c>
      <c r="I529" s="1" t="s">
        <v>4426</v>
      </c>
      <c r="J529" s="1" t="s">
        <v>1</v>
      </c>
      <c r="K529" s="1" t="s">
        <v>2702</v>
      </c>
      <c r="L529" s="1" t="s">
        <v>1</v>
      </c>
      <c r="M529" s="1" t="s">
        <v>1</v>
      </c>
      <c r="N529" s="1" t="s">
        <v>2704</v>
      </c>
      <c r="O529" s="1" t="s">
        <v>4611</v>
      </c>
      <c r="P529" s="1" t="s">
        <v>2703</v>
      </c>
      <c r="Q529" s="1">
        <v>-1</v>
      </c>
      <c r="R529" s="1"/>
      <c r="S529" s="1"/>
      <c r="T529" s="1"/>
      <c r="U529" s="1"/>
      <c r="V529" s="1"/>
      <c r="W529" s="1"/>
      <c r="X529" s="1"/>
      <c r="Y529" s="1"/>
      <c r="Z529" s="1"/>
      <c r="AA529" s="1"/>
      <c r="AB529" s="1"/>
      <c r="AC529" s="1"/>
      <c r="AD529" s="1"/>
      <c r="AE529" s="1"/>
      <c r="AF529" s="1"/>
    </row>
    <row r="530" spans="1:32" hidden="1" x14ac:dyDescent="0.25">
      <c r="A530" s="1">
        <v>529</v>
      </c>
      <c r="B530" s="1"/>
      <c r="C530" s="1" t="s">
        <v>973</v>
      </c>
      <c r="D530" s="1" t="s">
        <v>3298</v>
      </c>
      <c r="E530">
        <v>2009</v>
      </c>
      <c r="F530" s="1" t="s">
        <v>138</v>
      </c>
      <c r="G530" s="1" t="s">
        <v>3299</v>
      </c>
      <c r="H530" s="1" t="s">
        <v>974</v>
      </c>
      <c r="I530" s="1" t="s">
        <v>1</v>
      </c>
      <c r="J530" s="1" t="s">
        <v>1</v>
      </c>
      <c r="K530" s="1" t="s">
        <v>976</v>
      </c>
      <c r="L530" s="1" t="s">
        <v>975</v>
      </c>
      <c r="M530" s="1" t="s">
        <v>1</v>
      </c>
      <c r="N530" s="1" t="s">
        <v>977</v>
      </c>
      <c r="O530" s="1" t="s">
        <v>1</v>
      </c>
      <c r="P530" s="1" t="s">
        <v>3300</v>
      </c>
      <c r="Q530" s="1">
        <v>-1</v>
      </c>
      <c r="R530" s="1"/>
      <c r="S530" s="1"/>
      <c r="T530" s="1"/>
      <c r="U530" s="1"/>
      <c r="V530" s="1"/>
      <c r="W530" s="1"/>
      <c r="X530" s="1"/>
      <c r="Y530" s="1"/>
      <c r="Z530" s="1"/>
      <c r="AA530" s="1"/>
      <c r="AB530" s="1"/>
      <c r="AC530" s="1"/>
      <c r="AD530" s="1"/>
      <c r="AE530" s="1"/>
      <c r="AF530" s="1"/>
    </row>
    <row r="531" spans="1:32" hidden="1" x14ac:dyDescent="0.25">
      <c r="A531" s="1">
        <v>530</v>
      </c>
      <c r="B531" s="1"/>
      <c r="C531" s="1" t="s">
        <v>2786</v>
      </c>
      <c r="D531" s="1" t="s">
        <v>4677</v>
      </c>
      <c r="E531">
        <v>2014</v>
      </c>
      <c r="F531" s="1" t="s">
        <v>116</v>
      </c>
      <c r="G531" s="1" t="s">
        <v>4679</v>
      </c>
      <c r="H531" s="1" t="s">
        <v>846</v>
      </c>
      <c r="I531" s="1" t="s">
        <v>4678</v>
      </c>
      <c r="J531" s="1" t="s">
        <v>1</v>
      </c>
      <c r="K531" s="1" t="s">
        <v>2787</v>
      </c>
      <c r="L531" s="1" t="s">
        <v>1</v>
      </c>
      <c r="M531" s="1" t="s">
        <v>1</v>
      </c>
      <c r="N531" s="1" t="s">
        <v>2789</v>
      </c>
      <c r="O531" s="1" t="s">
        <v>4680</v>
      </c>
      <c r="P531" s="1" t="s">
        <v>2788</v>
      </c>
      <c r="Q531" s="1">
        <v>-1</v>
      </c>
      <c r="R531" s="1"/>
      <c r="S531" s="1"/>
      <c r="T531" s="1"/>
      <c r="U531" s="1"/>
      <c r="V531" s="1"/>
      <c r="W531" s="1"/>
      <c r="X531" s="1"/>
      <c r="Y531" s="1"/>
      <c r="Z531" s="1"/>
      <c r="AA531" s="1"/>
      <c r="AB531" s="1"/>
      <c r="AC531" s="1"/>
      <c r="AD531" s="1"/>
      <c r="AE531" s="1"/>
      <c r="AF531" s="1"/>
    </row>
    <row r="532" spans="1:32" hidden="1" x14ac:dyDescent="0.25">
      <c r="A532" s="1">
        <v>531</v>
      </c>
      <c r="B532" s="1"/>
      <c r="C532" s="1" t="s">
        <v>992</v>
      </c>
      <c r="D532" s="1" t="s">
        <v>991</v>
      </c>
      <c r="E532">
        <v>2009</v>
      </c>
      <c r="F532" s="1" t="s">
        <v>0</v>
      </c>
      <c r="G532" s="1" t="s">
        <v>3310</v>
      </c>
      <c r="H532" s="1" t="s">
        <v>993</v>
      </c>
      <c r="I532" s="1" t="s">
        <v>1</v>
      </c>
      <c r="J532" s="1" t="s">
        <v>1</v>
      </c>
      <c r="K532" s="1" t="s">
        <v>994</v>
      </c>
      <c r="L532" s="1" t="s">
        <v>1</v>
      </c>
      <c r="M532" s="1" t="s">
        <v>1</v>
      </c>
      <c r="N532" s="1" t="s">
        <v>1</v>
      </c>
      <c r="O532" s="1" t="s">
        <v>3311</v>
      </c>
      <c r="P532" s="1" t="s">
        <v>995</v>
      </c>
      <c r="Q532" s="1">
        <v>-1</v>
      </c>
      <c r="R532" s="1"/>
      <c r="S532" s="1"/>
      <c r="T532" s="1"/>
      <c r="U532" s="1"/>
      <c r="V532" s="1"/>
      <c r="W532" s="1"/>
      <c r="X532" s="1"/>
      <c r="Y532" s="1"/>
      <c r="Z532" s="1"/>
      <c r="AA532" s="1"/>
      <c r="AB532" s="1"/>
      <c r="AC532" s="1"/>
      <c r="AD532" s="1"/>
      <c r="AE532" s="1"/>
      <c r="AF532" s="1"/>
    </row>
    <row r="533" spans="1:32" hidden="1" x14ac:dyDescent="0.25">
      <c r="A533" s="1">
        <v>532</v>
      </c>
      <c r="B533" s="1"/>
      <c r="C533" s="1" t="s">
        <v>845</v>
      </c>
      <c r="D533" s="1" t="s">
        <v>3205</v>
      </c>
      <c r="E533">
        <v>2016</v>
      </c>
      <c r="F533" s="1" t="s">
        <v>116</v>
      </c>
      <c r="G533" s="1" t="s">
        <v>3207</v>
      </c>
      <c r="H533" s="1" t="s">
        <v>846</v>
      </c>
      <c r="I533" s="1" t="s">
        <v>3206</v>
      </c>
      <c r="J533" s="1" t="s">
        <v>1</v>
      </c>
      <c r="K533" s="1" t="s">
        <v>847</v>
      </c>
      <c r="L533" s="1" t="s">
        <v>1</v>
      </c>
      <c r="M533" s="1" t="s">
        <v>1</v>
      </c>
      <c r="N533" s="1" t="s">
        <v>849</v>
      </c>
      <c r="O533" s="1" t="s">
        <v>3208</v>
      </c>
      <c r="P533" s="1" t="s">
        <v>848</v>
      </c>
      <c r="Q533" s="1">
        <v>-1</v>
      </c>
      <c r="R533" s="1"/>
      <c r="S533" s="1"/>
      <c r="T533" s="1"/>
      <c r="U533" s="1"/>
      <c r="V533" s="1"/>
      <c r="W533" s="1"/>
      <c r="X533" s="1"/>
      <c r="Y533" s="1"/>
      <c r="Z533" s="1"/>
      <c r="AA533" s="1"/>
      <c r="AB533" s="1"/>
      <c r="AC533" s="1"/>
      <c r="AD533" s="1"/>
      <c r="AE533" s="1"/>
      <c r="AF533" s="1"/>
    </row>
    <row r="534" spans="1:32" hidden="1" x14ac:dyDescent="0.25">
      <c r="A534" s="1">
        <v>533</v>
      </c>
      <c r="B534" s="1"/>
      <c r="C534" s="1" t="s">
        <v>2936</v>
      </c>
      <c r="D534" s="1" t="s">
        <v>4795</v>
      </c>
      <c r="E534">
        <v>2014</v>
      </c>
      <c r="F534" s="1" t="s">
        <v>0</v>
      </c>
      <c r="G534" s="1" t="s">
        <v>4796</v>
      </c>
      <c r="H534" s="1" t="s">
        <v>2937</v>
      </c>
      <c r="I534" s="1" t="s">
        <v>1</v>
      </c>
      <c r="J534" s="1" t="s">
        <v>1</v>
      </c>
      <c r="K534" s="1" t="s">
        <v>3184</v>
      </c>
      <c r="L534" s="1" t="s">
        <v>1</v>
      </c>
      <c r="M534" s="1" t="s">
        <v>1</v>
      </c>
      <c r="N534" s="1" t="s">
        <v>1</v>
      </c>
      <c r="O534" s="1" t="s">
        <v>4797</v>
      </c>
      <c r="P534" s="1" t="s">
        <v>2938</v>
      </c>
      <c r="Q534" s="1">
        <v>-1</v>
      </c>
      <c r="R534" s="1"/>
      <c r="S534" s="1"/>
      <c r="T534" s="1"/>
      <c r="U534" s="1"/>
      <c r="V534" s="1"/>
      <c r="W534" s="1"/>
      <c r="X534" s="1"/>
      <c r="Y534" s="1"/>
      <c r="Z534" s="1"/>
      <c r="AA534" s="1"/>
      <c r="AB534" s="1"/>
      <c r="AC534" s="1"/>
      <c r="AD534" s="1"/>
      <c r="AE534" s="1"/>
      <c r="AF534" s="1"/>
    </row>
    <row r="535" spans="1:32" hidden="1" x14ac:dyDescent="0.25">
      <c r="A535" s="1">
        <v>534</v>
      </c>
      <c r="B535" s="1"/>
      <c r="C535" s="1" t="s">
        <v>2647</v>
      </c>
      <c r="D535" s="1" t="s">
        <v>4569</v>
      </c>
      <c r="E535">
        <v>2006</v>
      </c>
      <c r="F535" s="1" t="s">
        <v>0</v>
      </c>
      <c r="G535" s="1" t="s">
        <v>4570</v>
      </c>
      <c r="H535" s="1" t="s">
        <v>1443</v>
      </c>
      <c r="I535" s="1" t="s">
        <v>1</v>
      </c>
      <c r="J535" s="1" t="s">
        <v>1</v>
      </c>
      <c r="K535" s="1" t="s">
        <v>2648</v>
      </c>
      <c r="L535" s="1" t="s">
        <v>1</v>
      </c>
      <c r="M535" s="1" t="s">
        <v>1</v>
      </c>
      <c r="N535" s="1" t="s">
        <v>1</v>
      </c>
      <c r="O535" s="1" t="s">
        <v>4571</v>
      </c>
      <c r="P535" s="1" t="s">
        <v>2649</v>
      </c>
      <c r="Q535" s="1">
        <v>-1</v>
      </c>
      <c r="R535" s="1"/>
      <c r="S535" s="1"/>
      <c r="T535" s="1"/>
      <c r="U535" s="1"/>
      <c r="V535" s="1"/>
      <c r="W535" s="1"/>
      <c r="X535" s="1"/>
      <c r="Y535" s="1"/>
      <c r="Z535" s="1"/>
      <c r="AA535" s="1"/>
      <c r="AB535" s="1"/>
      <c r="AC535" s="1"/>
      <c r="AD535" s="1"/>
      <c r="AE535" s="1"/>
      <c r="AF535" s="1"/>
    </row>
    <row r="536" spans="1:32" hidden="1" x14ac:dyDescent="0.25">
      <c r="A536" s="1">
        <v>535</v>
      </c>
      <c r="B536" s="1"/>
      <c r="C536" s="1" t="s">
        <v>2650</v>
      </c>
      <c r="D536" s="1" t="s">
        <v>4569</v>
      </c>
      <c r="E536">
        <v>2006</v>
      </c>
      <c r="F536" s="1" t="s">
        <v>0</v>
      </c>
      <c r="G536" s="1" t="s">
        <v>4572</v>
      </c>
      <c r="H536" s="1" t="s">
        <v>1806</v>
      </c>
      <c r="I536" s="1" t="s">
        <v>1</v>
      </c>
      <c r="J536" s="1" t="s">
        <v>1</v>
      </c>
      <c r="K536" s="1" t="s">
        <v>2651</v>
      </c>
      <c r="L536" s="1" t="s">
        <v>1</v>
      </c>
      <c r="M536" s="1" t="s">
        <v>1</v>
      </c>
      <c r="N536" s="1" t="s">
        <v>1</v>
      </c>
      <c r="O536" s="1" t="s">
        <v>4573</v>
      </c>
      <c r="P536" s="1" t="s">
        <v>2652</v>
      </c>
      <c r="Q536" s="1">
        <v>-1</v>
      </c>
      <c r="R536" s="1"/>
      <c r="S536" s="1"/>
      <c r="T536" s="1"/>
      <c r="U536" s="1"/>
      <c r="V536" s="1"/>
      <c r="W536" s="1"/>
      <c r="X536" s="1"/>
      <c r="Y536" s="1"/>
      <c r="Z536" s="1"/>
      <c r="AA536" s="1"/>
      <c r="AB536" s="1"/>
      <c r="AC536" s="1"/>
      <c r="AD536" s="1"/>
      <c r="AE536" s="1"/>
      <c r="AF536" s="1"/>
    </row>
    <row r="537" spans="1:32" hidden="1" x14ac:dyDescent="0.25">
      <c r="A537" s="1">
        <v>536</v>
      </c>
      <c r="B537" s="1"/>
      <c r="C537" s="1" t="s">
        <v>787</v>
      </c>
      <c r="D537" s="1" t="s">
        <v>1</v>
      </c>
      <c r="E537">
        <v>2013</v>
      </c>
      <c r="F537" s="1" t="s">
        <v>116</v>
      </c>
      <c r="G537" s="1" t="s">
        <v>3167</v>
      </c>
      <c r="H537" s="1" t="s">
        <v>788</v>
      </c>
      <c r="I537" s="1" t="s">
        <v>3165</v>
      </c>
      <c r="J537" s="1" t="s">
        <v>3166</v>
      </c>
      <c r="K537" s="1" t="s">
        <v>789</v>
      </c>
      <c r="L537" s="1" t="s">
        <v>1</v>
      </c>
      <c r="M537" s="1" t="s">
        <v>1</v>
      </c>
      <c r="N537" s="1" t="s">
        <v>1</v>
      </c>
      <c r="O537" s="1" t="s">
        <v>1</v>
      </c>
      <c r="P537" s="1" t="s">
        <v>790</v>
      </c>
      <c r="Q537" s="1">
        <v>-1</v>
      </c>
      <c r="R537" s="1"/>
      <c r="S537" s="1"/>
      <c r="T537" s="1"/>
      <c r="U537" s="1"/>
      <c r="V537" s="1"/>
      <c r="W537" s="1"/>
      <c r="X537" s="1"/>
      <c r="Y537" s="1"/>
      <c r="Z537" s="1"/>
      <c r="AA537" s="1"/>
      <c r="AB537" s="1"/>
      <c r="AC537" s="1"/>
      <c r="AD537" s="1"/>
      <c r="AE537" s="1"/>
      <c r="AF537" s="1"/>
    </row>
    <row r="538" spans="1:32" hidden="1" x14ac:dyDescent="0.25">
      <c r="A538" s="1">
        <v>537</v>
      </c>
      <c r="B538" s="1"/>
      <c r="C538" s="1" t="s">
        <v>791</v>
      </c>
      <c r="D538" s="1" t="s">
        <v>1</v>
      </c>
      <c r="E538">
        <v>2016</v>
      </c>
      <c r="F538" s="1" t="s">
        <v>116</v>
      </c>
      <c r="G538" s="1" t="s">
        <v>3177</v>
      </c>
      <c r="H538" s="1" t="s">
        <v>811</v>
      </c>
      <c r="I538" s="1" t="s">
        <v>1</v>
      </c>
      <c r="J538" s="1" t="s">
        <v>1</v>
      </c>
      <c r="K538" s="1" t="s">
        <v>3176</v>
      </c>
      <c r="L538" s="1" t="s">
        <v>1</v>
      </c>
      <c r="M538" s="1" t="s">
        <v>1</v>
      </c>
      <c r="N538" s="1" t="s">
        <v>1</v>
      </c>
      <c r="O538" s="1" t="s">
        <v>3178</v>
      </c>
      <c r="P538" s="1" t="s">
        <v>812</v>
      </c>
      <c r="Q538" s="1">
        <v>-1</v>
      </c>
      <c r="R538" s="1"/>
      <c r="S538" s="1"/>
      <c r="T538" s="1"/>
      <c r="U538" s="1"/>
      <c r="V538" s="1"/>
      <c r="W538" s="1"/>
      <c r="X538" s="1"/>
      <c r="Y538" s="1"/>
      <c r="Z538" s="1"/>
      <c r="AA538" s="1"/>
      <c r="AB538" s="1"/>
      <c r="AC538" s="1"/>
      <c r="AD538" s="1"/>
      <c r="AE538" s="1"/>
      <c r="AF538" s="1"/>
    </row>
    <row r="539" spans="1:32" hidden="1" x14ac:dyDescent="0.25">
      <c r="A539" s="1">
        <v>538</v>
      </c>
      <c r="B539" s="1"/>
      <c r="C539" s="1" t="s">
        <v>791</v>
      </c>
      <c r="D539" s="1" t="s">
        <v>1</v>
      </c>
      <c r="E539">
        <v>2013</v>
      </c>
      <c r="F539" s="1" t="s">
        <v>116</v>
      </c>
      <c r="G539" s="1" t="s">
        <v>3169</v>
      </c>
      <c r="H539" s="1" t="s">
        <v>792</v>
      </c>
      <c r="I539" s="1" t="s">
        <v>1</v>
      </c>
      <c r="J539" s="1" t="s">
        <v>1</v>
      </c>
      <c r="K539" s="1" t="s">
        <v>3168</v>
      </c>
      <c r="L539" s="1" t="s">
        <v>1</v>
      </c>
      <c r="M539" s="1" t="s">
        <v>1</v>
      </c>
      <c r="N539" s="1" t="s">
        <v>1</v>
      </c>
      <c r="O539" s="1" t="s">
        <v>3170</v>
      </c>
      <c r="P539" s="1" t="s">
        <v>793</v>
      </c>
      <c r="Q539" s="1">
        <v>-1</v>
      </c>
      <c r="R539" s="1"/>
      <c r="S539" s="1"/>
      <c r="T539" s="1"/>
      <c r="U539" s="1"/>
      <c r="V539" s="1"/>
      <c r="W539" s="1"/>
      <c r="X539" s="1"/>
      <c r="Y539" s="1"/>
      <c r="Z539" s="1"/>
      <c r="AA539" s="1"/>
      <c r="AB539" s="1"/>
      <c r="AC539" s="1"/>
      <c r="AD539" s="1"/>
      <c r="AE539" s="1"/>
      <c r="AF539" s="1"/>
    </row>
    <row r="540" spans="1:32" hidden="1" x14ac:dyDescent="0.25">
      <c r="A540" s="1">
        <v>539</v>
      </c>
      <c r="B540" s="1"/>
      <c r="C540" s="1" t="s">
        <v>1797</v>
      </c>
      <c r="D540" s="1" t="s">
        <v>1796</v>
      </c>
      <c r="E540">
        <v>2015</v>
      </c>
      <c r="F540" s="1" t="s">
        <v>138</v>
      </c>
      <c r="G540" s="1" t="s">
        <v>3893</v>
      </c>
      <c r="H540" s="1" t="s">
        <v>1798</v>
      </c>
      <c r="I540" s="1" t="s">
        <v>1</v>
      </c>
      <c r="J540" s="1" t="s">
        <v>1</v>
      </c>
      <c r="K540" s="1" t="s">
        <v>1800</v>
      </c>
      <c r="L540" s="1" t="s">
        <v>1799</v>
      </c>
      <c r="M540" s="1" t="s">
        <v>1</v>
      </c>
      <c r="N540" s="1" t="s">
        <v>1802</v>
      </c>
      <c r="O540" s="1" t="s">
        <v>1</v>
      </c>
      <c r="P540" s="1" t="s">
        <v>1801</v>
      </c>
      <c r="Q540" s="1">
        <v>-1</v>
      </c>
      <c r="R540" s="1"/>
      <c r="S540" s="1"/>
      <c r="T540" s="1"/>
      <c r="U540" s="1"/>
      <c r="V540" s="1"/>
      <c r="W540" s="1"/>
      <c r="X540" s="1"/>
      <c r="Y540" s="1"/>
      <c r="Z540" s="1"/>
      <c r="AA540" s="1"/>
      <c r="AB540" s="1"/>
      <c r="AC540" s="1"/>
      <c r="AD540" s="1"/>
      <c r="AE540" s="1"/>
      <c r="AF540" s="1"/>
    </row>
    <row r="541" spans="1:32" hidden="1" x14ac:dyDescent="0.25">
      <c r="A541" s="1">
        <v>540</v>
      </c>
      <c r="B541" s="1"/>
      <c r="C541" s="1" t="s">
        <v>1565</v>
      </c>
      <c r="D541" s="1" t="s">
        <v>3725</v>
      </c>
      <c r="E541">
        <v>2017</v>
      </c>
      <c r="F541" s="1" t="s">
        <v>0</v>
      </c>
      <c r="G541" s="1" t="s">
        <v>3726</v>
      </c>
      <c r="H541" s="1" t="s">
        <v>1566</v>
      </c>
      <c r="I541" s="1" t="s">
        <v>1</v>
      </c>
      <c r="J541" s="1" t="s">
        <v>1</v>
      </c>
      <c r="K541" s="1" t="s">
        <v>3195</v>
      </c>
      <c r="L541" s="1" t="s">
        <v>1</v>
      </c>
      <c r="M541" s="1" t="s">
        <v>1</v>
      </c>
      <c r="N541" s="1" t="s">
        <v>1</v>
      </c>
      <c r="O541" s="1" t="s">
        <v>3727</v>
      </c>
      <c r="P541" s="1" t="s">
        <v>1567</v>
      </c>
      <c r="Q541" s="1">
        <v>-1</v>
      </c>
      <c r="R541" s="1"/>
      <c r="S541" s="1"/>
      <c r="T541" s="1"/>
      <c r="U541" s="1"/>
      <c r="V541" s="1"/>
      <c r="W541" s="1"/>
      <c r="X541" s="1"/>
      <c r="Y541" s="1"/>
      <c r="Z541" s="1"/>
      <c r="AA541" s="1"/>
      <c r="AB541" s="1"/>
      <c r="AC541" s="1"/>
      <c r="AD541" s="1"/>
      <c r="AE541" s="1"/>
      <c r="AF541" s="1"/>
    </row>
    <row r="542" spans="1:32" hidden="1" x14ac:dyDescent="0.25">
      <c r="A542" s="1">
        <v>541</v>
      </c>
      <c r="B542" s="1"/>
      <c r="C542" s="1" t="s">
        <v>859</v>
      </c>
      <c r="D542" s="1" t="s">
        <v>3213</v>
      </c>
      <c r="E542">
        <v>2013</v>
      </c>
      <c r="F542" s="1" t="s">
        <v>138</v>
      </c>
      <c r="G542" s="1" t="s">
        <v>3214</v>
      </c>
      <c r="H542" s="1" t="s">
        <v>860</v>
      </c>
      <c r="I542" s="1" t="s">
        <v>1</v>
      </c>
      <c r="J542" s="1" t="s">
        <v>1</v>
      </c>
      <c r="K542" s="1" t="s">
        <v>862</v>
      </c>
      <c r="L542" s="1" t="s">
        <v>861</v>
      </c>
      <c r="M542" s="1" t="s">
        <v>1</v>
      </c>
      <c r="N542" s="1" t="s">
        <v>864</v>
      </c>
      <c r="O542" s="1" t="s">
        <v>1</v>
      </c>
      <c r="P542" s="1" t="s">
        <v>863</v>
      </c>
      <c r="Q542" s="1">
        <v>-1</v>
      </c>
      <c r="R542" s="1"/>
      <c r="S542" s="1"/>
      <c r="T542" s="1"/>
      <c r="U542" s="1"/>
      <c r="V542" s="1"/>
      <c r="W542" s="1"/>
      <c r="X542" s="1"/>
      <c r="Y542" s="1"/>
      <c r="Z542" s="1"/>
      <c r="AA542" s="1"/>
      <c r="AB542" s="1"/>
      <c r="AC542" s="1"/>
      <c r="AD542" s="1"/>
      <c r="AE542" s="1"/>
      <c r="AF542" s="1"/>
    </row>
    <row r="543" spans="1:32" hidden="1" x14ac:dyDescent="0.25">
      <c r="A543" s="1">
        <v>542</v>
      </c>
      <c r="B543" s="1"/>
      <c r="C543" s="1" t="s">
        <v>868</v>
      </c>
      <c r="D543" s="1" t="s">
        <v>3218</v>
      </c>
      <c r="E543">
        <v>2013</v>
      </c>
      <c r="F543" s="1" t="s">
        <v>0</v>
      </c>
      <c r="G543" s="1" t="s">
        <v>3219</v>
      </c>
      <c r="H543" s="1" t="s">
        <v>869</v>
      </c>
      <c r="I543" s="1" t="s">
        <v>1</v>
      </c>
      <c r="J543" s="1" t="s">
        <v>1</v>
      </c>
      <c r="K543" s="1" t="s">
        <v>3184</v>
      </c>
      <c r="L543" s="1" t="s">
        <v>1</v>
      </c>
      <c r="M543" s="1" t="s">
        <v>1</v>
      </c>
      <c r="N543" s="1" t="s">
        <v>1</v>
      </c>
      <c r="O543" s="1" t="s">
        <v>3220</v>
      </c>
      <c r="P543" s="1" t="s">
        <v>870</v>
      </c>
      <c r="Q543" s="1">
        <v>-1</v>
      </c>
      <c r="R543" s="1"/>
      <c r="S543" s="1"/>
      <c r="T543" s="1"/>
      <c r="U543" s="1"/>
      <c r="V543" s="1"/>
      <c r="W543" s="1"/>
      <c r="X543" s="1"/>
      <c r="Y543" s="1"/>
      <c r="Z543" s="1"/>
      <c r="AA543" s="1"/>
      <c r="AB543" s="1"/>
      <c r="AC543" s="1"/>
      <c r="AD543" s="1"/>
      <c r="AE543" s="1"/>
      <c r="AF543" s="1"/>
    </row>
    <row r="544" spans="1:32" hidden="1" x14ac:dyDescent="0.25">
      <c r="A544" s="1">
        <v>543</v>
      </c>
      <c r="B544" s="1"/>
      <c r="C544" s="1" t="s">
        <v>2329</v>
      </c>
      <c r="D544" s="1" t="s">
        <v>4310</v>
      </c>
      <c r="E544">
        <v>2017</v>
      </c>
      <c r="F544" s="1" t="s">
        <v>0</v>
      </c>
      <c r="G544" s="1" t="s">
        <v>4311</v>
      </c>
      <c r="H544" s="1" t="s">
        <v>2330</v>
      </c>
      <c r="I544" s="1" t="s">
        <v>3141</v>
      </c>
      <c r="J544" s="1" t="s">
        <v>1</v>
      </c>
      <c r="K544" s="1" t="s">
        <v>2331</v>
      </c>
      <c r="L544" s="1" t="s">
        <v>1</v>
      </c>
      <c r="M544" s="1" t="s">
        <v>1</v>
      </c>
      <c r="N544" s="1" t="s">
        <v>1</v>
      </c>
      <c r="O544" s="1" t="s">
        <v>4312</v>
      </c>
      <c r="P544" s="1" t="s">
        <v>2332</v>
      </c>
      <c r="Q544" s="1">
        <v>-1</v>
      </c>
      <c r="R544" s="1"/>
      <c r="S544" s="1"/>
      <c r="T544" s="1"/>
      <c r="U544" s="1"/>
      <c r="V544" s="1"/>
      <c r="W544" s="1"/>
      <c r="X544" s="1"/>
      <c r="Y544" s="1"/>
      <c r="Z544" s="1"/>
      <c r="AA544" s="1"/>
      <c r="AB544" s="1"/>
      <c r="AC544" s="1"/>
      <c r="AD544" s="1"/>
      <c r="AE544" s="1"/>
      <c r="AF544" s="1"/>
    </row>
    <row r="545" spans="1:32" hidden="1" x14ac:dyDescent="0.25">
      <c r="A545" s="1">
        <v>544</v>
      </c>
      <c r="B545" s="1"/>
      <c r="C545" s="1" t="s">
        <v>855</v>
      </c>
      <c r="D545" s="1" t="s">
        <v>854</v>
      </c>
      <c r="E545">
        <v>2012</v>
      </c>
      <c r="F545" s="1" t="s">
        <v>0</v>
      </c>
      <c r="G545" s="1" t="s">
        <v>1</v>
      </c>
      <c r="H545" s="1" t="s">
        <v>1</v>
      </c>
      <c r="I545" s="1" t="s">
        <v>3174</v>
      </c>
      <c r="J545" s="1" t="s">
        <v>1</v>
      </c>
      <c r="K545" s="1" t="s">
        <v>856</v>
      </c>
      <c r="L545" s="1" t="s">
        <v>1</v>
      </c>
      <c r="M545" s="1" t="s">
        <v>1</v>
      </c>
      <c r="N545" s="1" t="s">
        <v>858</v>
      </c>
      <c r="O545" s="1" t="s">
        <v>3212</v>
      </c>
      <c r="P545" s="1" t="s">
        <v>857</v>
      </c>
      <c r="Q545" s="1">
        <v>-1</v>
      </c>
      <c r="R545" s="1"/>
      <c r="S545" s="1"/>
      <c r="T545" s="1"/>
      <c r="U545" s="1"/>
      <c r="V545" s="1"/>
      <c r="W545" s="1"/>
      <c r="X545" s="1"/>
      <c r="Y545" s="1"/>
      <c r="Z545" s="1"/>
      <c r="AA545" s="1"/>
      <c r="AB545" s="1"/>
      <c r="AC545" s="1"/>
      <c r="AD545" s="1"/>
      <c r="AE545" s="1"/>
      <c r="AF545" s="1"/>
    </row>
    <row r="546" spans="1:32" hidden="1" x14ac:dyDescent="0.25">
      <c r="A546" s="1">
        <v>545</v>
      </c>
      <c r="B546" s="1"/>
      <c r="C546" s="1" t="s">
        <v>1339</v>
      </c>
      <c r="D546" s="1" t="s">
        <v>1338</v>
      </c>
      <c r="E546">
        <v>2014</v>
      </c>
      <c r="F546" s="1" t="s">
        <v>127</v>
      </c>
      <c r="G546" s="1" t="s">
        <v>3542</v>
      </c>
      <c r="H546" s="1" t="s">
        <v>1340</v>
      </c>
      <c r="I546" s="1" t="s">
        <v>1</v>
      </c>
      <c r="J546" s="1" t="s">
        <v>1</v>
      </c>
      <c r="K546" s="1" t="s">
        <v>1341</v>
      </c>
      <c r="L546" s="1" t="s">
        <v>447</v>
      </c>
      <c r="M546" s="1" t="s">
        <v>1</v>
      </c>
      <c r="N546" s="1" t="s">
        <v>1343</v>
      </c>
      <c r="O546" s="1" t="s">
        <v>1</v>
      </c>
      <c r="P546" s="1" t="s">
        <v>1342</v>
      </c>
      <c r="Q546" s="1">
        <v>-1</v>
      </c>
      <c r="R546" s="1"/>
      <c r="S546" s="1"/>
      <c r="T546" s="1"/>
      <c r="U546" s="1"/>
      <c r="V546" s="1"/>
      <c r="W546" s="1"/>
      <c r="X546" s="1"/>
      <c r="Y546" s="1"/>
      <c r="Z546" s="1"/>
      <c r="AA546" s="1"/>
      <c r="AB546" s="1"/>
      <c r="AC546" s="1"/>
      <c r="AD546" s="1"/>
      <c r="AE546" s="1"/>
      <c r="AF546" s="1"/>
    </row>
    <row r="547" spans="1:32" hidden="1" x14ac:dyDescent="0.25">
      <c r="A547" s="1">
        <v>546</v>
      </c>
      <c r="B547" s="1"/>
      <c r="C547" s="1" t="s">
        <v>2970</v>
      </c>
      <c r="D547" s="1" t="s">
        <v>2969</v>
      </c>
      <c r="E547">
        <v>2010</v>
      </c>
      <c r="F547" s="1" t="s">
        <v>0</v>
      </c>
      <c r="G547" s="1" t="s">
        <v>4825</v>
      </c>
      <c r="H547" s="1" t="s">
        <v>2971</v>
      </c>
      <c r="I547" s="1" t="s">
        <v>1</v>
      </c>
      <c r="J547" s="1" t="s">
        <v>1</v>
      </c>
      <c r="K547" s="1" t="s">
        <v>2972</v>
      </c>
      <c r="L547" s="1" t="s">
        <v>1</v>
      </c>
      <c r="M547" s="1" t="s">
        <v>1</v>
      </c>
      <c r="N547" s="1" t="s">
        <v>1</v>
      </c>
      <c r="O547" s="1" t="s">
        <v>4826</v>
      </c>
      <c r="P547" s="1" t="s">
        <v>2973</v>
      </c>
      <c r="Q547" s="1">
        <v>-1</v>
      </c>
      <c r="R547" s="1"/>
      <c r="S547" s="1"/>
      <c r="T547" s="1"/>
      <c r="U547" s="1"/>
      <c r="V547" s="1"/>
      <c r="W547" s="1"/>
      <c r="X547" s="1"/>
      <c r="Y547" s="1"/>
      <c r="Z547" s="1"/>
      <c r="AA547" s="1"/>
      <c r="AB547" s="1"/>
      <c r="AC547" s="1"/>
      <c r="AD547" s="1"/>
      <c r="AE547" s="1"/>
      <c r="AF547" s="1"/>
    </row>
    <row r="548" spans="1:32" hidden="1" x14ac:dyDescent="0.25">
      <c r="A548" s="1">
        <v>547</v>
      </c>
      <c r="B548" s="1"/>
      <c r="C548" s="1" t="s">
        <v>808</v>
      </c>
      <c r="D548" s="1" t="s">
        <v>1</v>
      </c>
      <c r="E548">
        <v>2015</v>
      </c>
      <c r="F548" s="1" t="s">
        <v>127</v>
      </c>
      <c r="G548" s="1" t="s">
        <v>3175</v>
      </c>
      <c r="H548" s="1" t="s">
        <v>800</v>
      </c>
      <c r="I548" s="1" t="s">
        <v>1</v>
      </c>
      <c r="J548" s="1" t="s">
        <v>1</v>
      </c>
      <c r="K548" s="1" t="s">
        <v>809</v>
      </c>
      <c r="L548" s="1" t="s">
        <v>688</v>
      </c>
      <c r="M548" s="1" t="s">
        <v>776</v>
      </c>
      <c r="N548" s="1" t="s">
        <v>810</v>
      </c>
      <c r="O548" s="1" t="s">
        <v>1</v>
      </c>
      <c r="P548" s="1" t="s">
        <v>1</v>
      </c>
      <c r="Q548" s="1">
        <v>-1</v>
      </c>
      <c r="R548" s="1"/>
      <c r="S548" s="1"/>
      <c r="T548" s="1"/>
      <c r="U548" s="1"/>
      <c r="V548" s="1"/>
      <c r="W548" s="1"/>
      <c r="X548" s="1"/>
      <c r="Y548" s="1"/>
      <c r="Z548" s="1"/>
      <c r="AA548" s="1"/>
      <c r="AB548" s="1"/>
      <c r="AC548" s="1"/>
      <c r="AD548" s="1"/>
      <c r="AE548" s="1"/>
      <c r="AF548" s="1"/>
    </row>
    <row r="549" spans="1:32" x14ac:dyDescent="0.25">
      <c r="A549" s="1">
        <v>548</v>
      </c>
      <c r="B549" s="1">
        <v>31</v>
      </c>
      <c r="C549" s="5" t="s">
        <v>1516</v>
      </c>
      <c r="D549" s="1" t="s">
        <v>3689</v>
      </c>
      <c r="E549">
        <v>2014</v>
      </c>
      <c r="F549" s="1" t="s">
        <v>0</v>
      </c>
      <c r="G549" s="1" t="s">
        <v>3690</v>
      </c>
      <c r="H549" s="1" t="s">
        <v>1517</v>
      </c>
      <c r="I549" s="1" t="s">
        <v>1</v>
      </c>
      <c r="J549" s="1" t="s">
        <v>1</v>
      </c>
      <c r="K549" s="1" t="s">
        <v>1518</v>
      </c>
      <c r="L549" s="1" t="s">
        <v>1</v>
      </c>
      <c r="M549" s="1" t="s">
        <v>1</v>
      </c>
      <c r="N549" s="1" t="s">
        <v>1</v>
      </c>
      <c r="O549" s="1" t="s">
        <v>3691</v>
      </c>
      <c r="P549" s="1" t="s">
        <v>1519</v>
      </c>
      <c r="Q549" s="1">
        <v>1</v>
      </c>
      <c r="R549" s="1">
        <v>1</v>
      </c>
      <c r="S549" s="1">
        <v>6.5</v>
      </c>
      <c r="T549" s="1" t="s">
        <v>728</v>
      </c>
      <c r="U549" s="1" t="s">
        <v>5062</v>
      </c>
      <c r="V549" s="1" t="s">
        <v>5000</v>
      </c>
      <c r="W549" s="1" t="s">
        <v>4974</v>
      </c>
      <c r="X549" s="1" t="s">
        <v>658</v>
      </c>
      <c r="Y549" s="1" t="s">
        <v>834</v>
      </c>
      <c r="Z549" s="1" t="s">
        <v>726</v>
      </c>
      <c r="AA549" s="1" t="s">
        <v>5006</v>
      </c>
      <c r="AB549" s="1">
        <v>4</v>
      </c>
      <c r="AC549" s="1">
        <v>5</v>
      </c>
      <c r="AD549" s="1">
        <v>1</v>
      </c>
      <c r="AE549" s="1">
        <v>3</v>
      </c>
      <c r="AF549" s="1"/>
    </row>
    <row r="550" spans="1:32" hidden="1" x14ac:dyDescent="0.25">
      <c r="A550" s="1">
        <v>549</v>
      </c>
      <c r="B550" s="1"/>
      <c r="C550" s="1" t="s">
        <v>879</v>
      </c>
      <c r="D550" s="1" t="s">
        <v>3227</v>
      </c>
      <c r="E550">
        <v>2013</v>
      </c>
      <c r="F550" s="1" t="s">
        <v>116</v>
      </c>
      <c r="G550" s="1" t="s">
        <v>3229</v>
      </c>
      <c r="H550" s="1" t="s">
        <v>880</v>
      </c>
      <c r="I550" s="1" t="s">
        <v>3228</v>
      </c>
      <c r="J550" s="1" t="s">
        <v>3141</v>
      </c>
      <c r="K550" s="1" t="s">
        <v>881</v>
      </c>
      <c r="L550" s="1" t="s">
        <v>1</v>
      </c>
      <c r="M550" s="1" t="s">
        <v>1</v>
      </c>
      <c r="N550" s="1" t="s">
        <v>883</v>
      </c>
      <c r="O550" s="1" t="s">
        <v>3230</v>
      </c>
      <c r="P550" s="1" t="s">
        <v>882</v>
      </c>
      <c r="Q550" s="1">
        <v>-1</v>
      </c>
      <c r="R550" s="1"/>
      <c r="S550" s="1"/>
      <c r="T550" s="1"/>
      <c r="U550" s="1"/>
      <c r="V550" s="1"/>
      <c r="W550" s="1"/>
      <c r="X550" s="1"/>
      <c r="Y550" s="1"/>
      <c r="Z550" s="1"/>
      <c r="AA550" s="1"/>
      <c r="AB550" s="1"/>
      <c r="AC550" s="1"/>
      <c r="AD550" s="1"/>
      <c r="AE550" s="1"/>
      <c r="AF550" s="1"/>
    </row>
    <row r="551" spans="1:32" hidden="1" x14ac:dyDescent="0.25">
      <c r="A551" s="1">
        <v>550</v>
      </c>
      <c r="B551" s="1"/>
      <c r="C551" s="1" t="s">
        <v>2719</v>
      </c>
      <c r="D551" s="1" t="s">
        <v>4626</v>
      </c>
      <c r="E551">
        <v>2004</v>
      </c>
      <c r="F551" s="1" t="s">
        <v>0</v>
      </c>
      <c r="G551" s="1" t="s">
        <v>4627</v>
      </c>
      <c r="H551" s="1" t="s">
        <v>2720</v>
      </c>
      <c r="I551" s="1" t="s">
        <v>1</v>
      </c>
      <c r="J551" s="1" t="s">
        <v>1</v>
      </c>
      <c r="K551" s="1" t="s">
        <v>2721</v>
      </c>
      <c r="L551" s="1" t="s">
        <v>1</v>
      </c>
      <c r="M551" s="1" t="s">
        <v>1</v>
      </c>
      <c r="N551" s="1" t="s">
        <v>1</v>
      </c>
      <c r="O551" s="1" t="s">
        <v>4628</v>
      </c>
      <c r="P551" s="1" t="s">
        <v>2722</v>
      </c>
      <c r="Q551" s="1">
        <v>-1</v>
      </c>
      <c r="R551" s="1"/>
      <c r="S551" s="1"/>
      <c r="T551" s="1"/>
      <c r="U551" s="1"/>
      <c r="V551" s="1"/>
      <c r="W551" s="1"/>
      <c r="X551" s="1"/>
      <c r="Y551" s="1"/>
      <c r="Z551" s="1"/>
      <c r="AA551" s="1"/>
      <c r="AB551" s="1"/>
      <c r="AC551" s="1"/>
      <c r="AD551" s="1"/>
      <c r="AE551" s="1"/>
      <c r="AF551" s="1"/>
    </row>
    <row r="552" spans="1:32" hidden="1" x14ac:dyDescent="0.25">
      <c r="A552" s="1">
        <v>551</v>
      </c>
      <c r="B552" s="1"/>
      <c r="C552" s="1" t="s">
        <v>891</v>
      </c>
      <c r="D552" s="1" t="s">
        <v>3234</v>
      </c>
      <c r="E552">
        <v>2015</v>
      </c>
      <c r="F552" s="1" t="s">
        <v>244</v>
      </c>
      <c r="G552" s="1" t="s">
        <v>3236</v>
      </c>
      <c r="H552" s="1" t="s">
        <v>892</v>
      </c>
      <c r="I552" s="1" t="s">
        <v>3235</v>
      </c>
      <c r="J552" s="1" t="s">
        <v>1</v>
      </c>
      <c r="K552" s="1" t="s">
        <v>893</v>
      </c>
      <c r="L552" s="1" t="s">
        <v>247</v>
      </c>
      <c r="M552" s="1" t="s">
        <v>1</v>
      </c>
      <c r="N552" s="1" t="s">
        <v>895</v>
      </c>
      <c r="O552" s="1" t="s">
        <v>3237</v>
      </c>
      <c r="P552" s="1" t="s">
        <v>894</v>
      </c>
      <c r="Q552" s="1">
        <v>-1</v>
      </c>
      <c r="R552" s="1"/>
      <c r="S552" s="1"/>
      <c r="T552" s="1"/>
      <c r="U552" s="1"/>
      <c r="V552" s="1"/>
      <c r="W552" s="1"/>
      <c r="X552" s="1"/>
      <c r="Y552" s="1"/>
      <c r="Z552" s="1"/>
      <c r="AA552" s="1"/>
      <c r="AB552" s="1"/>
      <c r="AC552" s="1"/>
      <c r="AD552" s="1"/>
      <c r="AE552" s="1"/>
      <c r="AF552" s="1"/>
    </row>
    <row r="553" spans="1:32" x14ac:dyDescent="0.25">
      <c r="A553" s="1">
        <v>552</v>
      </c>
      <c r="B553" s="1">
        <v>32</v>
      </c>
      <c r="C553" s="1" t="s">
        <v>1591</v>
      </c>
      <c r="D553" s="1" t="s">
        <v>3752</v>
      </c>
      <c r="E553">
        <v>2011</v>
      </c>
      <c r="F553" s="1" t="s">
        <v>0</v>
      </c>
      <c r="G553" s="1" t="s">
        <v>3753</v>
      </c>
      <c r="H553" s="1" t="s">
        <v>1592</v>
      </c>
      <c r="I553" s="1" t="s">
        <v>1</v>
      </c>
      <c r="J553" s="1" t="s">
        <v>1</v>
      </c>
      <c r="K553" s="1" t="s">
        <v>1590</v>
      </c>
      <c r="L553" s="1" t="s">
        <v>1</v>
      </c>
      <c r="M553" s="1" t="s">
        <v>1</v>
      </c>
      <c r="N553" s="1" t="s">
        <v>1</v>
      </c>
      <c r="O553" s="1" t="s">
        <v>3754</v>
      </c>
      <c r="P553" s="1" t="s">
        <v>1593</v>
      </c>
      <c r="Q553" s="1">
        <v>1</v>
      </c>
      <c r="R553" s="1">
        <v>1</v>
      </c>
      <c r="S553" s="1">
        <v>5</v>
      </c>
      <c r="T553" s="1" t="s">
        <v>5064</v>
      </c>
      <c r="U553" s="1" t="s">
        <v>5065</v>
      </c>
      <c r="V553" s="1" t="s">
        <v>5000</v>
      </c>
      <c r="W553" s="1" t="s">
        <v>4974</v>
      </c>
      <c r="X553" s="1" t="s">
        <v>658</v>
      </c>
      <c r="Y553" s="1" t="s">
        <v>5066</v>
      </c>
      <c r="Z553" s="1"/>
      <c r="AA553" s="1" t="s">
        <v>5007</v>
      </c>
      <c r="AB553" s="1">
        <v>5</v>
      </c>
      <c r="AC553" s="1">
        <v>5</v>
      </c>
      <c r="AD553" s="1">
        <v>3</v>
      </c>
      <c r="AE553" s="1">
        <v>4</v>
      </c>
      <c r="AF553" s="1"/>
    </row>
    <row r="554" spans="1:32" hidden="1" x14ac:dyDescent="0.25">
      <c r="A554" s="1">
        <v>553</v>
      </c>
      <c r="B554" s="1"/>
      <c r="C554" s="1" t="s">
        <v>2423</v>
      </c>
      <c r="D554" s="1" t="s">
        <v>2422</v>
      </c>
      <c r="E554">
        <v>2006</v>
      </c>
      <c r="F554" s="1" t="s">
        <v>0</v>
      </c>
      <c r="G554" s="1" t="s">
        <v>4382</v>
      </c>
      <c r="H554" s="1" t="s">
        <v>2049</v>
      </c>
      <c r="I554" s="1" t="s">
        <v>3732</v>
      </c>
      <c r="J554" s="1" t="s">
        <v>1</v>
      </c>
      <c r="K554" s="1" t="s">
        <v>2424</v>
      </c>
      <c r="L554" s="1" t="s">
        <v>1</v>
      </c>
      <c r="M554" s="1" t="s">
        <v>1</v>
      </c>
      <c r="N554" s="1" t="s">
        <v>1</v>
      </c>
      <c r="O554" s="1" t="s">
        <v>4383</v>
      </c>
      <c r="P554" s="1" t="s">
        <v>4384</v>
      </c>
      <c r="Q554" s="1">
        <v>-1</v>
      </c>
      <c r="R554" s="1"/>
      <c r="S554" s="1"/>
      <c r="T554" s="1"/>
      <c r="U554" s="1"/>
      <c r="V554" s="1"/>
      <c r="W554" s="1"/>
      <c r="X554" s="1"/>
      <c r="Y554" s="1"/>
      <c r="Z554" s="1"/>
      <c r="AA554" s="1"/>
      <c r="AB554" s="1"/>
      <c r="AC554" s="1"/>
      <c r="AD554" s="1"/>
      <c r="AE554" s="1"/>
      <c r="AF554" s="1"/>
    </row>
    <row r="555" spans="1:32" hidden="1" x14ac:dyDescent="0.25">
      <c r="A555" s="1">
        <v>554</v>
      </c>
      <c r="B555" s="1"/>
      <c r="C555" s="1" t="s">
        <v>2984</v>
      </c>
      <c r="D555" s="1" t="s">
        <v>4836</v>
      </c>
      <c r="E555">
        <v>2017</v>
      </c>
      <c r="F555" s="1" t="s">
        <v>0</v>
      </c>
      <c r="G555" s="1" t="s">
        <v>4837</v>
      </c>
      <c r="H555" s="1" t="s">
        <v>2985</v>
      </c>
      <c r="I555" s="1" t="s">
        <v>1</v>
      </c>
      <c r="J555" s="1" t="s">
        <v>1</v>
      </c>
      <c r="K555" s="1" t="s">
        <v>2986</v>
      </c>
      <c r="L555" s="1" t="s">
        <v>1</v>
      </c>
      <c r="M555" s="1" t="s">
        <v>1</v>
      </c>
      <c r="N555" s="1" t="s">
        <v>1</v>
      </c>
      <c r="O555" s="1" t="s">
        <v>4838</v>
      </c>
      <c r="P555" s="1" t="s">
        <v>2987</v>
      </c>
      <c r="Q555" s="1">
        <v>-1</v>
      </c>
      <c r="R555" s="1"/>
      <c r="S555" s="1"/>
      <c r="T555" s="1"/>
      <c r="U555" s="1"/>
      <c r="V555" s="1"/>
      <c r="W555" s="1"/>
      <c r="X555" s="1"/>
      <c r="Y555" s="1"/>
      <c r="Z555" s="1"/>
      <c r="AA555" s="1"/>
      <c r="AB555" s="1"/>
      <c r="AC555" s="1"/>
      <c r="AD555" s="1"/>
      <c r="AE555" s="1"/>
      <c r="AF555" s="1"/>
    </row>
    <row r="556" spans="1:32" hidden="1" x14ac:dyDescent="0.25">
      <c r="A556" s="1">
        <v>555</v>
      </c>
      <c r="B556" s="1"/>
      <c r="C556" s="1" t="s">
        <v>767</v>
      </c>
      <c r="D556" s="1" t="s">
        <v>1</v>
      </c>
      <c r="E556">
        <v>2009</v>
      </c>
      <c r="F556" s="1" t="s">
        <v>116</v>
      </c>
      <c r="G556" s="1" t="s">
        <v>1</v>
      </c>
      <c r="H556" s="1" t="s">
        <v>768</v>
      </c>
      <c r="I556" s="1" t="s">
        <v>1</v>
      </c>
      <c r="J556" s="1" t="s">
        <v>1</v>
      </c>
      <c r="K556" s="1" t="s">
        <v>3141</v>
      </c>
      <c r="L556" s="1" t="s">
        <v>1</v>
      </c>
      <c r="M556" s="1" t="s">
        <v>1</v>
      </c>
      <c r="N556" s="1" t="s">
        <v>1</v>
      </c>
      <c r="O556" s="1" t="s">
        <v>3152</v>
      </c>
      <c r="P556" s="1" t="s">
        <v>3153</v>
      </c>
      <c r="Q556" s="1">
        <v>-1</v>
      </c>
      <c r="R556" s="1"/>
      <c r="S556" s="1"/>
      <c r="T556" s="1"/>
      <c r="U556" s="1"/>
      <c r="V556" s="1"/>
      <c r="W556" s="1"/>
      <c r="X556" s="1"/>
      <c r="Y556" s="1"/>
      <c r="Z556" s="1"/>
      <c r="AA556" s="1"/>
      <c r="AB556" s="1"/>
      <c r="AC556" s="1"/>
      <c r="AD556" s="1"/>
      <c r="AE556" s="1"/>
      <c r="AF556" s="1"/>
    </row>
    <row r="557" spans="1:32" hidden="1" x14ac:dyDescent="0.25">
      <c r="A557" s="1">
        <v>556</v>
      </c>
      <c r="B557" s="1"/>
      <c r="C557" s="1" t="s">
        <v>2689</v>
      </c>
      <c r="D557" s="1" t="s">
        <v>4602</v>
      </c>
      <c r="E557">
        <v>2013</v>
      </c>
      <c r="F557" s="1" t="s">
        <v>0</v>
      </c>
      <c r="G557" s="1" t="s">
        <v>1</v>
      </c>
      <c r="H557" s="1" t="s">
        <v>2690</v>
      </c>
      <c r="I557" s="1" t="s">
        <v>1</v>
      </c>
      <c r="J557" s="1" t="s">
        <v>1</v>
      </c>
      <c r="K557" s="1" t="s">
        <v>2691</v>
      </c>
      <c r="L557" s="1" t="s">
        <v>1</v>
      </c>
      <c r="M557" s="1" t="s">
        <v>1</v>
      </c>
      <c r="N557" s="1" t="s">
        <v>1</v>
      </c>
      <c r="O557" s="1" t="s">
        <v>4603</v>
      </c>
      <c r="P557" s="1" t="s">
        <v>2692</v>
      </c>
      <c r="Q557" s="1">
        <v>-1</v>
      </c>
      <c r="R557" s="1"/>
      <c r="S557" s="1"/>
      <c r="T557" s="1"/>
      <c r="U557" s="1"/>
      <c r="V557" s="1"/>
      <c r="W557" s="1"/>
      <c r="X557" s="1"/>
      <c r="Y557" s="1"/>
      <c r="Z557" s="1"/>
      <c r="AA557" s="1"/>
      <c r="AB557" s="1"/>
      <c r="AC557" s="1"/>
      <c r="AD557" s="1"/>
      <c r="AE557" s="1"/>
      <c r="AF557" s="1"/>
    </row>
    <row r="558" spans="1:32" hidden="1" x14ac:dyDescent="0.25">
      <c r="A558" s="1">
        <v>557</v>
      </c>
      <c r="B558" s="1"/>
      <c r="C558" s="1" t="s">
        <v>1767</v>
      </c>
      <c r="D558" s="1" t="s">
        <v>3875</v>
      </c>
      <c r="E558">
        <v>2014</v>
      </c>
      <c r="F558" s="1" t="s">
        <v>0</v>
      </c>
      <c r="G558" s="1" t="s">
        <v>3876</v>
      </c>
      <c r="H558" s="1" t="s">
        <v>1768</v>
      </c>
      <c r="I558" s="1" t="s">
        <v>1</v>
      </c>
      <c r="J558" s="1" t="s">
        <v>1</v>
      </c>
      <c r="K558" s="1" t="s">
        <v>3224</v>
      </c>
      <c r="L558" s="1" t="s">
        <v>1</v>
      </c>
      <c r="M558" s="1" t="s">
        <v>1</v>
      </c>
      <c r="N558" s="1" t="s">
        <v>1</v>
      </c>
      <c r="O558" s="1" t="s">
        <v>3877</v>
      </c>
      <c r="P558" s="1" t="s">
        <v>1769</v>
      </c>
      <c r="Q558" s="1">
        <v>-1</v>
      </c>
      <c r="R558" s="1"/>
      <c r="S558" s="1"/>
      <c r="T558" s="1"/>
      <c r="U558" s="1"/>
      <c r="V558" s="1"/>
      <c r="W558" s="1"/>
      <c r="X558" s="1"/>
      <c r="Y558" s="1"/>
      <c r="Z558" s="1"/>
      <c r="AA558" s="1"/>
      <c r="AB558" s="1"/>
      <c r="AC558" s="1"/>
      <c r="AD558" s="1"/>
      <c r="AE558" s="1"/>
      <c r="AF558" s="1"/>
    </row>
    <row r="559" spans="1:32" hidden="1" x14ac:dyDescent="0.25">
      <c r="A559" s="1">
        <v>558</v>
      </c>
      <c r="B559" s="1"/>
      <c r="C559" s="1" t="s">
        <v>2026</v>
      </c>
      <c r="D559" s="1" t="s">
        <v>4080</v>
      </c>
      <c r="E559">
        <v>2005</v>
      </c>
      <c r="F559" s="1" t="s">
        <v>658</v>
      </c>
      <c r="G559" s="1" t="s">
        <v>4081</v>
      </c>
      <c r="H559" s="1" t="s">
        <v>2027</v>
      </c>
      <c r="I559" s="1" t="s">
        <v>1</v>
      </c>
      <c r="J559" s="1" t="s">
        <v>1</v>
      </c>
      <c r="K559" s="1" t="s">
        <v>2029</v>
      </c>
      <c r="L559" s="1" t="s">
        <v>666</v>
      </c>
      <c r="M559" s="1" t="s">
        <v>2028</v>
      </c>
      <c r="N559" s="1" t="s">
        <v>1</v>
      </c>
      <c r="O559" s="1" t="s">
        <v>1</v>
      </c>
      <c r="P559" s="1" t="s">
        <v>1</v>
      </c>
      <c r="Q559" s="1">
        <v>-1</v>
      </c>
      <c r="R559" s="1"/>
      <c r="S559" s="1"/>
      <c r="T559" s="1"/>
      <c r="U559" s="1"/>
      <c r="V559" s="1"/>
      <c r="W559" s="1"/>
      <c r="X559" s="1"/>
      <c r="Y559" s="1"/>
      <c r="Z559" s="1"/>
      <c r="AA559" s="1"/>
      <c r="AB559" s="1"/>
      <c r="AC559" s="1"/>
      <c r="AD559" s="1"/>
      <c r="AE559" s="1"/>
      <c r="AF559" s="1"/>
    </row>
    <row r="560" spans="1:32" hidden="1" x14ac:dyDescent="0.25">
      <c r="A560" s="1">
        <v>559</v>
      </c>
      <c r="B560" s="1"/>
      <c r="C560" s="1" t="s">
        <v>3955</v>
      </c>
      <c r="D560" s="1" t="s">
        <v>1868</v>
      </c>
      <c r="E560">
        <v>2008</v>
      </c>
      <c r="F560" s="1" t="s">
        <v>0</v>
      </c>
      <c r="G560" s="1" t="s">
        <v>3956</v>
      </c>
      <c r="H560" s="1" t="s">
        <v>1869</v>
      </c>
      <c r="I560" s="1" t="s">
        <v>1</v>
      </c>
      <c r="J560" s="1" t="s">
        <v>1</v>
      </c>
      <c r="K560" s="1" t="s">
        <v>1870</v>
      </c>
      <c r="L560" s="1" t="s">
        <v>1</v>
      </c>
      <c r="M560" s="1" t="s">
        <v>1</v>
      </c>
      <c r="N560" s="1" t="s">
        <v>1</v>
      </c>
      <c r="O560" s="1" t="s">
        <v>3957</v>
      </c>
      <c r="P560" s="1" t="s">
        <v>3958</v>
      </c>
      <c r="Q560" s="1">
        <v>-1</v>
      </c>
      <c r="R560" s="1"/>
      <c r="S560" s="1"/>
      <c r="T560" s="1"/>
      <c r="U560" s="1"/>
      <c r="V560" s="1"/>
      <c r="W560" s="1"/>
      <c r="X560" s="1"/>
      <c r="Y560" s="1"/>
      <c r="Z560" s="1"/>
      <c r="AA560" s="1"/>
      <c r="AB560" s="1"/>
      <c r="AC560" s="1"/>
      <c r="AD560" s="1"/>
      <c r="AE560" s="1"/>
      <c r="AF560" s="1"/>
    </row>
    <row r="561" spans="1:32" hidden="1" x14ac:dyDescent="0.25">
      <c r="A561" s="1">
        <v>560</v>
      </c>
      <c r="B561" s="1"/>
      <c r="C561" s="1" t="s">
        <v>1389</v>
      </c>
      <c r="D561" s="1" t="s">
        <v>3579</v>
      </c>
      <c r="E561">
        <v>2005</v>
      </c>
      <c r="F561" s="1" t="s">
        <v>0</v>
      </c>
      <c r="G561" s="1" t="s">
        <v>3580</v>
      </c>
      <c r="H561" s="1" t="s">
        <v>1390</v>
      </c>
      <c r="I561" s="1" t="s">
        <v>1</v>
      </c>
      <c r="J561" s="1" t="s">
        <v>1</v>
      </c>
      <c r="K561" s="1" t="s">
        <v>1391</v>
      </c>
      <c r="L561" s="1" t="s">
        <v>1</v>
      </c>
      <c r="M561" s="1" t="s">
        <v>1</v>
      </c>
      <c r="N561" s="1" t="s">
        <v>1</v>
      </c>
      <c r="O561" s="1" t="s">
        <v>3581</v>
      </c>
      <c r="P561" s="1" t="s">
        <v>1392</v>
      </c>
      <c r="Q561" s="1">
        <v>-1</v>
      </c>
      <c r="R561" s="1"/>
      <c r="S561" s="1"/>
      <c r="T561" s="1"/>
      <c r="U561" s="1"/>
      <c r="V561" s="1"/>
      <c r="W561" s="1"/>
      <c r="X561" s="1"/>
      <c r="Y561" s="1"/>
      <c r="Z561" s="1"/>
      <c r="AA561" s="1"/>
      <c r="AB561" s="1"/>
      <c r="AC561" s="1"/>
      <c r="AD561" s="1"/>
      <c r="AE561" s="1"/>
      <c r="AF561" s="1"/>
    </row>
    <row r="562" spans="1:32" hidden="1" x14ac:dyDescent="0.25">
      <c r="A562" s="1">
        <v>561</v>
      </c>
      <c r="B562" s="1"/>
      <c r="C562" s="1" t="s">
        <v>1401</v>
      </c>
      <c r="D562" s="1" t="s">
        <v>3589</v>
      </c>
      <c r="E562">
        <v>2017</v>
      </c>
      <c r="F562" s="1" t="s">
        <v>0</v>
      </c>
      <c r="G562" s="1" t="s">
        <v>3590</v>
      </c>
      <c r="H562" s="1" t="s">
        <v>1402</v>
      </c>
      <c r="I562" s="1" t="s">
        <v>1</v>
      </c>
      <c r="J562" s="1" t="s">
        <v>1</v>
      </c>
      <c r="K562" s="1" t="s">
        <v>3195</v>
      </c>
      <c r="L562" s="1" t="s">
        <v>1</v>
      </c>
      <c r="M562" s="1" t="s">
        <v>1</v>
      </c>
      <c r="N562" s="1" t="s">
        <v>1</v>
      </c>
      <c r="O562" s="1" t="s">
        <v>3591</v>
      </c>
      <c r="P562" s="1" t="s">
        <v>1403</v>
      </c>
      <c r="Q562" s="1">
        <v>-1</v>
      </c>
      <c r="R562" s="1"/>
      <c r="S562" s="1"/>
      <c r="T562" s="1"/>
      <c r="U562" s="1"/>
      <c r="V562" s="1"/>
      <c r="W562" s="1"/>
      <c r="X562" s="1"/>
      <c r="Y562" s="1"/>
      <c r="Z562" s="1"/>
      <c r="AA562" s="1"/>
      <c r="AB562" s="1"/>
      <c r="AC562" s="1"/>
      <c r="AD562" s="1"/>
      <c r="AE562" s="1"/>
      <c r="AF562" s="1"/>
    </row>
    <row r="563" spans="1:32" hidden="1" x14ac:dyDescent="0.25">
      <c r="A563" s="1">
        <v>562</v>
      </c>
      <c r="B563" s="1"/>
      <c r="C563" s="1" t="s">
        <v>1230</v>
      </c>
      <c r="D563" s="1" t="s">
        <v>1229</v>
      </c>
      <c r="E563">
        <v>2017</v>
      </c>
      <c r="F563" s="1" t="s">
        <v>127</v>
      </c>
      <c r="G563" s="1" t="s">
        <v>3465</v>
      </c>
      <c r="H563" s="1" t="s">
        <v>1231</v>
      </c>
      <c r="I563" s="1" t="s">
        <v>1</v>
      </c>
      <c r="J563" s="1" t="s">
        <v>1</v>
      </c>
      <c r="K563" s="1" t="s">
        <v>1</v>
      </c>
      <c r="L563" s="1" t="s">
        <v>1232</v>
      </c>
      <c r="M563" s="1" t="s">
        <v>1</v>
      </c>
      <c r="N563" s="1" t="s">
        <v>1234</v>
      </c>
      <c r="O563" s="1" t="s">
        <v>3466</v>
      </c>
      <c r="P563" s="1" t="s">
        <v>1233</v>
      </c>
      <c r="Q563" s="1">
        <v>-1</v>
      </c>
      <c r="R563" s="1"/>
      <c r="S563" s="1"/>
      <c r="T563" s="1"/>
      <c r="U563" s="1"/>
      <c r="V563" s="1"/>
      <c r="W563" s="1"/>
      <c r="X563" s="1"/>
      <c r="Y563" s="1"/>
      <c r="Z563" s="1"/>
      <c r="AA563" s="1"/>
      <c r="AB563" s="1"/>
      <c r="AC563" s="1"/>
      <c r="AD563" s="1"/>
      <c r="AE563" s="1"/>
      <c r="AF563" s="1"/>
    </row>
    <row r="564" spans="1:32" hidden="1" x14ac:dyDescent="0.25">
      <c r="A564" s="1">
        <v>563</v>
      </c>
      <c r="B564" s="1"/>
      <c r="C564" s="1" t="s">
        <v>2152</v>
      </c>
      <c r="D564" s="1" t="s">
        <v>4170</v>
      </c>
      <c r="E564">
        <v>2013</v>
      </c>
      <c r="F564" s="1" t="s">
        <v>0</v>
      </c>
      <c r="G564" s="1" t="s">
        <v>4171</v>
      </c>
      <c r="H564" s="1" t="s">
        <v>869</v>
      </c>
      <c r="I564" s="1" t="s">
        <v>1</v>
      </c>
      <c r="J564" s="1" t="s">
        <v>1</v>
      </c>
      <c r="K564" s="1" t="s">
        <v>3767</v>
      </c>
      <c r="L564" s="1" t="s">
        <v>1</v>
      </c>
      <c r="M564" s="1" t="s">
        <v>1</v>
      </c>
      <c r="N564" s="1" t="s">
        <v>1</v>
      </c>
      <c r="O564" s="1" t="s">
        <v>4172</v>
      </c>
      <c r="P564" s="1" t="s">
        <v>2153</v>
      </c>
      <c r="Q564" s="1">
        <v>-1</v>
      </c>
      <c r="R564" s="1"/>
      <c r="S564" s="1"/>
      <c r="T564" s="1"/>
      <c r="U564" s="1"/>
      <c r="V564" s="1"/>
      <c r="W564" s="1"/>
      <c r="X564" s="1"/>
      <c r="Y564" s="1"/>
      <c r="Z564" s="1"/>
      <c r="AA564" s="1"/>
      <c r="AB564" s="1"/>
      <c r="AC564" s="1"/>
      <c r="AD564" s="1"/>
      <c r="AE564" s="1"/>
      <c r="AF564" s="1"/>
    </row>
    <row r="565" spans="1:32" hidden="1" x14ac:dyDescent="0.25">
      <c r="A565" s="1">
        <v>564</v>
      </c>
      <c r="B565" s="1"/>
      <c r="C565" s="1" t="s">
        <v>1101</v>
      </c>
      <c r="D565" s="1" t="s">
        <v>3375</v>
      </c>
      <c r="E565">
        <v>2015</v>
      </c>
      <c r="F565" s="1" t="s">
        <v>0</v>
      </c>
      <c r="G565" s="1" t="s">
        <v>3377</v>
      </c>
      <c r="H565" s="1" t="s">
        <v>1</v>
      </c>
      <c r="I565" s="1" t="s">
        <v>3376</v>
      </c>
      <c r="J565" s="1" t="s">
        <v>1</v>
      </c>
      <c r="K565" s="1" t="s">
        <v>1103</v>
      </c>
      <c r="L565" s="1" t="s">
        <v>1102</v>
      </c>
      <c r="M565" s="1" t="s">
        <v>1</v>
      </c>
      <c r="N565" s="1" t="s">
        <v>1105</v>
      </c>
      <c r="O565" s="1" t="s">
        <v>3378</v>
      </c>
      <c r="P565" s="1" t="s">
        <v>1104</v>
      </c>
      <c r="Q565" s="1">
        <v>-1</v>
      </c>
      <c r="R565" s="1"/>
      <c r="S565" s="1"/>
      <c r="T565" s="1"/>
      <c r="U565" s="1"/>
      <c r="V565" s="1"/>
      <c r="W565" s="1"/>
      <c r="X565" s="1"/>
      <c r="Y565" s="1"/>
      <c r="Z565" s="1"/>
      <c r="AA565" s="1"/>
      <c r="AB565" s="1"/>
      <c r="AC565" s="1"/>
      <c r="AD565" s="1"/>
      <c r="AE565" s="1"/>
      <c r="AF565" s="1"/>
    </row>
    <row r="566" spans="1:32" hidden="1" x14ac:dyDescent="0.25">
      <c r="A566" s="1">
        <v>565</v>
      </c>
      <c r="B566" s="1"/>
      <c r="C566" s="1" t="s">
        <v>3012</v>
      </c>
      <c r="D566" s="1" t="s">
        <v>4860</v>
      </c>
      <c r="E566">
        <v>2009</v>
      </c>
      <c r="F566" s="1" t="s">
        <v>0</v>
      </c>
      <c r="G566" s="1" t="s">
        <v>4861</v>
      </c>
      <c r="H566" s="1" t="s">
        <v>3013</v>
      </c>
      <c r="I566" s="1" t="s">
        <v>1</v>
      </c>
      <c r="J566" s="1" t="s">
        <v>1</v>
      </c>
      <c r="K566" s="1" t="s">
        <v>3014</v>
      </c>
      <c r="L566" s="1" t="s">
        <v>1</v>
      </c>
      <c r="M566" s="1" t="s">
        <v>1</v>
      </c>
      <c r="N566" s="1" t="s">
        <v>1</v>
      </c>
      <c r="O566" s="1" t="s">
        <v>4862</v>
      </c>
      <c r="P566" s="1" t="s">
        <v>3015</v>
      </c>
      <c r="Q566" s="1">
        <v>-1</v>
      </c>
      <c r="R566" s="1"/>
      <c r="S566" s="1"/>
      <c r="T566" s="1"/>
      <c r="U566" s="1"/>
      <c r="V566" s="1"/>
      <c r="W566" s="1"/>
      <c r="X566" s="1"/>
      <c r="Y566" s="1"/>
      <c r="Z566" s="1"/>
      <c r="AA566" s="1"/>
      <c r="AB566" s="1"/>
      <c r="AC566" s="1"/>
      <c r="AD566" s="1"/>
      <c r="AE566" s="1"/>
      <c r="AF566" s="1"/>
    </row>
    <row r="567" spans="1:32" hidden="1" x14ac:dyDescent="0.25">
      <c r="A567" s="1">
        <v>566</v>
      </c>
      <c r="B567" s="1"/>
      <c r="C567" s="8" t="s">
        <v>1763</v>
      </c>
      <c r="D567" s="1" t="s">
        <v>3871</v>
      </c>
      <c r="E567">
        <v>2011</v>
      </c>
      <c r="F567" s="1" t="s">
        <v>116</v>
      </c>
      <c r="G567" s="1" t="s">
        <v>3873</v>
      </c>
      <c r="H567" s="1" t="s">
        <v>846</v>
      </c>
      <c r="I567" s="1" t="s">
        <v>3872</v>
      </c>
      <c r="J567" s="1" t="s">
        <v>3319</v>
      </c>
      <c r="K567" s="1" t="s">
        <v>1764</v>
      </c>
      <c r="L567" s="1" t="s">
        <v>1</v>
      </c>
      <c r="M567" s="1" t="s">
        <v>1</v>
      </c>
      <c r="N567" s="1" t="s">
        <v>1766</v>
      </c>
      <c r="O567" s="1" t="s">
        <v>3874</v>
      </c>
      <c r="P567" s="1" t="s">
        <v>1765</v>
      </c>
      <c r="Q567" s="1">
        <v>-1</v>
      </c>
      <c r="R567" s="1"/>
      <c r="S567" s="1"/>
      <c r="T567" s="1"/>
      <c r="U567" s="1"/>
      <c r="V567" s="1"/>
      <c r="W567" s="1"/>
      <c r="X567" s="1"/>
      <c r="Y567" s="1"/>
      <c r="Z567" s="1"/>
      <c r="AA567" s="1"/>
      <c r="AB567" s="1"/>
      <c r="AC567" s="1"/>
      <c r="AD567" s="1"/>
      <c r="AE567" s="1"/>
      <c r="AF567" s="1"/>
    </row>
    <row r="568" spans="1:32" hidden="1" x14ac:dyDescent="0.25">
      <c r="A568" s="1">
        <v>567</v>
      </c>
      <c r="B568" s="1"/>
      <c r="C568" s="1" t="s">
        <v>836</v>
      </c>
      <c r="D568" s="1" t="s">
        <v>3194</v>
      </c>
      <c r="E568">
        <v>2016</v>
      </c>
      <c r="F568" s="1" t="s">
        <v>0</v>
      </c>
      <c r="G568" s="1" t="s">
        <v>3198</v>
      </c>
      <c r="H568" s="1" t="s">
        <v>837</v>
      </c>
      <c r="I568" s="1" t="s">
        <v>1</v>
      </c>
      <c r="J568" s="1" t="s">
        <v>1</v>
      </c>
      <c r="K568" s="1" t="s">
        <v>838</v>
      </c>
      <c r="L568" s="1" t="s">
        <v>1</v>
      </c>
      <c r="M568" s="1" t="s">
        <v>1</v>
      </c>
      <c r="N568" s="1" t="s">
        <v>1</v>
      </c>
      <c r="O568" s="1" t="s">
        <v>3199</v>
      </c>
      <c r="P568" s="1" t="s">
        <v>839</v>
      </c>
      <c r="Q568" s="1">
        <v>-1</v>
      </c>
      <c r="R568" s="1"/>
      <c r="S568" s="1"/>
      <c r="T568" s="1"/>
      <c r="U568" s="1"/>
      <c r="V568" s="1"/>
      <c r="W568" s="1"/>
      <c r="X568" s="1"/>
      <c r="Y568" s="1"/>
      <c r="Z568" s="1"/>
      <c r="AA568" s="1"/>
      <c r="AB568" s="1"/>
      <c r="AC568" s="1"/>
      <c r="AD568" s="1"/>
      <c r="AE568" s="1"/>
      <c r="AF568" s="1"/>
    </row>
    <row r="569" spans="1:32" hidden="1" x14ac:dyDescent="0.25">
      <c r="A569" s="1">
        <v>568</v>
      </c>
      <c r="B569" s="1"/>
      <c r="C569" s="1" t="s">
        <v>1901</v>
      </c>
      <c r="D569" s="1" t="s">
        <v>3980</v>
      </c>
      <c r="E569">
        <v>2010</v>
      </c>
      <c r="F569" s="1" t="s">
        <v>0</v>
      </c>
      <c r="G569" s="1" t="s">
        <v>3981</v>
      </c>
      <c r="H569" s="1" t="s">
        <v>1175</v>
      </c>
      <c r="I569" s="1" t="s">
        <v>1</v>
      </c>
      <c r="J569" s="1" t="s">
        <v>1</v>
      </c>
      <c r="K569" s="1" t="s">
        <v>1902</v>
      </c>
      <c r="L569" s="1" t="s">
        <v>1</v>
      </c>
      <c r="M569" s="1" t="s">
        <v>1</v>
      </c>
      <c r="N569" s="1" t="s">
        <v>1</v>
      </c>
      <c r="O569" s="1" t="s">
        <v>3982</v>
      </c>
      <c r="P569" s="1" t="s">
        <v>1903</v>
      </c>
      <c r="Q569" s="1">
        <v>-1</v>
      </c>
      <c r="R569" s="1"/>
      <c r="S569" s="1"/>
      <c r="T569" s="1"/>
      <c r="U569" s="1"/>
      <c r="V569" s="1"/>
      <c r="W569" s="1"/>
      <c r="X569" s="1"/>
      <c r="Y569" s="1"/>
      <c r="Z569" s="1"/>
      <c r="AA569" s="1"/>
      <c r="AB569" s="1"/>
      <c r="AC569" s="1"/>
      <c r="AD569" s="1"/>
      <c r="AE569" s="1"/>
      <c r="AF569" s="1"/>
    </row>
    <row r="570" spans="1:32" hidden="1" x14ac:dyDescent="0.25">
      <c r="A570" s="1">
        <v>569</v>
      </c>
      <c r="B570" s="1"/>
      <c r="C570" s="1" t="s">
        <v>1446</v>
      </c>
      <c r="D570" s="1" t="s">
        <v>3625</v>
      </c>
      <c r="E570">
        <v>2011</v>
      </c>
      <c r="F570" s="1" t="s">
        <v>0</v>
      </c>
      <c r="G570" s="1" t="s">
        <v>3629</v>
      </c>
      <c r="H570" s="1" t="s">
        <v>1447</v>
      </c>
      <c r="I570" s="1" t="s">
        <v>1</v>
      </c>
      <c r="J570" s="1" t="s">
        <v>1</v>
      </c>
      <c r="K570" s="1" t="s">
        <v>3272</v>
      </c>
      <c r="L570" s="1" t="s">
        <v>1</v>
      </c>
      <c r="M570" s="1" t="s">
        <v>1</v>
      </c>
      <c r="N570" s="1" t="s">
        <v>1</v>
      </c>
      <c r="O570" s="1" t="s">
        <v>3630</v>
      </c>
      <c r="P570" s="1" t="s">
        <v>3631</v>
      </c>
      <c r="Q570" s="1">
        <v>-1</v>
      </c>
      <c r="R570" s="1"/>
      <c r="S570" s="1"/>
      <c r="T570" s="1"/>
      <c r="U570" s="1"/>
      <c r="V570" s="1"/>
      <c r="W570" s="1"/>
      <c r="X570" s="1"/>
      <c r="Y570" s="1"/>
      <c r="Z570" s="1"/>
      <c r="AA570" s="1"/>
      <c r="AB570" s="1"/>
      <c r="AC570" s="1"/>
      <c r="AD570" s="1"/>
      <c r="AE570" s="1"/>
      <c r="AF570" s="1"/>
    </row>
    <row r="571" spans="1:32" hidden="1" x14ac:dyDescent="0.25">
      <c r="A571" s="1">
        <v>570</v>
      </c>
      <c r="B571" s="1"/>
      <c r="C571" s="1" t="s">
        <v>1976</v>
      </c>
      <c r="D571" s="1" t="s">
        <v>4039</v>
      </c>
      <c r="E571">
        <v>2008</v>
      </c>
      <c r="F571" s="1" t="s">
        <v>0</v>
      </c>
      <c r="G571" s="1" t="s">
        <v>4040</v>
      </c>
      <c r="H571" s="1" t="s">
        <v>1977</v>
      </c>
      <c r="I571" s="1" t="s">
        <v>1</v>
      </c>
      <c r="J571" s="1" t="s">
        <v>1</v>
      </c>
      <c r="K571" s="1" t="s">
        <v>1978</v>
      </c>
      <c r="L571" s="1" t="s">
        <v>1</v>
      </c>
      <c r="M571" s="1" t="s">
        <v>1</v>
      </c>
      <c r="N571" s="1" t="s">
        <v>1</v>
      </c>
      <c r="O571" s="1" t="s">
        <v>4041</v>
      </c>
      <c r="P571" s="1" t="s">
        <v>1979</v>
      </c>
      <c r="Q571" s="1">
        <v>-1</v>
      </c>
      <c r="R571" s="1"/>
      <c r="S571" s="1"/>
      <c r="T571" s="1"/>
      <c r="U571" s="1"/>
      <c r="V571" s="1"/>
      <c r="W571" s="1"/>
      <c r="X571" s="1"/>
      <c r="Y571" s="1"/>
      <c r="Z571" s="1"/>
      <c r="AA571" s="1"/>
      <c r="AB571" s="1"/>
      <c r="AC571" s="1"/>
      <c r="AD571" s="1"/>
      <c r="AE571" s="1"/>
      <c r="AF571" s="1"/>
    </row>
    <row r="572" spans="1:32" hidden="1" x14ac:dyDescent="0.25">
      <c r="A572" s="1">
        <v>571</v>
      </c>
      <c r="B572" s="1"/>
      <c r="C572" s="1" t="s">
        <v>3067</v>
      </c>
      <c r="D572" s="1" t="s">
        <v>4895</v>
      </c>
      <c r="E572">
        <v>2014</v>
      </c>
      <c r="F572" s="1" t="s">
        <v>0</v>
      </c>
      <c r="G572" s="1" t="s">
        <v>4896</v>
      </c>
      <c r="H572" s="1" t="s">
        <v>3068</v>
      </c>
      <c r="I572" s="1" t="s">
        <v>1</v>
      </c>
      <c r="J572" s="1" t="s">
        <v>1</v>
      </c>
      <c r="K572" s="1" t="s">
        <v>3069</v>
      </c>
      <c r="L572" s="1" t="s">
        <v>1</v>
      </c>
      <c r="M572" s="1" t="s">
        <v>1</v>
      </c>
      <c r="N572" s="1" t="s">
        <v>1</v>
      </c>
      <c r="O572" s="1" t="s">
        <v>4897</v>
      </c>
      <c r="P572" s="1" t="s">
        <v>3070</v>
      </c>
      <c r="Q572" s="1">
        <v>-1</v>
      </c>
      <c r="R572" s="1"/>
      <c r="S572" s="1"/>
      <c r="T572" s="1"/>
      <c r="U572" s="1"/>
      <c r="V572" s="1"/>
      <c r="W572" s="1"/>
      <c r="X572" s="1"/>
      <c r="Y572" s="1"/>
      <c r="Z572" s="1"/>
      <c r="AA572" s="1"/>
      <c r="AB572" s="1"/>
      <c r="AC572" s="1"/>
      <c r="AD572" s="1"/>
      <c r="AE572" s="1"/>
      <c r="AF572" s="1"/>
    </row>
    <row r="573" spans="1:32" hidden="1" x14ac:dyDescent="0.25">
      <c r="A573" s="1">
        <v>572</v>
      </c>
      <c r="B573" s="1"/>
      <c r="C573" s="1" t="s">
        <v>2950</v>
      </c>
      <c r="D573" s="1" t="s">
        <v>4805</v>
      </c>
      <c r="E573">
        <v>2013</v>
      </c>
      <c r="F573" s="1" t="s">
        <v>0</v>
      </c>
      <c r="G573" s="1" t="s">
        <v>4808</v>
      </c>
      <c r="H573" s="1" t="s">
        <v>953</v>
      </c>
      <c r="I573" s="1" t="s">
        <v>1</v>
      </c>
      <c r="J573" s="1" t="s">
        <v>1</v>
      </c>
      <c r="K573" s="1" t="s">
        <v>2951</v>
      </c>
      <c r="L573" s="1" t="s">
        <v>1</v>
      </c>
      <c r="M573" s="1" t="s">
        <v>1</v>
      </c>
      <c r="N573" s="1" t="s">
        <v>1</v>
      </c>
      <c r="O573" s="1" t="s">
        <v>4809</v>
      </c>
      <c r="P573" s="1" t="s">
        <v>2952</v>
      </c>
      <c r="Q573" s="1">
        <v>1</v>
      </c>
      <c r="R573" s="1">
        <v>-1</v>
      </c>
      <c r="S573" s="1"/>
      <c r="T573" s="1"/>
      <c r="U573" s="1"/>
      <c r="V573" s="1"/>
      <c r="W573" s="1"/>
      <c r="X573" s="1"/>
      <c r="Y573" s="1"/>
      <c r="Z573" s="1"/>
      <c r="AA573" s="1"/>
      <c r="AB573" s="1"/>
      <c r="AC573" s="1"/>
      <c r="AD573" s="1"/>
      <c r="AE573" s="1"/>
      <c r="AF573" s="1"/>
    </row>
    <row r="574" spans="1:32" hidden="1" x14ac:dyDescent="0.25">
      <c r="A574" s="1">
        <v>573</v>
      </c>
      <c r="B574" s="1"/>
      <c r="C574" s="1" t="s">
        <v>1594</v>
      </c>
      <c r="D574" s="1" t="s">
        <v>3755</v>
      </c>
      <c r="E574">
        <v>2010</v>
      </c>
      <c r="F574" s="1" t="s">
        <v>0</v>
      </c>
      <c r="G574" s="1" t="s">
        <v>3756</v>
      </c>
      <c r="H574" s="1" t="s">
        <v>1595</v>
      </c>
      <c r="I574" s="1" t="s">
        <v>1</v>
      </c>
      <c r="J574" s="1" t="s">
        <v>1</v>
      </c>
      <c r="K574" s="1" t="s">
        <v>1596</v>
      </c>
      <c r="L574" s="1" t="s">
        <v>1</v>
      </c>
      <c r="M574" s="1" t="s">
        <v>1</v>
      </c>
      <c r="N574" s="1" t="s">
        <v>1</v>
      </c>
      <c r="O574" s="1" t="s">
        <v>3757</v>
      </c>
      <c r="P574" s="1" t="s">
        <v>1597</v>
      </c>
      <c r="Q574" s="1">
        <v>-1</v>
      </c>
      <c r="R574" s="1"/>
      <c r="S574" s="1"/>
      <c r="T574" s="1"/>
      <c r="U574" s="1"/>
      <c r="V574" s="1"/>
      <c r="W574" s="1"/>
      <c r="X574" s="1"/>
      <c r="Y574" s="1"/>
      <c r="Z574" s="1"/>
      <c r="AA574" s="1"/>
      <c r="AB574" s="1"/>
      <c r="AC574" s="1"/>
      <c r="AD574" s="1"/>
      <c r="AE574" s="1"/>
      <c r="AF574" s="1"/>
    </row>
    <row r="575" spans="1:32" hidden="1" x14ac:dyDescent="0.25">
      <c r="A575" s="1">
        <v>574</v>
      </c>
      <c r="B575" s="1"/>
      <c r="C575" s="1" t="s">
        <v>1442</v>
      </c>
      <c r="D575" s="1" t="s">
        <v>3622</v>
      </c>
      <c r="E575">
        <v>2006</v>
      </c>
      <c r="F575" s="1" t="s">
        <v>0</v>
      </c>
      <c r="G575" s="1" t="s">
        <v>3623</v>
      </c>
      <c r="H575" s="1" t="s">
        <v>1443</v>
      </c>
      <c r="I575" s="1" t="s">
        <v>1</v>
      </c>
      <c r="J575" s="1" t="s">
        <v>1</v>
      </c>
      <c r="K575" s="1" t="s">
        <v>1370</v>
      </c>
      <c r="L575" s="1" t="s">
        <v>1</v>
      </c>
      <c r="M575" s="1" t="s">
        <v>1</v>
      </c>
      <c r="N575" s="1" t="s">
        <v>1</v>
      </c>
      <c r="O575" s="1" t="s">
        <v>3624</v>
      </c>
      <c r="P575" s="1" t="s">
        <v>1444</v>
      </c>
      <c r="Q575" s="1">
        <v>-1</v>
      </c>
      <c r="R575" s="1"/>
      <c r="S575" s="1"/>
      <c r="T575" s="1"/>
      <c r="U575" s="1"/>
      <c r="V575" s="1"/>
      <c r="W575" s="1"/>
      <c r="X575" s="1"/>
      <c r="Y575" s="1"/>
      <c r="Z575" s="1"/>
      <c r="AA575" s="1"/>
      <c r="AB575" s="1"/>
      <c r="AC575" s="1"/>
      <c r="AD575" s="1"/>
      <c r="AE575" s="1"/>
      <c r="AF575" s="1"/>
    </row>
    <row r="576" spans="1:32" hidden="1" x14ac:dyDescent="0.25">
      <c r="A576" s="1">
        <v>575</v>
      </c>
      <c r="B576" s="1"/>
      <c r="C576" s="1" t="s">
        <v>1119</v>
      </c>
      <c r="D576" s="1" t="s">
        <v>3391</v>
      </c>
      <c r="E576">
        <v>2013</v>
      </c>
      <c r="F576" s="1" t="s">
        <v>138</v>
      </c>
      <c r="G576" s="1" t="s">
        <v>3392</v>
      </c>
      <c r="H576" s="1" t="s">
        <v>1119</v>
      </c>
      <c r="I576" s="1" t="s">
        <v>1</v>
      </c>
      <c r="J576" s="1" t="s">
        <v>1</v>
      </c>
      <c r="K576" s="1" t="s">
        <v>1120</v>
      </c>
      <c r="L576" s="1" t="s">
        <v>414</v>
      </c>
      <c r="M576" s="1" t="s">
        <v>1</v>
      </c>
      <c r="N576" s="1" t="s">
        <v>1121</v>
      </c>
      <c r="O576" s="1" t="s">
        <v>1</v>
      </c>
      <c r="P576" s="1" t="s">
        <v>3393</v>
      </c>
      <c r="Q576" s="1">
        <v>-1</v>
      </c>
      <c r="R576" s="1"/>
      <c r="S576" s="1"/>
      <c r="T576" s="1"/>
      <c r="U576" s="1"/>
      <c r="V576" s="1"/>
      <c r="W576" s="1"/>
      <c r="X576" s="1"/>
      <c r="Y576" s="1"/>
      <c r="Z576" s="1"/>
      <c r="AA576" s="1"/>
      <c r="AB576" s="1"/>
      <c r="AC576" s="1"/>
      <c r="AD576" s="1"/>
      <c r="AE576" s="1"/>
      <c r="AF576" s="1"/>
    </row>
    <row r="577" spans="1:32" hidden="1" x14ac:dyDescent="0.25">
      <c r="A577" s="1">
        <v>576</v>
      </c>
      <c r="B577" s="1"/>
      <c r="C577" s="1" t="s">
        <v>2693</v>
      </c>
      <c r="D577" s="1" t="s">
        <v>4604</v>
      </c>
      <c r="E577">
        <v>2017</v>
      </c>
      <c r="F577" s="1" t="s">
        <v>0</v>
      </c>
      <c r="G577" s="1" t="s">
        <v>4605</v>
      </c>
      <c r="H577" s="1" t="s">
        <v>1602</v>
      </c>
      <c r="I577" s="1" t="s">
        <v>3745</v>
      </c>
      <c r="J577" s="1" t="s">
        <v>1</v>
      </c>
      <c r="K577" s="1" t="s">
        <v>2694</v>
      </c>
      <c r="L577" s="1" t="s">
        <v>1</v>
      </c>
      <c r="M577" s="1" t="s">
        <v>1</v>
      </c>
      <c r="N577" s="1" t="s">
        <v>1</v>
      </c>
      <c r="O577" s="1" t="s">
        <v>4606</v>
      </c>
      <c r="P577" s="1" t="s">
        <v>2695</v>
      </c>
      <c r="Q577" s="1">
        <v>-1</v>
      </c>
      <c r="R577" s="1"/>
      <c r="S577" s="1"/>
      <c r="T577" s="1"/>
      <c r="U577" s="1"/>
      <c r="V577" s="1"/>
      <c r="W577" s="1"/>
      <c r="X577" s="1"/>
      <c r="Y577" s="1"/>
      <c r="Z577" s="1"/>
      <c r="AA577" s="1"/>
      <c r="AB577" s="1"/>
      <c r="AC577" s="1"/>
      <c r="AD577" s="1"/>
      <c r="AE577" s="1"/>
      <c r="AF577" s="1"/>
    </row>
    <row r="578" spans="1:32" hidden="1" x14ac:dyDescent="0.25">
      <c r="A578" s="1">
        <v>577</v>
      </c>
      <c r="B578" s="1"/>
      <c r="C578" s="1" t="s">
        <v>3135</v>
      </c>
      <c r="D578" s="1" t="s">
        <v>4947</v>
      </c>
      <c r="E578">
        <v>2013</v>
      </c>
      <c r="F578" s="1" t="s">
        <v>0</v>
      </c>
      <c r="G578" s="1" t="s">
        <v>4948</v>
      </c>
      <c r="H578" s="1" t="s">
        <v>3136</v>
      </c>
      <c r="I578" s="1" t="s">
        <v>1</v>
      </c>
      <c r="J578" s="1" t="s">
        <v>1</v>
      </c>
      <c r="K578" s="1" t="s">
        <v>3195</v>
      </c>
      <c r="L578" s="1" t="s">
        <v>1</v>
      </c>
      <c r="M578" s="1" t="s">
        <v>1</v>
      </c>
      <c r="N578" s="1" t="s">
        <v>1</v>
      </c>
      <c r="O578" s="1" t="s">
        <v>4949</v>
      </c>
      <c r="P578" s="1" t="s">
        <v>3137</v>
      </c>
      <c r="Q578" s="1">
        <v>-1</v>
      </c>
      <c r="R578" s="1"/>
      <c r="S578" s="1"/>
      <c r="T578" s="1"/>
      <c r="U578" s="1"/>
      <c r="V578" s="1"/>
      <c r="W578" s="1"/>
      <c r="X578" s="1"/>
      <c r="Y578" s="1"/>
      <c r="Z578" s="1"/>
      <c r="AA578" s="1"/>
      <c r="AB578" s="1"/>
      <c r="AC578" s="1"/>
      <c r="AD578" s="1"/>
      <c r="AE578" s="1"/>
      <c r="AF578" s="1"/>
    </row>
    <row r="579" spans="1:32" hidden="1" x14ac:dyDescent="0.25">
      <c r="A579" s="1">
        <v>578</v>
      </c>
      <c r="B579" s="1"/>
      <c r="C579" s="1" t="s">
        <v>1820</v>
      </c>
      <c r="D579" s="1" t="s">
        <v>3910</v>
      </c>
      <c r="E579">
        <v>2013</v>
      </c>
      <c r="F579" s="1" t="s">
        <v>0</v>
      </c>
      <c r="G579" s="1" t="s">
        <v>3912</v>
      </c>
      <c r="H579" s="1" t="s">
        <v>1821</v>
      </c>
      <c r="I579" s="1" t="s">
        <v>1</v>
      </c>
      <c r="J579" s="1" t="s">
        <v>1</v>
      </c>
      <c r="K579" s="1" t="s">
        <v>3911</v>
      </c>
      <c r="L579" s="1" t="s">
        <v>1</v>
      </c>
      <c r="M579" s="1" t="s">
        <v>1</v>
      </c>
      <c r="N579" s="1" t="s">
        <v>1</v>
      </c>
      <c r="O579" s="1" t="s">
        <v>3913</v>
      </c>
      <c r="P579" s="1" t="s">
        <v>1822</v>
      </c>
      <c r="Q579" s="1">
        <v>-1</v>
      </c>
      <c r="R579" s="1"/>
      <c r="S579" s="1"/>
      <c r="T579" s="1"/>
      <c r="U579" s="1"/>
      <c r="V579" s="1"/>
      <c r="W579" s="1"/>
      <c r="X579" s="1"/>
      <c r="Y579" s="1"/>
      <c r="Z579" s="1"/>
      <c r="AA579" s="1"/>
      <c r="AB579" s="1"/>
      <c r="AC579" s="1"/>
      <c r="AD579" s="1"/>
      <c r="AE579" s="1"/>
      <c r="AF579" s="1"/>
    </row>
    <row r="580" spans="1:32" hidden="1" x14ac:dyDescent="0.25">
      <c r="A580" s="1">
        <v>579</v>
      </c>
      <c r="B580" s="1"/>
      <c r="C580" s="1" t="s">
        <v>2802</v>
      </c>
      <c r="D580" s="1" t="s">
        <v>4690</v>
      </c>
      <c r="E580">
        <v>2008</v>
      </c>
      <c r="F580" s="1" t="s">
        <v>0</v>
      </c>
      <c r="G580" s="1" t="s">
        <v>4691</v>
      </c>
      <c r="H580" s="1" t="s">
        <v>2803</v>
      </c>
      <c r="I580" s="1" t="s">
        <v>1</v>
      </c>
      <c r="J580" s="1" t="s">
        <v>1</v>
      </c>
      <c r="K580" s="1" t="s">
        <v>2804</v>
      </c>
      <c r="L580" s="1" t="s">
        <v>1</v>
      </c>
      <c r="M580" s="1" t="s">
        <v>1</v>
      </c>
      <c r="N580" s="1" t="s">
        <v>1</v>
      </c>
      <c r="O580" s="1" t="s">
        <v>4692</v>
      </c>
      <c r="P580" s="1" t="s">
        <v>2805</v>
      </c>
      <c r="Q580" s="1">
        <v>-1</v>
      </c>
      <c r="R580" s="1"/>
      <c r="S580" s="1"/>
      <c r="T580" s="1"/>
      <c r="U580" s="1"/>
      <c r="V580" s="1"/>
      <c r="W580" s="1"/>
      <c r="X580" s="1"/>
      <c r="Y580" s="1"/>
      <c r="Z580" s="1"/>
      <c r="AA580" s="1"/>
      <c r="AB580" s="1"/>
      <c r="AC580" s="1"/>
      <c r="AD580" s="1"/>
      <c r="AE580" s="1"/>
      <c r="AF580" s="1"/>
    </row>
    <row r="581" spans="1:32" hidden="1" x14ac:dyDescent="0.25">
      <c r="A581" s="1">
        <v>580</v>
      </c>
      <c r="B581" s="1"/>
      <c r="C581" s="1" t="s">
        <v>2265</v>
      </c>
      <c r="D581" s="1" t="s">
        <v>4257</v>
      </c>
      <c r="E581">
        <v>2013</v>
      </c>
      <c r="F581" s="1" t="s">
        <v>0</v>
      </c>
      <c r="G581" s="1" t="s">
        <v>4258</v>
      </c>
      <c r="H581" s="1" t="s">
        <v>953</v>
      </c>
      <c r="I581" s="1" t="s">
        <v>1</v>
      </c>
      <c r="J581" s="1" t="s">
        <v>1</v>
      </c>
      <c r="K581" s="1" t="s">
        <v>2266</v>
      </c>
      <c r="L581" s="1" t="s">
        <v>1</v>
      </c>
      <c r="M581" s="1" t="s">
        <v>1</v>
      </c>
      <c r="N581" s="1" t="s">
        <v>1</v>
      </c>
      <c r="O581" s="1" t="s">
        <v>4259</v>
      </c>
      <c r="P581" s="1" t="s">
        <v>4260</v>
      </c>
      <c r="Q581" s="1">
        <v>-1</v>
      </c>
      <c r="R581" s="1"/>
      <c r="S581" s="1"/>
      <c r="T581" s="1"/>
      <c r="U581" s="1"/>
      <c r="V581" s="1"/>
      <c r="W581" s="1"/>
      <c r="X581" s="1"/>
      <c r="Y581" s="1"/>
      <c r="Z581" s="1"/>
      <c r="AA581" s="1"/>
      <c r="AB581" s="1"/>
      <c r="AC581" s="1"/>
      <c r="AD581" s="1"/>
      <c r="AE581" s="1"/>
      <c r="AF581" s="1"/>
    </row>
    <row r="582" spans="1:32" hidden="1" x14ac:dyDescent="0.25">
      <c r="A582" s="1">
        <v>581</v>
      </c>
      <c r="B582" s="1"/>
      <c r="C582" s="1" t="s">
        <v>2622</v>
      </c>
      <c r="D582" s="1" t="s">
        <v>4546</v>
      </c>
      <c r="E582">
        <v>2014</v>
      </c>
      <c r="F582" s="1" t="s">
        <v>0</v>
      </c>
      <c r="G582" s="1" t="s">
        <v>4547</v>
      </c>
      <c r="H582" s="1" t="s">
        <v>1085</v>
      </c>
      <c r="I582" s="1" t="s">
        <v>1</v>
      </c>
      <c r="J582" s="1" t="s">
        <v>1</v>
      </c>
      <c r="K582" s="1" t="s">
        <v>2623</v>
      </c>
      <c r="L582" s="1" t="s">
        <v>1</v>
      </c>
      <c r="M582" s="1" t="s">
        <v>1</v>
      </c>
      <c r="N582" s="1" t="s">
        <v>1</v>
      </c>
      <c r="O582" s="1" t="s">
        <v>4548</v>
      </c>
      <c r="P582" s="1" t="s">
        <v>2624</v>
      </c>
      <c r="Q582" s="1">
        <v>-1</v>
      </c>
      <c r="R582" s="1"/>
      <c r="S582" s="1"/>
      <c r="T582" s="1"/>
      <c r="U582" s="1"/>
      <c r="V582" s="1"/>
      <c r="W582" s="1"/>
      <c r="X582" s="1"/>
      <c r="Y582" s="1"/>
      <c r="Z582" s="1"/>
      <c r="AA582" s="1"/>
      <c r="AB582" s="1"/>
      <c r="AC582" s="1"/>
      <c r="AD582" s="1"/>
      <c r="AE582" s="1"/>
      <c r="AF582" s="1"/>
    </row>
    <row r="583" spans="1:32" hidden="1" x14ac:dyDescent="0.25">
      <c r="A583" s="1">
        <v>582</v>
      </c>
      <c r="B583" s="1"/>
      <c r="C583" s="1" t="s">
        <v>1415</v>
      </c>
      <c r="D583" s="1" t="s">
        <v>3600</v>
      </c>
      <c r="E583">
        <v>2008</v>
      </c>
      <c r="F583" s="1" t="s">
        <v>0</v>
      </c>
      <c r="G583" s="1" t="s">
        <v>1</v>
      </c>
      <c r="H583" s="1" t="s">
        <v>1</v>
      </c>
      <c r="I583" s="1" t="s">
        <v>3601</v>
      </c>
      <c r="J583" s="1" t="s">
        <v>1</v>
      </c>
      <c r="K583" s="1" t="s">
        <v>3602</v>
      </c>
      <c r="L583" s="1" t="s">
        <v>1</v>
      </c>
      <c r="M583" s="1" t="s">
        <v>1</v>
      </c>
      <c r="N583" s="1" t="s">
        <v>1417</v>
      </c>
      <c r="O583" s="1" t="s">
        <v>3603</v>
      </c>
      <c r="P583" s="1" t="s">
        <v>1416</v>
      </c>
      <c r="Q583" s="1">
        <v>-1</v>
      </c>
      <c r="R583" s="1"/>
      <c r="S583" s="1"/>
      <c r="T583" s="1"/>
      <c r="U583" s="1"/>
      <c r="V583" s="1"/>
      <c r="W583" s="1"/>
      <c r="X583" s="1"/>
      <c r="Y583" s="1"/>
      <c r="Z583" s="1"/>
      <c r="AA583" s="1"/>
      <c r="AB583" s="1"/>
      <c r="AC583" s="1"/>
      <c r="AD583" s="1"/>
      <c r="AE583" s="1"/>
      <c r="AF583" s="1"/>
    </row>
    <row r="584" spans="1:32" hidden="1" x14ac:dyDescent="0.25">
      <c r="A584" s="1">
        <v>583</v>
      </c>
      <c r="B584" s="1"/>
      <c r="C584" s="1" t="s">
        <v>2362</v>
      </c>
      <c r="D584" s="1" t="s">
        <v>4336</v>
      </c>
      <c r="E584">
        <v>2016</v>
      </c>
      <c r="F584" s="1" t="s">
        <v>0</v>
      </c>
      <c r="G584" s="1" t="s">
        <v>4337</v>
      </c>
      <c r="H584" s="1" t="s">
        <v>2363</v>
      </c>
      <c r="I584" s="1" t="s">
        <v>1</v>
      </c>
      <c r="J584" s="1" t="s">
        <v>1</v>
      </c>
      <c r="K584" s="1" t="s">
        <v>1346</v>
      </c>
      <c r="L584" s="1" t="s">
        <v>1</v>
      </c>
      <c r="M584" s="1" t="s">
        <v>1</v>
      </c>
      <c r="N584" s="1" t="s">
        <v>1</v>
      </c>
      <c r="O584" s="1" t="s">
        <v>4338</v>
      </c>
      <c r="P584" s="1" t="s">
        <v>2364</v>
      </c>
      <c r="Q584" s="1">
        <v>-1</v>
      </c>
      <c r="R584" s="1"/>
      <c r="S584" s="1"/>
      <c r="T584" s="1"/>
      <c r="U584" s="1"/>
      <c r="V584" s="1"/>
      <c r="W584" s="1"/>
      <c r="X584" s="1"/>
      <c r="Y584" s="1"/>
      <c r="Z584" s="1"/>
      <c r="AA584" s="1"/>
      <c r="AB584" s="1"/>
      <c r="AC584" s="1"/>
      <c r="AD584" s="1"/>
      <c r="AE584" s="1"/>
      <c r="AF584" s="1"/>
    </row>
    <row r="585" spans="1:32" hidden="1" x14ac:dyDescent="0.25">
      <c r="A585" s="1">
        <v>584</v>
      </c>
      <c r="B585" s="1"/>
      <c r="C585" s="1" t="s">
        <v>1357</v>
      </c>
      <c r="D585" s="1" t="s">
        <v>3552</v>
      </c>
      <c r="E585">
        <v>2014</v>
      </c>
      <c r="F585" s="1" t="s">
        <v>0</v>
      </c>
      <c r="G585" s="1" t="s">
        <v>3553</v>
      </c>
      <c r="H585" s="1" t="s">
        <v>212</v>
      </c>
      <c r="I585" s="1" t="s">
        <v>1</v>
      </c>
      <c r="J585" s="1" t="s">
        <v>1</v>
      </c>
      <c r="K585" s="1" t="s">
        <v>1358</v>
      </c>
      <c r="L585" s="1" t="s">
        <v>1</v>
      </c>
      <c r="M585" s="1" t="s">
        <v>1</v>
      </c>
      <c r="N585" s="1" t="s">
        <v>1</v>
      </c>
      <c r="O585" s="1" t="s">
        <v>3554</v>
      </c>
      <c r="P585" s="1" t="s">
        <v>1359</v>
      </c>
      <c r="Q585" s="1">
        <v>1</v>
      </c>
      <c r="R585" s="1">
        <v>-1</v>
      </c>
      <c r="S585" s="1"/>
      <c r="T585" s="1"/>
      <c r="U585" s="1"/>
      <c r="V585" s="1"/>
      <c r="W585" s="1"/>
      <c r="X585" s="1"/>
      <c r="Y585" s="1"/>
      <c r="Z585" s="1"/>
      <c r="AA585" s="1"/>
      <c r="AB585" s="1"/>
      <c r="AC585" s="1"/>
      <c r="AD585" s="1"/>
      <c r="AE585" s="1"/>
      <c r="AF585" s="1"/>
    </row>
    <row r="586" spans="1:32" hidden="1" x14ac:dyDescent="0.25">
      <c r="A586" s="1">
        <v>585</v>
      </c>
      <c r="B586" s="1"/>
      <c r="C586" s="1" t="s">
        <v>2148</v>
      </c>
      <c r="D586" s="1" t="s">
        <v>4167</v>
      </c>
      <c r="E586">
        <v>2017</v>
      </c>
      <c r="F586" s="1" t="s">
        <v>0</v>
      </c>
      <c r="G586" s="1" t="s">
        <v>1</v>
      </c>
      <c r="H586" s="1" t="s">
        <v>1</v>
      </c>
      <c r="I586" s="1" t="s">
        <v>4168</v>
      </c>
      <c r="J586" s="1" t="s">
        <v>1</v>
      </c>
      <c r="K586" s="1" t="s">
        <v>2149</v>
      </c>
      <c r="L586" s="1" t="s">
        <v>259</v>
      </c>
      <c r="M586" s="1" t="s">
        <v>1</v>
      </c>
      <c r="N586" s="1" t="s">
        <v>2151</v>
      </c>
      <c r="O586" s="1" t="s">
        <v>4169</v>
      </c>
      <c r="P586" s="1" t="s">
        <v>2150</v>
      </c>
      <c r="Q586" s="1">
        <v>-1</v>
      </c>
      <c r="R586" s="1"/>
      <c r="S586" s="1"/>
      <c r="T586" s="1"/>
      <c r="U586" s="1"/>
      <c r="V586" s="1"/>
      <c r="W586" s="1"/>
      <c r="X586" s="1"/>
      <c r="Y586" s="1"/>
      <c r="Z586" s="1"/>
      <c r="AA586" s="1"/>
      <c r="AB586" s="1"/>
      <c r="AC586" s="1"/>
      <c r="AD586" s="1"/>
      <c r="AE586" s="1"/>
      <c r="AF586" s="1"/>
    </row>
    <row r="587" spans="1:32" x14ac:dyDescent="0.25">
      <c r="A587" s="1">
        <v>586</v>
      </c>
      <c r="B587" s="1">
        <v>33</v>
      </c>
      <c r="C587" s="1" t="s">
        <v>258</v>
      </c>
      <c r="D587" s="1" t="s">
        <v>257</v>
      </c>
      <c r="E587">
        <v>2017</v>
      </c>
      <c r="F587" s="1" t="s">
        <v>0</v>
      </c>
      <c r="G587" s="1" t="s">
        <v>1</v>
      </c>
      <c r="H587" s="1" t="s">
        <v>1</v>
      </c>
      <c r="I587" s="1" t="s">
        <v>3983</v>
      </c>
      <c r="J587" s="1" t="s">
        <v>1</v>
      </c>
      <c r="K587" s="1" t="s">
        <v>3984</v>
      </c>
      <c r="L587" s="1" t="s">
        <v>259</v>
      </c>
      <c r="M587" s="1" t="s">
        <v>1</v>
      </c>
      <c r="N587" s="1" t="s">
        <v>260</v>
      </c>
      <c r="O587" s="1" t="s">
        <v>261</v>
      </c>
      <c r="P587" s="1" t="s">
        <v>262</v>
      </c>
      <c r="Q587" s="1">
        <v>1</v>
      </c>
      <c r="R587" s="1">
        <v>1</v>
      </c>
      <c r="S587" s="1">
        <v>5</v>
      </c>
      <c r="T587" s="1" t="s">
        <v>5068</v>
      </c>
      <c r="U587" s="1" t="s">
        <v>5067</v>
      </c>
      <c r="V587" s="1" t="s">
        <v>5283</v>
      </c>
      <c r="W587" s="1" t="s">
        <v>4974</v>
      </c>
      <c r="X587" s="1" t="s">
        <v>5012</v>
      </c>
      <c r="Y587" s="1" t="s">
        <v>5003</v>
      </c>
      <c r="Z587" s="1"/>
      <c r="AA587" s="1" t="s">
        <v>5007</v>
      </c>
      <c r="AB587" s="1">
        <v>2</v>
      </c>
      <c r="AC587" s="1">
        <v>3</v>
      </c>
      <c r="AD587" s="1">
        <v>2</v>
      </c>
      <c r="AE587" s="1">
        <v>3</v>
      </c>
      <c r="AF587" s="1"/>
    </row>
    <row r="588" spans="1:32" hidden="1" x14ac:dyDescent="0.25">
      <c r="A588" s="1">
        <v>587</v>
      </c>
      <c r="B588" s="1"/>
      <c r="C588" s="1" t="s">
        <v>2002</v>
      </c>
      <c r="D588" s="1" t="s">
        <v>2001</v>
      </c>
      <c r="E588">
        <v>2007</v>
      </c>
      <c r="F588" s="1" t="s">
        <v>0</v>
      </c>
      <c r="G588" s="1" t="s">
        <v>4060</v>
      </c>
      <c r="H588" s="1" t="s">
        <v>1832</v>
      </c>
      <c r="I588" s="1" t="s">
        <v>1</v>
      </c>
      <c r="J588" s="1" t="s">
        <v>1</v>
      </c>
      <c r="K588" s="1" t="s">
        <v>2003</v>
      </c>
      <c r="L588" s="1" t="s">
        <v>1</v>
      </c>
      <c r="M588" s="1" t="s">
        <v>1</v>
      </c>
      <c r="N588" s="1" t="s">
        <v>1</v>
      </c>
      <c r="O588" s="1" t="s">
        <v>4061</v>
      </c>
      <c r="P588" s="1" t="s">
        <v>2004</v>
      </c>
      <c r="Q588" s="1">
        <v>-1</v>
      </c>
      <c r="R588" s="1"/>
      <c r="S588" s="1"/>
      <c r="T588" s="1"/>
      <c r="U588" s="1"/>
      <c r="V588" s="1"/>
      <c r="W588" s="1"/>
      <c r="X588" s="1"/>
      <c r="Y588" s="1"/>
      <c r="Z588" s="1"/>
      <c r="AA588" s="1"/>
      <c r="AB588" s="1"/>
      <c r="AC588" s="1"/>
      <c r="AD588" s="1"/>
      <c r="AE588" s="1"/>
      <c r="AF588" s="1"/>
    </row>
    <row r="589" spans="1:32" hidden="1" x14ac:dyDescent="0.25">
      <c r="A589" s="1">
        <v>588</v>
      </c>
      <c r="B589" s="1"/>
      <c r="C589" s="1" t="s">
        <v>2298</v>
      </c>
      <c r="D589" s="1" t="s">
        <v>2284</v>
      </c>
      <c r="E589">
        <v>2010</v>
      </c>
      <c r="F589" s="1" t="s">
        <v>244</v>
      </c>
      <c r="G589" s="1" t="s">
        <v>4288</v>
      </c>
      <c r="H589" s="1" t="s">
        <v>1</v>
      </c>
      <c r="I589" s="1" t="s">
        <v>2299</v>
      </c>
      <c r="J589" s="1" t="s">
        <v>1</v>
      </c>
      <c r="K589" s="1" t="s">
        <v>2300</v>
      </c>
      <c r="L589" s="1" t="s">
        <v>1</v>
      </c>
      <c r="M589" s="1" t="s">
        <v>1</v>
      </c>
      <c r="N589" s="1" t="s">
        <v>2302</v>
      </c>
      <c r="O589" s="1" t="s">
        <v>4289</v>
      </c>
      <c r="P589" s="1" t="s">
        <v>2301</v>
      </c>
      <c r="Q589" s="1">
        <v>-1</v>
      </c>
      <c r="R589" s="1"/>
      <c r="S589" s="1"/>
      <c r="T589" s="1"/>
      <c r="U589" s="1"/>
      <c r="V589" s="1"/>
      <c r="W589" s="1"/>
      <c r="X589" s="1"/>
      <c r="Y589" s="1"/>
      <c r="Z589" s="1"/>
      <c r="AA589" s="1"/>
      <c r="AB589" s="1"/>
      <c r="AC589" s="1"/>
      <c r="AD589" s="1"/>
      <c r="AE589" s="1"/>
      <c r="AF589" s="1"/>
    </row>
    <row r="590" spans="1:32" hidden="1" x14ac:dyDescent="0.25">
      <c r="A590" s="1">
        <v>589</v>
      </c>
      <c r="B590" s="1"/>
      <c r="C590" s="1" t="s">
        <v>2245</v>
      </c>
      <c r="D590" s="1" t="s">
        <v>4243</v>
      </c>
      <c r="E590">
        <v>2014</v>
      </c>
      <c r="F590" s="1" t="s">
        <v>0</v>
      </c>
      <c r="G590" s="1" t="s">
        <v>4244</v>
      </c>
      <c r="H590" s="1" t="s">
        <v>1</v>
      </c>
      <c r="I590" s="1" t="s">
        <v>1</v>
      </c>
      <c r="J590" s="1" t="s">
        <v>1</v>
      </c>
      <c r="K590" s="1" t="s">
        <v>2246</v>
      </c>
      <c r="L590" s="1" t="s">
        <v>237</v>
      </c>
      <c r="M590" s="1" t="s">
        <v>1</v>
      </c>
      <c r="N590" s="1" t="s">
        <v>2248</v>
      </c>
      <c r="O590" s="1" t="s">
        <v>4245</v>
      </c>
      <c r="P590" s="1" t="s">
        <v>2247</v>
      </c>
      <c r="Q590" s="1">
        <v>1</v>
      </c>
      <c r="R590" s="1">
        <v>-1</v>
      </c>
      <c r="S590" s="1"/>
      <c r="T590" s="1"/>
      <c r="U590" s="1"/>
      <c r="V590" s="1"/>
      <c r="W590" s="1"/>
      <c r="X590" s="1"/>
      <c r="Y590" s="1"/>
      <c r="Z590" s="1"/>
      <c r="AA590" s="1"/>
      <c r="AB590" s="1"/>
      <c r="AC590" s="1"/>
      <c r="AD590" s="1"/>
      <c r="AE590" s="1"/>
      <c r="AF590" s="1"/>
    </row>
    <row r="591" spans="1:32" hidden="1" x14ac:dyDescent="0.25">
      <c r="A591" s="1">
        <v>590</v>
      </c>
      <c r="B591" s="1"/>
      <c r="C591" s="1" t="s">
        <v>1557</v>
      </c>
      <c r="D591" s="1" t="s">
        <v>3719</v>
      </c>
      <c r="E591">
        <v>2003</v>
      </c>
      <c r="F591" s="1" t="s">
        <v>0</v>
      </c>
      <c r="G591" s="1" t="s">
        <v>3720</v>
      </c>
      <c r="H591" s="1" t="s">
        <v>1558</v>
      </c>
      <c r="I591" s="1" t="s">
        <v>1</v>
      </c>
      <c r="J591" s="1" t="s">
        <v>1</v>
      </c>
      <c r="K591" s="1" t="s">
        <v>1559</v>
      </c>
      <c r="L591" s="1" t="s">
        <v>1</v>
      </c>
      <c r="M591" s="1" t="s">
        <v>1</v>
      </c>
      <c r="N591" s="1" t="s">
        <v>1</v>
      </c>
      <c r="O591" s="1" t="s">
        <v>3721</v>
      </c>
      <c r="P591" s="1" t="s">
        <v>1560</v>
      </c>
      <c r="Q591" s="1">
        <v>-1</v>
      </c>
      <c r="R591" s="1"/>
      <c r="S591" s="1"/>
      <c r="T591" s="1"/>
      <c r="U591" s="1"/>
      <c r="V591" s="1"/>
      <c r="W591" s="1"/>
      <c r="X591" s="1"/>
      <c r="Y591" s="1"/>
      <c r="Z591" s="1"/>
      <c r="AA591" s="1"/>
      <c r="AB591" s="1"/>
      <c r="AC591" s="1"/>
      <c r="AD591" s="1"/>
      <c r="AE591" s="1"/>
      <c r="AF591" s="1"/>
    </row>
    <row r="592" spans="1:32" hidden="1" x14ac:dyDescent="0.25">
      <c r="A592" s="1">
        <v>591</v>
      </c>
      <c r="B592" s="1"/>
      <c r="C592" s="1" t="s">
        <v>518</v>
      </c>
      <c r="D592" s="1" t="s">
        <v>215</v>
      </c>
      <c r="E592">
        <v>2011</v>
      </c>
      <c r="F592" s="1" t="s">
        <v>244</v>
      </c>
      <c r="G592" s="1" t="s">
        <v>4108</v>
      </c>
      <c r="H592" s="1" t="s">
        <v>1</v>
      </c>
      <c r="I592" s="1" t="s">
        <v>2074</v>
      </c>
      <c r="J592" s="1" t="s">
        <v>1</v>
      </c>
      <c r="K592" s="1" t="s">
        <v>2075</v>
      </c>
      <c r="L592" s="1" t="s">
        <v>247</v>
      </c>
      <c r="M592" s="1" t="s">
        <v>1</v>
      </c>
      <c r="N592" s="1" t="s">
        <v>2076</v>
      </c>
      <c r="O592" s="1" t="s">
        <v>520</v>
      </c>
      <c r="P592" s="1" t="s">
        <v>521</v>
      </c>
      <c r="Q592" s="1">
        <v>1</v>
      </c>
      <c r="R592" s="1">
        <v>-1</v>
      </c>
      <c r="S592" s="1"/>
      <c r="T592" s="1"/>
      <c r="U592" s="1"/>
      <c r="V592" s="1"/>
      <c r="W592" s="1"/>
      <c r="X592" s="1"/>
      <c r="Y592" s="1"/>
      <c r="Z592" s="1"/>
      <c r="AA592" s="1"/>
      <c r="AB592" s="1"/>
      <c r="AC592" s="1"/>
      <c r="AD592" s="1"/>
      <c r="AE592" s="1"/>
      <c r="AF592" s="1"/>
    </row>
    <row r="593" spans="1:32" hidden="1" x14ac:dyDescent="0.25">
      <c r="A593" s="1">
        <v>592</v>
      </c>
      <c r="B593" s="1"/>
      <c r="C593" s="1" t="s">
        <v>1365</v>
      </c>
      <c r="D593" s="1" t="s">
        <v>3559</v>
      </c>
      <c r="E593">
        <v>2014</v>
      </c>
      <c r="F593" s="1" t="s">
        <v>0</v>
      </c>
      <c r="G593" s="1" t="s">
        <v>3560</v>
      </c>
      <c r="H593" s="1" t="s">
        <v>1</v>
      </c>
      <c r="I593" s="1" t="s">
        <v>3174</v>
      </c>
      <c r="J593" s="1" t="s">
        <v>1</v>
      </c>
      <c r="K593" s="1" t="s">
        <v>1366</v>
      </c>
      <c r="L593" s="1" t="s">
        <v>241</v>
      </c>
      <c r="M593" s="1" t="s">
        <v>1</v>
      </c>
      <c r="N593" s="1" t="s">
        <v>1368</v>
      </c>
      <c r="O593" s="1" t="s">
        <v>3561</v>
      </c>
      <c r="P593" s="1" t="s">
        <v>1367</v>
      </c>
      <c r="Q593" s="1">
        <v>-1</v>
      </c>
      <c r="R593" s="1"/>
      <c r="S593" s="1"/>
      <c r="T593" s="1"/>
      <c r="U593" s="1"/>
      <c r="V593" s="1"/>
      <c r="W593" s="1"/>
      <c r="X593" s="1"/>
      <c r="Y593" s="1"/>
      <c r="Z593" s="1"/>
      <c r="AA593" s="1"/>
      <c r="AB593" s="1"/>
      <c r="AC593" s="1"/>
      <c r="AD593" s="1"/>
      <c r="AE593" s="1"/>
      <c r="AF593" s="1"/>
    </row>
    <row r="594" spans="1:32" hidden="1" x14ac:dyDescent="0.25">
      <c r="A594" s="1">
        <v>593</v>
      </c>
      <c r="B594" s="1"/>
      <c r="C594" s="1" t="s">
        <v>2956</v>
      </c>
      <c r="D594" s="1" t="s">
        <v>4813</v>
      </c>
      <c r="E594">
        <v>2013</v>
      </c>
      <c r="F594" s="1" t="s">
        <v>0</v>
      </c>
      <c r="G594" s="1" t="s">
        <v>4814</v>
      </c>
      <c r="H594" s="1" t="s">
        <v>869</v>
      </c>
      <c r="I594" s="1" t="s">
        <v>1</v>
      </c>
      <c r="J594" s="1" t="s">
        <v>1</v>
      </c>
      <c r="K594" s="1" t="s">
        <v>3224</v>
      </c>
      <c r="L594" s="1" t="s">
        <v>1</v>
      </c>
      <c r="M594" s="1" t="s">
        <v>1</v>
      </c>
      <c r="N594" s="1" t="s">
        <v>1</v>
      </c>
      <c r="O594" s="1" t="s">
        <v>4815</v>
      </c>
      <c r="P594" s="1" t="s">
        <v>2957</v>
      </c>
      <c r="Q594" s="1">
        <v>-1</v>
      </c>
      <c r="R594" s="1"/>
      <c r="S594" s="1"/>
      <c r="T594" s="1"/>
      <c r="U594" s="1"/>
      <c r="V594" s="1"/>
      <c r="W594" s="1"/>
      <c r="X594" s="1"/>
      <c r="Y594" s="1"/>
      <c r="Z594" s="1"/>
      <c r="AA594" s="1"/>
      <c r="AB594" s="1"/>
      <c r="AC594" s="1"/>
      <c r="AD594" s="1"/>
      <c r="AE594" s="1"/>
      <c r="AF594" s="1"/>
    </row>
    <row r="595" spans="1:32" hidden="1" x14ac:dyDescent="0.25">
      <c r="A595" s="1">
        <v>594</v>
      </c>
      <c r="B595" s="1"/>
      <c r="C595" s="1" t="s">
        <v>2910</v>
      </c>
      <c r="D595" s="1" t="s">
        <v>4777</v>
      </c>
      <c r="E595">
        <v>2011</v>
      </c>
      <c r="F595" s="1" t="s">
        <v>244</v>
      </c>
      <c r="G595" s="1" t="s">
        <v>4778</v>
      </c>
      <c r="H595" s="1" t="s">
        <v>514</v>
      </c>
      <c r="I595" s="1" t="s">
        <v>1165</v>
      </c>
      <c r="J595" s="1" t="s">
        <v>1</v>
      </c>
      <c r="K595" s="1" t="s">
        <v>2911</v>
      </c>
      <c r="L595" s="1" t="s">
        <v>247</v>
      </c>
      <c r="M595" s="1" t="s">
        <v>1</v>
      </c>
      <c r="N595" s="1" t="s">
        <v>2913</v>
      </c>
      <c r="O595" s="1" t="s">
        <v>4779</v>
      </c>
      <c r="P595" s="1" t="s">
        <v>2912</v>
      </c>
      <c r="Q595" s="1">
        <v>-1</v>
      </c>
      <c r="R595" s="1"/>
      <c r="S595" s="1"/>
      <c r="T595" s="1"/>
      <c r="U595" s="1"/>
      <c r="V595" s="1"/>
      <c r="W595" s="1"/>
      <c r="X595" s="1"/>
      <c r="Y595" s="1"/>
      <c r="Z595" s="1"/>
      <c r="AA595" s="1"/>
      <c r="AB595" s="1"/>
      <c r="AC595" s="1"/>
      <c r="AD595" s="1"/>
      <c r="AE595" s="1"/>
      <c r="AF595" s="1"/>
    </row>
    <row r="596" spans="1:32" hidden="1" x14ac:dyDescent="0.25">
      <c r="A596" s="1">
        <v>595</v>
      </c>
      <c r="B596" s="1"/>
      <c r="C596" s="1" t="s">
        <v>2570</v>
      </c>
      <c r="D596" s="1" t="s">
        <v>4503</v>
      </c>
      <c r="E596">
        <v>2017</v>
      </c>
      <c r="F596" s="1" t="s">
        <v>116</v>
      </c>
      <c r="G596" s="1" t="s">
        <v>4504</v>
      </c>
      <c r="H596" s="1" t="s">
        <v>702</v>
      </c>
      <c r="I596" s="1" t="s">
        <v>3179</v>
      </c>
      <c r="J596" s="1" t="s">
        <v>1</v>
      </c>
      <c r="K596" s="1" t="s">
        <v>2571</v>
      </c>
      <c r="L596" s="1" t="s">
        <v>1</v>
      </c>
      <c r="M596" s="1" t="s">
        <v>1</v>
      </c>
      <c r="N596" s="1" t="s">
        <v>2573</v>
      </c>
      <c r="O596" s="1" t="s">
        <v>4505</v>
      </c>
      <c r="P596" s="1" t="s">
        <v>2572</v>
      </c>
      <c r="Q596" s="1">
        <v>-1</v>
      </c>
      <c r="R596" s="1"/>
      <c r="S596" s="1"/>
      <c r="T596" s="1"/>
      <c r="U596" s="1"/>
      <c r="V596" s="1"/>
      <c r="W596" s="1"/>
      <c r="X596" s="1"/>
      <c r="Y596" s="1"/>
      <c r="Z596" s="1"/>
      <c r="AA596" s="1"/>
      <c r="AB596" s="1"/>
      <c r="AC596" s="1"/>
      <c r="AD596" s="1"/>
      <c r="AE596" s="1"/>
      <c r="AF596" s="1"/>
    </row>
    <row r="597" spans="1:32" hidden="1" x14ac:dyDescent="0.25">
      <c r="A597" s="1">
        <v>596</v>
      </c>
      <c r="B597" s="1"/>
      <c r="C597" s="1" t="s">
        <v>1638</v>
      </c>
      <c r="D597" s="1" t="s">
        <v>199</v>
      </c>
      <c r="E597">
        <v>2013</v>
      </c>
      <c r="F597" s="1" t="s">
        <v>244</v>
      </c>
      <c r="G597" s="1" t="s">
        <v>3791</v>
      </c>
      <c r="H597" s="1" t="s">
        <v>1</v>
      </c>
      <c r="I597" s="1" t="s">
        <v>1639</v>
      </c>
      <c r="J597" s="1" t="s">
        <v>1</v>
      </c>
      <c r="K597" s="1" t="s">
        <v>1640</v>
      </c>
      <c r="L597" s="1" t="s">
        <v>247</v>
      </c>
      <c r="M597" s="1" t="s">
        <v>1</v>
      </c>
      <c r="N597" s="1" t="s">
        <v>1642</v>
      </c>
      <c r="O597" s="1" t="s">
        <v>3792</v>
      </c>
      <c r="P597" s="1" t="s">
        <v>1641</v>
      </c>
      <c r="Q597" s="1">
        <v>1</v>
      </c>
      <c r="R597" s="1">
        <v>-1</v>
      </c>
      <c r="S597" s="1"/>
      <c r="T597" s="1"/>
      <c r="U597" s="1"/>
      <c r="V597" s="1"/>
      <c r="W597" s="1"/>
      <c r="X597" s="1"/>
      <c r="Y597" s="1"/>
      <c r="Z597" s="1"/>
      <c r="AA597" s="1"/>
      <c r="AB597" s="1"/>
      <c r="AC597" s="1"/>
      <c r="AD597" s="1"/>
      <c r="AE597" s="1"/>
      <c r="AF597" s="1"/>
    </row>
    <row r="598" spans="1:32" x14ac:dyDescent="0.25">
      <c r="A598" s="1">
        <v>597</v>
      </c>
      <c r="B598" s="1">
        <v>34</v>
      </c>
      <c r="C598" s="5" t="s">
        <v>1466</v>
      </c>
      <c r="D598" s="1" t="s">
        <v>1465</v>
      </c>
      <c r="E598">
        <v>2012</v>
      </c>
      <c r="F598" s="1" t="s">
        <v>0</v>
      </c>
      <c r="G598" s="1" t="s">
        <v>1</v>
      </c>
      <c r="H598" s="1" t="s">
        <v>1</v>
      </c>
      <c r="I598" s="1" t="s">
        <v>3649</v>
      </c>
      <c r="J598" s="1" t="s">
        <v>1</v>
      </c>
      <c r="K598" s="1" t="s">
        <v>1</v>
      </c>
      <c r="L598" s="1" t="s">
        <v>1</v>
      </c>
      <c r="M598" s="1" t="s">
        <v>1</v>
      </c>
      <c r="N598" s="1" t="s">
        <v>1468</v>
      </c>
      <c r="O598" s="1" t="s">
        <v>3650</v>
      </c>
      <c r="P598" s="1" t="s">
        <v>1467</v>
      </c>
      <c r="Q598" s="1">
        <v>1</v>
      </c>
      <c r="R598" s="1">
        <v>1</v>
      </c>
      <c r="S598" s="1">
        <v>7</v>
      </c>
      <c r="T598" s="1" t="s">
        <v>5026</v>
      </c>
      <c r="U598" s="1" t="s">
        <v>5015</v>
      </c>
      <c r="V598" s="1" t="s">
        <v>5000</v>
      </c>
      <c r="W598" s="1" t="s">
        <v>4976</v>
      </c>
      <c r="X598" s="1" t="s">
        <v>658</v>
      </c>
      <c r="Y598" s="1" t="s">
        <v>5003</v>
      </c>
      <c r="Z598" s="1" t="s">
        <v>942</v>
      </c>
      <c r="AA598" s="1" t="s">
        <v>5006</v>
      </c>
      <c r="AB598" s="1">
        <v>4</v>
      </c>
      <c r="AC598" s="1">
        <v>4</v>
      </c>
      <c r="AD598" s="1">
        <v>1</v>
      </c>
      <c r="AE598" s="1">
        <v>2</v>
      </c>
      <c r="AF598" s="1"/>
    </row>
    <row r="599" spans="1:32" hidden="1" x14ac:dyDescent="0.25">
      <c r="A599" s="1">
        <v>598</v>
      </c>
      <c r="B599" s="1"/>
      <c r="C599" s="1" t="s">
        <v>1328</v>
      </c>
      <c r="D599" s="1" t="s">
        <v>1327</v>
      </c>
      <c r="E599">
        <v>2017</v>
      </c>
      <c r="F599" s="1" t="s">
        <v>244</v>
      </c>
      <c r="G599" s="1" t="s">
        <v>3538</v>
      </c>
      <c r="H599" s="1" t="s">
        <v>1</v>
      </c>
      <c r="I599" s="1" t="s">
        <v>1329</v>
      </c>
      <c r="J599" s="1" t="s">
        <v>1</v>
      </c>
      <c r="K599" s="1" t="s">
        <v>1330</v>
      </c>
      <c r="L599" s="1" t="s">
        <v>247</v>
      </c>
      <c r="M599" s="1" t="s">
        <v>1</v>
      </c>
      <c r="N599" s="1" t="s">
        <v>1333</v>
      </c>
      <c r="O599" s="1" t="s">
        <v>3539</v>
      </c>
      <c r="P599" s="1" t="s">
        <v>1332</v>
      </c>
      <c r="Q599" s="1">
        <v>-1</v>
      </c>
      <c r="R599" s="1"/>
      <c r="S599" s="1"/>
      <c r="T599" s="1"/>
      <c r="U599" s="1"/>
      <c r="V599" s="1"/>
      <c r="W599" s="1"/>
      <c r="X599" s="1"/>
      <c r="Y599" s="1"/>
      <c r="Z599" s="1"/>
      <c r="AA599" s="1"/>
      <c r="AB599" s="1"/>
      <c r="AC599" s="1"/>
      <c r="AD599" s="1"/>
      <c r="AE599" s="1"/>
      <c r="AF599" s="1"/>
    </row>
    <row r="600" spans="1:32" hidden="1" x14ac:dyDescent="0.25">
      <c r="A600" s="1">
        <v>599</v>
      </c>
      <c r="B600" s="1"/>
      <c r="C600" s="1" t="s">
        <v>1492</v>
      </c>
      <c r="D600" s="1" t="s">
        <v>3671</v>
      </c>
      <c r="E600">
        <v>2014</v>
      </c>
      <c r="F600" s="1" t="s">
        <v>0</v>
      </c>
      <c r="G600" s="1" t="s">
        <v>3672</v>
      </c>
      <c r="H600" s="1" t="s">
        <v>1493</v>
      </c>
      <c r="I600" s="1" t="s">
        <v>1</v>
      </c>
      <c r="J600" s="1" t="s">
        <v>1</v>
      </c>
      <c r="K600" s="1" t="s">
        <v>3184</v>
      </c>
      <c r="L600" s="1" t="s">
        <v>1</v>
      </c>
      <c r="M600" s="1" t="s">
        <v>1</v>
      </c>
      <c r="N600" s="1" t="s">
        <v>1</v>
      </c>
      <c r="O600" s="1" t="s">
        <v>3673</v>
      </c>
      <c r="P600" s="1" t="s">
        <v>1494</v>
      </c>
      <c r="Q600" s="1">
        <v>-1</v>
      </c>
      <c r="R600" s="1"/>
      <c r="S600" s="1"/>
      <c r="T600" s="1"/>
      <c r="U600" s="1"/>
      <c r="V600" s="1"/>
      <c r="W600" s="1"/>
      <c r="X600" s="1"/>
      <c r="Y600" s="1"/>
      <c r="Z600" s="1"/>
      <c r="AA600" s="1"/>
      <c r="AB600" s="1"/>
      <c r="AC600" s="1"/>
      <c r="AD600" s="1"/>
      <c r="AE600" s="1"/>
      <c r="AF600" s="1"/>
    </row>
    <row r="601" spans="1:32" x14ac:dyDescent="0.25">
      <c r="A601" s="1">
        <v>600</v>
      </c>
      <c r="B601" s="1">
        <v>35</v>
      </c>
      <c r="C601" s="1" t="s">
        <v>1886</v>
      </c>
      <c r="D601" s="1" t="s">
        <v>3972</v>
      </c>
      <c r="E601">
        <v>2013</v>
      </c>
      <c r="F601" s="1" t="s">
        <v>127</v>
      </c>
      <c r="G601" s="1" t="s">
        <v>3973</v>
      </c>
      <c r="H601" s="1" t="s">
        <v>1887</v>
      </c>
      <c r="I601" s="1" t="s">
        <v>1</v>
      </c>
      <c r="J601" s="1" t="s">
        <v>1</v>
      </c>
      <c r="K601" s="1" t="s">
        <v>1888</v>
      </c>
      <c r="L601" s="1" t="s">
        <v>447</v>
      </c>
      <c r="M601" s="1" t="s">
        <v>1</v>
      </c>
      <c r="N601" s="1" t="s">
        <v>1889</v>
      </c>
      <c r="O601" s="1" t="s">
        <v>1</v>
      </c>
      <c r="P601" s="1" t="s">
        <v>3974</v>
      </c>
      <c r="Q601" s="1">
        <v>1</v>
      </c>
      <c r="R601" s="1">
        <v>1</v>
      </c>
      <c r="S601" s="1">
        <v>5</v>
      </c>
      <c r="T601" s="1" t="s">
        <v>5072</v>
      </c>
      <c r="U601" s="1" t="s">
        <v>5015</v>
      </c>
      <c r="V601" s="1" t="s">
        <v>5071</v>
      </c>
      <c r="W601" s="1" t="s">
        <v>4974</v>
      </c>
      <c r="X601" s="1" t="s">
        <v>127</v>
      </c>
      <c r="Y601" s="1" t="s">
        <v>5021</v>
      </c>
      <c r="Z601" s="1" t="s">
        <v>5057</v>
      </c>
      <c r="AA601" s="1" t="s">
        <v>5070</v>
      </c>
      <c r="AB601" s="1">
        <v>4</v>
      </c>
      <c r="AC601" s="1">
        <v>3</v>
      </c>
      <c r="AD601" s="1">
        <v>2</v>
      </c>
      <c r="AE601" s="1">
        <v>3</v>
      </c>
      <c r="AF601" s="1"/>
    </row>
    <row r="602" spans="1:32" hidden="1" x14ac:dyDescent="0.25">
      <c r="A602" s="1">
        <v>601</v>
      </c>
      <c r="B602" s="1"/>
      <c r="C602" s="1" t="s">
        <v>1140</v>
      </c>
      <c r="D602" s="1" t="s">
        <v>3408</v>
      </c>
      <c r="E602">
        <v>2016</v>
      </c>
      <c r="F602" s="1" t="s">
        <v>0</v>
      </c>
      <c r="G602" s="1" t="s">
        <v>1</v>
      </c>
      <c r="H602" s="1" t="s">
        <v>1141</v>
      </c>
      <c r="I602" s="1" t="s">
        <v>1</v>
      </c>
      <c r="J602" s="1" t="s">
        <v>1</v>
      </c>
      <c r="K602" s="1" t="s">
        <v>1142</v>
      </c>
      <c r="L602" s="1" t="s">
        <v>1</v>
      </c>
      <c r="M602" s="1" t="s">
        <v>1</v>
      </c>
      <c r="N602" s="1" t="s">
        <v>1</v>
      </c>
      <c r="O602" s="1" t="s">
        <v>3409</v>
      </c>
      <c r="P602" s="1" t="s">
        <v>1143</v>
      </c>
      <c r="Q602" s="1">
        <v>-1</v>
      </c>
      <c r="R602" s="1"/>
      <c r="S602" s="1"/>
      <c r="T602" s="1"/>
      <c r="U602" s="1"/>
      <c r="V602" s="1"/>
      <c r="W602" s="1"/>
      <c r="X602" s="1"/>
      <c r="Y602" s="1"/>
      <c r="Z602" s="1"/>
      <c r="AA602" s="1"/>
      <c r="AB602" s="1"/>
      <c r="AC602" s="1"/>
      <c r="AD602" s="1"/>
      <c r="AE602" s="1"/>
      <c r="AF602" s="1"/>
    </row>
    <row r="603" spans="1:32" x14ac:dyDescent="0.25">
      <c r="A603" s="1">
        <v>602</v>
      </c>
      <c r="B603" s="1">
        <v>36</v>
      </c>
      <c r="C603" s="1" t="s">
        <v>1117</v>
      </c>
      <c r="D603" s="1" t="s">
        <v>3388</v>
      </c>
      <c r="E603">
        <v>2016</v>
      </c>
      <c r="F603" s="1" t="s">
        <v>0</v>
      </c>
      <c r="G603" s="1" t="s">
        <v>3389</v>
      </c>
      <c r="H603" s="1" t="s">
        <v>92</v>
      </c>
      <c r="I603" s="1" t="s">
        <v>1</v>
      </c>
      <c r="J603" s="1" t="s">
        <v>1</v>
      </c>
      <c r="K603" s="1" t="s">
        <v>3195</v>
      </c>
      <c r="L603" s="1" t="s">
        <v>1</v>
      </c>
      <c r="M603" s="1" t="s">
        <v>1</v>
      </c>
      <c r="N603" s="1" t="s">
        <v>1</v>
      </c>
      <c r="O603" s="1" t="s">
        <v>3390</v>
      </c>
      <c r="P603" s="1" t="s">
        <v>1118</v>
      </c>
      <c r="Q603" s="1">
        <v>1</v>
      </c>
      <c r="R603" s="1">
        <v>1</v>
      </c>
      <c r="S603" s="1">
        <v>5</v>
      </c>
      <c r="T603" s="1" t="s">
        <v>5074</v>
      </c>
      <c r="U603" s="1" t="s">
        <v>5044</v>
      </c>
      <c r="V603" s="1" t="s">
        <v>2135</v>
      </c>
      <c r="W603" s="1" t="s">
        <v>4976</v>
      </c>
      <c r="X603" s="1" t="s">
        <v>5012</v>
      </c>
      <c r="Y603" s="1" t="s">
        <v>3111</v>
      </c>
      <c r="Z603" s="1" t="s">
        <v>5075</v>
      </c>
      <c r="AA603" s="1" t="s">
        <v>4988</v>
      </c>
      <c r="AB603" s="1">
        <v>1</v>
      </c>
      <c r="AC603" s="1">
        <v>1</v>
      </c>
      <c r="AD603" s="1">
        <v>1</v>
      </c>
      <c r="AE603" s="1">
        <v>1</v>
      </c>
      <c r="AF603" s="1"/>
    </row>
    <row r="604" spans="1:32" hidden="1" x14ac:dyDescent="0.25">
      <c r="A604" s="1">
        <v>603</v>
      </c>
      <c r="B604" s="1"/>
      <c r="C604" s="1" t="s">
        <v>2574</v>
      </c>
      <c r="D604" s="1" t="s">
        <v>4506</v>
      </c>
      <c r="E604">
        <v>2017</v>
      </c>
      <c r="F604" s="1" t="s">
        <v>0</v>
      </c>
      <c r="G604" s="1" t="s">
        <v>4507</v>
      </c>
      <c r="H604" s="1" t="s">
        <v>1354</v>
      </c>
      <c r="I604" s="1" t="s">
        <v>1</v>
      </c>
      <c r="J604" s="1" t="s">
        <v>1</v>
      </c>
      <c r="K604" s="1" t="s">
        <v>2575</v>
      </c>
      <c r="L604" s="1" t="s">
        <v>1</v>
      </c>
      <c r="M604" s="1" t="s">
        <v>1</v>
      </c>
      <c r="N604" s="1" t="s">
        <v>1</v>
      </c>
      <c r="O604" s="1" t="s">
        <v>4508</v>
      </c>
      <c r="P604" s="1" t="s">
        <v>2576</v>
      </c>
      <c r="Q604" s="1">
        <v>1</v>
      </c>
      <c r="R604" s="1">
        <v>-1</v>
      </c>
      <c r="S604" s="1"/>
      <c r="T604" s="1"/>
      <c r="U604" s="1"/>
      <c r="V604" s="1"/>
      <c r="W604" s="1"/>
      <c r="X604" s="1"/>
      <c r="Y604" s="1"/>
      <c r="Z604" s="1"/>
      <c r="AA604" s="1"/>
      <c r="AB604" s="1"/>
      <c r="AC604" s="1"/>
      <c r="AD604" s="1"/>
      <c r="AE604" s="1"/>
      <c r="AF604" s="1"/>
    </row>
    <row r="605" spans="1:32" hidden="1" x14ac:dyDescent="0.25">
      <c r="A605" s="1">
        <v>604</v>
      </c>
      <c r="B605" s="1"/>
      <c r="C605" s="1" t="s">
        <v>1643</v>
      </c>
      <c r="D605" s="1" t="s">
        <v>3793</v>
      </c>
      <c r="E605">
        <v>2016</v>
      </c>
      <c r="F605" s="1" t="s">
        <v>116</v>
      </c>
      <c r="G605" s="1" t="s">
        <v>3796</v>
      </c>
      <c r="H605" s="1" t="s">
        <v>1644</v>
      </c>
      <c r="I605" s="1" t="s">
        <v>3794</v>
      </c>
      <c r="J605" s="1" t="s">
        <v>3141</v>
      </c>
      <c r="K605" s="1" t="s">
        <v>3795</v>
      </c>
      <c r="L605" s="1" t="s">
        <v>1102</v>
      </c>
      <c r="M605" s="1" t="s">
        <v>1</v>
      </c>
      <c r="N605" s="1" t="s">
        <v>1646</v>
      </c>
      <c r="O605" s="1" t="s">
        <v>3797</v>
      </c>
      <c r="P605" s="1" t="s">
        <v>1645</v>
      </c>
      <c r="Q605" s="1">
        <v>1</v>
      </c>
      <c r="R605" s="1">
        <v>-1</v>
      </c>
      <c r="S605" s="1"/>
      <c r="T605" s="1"/>
      <c r="U605" s="1"/>
      <c r="V605" s="1"/>
      <c r="W605" s="1"/>
      <c r="X605" s="1"/>
      <c r="Y605" s="1"/>
      <c r="Z605" s="1"/>
      <c r="AA605" s="1"/>
      <c r="AB605" s="1"/>
      <c r="AC605" s="1"/>
      <c r="AD605" s="1"/>
      <c r="AE605" s="1"/>
      <c r="AF605" s="1"/>
    </row>
    <row r="606" spans="1:32" hidden="1" x14ac:dyDescent="0.25">
      <c r="A606" s="1">
        <v>605</v>
      </c>
      <c r="B606" s="1"/>
      <c r="C606" s="1" t="s">
        <v>1078</v>
      </c>
      <c r="D606" s="1" t="s">
        <v>3359</v>
      </c>
      <c r="E606">
        <v>2016</v>
      </c>
      <c r="F606" s="1" t="s">
        <v>116</v>
      </c>
      <c r="G606" s="1" t="s">
        <v>3361</v>
      </c>
      <c r="H606" s="1" t="s">
        <v>1079</v>
      </c>
      <c r="I606" s="1" t="s">
        <v>3360</v>
      </c>
      <c r="J606" s="1" t="s">
        <v>1080</v>
      </c>
      <c r="K606" s="1" t="s">
        <v>1081</v>
      </c>
      <c r="L606" s="1" t="s">
        <v>1</v>
      </c>
      <c r="M606" s="1" t="s">
        <v>1</v>
      </c>
      <c r="N606" s="1" t="s">
        <v>1083</v>
      </c>
      <c r="O606" s="1" t="s">
        <v>3362</v>
      </c>
      <c r="P606" s="1" t="s">
        <v>1082</v>
      </c>
      <c r="Q606" s="1">
        <v>-1</v>
      </c>
      <c r="R606" s="1"/>
      <c r="S606" s="1"/>
      <c r="T606" s="1"/>
      <c r="U606" s="1"/>
      <c r="V606" s="1"/>
      <c r="W606" s="1"/>
      <c r="X606" s="1"/>
      <c r="Y606" s="1"/>
      <c r="Z606" s="1"/>
      <c r="AA606" s="1"/>
      <c r="AB606" s="1"/>
      <c r="AC606" s="1"/>
      <c r="AD606" s="1"/>
      <c r="AE606" s="1"/>
      <c r="AF606" s="1"/>
    </row>
    <row r="607" spans="1:32" hidden="1" x14ac:dyDescent="0.25">
      <c r="A607" s="1">
        <v>606</v>
      </c>
      <c r="B607" s="1"/>
      <c r="C607" s="1" t="s">
        <v>1657</v>
      </c>
      <c r="D607" s="1" t="s">
        <v>3803</v>
      </c>
      <c r="E607">
        <v>2015</v>
      </c>
      <c r="F607" s="1" t="s">
        <v>116</v>
      </c>
      <c r="G607" s="1" t="s">
        <v>3805</v>
      </c>
      <c r="H607" s="1" t="s">
        <v>233</v>
      </c>
      <c r="I607" s="1" t="s">
        <v>3524</v>
      </c>
      <c r="J607" s="1" t="s">
        <v>3804</v>
      </c>
      <c r="K607" s="1" t="s">
        <v>1658</v>
      </c>
      <c r="L607" s="1" t="s">
        <v>1102</v>
      </c>
      <c r="M607" s="1" t="s">
        <v>1</v>
      </c>
      <c r="N607" s="1" t="s">
        <v>1660</v>
      </c>
      <c r="O607" s="1" t="s">
        <v>3806</v>
      </c>
      <c r="P607" s="1" t="s">
        <v>1659</v>
      </c>
      <c r="Q607" s="1">
        <v>-1</v>
      </c>
      <c r="R607" s="1"/>
      <c r="S607" s="1"/>
      <c r="T607" s="1"/>
      <c r="U607" s="1"/>
      <c r="V607" s="1"/>
      <c r="W607" s="1"/>
      <c r="X607" s="1"/>
      <c r="Y607" s="1"/>
      <c r="Z607" s="1"/>
      <c r="AA607" s="1"/>
      <c r="AB607" s="1"/>
      <c r="AC607" s="1"/>
      <c r="AD607" s="1"/>
      <c r="AE607" s="1"/>
      <c r="AF607" s="1"/>
    </row>
    <row r="608" spans="1:32" hidden="1" x14ac:dyDescent="0.25">
      <c r="A608" s="1">
        <v>607</v>
      </c>
      <c r="B608" s="1"/>
      <c r="C608" s="1" t="s">
        <v>3121</v>
      </c>
      <c r="D608" s="1" t="s">
        <v>4936</v>
      </c>
      <c r="E608">
        <v>2013</v>
      </c>
      <c r="F608" s="1" t="s">
        <v>0</v>
      </c>
      <c r="G608" s="1" t="s">
        <v>4937</v>
      </c>
      <c r="H608" s="1" t="s">
        <v>944</v>
      </c>
      <c r="I608" s="1" t="s">
        <v>1</v>
      </c>
      <c r="J608" s="1" t="s">
        <v>1</v>
      </c>
      <c r="K608" s="1" t="s">
        <v>3122</v>
      </c>
      <c r="L608" s="1" t="s">
        <v>1</v>
      </c>
      <c r="M608" s="1" t="s">
        <v>1</v>
      </c>
      <c r="N608" s="1" t="s">
        <v>1</v>
      </c>
      <c r="O608" s="1" t="s">
        <v>4938</v>
      </c>
      <c r="P608" s="1" t="s">
        <v>3123</v>
      </c>
      <c r="Q608" s="1">
        <v>1</v>
      </c>
      <c r="R608" s="1">
        <v>-1</v>
      </c>
      <c r="S608" s="1"/>
      <c r="T608" s="1"/>
      <c r="U608" s="1"/>
      <c r="V608" s="1"/>
      <c r="W608" s="1"/>
      <c r="X608" s="1"/>
      <c r="Y608" s="1"/>
      <c r="Z608" s="1"/>
      <c r="AA608" s="1"/>
      <c r="AB608" s="1"/>
      <c r="AC608" s="1"/>
      <c r="AD608" s="1"/>
      <c r="AE608" s="1"/>
      <c r="AF608" s="1"/>
    </row>
    <row r="609" spans="1:32" hidden="1" x14ac:dyDescent="0.25">
      <c r="A609" s="1">
        <v>608</v>
      </c>
      <c r="B609" s="1"/>
      <c r="C609" s="1" t="s">
        <v>1106</v>
      </c>
      <c r="D609" s="1" t="s">
        <v>3379</v>
      </c>
      <c r="E609">
        <v>2015</v>
      </c>
      <c r="F609" s="1" t="s">
        <v>0</v>
      </c>
      <c r="G609" s="1" t="s">
        <v>3380</v>
      </c>
      <c r="H609" s="1" t="s">
        <v>1107</v>
      </c>
      <c r="I609" s="1" t="s">
        <v>1</v>
      </c>
      <c r="J609" s="1" t="s">
        <v>1</v>
      </c>
      <c r="K609" s="1" t="s">
        <v>3195</v>
      </c>
      <c r="L609" s="1" t="s">
        <v>1</v>
      </c>
      <c r="M609" s="1" t="s">
        <v>1</v>
      </c>
      <c r="N609" s="1" t="s">
        <v>1</v>
      </c>
      <c r="O609" s="1" t="s">
        <v>3381</v>
      </c>
      <c r="P609" s="1" t="s">
        <v>1108</v>
      </c>
      <c r="Q609" s="1">
        <v>-1</v>
      </c>
      <c r="R609" s="1"/>
      <c r="S609" s="1"/>
      <c r="T609" s="1"/>
      <c r="U609" s="1"/>
      <c r="V609" s="1"/>
      <c r="W609" s="1"/>
      <c r="X609" s="1"/>
      <c r="Y609" s="1"/>
      <c r="Z609" s="1"/>
      <c r="AA609" s="1"/>
      <c r="AB609" s="1"/>
      <c r="AC609" s="1"/>
      <c r="AD609" s="1"/>
      <c r="AE609" s="1"/>
      <c r="AF609" s="1"/>
    </row>
    <row r="610" spans="1:32" hidden="1" x14ac:dyDescent="0.25">
      <c r="A610" s="1">
        <v>609</v>
      </c>
      <c r="B610" s="1"/>
      <c r="C610" s="1" t="s">
        <v>2988</v>
      </c>
      <c r="D610" s="1" t="s">
        <v>4839</v>
      </c>
      <c r="E610">
        <v>2012</v>
      </c>
      <c r="F610" s="1" t="s">
        <v>116</v>
      </c>
      <c r="G610" s="1" t="s">
        <v>4840</v>
      </c>
      <c r="H610" s="1" t="s">
        <v>846</v>
      </c>
      <c r="I610" s="1" t="s">
        <v>3531</v>
      </c>
      <c r="J610" s="1" t="s">
        <v>3143</v>
      </c>
      <c r="K610" s="1" t="s">
        <v>2989</v>
      </c>
      <c r="L610" s="1" t="s">
        <v>1</v>
      </c>
      <c r="M610" s="1" t="s">
        <v>1</v>
      </c>
      <c r="N610" s="1" t="s">
        <v>2991</v>
      </c>
      <c r="O610" s="1" t="s">
        <v>4841</v>
      </c>
      <c r="P610" s="1" t="s">
        <v>2990</v>
      </c>
      <c r="Q610" s="1">
        <v>-1</v>
      </c>
      <c r="R610" s="1"/>
      <c r="S610" s="1"/>
      <c r="T610" s="1"/>
      <c r="U610" s="1"/>
      <c r="V610" s="1"/>
      <c r="W610" s="1"/>
      <c r="X610" s="1"/>
      <c r="Y610" s="1"/>
      <c r="Z610" s="1"/>
      <c r="AA610" s="1"/>
      <c r="AB610" s="1"/>
      <c r="AC610" s="1"/>
      <c r="AD610" s="1"/>
      <c r="AE610" s="1"/>
      <c r="AF610" s="1"/>
    </row>
    <row r="611" spans="1:32" hidden="1" x14ac:dyDescent="0.25">
      <c r="A611" s="1">
        <v>610</v>
      </c>
      <c r="B611" s="1"/>
      <c r="C611" s="1" t="s">
        <v>822</v>
      </c>
      <c r="D611" s="1" t="s">
        <v>3187</v>
      </c>
      <c r="E611">
        <v>2016</v>
      </c>
      <c r="F611" s="1" t="s">
        <v>244</v>
      </c>
      <c r="G611" s="1" t="s">
        <v>3189</v>
      </c>
      <c r="H611" s="1" t="s">
        <v>1</v>
      </c>
      <c r="I611" s="1" t="s">
        <v>3188</v>
      </c>
      <c r="J611" s="1" t="s">
        <v>1</v>
      </c>
      <c r="K611" s="1" t="s">
        <v>823</v>
      </c>
      <c r="L611" s="1" t="s">
        <v>247</v>
      </c>
      <c r="M611" s="1" t="s">
        <v>1</v>
      </c>
      <c r="N611" s="1" t="s">
        <v>825</v>
      </c>
      <c r="O611" s="1" t="s">
        <v>3190</v>
      </c>
      <c r="P611" s="1" t="s">
        <v>824</v>
      </c>
      <c r="Q611" s="1">
        <v>-1</v>
      </c>
      <c r="R611" s="1"/>
      <c r="S611" s="1"/>
      <c r="T611" s="1"/>
      <c r="U611" s="1"/>
      <c r="V611" s="1"/>
      <c r="W611" s="1"/>
      <c r="X611" s="1"/>
      <c r="Y611" s="1"/>
      <c r="Z611" s="1"/>
      <c r="AA611" s="1"/>
      <c r="AB611" s="1"/>
      <c r="AC611" s="1"/>
      <c r="AD611" s="1"/>
      <c r="AE611" s="1"/>
      <c r="AF611" s="1"/>
    </row>
    <row r="612" spans="1:32" hidden="1" x14ac:dyDescent="0.25">
      <c r="A612" s="1">
        <v>611</v>
      </c>
      <c r="B612" s="1"/>
      <c r="C612" s="1" t="s">
        <v>2931</v>
      </c>
      <c r="D612" s="1" t="s">
        <v>4792</v>
      </c>
      <c r="E612">
        <v>2016</v>
      </c>
      <c r="F612" s="1" t="s">
        <v>116</v>
      </c>
      <c r="G612" s="1" t="s">
        <v>4793</v>
      </c>
      <c r="H612" s="1" t="s">
        <v>2932</v>
      </c>
      <c r="I612" s="1" t="s">
        <v>3794</v>
      </c>
      <c r="J612" s="1" t="s">
        <v>3141</v>
      </c>
      <c r="K612" s="1" t="s">
        <v>2933</v>
      </c>
      <c r="L612" s="1" t="s">
        <v>1035</v>
      </c>
      <c r="M612" s="1" t="s">
        <v>1</v>
      </c>
      <c r="N612" s="1" t="s">
        <v>2935</v>
      </c>
      <c r="O612" s="1" t="s">
        <v>4794</v>
      </c>
      <c r="P612" s="1" t="s">
        <v>2934</v>
      </c>
      <c r="Q612" s="1">
        <v>-1</v>
      </c>
      <c r="R612" s="1"/>
      <c r="S612" s="1"/>
      <c r="T612" s="1"/>
      <c r="U612" s="1"/>
      <c r="V612" s="1"/>
      <c r="W612" s="1"/>
      <c r="X612" s="1"/>
      <c r="Y612" s="1"/>
      <c r="Z612" s="1"/>
      <c r="AA612" s="1"/>
      <c r="AB612" s="1"/>
      <c r="AC612" s="1"/>
      <c r="AD612" s="1"/>
      <c r="AE612" s="1"/>
      <c r="AF612" s="1"/>
    </row>
    <row r="613" spans="1:32" hidden="1" x14ac:dyDescent="0.25">
      <c r="A613" s="1">
        <v>612</v>
      </c>
      <c r="B613" s="1"/>
      <c r="C613" s="1" t="s">
        <v>2552</v>
      </c>
      <c r="D613" s="1" t="s">
        <v>4488</v>
      </c>
      <c r="E613">
        <v>2013</v>
      </c>
      <c r="F613" s="1" t="s">
        <v>0</v>
      </c>
      <c r="G613" s="1" t="s">
        <v>4489</v>
      </c>
      <c r="H613" s="1" t="s">
        <v>2553</v>
      </c>
      <c r="I613" s="1" t="s">
        <v>1</v>
      </c>
      <c r="J613" s="1" t="s">
        <v>1</v>
      </c>
      <c r="K613" s="1" t="s">
        <v>2554</v>
      </c>
      <c r="L613" s="1" t="s">
        <v>1</v>
      </c>
      <c r="M613" s="1" t="s">
        <v>1</v>
      </c>
      <c r="N613" s="1" t="s">
        <v>1</v>
      </c>
      <c r="O613" s="1" t="s">
        <v>4490</v>
      </c>
      <c r="P613" s="1" t="s">
        <v>2555</v>
      </c>
      <c r="Q613" s="1">
        <v>-1</v>
      </c>
      <c r="R613" s="1"/>
      <c r="S613" s="1"/>
      <c r="T613" s="1"/>
      <c r="U613" s="1"/>
      <c r="V613" s="1"/>
      <c r="W613" s="1"/>
      <c r="X613" s="1"/>
      <c r="Y613" s="1"/>
      <c r="Z613" s="1"/>
      <c r="AA613" s="1"/>
      <c r="AB613" s="1"/>
      <c r="AC613" s="1"/>
      <c r="AD613" s="1"/>
      <c r="AE613" s="1"/>
      <c r="AF613" s="1"/>
    </row>
    <row r="614" spans="1:32" hidden="1" x14ac:dyDescent="0.25">
      <c r="A614" s="1">
        <v>613</v>
      </c>
      <c r="B614" s="1"/>
      <c r="C614" s="1" t="s">
        <v>2440</v>
      </c>
      <c r="D614" s="1" t="s">
        <v>4401</v>
      </c>
      <c r="E614">
        <v>2015</v>
      </c>
      <c r="F614" s="1" t="s">
        <v>0</v>
      </c>
      <c r="G614" s="1" t="s">
        <v>4402</v>
      </c>
      <c r="H614" s="1" t="s">
        <v>2441</v>
      </c>
      <c r="I614" s="1" t="s">
        <v>1</v>
      </c>
      <c r="J614" s="1" t="s">
        <v>1</v>
      </c>
      <c r="K614" s="1" t="s">
        <v>1330</v>
      </c>
      <c r="L614" s="1" t="s">
        <v>1</v>
      </c>
      <c r="M614" s="1" t="s">
        <v>1</v>
      </c>
      <c r="N614" s="1" t="s">
        <v>1</v>
      </c>
      <c r="O614" s="1" t="s">
        <v>4403</v>
      </c>
      <c r="P614" s="1" t="s">
        <v>2442</v>
      </c>
      <c r="Q614" s="1">
        <v>1</v>
      </c>
      <c r="R614" s="1">
        <v>-1</v>
      </c>
      <c r="S614" s="1"/>
      <c r="T614" s="1"/>
      <c r="U614" s="1"/>
      <c r="V614" s="1"/>
      <c r="W614" s="1"/>
      <c r="X614" s="1"/>
      <c r="Y614" s="1"/>
      <c r="Z614" s="1"/>
      <c r="AA614" s="1"/>
      <c r="AB614" s="1"/>
      <c r="AC614" s="1"/>
      <c r="AD614" s="1"/>
      <c r="AE614" s="1"/>
      <c r="AF614" s="1"/>
    </row>
    <row r="615" spans="1:32" hidden="1" x14ac:dyDescent="0.25">
      <c r="A615" s="1">
        <v>614</v>
      </c>
      <c r="B615" s="1"/>
      <c r="C615" s="1" t="s">
        <v>2682</v>
      </c>
      <c r="D615" s="1" t="s">
        <v>4595</v>
      </c>
      <c r="E615">
        <v>2014</v>
      </c>
      <c r="F615" s="1" t="s">
        <v>116</v>
      </c>
      <c r="G615" s="1" t="s">
        <v>4597</v>
      </c>
      <c r="H615" s="1" t="s">
        <v>846</v>
      </c>
      <c r="I615" s="1" t="s">
        <v>4596</v>
      </c>
      <c r="J615" s="1" t="s">
        <v>1</v>
      </c>
      <c r="K615" s="1" t="s">
        <v>2683</v>
      </c>
      <c r="L615" s="1" t="s">
        <v>414</v>
      </c>
      <c r="M615" s="1" t="s">
        <v>1</v>
      </c>
      <c r="N615" s="1" t="s">
        <v>2685</v>
      </c>
      <c r="O615" s="1" t="s">
        <v>4598</v>
      </c>
      <c r="P615" s="1" t="s">
        <v>2684</v>
      </c>
      <c r="Q615" s="1">
        <v>-1</v>
      </c>
      <c r="R615" s="1"/>
      <c r="S615" s="1"/>
      <c r="T615" s="1"/>
      <c r="U615" s="1"/>
      <c r="V615" s="1"/>
      <c r="W615" s="1"/>
      <c r="X615" s="1"/>
      <c r="Y615" s="1"/>
      <c r="Z615" s="1"/>
      <c r="AA615" s="1"/>
      <c r="AB615" s="1"/>
      <c r="AC615" s="1"/>
      <c r="AD615" s="1"/>
      <c r="AE615" s="1"/>
      <c r="AF615" s="1"/>
    </row>
    <row r="616" spans="1:32" hidden="1" x14ac:dyDescent="0.25">
      <c r="A616" s="1">
        <v>615</v>
      </c>
      <c r="B616" s="1"/>
      <c r="C616" s="1" t="s">
        <v>2686</v>
      </c>
      <c r="D616" s="1" t="s">
        <v>4599</v>
      </c>
      <c r="E616">
        <v>2011</v>
      </c>
      <c r="F616" s="1" t="s">
        <v>0</v>
      </c>
      <c r="G616" s="1" t="s">
        <v>4600</v>
      </c>
      <c r="H616" s="1" t="s">
        <v>2687</v>
      </c>
      <c r="I616" s="1" t="s">
        <v>1</v>
      </c>
      <c r="J616" s="1" t="s">
        <v>1</v>
      </c>
      <c r="K616" s="1" t="s">
        <v>980</v>
      </c>
      <c r="L616" s="1" t="s">
        <v>1</v>
      </c>
      <c r="M616" s="1" t="s">
        <v>1</v>
      </c>
      <c r="N616" s="1" t="s">
        <v>1</v>
      </c>
      <c r="O616" s="1" t="s">
        <v>4601</v>
      </c>
      <c r="P616" s="1" t="s">
        <v>2688</v>
      </c>
      <c r="Q616" s="1">
        <v>-1</v>
      </c>
      <c r="R616" s="1"/>
      <c r="S616" s="1"/>
      <c r="T616" s="1"/>
      <c r="U616" s="1"/>
      <c r="V616" s="1"/>
      <c r="W616" s="1"/>
      <c r="X616" s="1"/>
      <c r="Y616" s="1"/>
      <c r="Z616" s="1"/>
      <c r="AA616" s="1"/>
      <c r="AB616" s="1"/>
      <c r="AC616" s="1"/>
      <c r="AD616" s="1"/>
      <c r="AE616" s="1"/>
      <c r="AF616" s="1"/>
    </row>
    <row r="617" spans="1:32" hidden="1" x14ac:dyDescent="0.25">
      <c r="A617" s="1">
        <v>616</v>
      </c>
      <c r="B617" s="1"/>
      <c r="C617" s="1" t="s">
        <v>1223</v>
      </c>
      <c r="D617" s="1" t="s">
        <v>3463</v>
      </c>
      <c r="E617">
        <v>2010</v>
      </c>
      <c r="F617" s="1" t="s">
        <v>138</v>
      </c>
      <c r="G617" s="1" t="s">
        <v>3464</v>
      </c>
      <c r="H617" s="1" t="s">
        <v>1224</v>
      </c>
      <c r="I617" s="1" t="s">
        <v>1</v>
      </c>
      <c r="J617" s="1" t="s">
        <v>1</v>
      </c>
      <c r="K617" s="1" t="s">
        <v>1226</v>
      </c>
      <c r="L617" s="1" t="s">
        <v>1225</v>
      </c>
      <c r="M617" s="1" t="s">
        <v>1</v>
      </c>
      <c r="N617" s="1" t="s">
        <v>1228</v>
      </c>
      <c r="O617" s="1" t="s">
        <v>1</v>
      </c>
      <c r="P617" s="1" t="s">
        <v>1227</v>
      </c>
      <c r="Q617" s="1">
        <v>-1</v>
      </c>
      <c r="R617" s="1"/>
      <c r="S617" s="1"/>
      <c r="T617" s="1"/>
      <c r="U617" s="1"/>
      <c r="V617" s="1"/>
      <c r="W617" s="1"/>
      <c r="X617" s="1"/>
      <c r="Y617" s="1"/>
      <c r="Z617" s="1"/>
      <c r="AA617" s="1"/>
      <c r="AB617" s="1"/>
      <c r="AC617" s="1"/>
      <c r="AD617" s="1"/>
      <c r="AE617" s="1"/>
      <c r="AF617" s="1"/>
    </row>
    <row r="618" spans="1:32" hidden="1" x14ac:dyDescent="0.25">
      <c r="A618" s="1">
        <v>617</v>
      </c>
      <c r="B618" s="1"/>
      <c r="C618" s="1" t="s">
        <v>903</v>
      </c>
      <c r="D618" s="1" t="s">
        <v>3241</v>
      </c>
      <c r="E618">
        <v>2014</v>
      </c>
      <c r="F618" s="1" t="s">
        <v>0</v>
      </c>
      <c r="G618" s="1" t="s">
        <v>1</v>
      </c>
      <c r="H618" s="1" t="s">
        <v>904</v>
      </c>
      <c r="I618" s="1" t="s">
        <v>1</v>
      </c>
      <c r="J618" s="1" t="s">
        <v>1</v>
      </c>
      <c r="K618" s="1" t="s">
        <v>905</v>
      </c>
      <c r="L618" s="1" t="s">
        <v>1</v>
      </c>
      <c r="M618" s="1" t="s">
        <v>1</v>
      </c>
      <c r="N618" s="1" t="s">
        <v>1</v>
      </c>
      <c r="O618" s="1" t="s">
        <v>3244</v>
      </c>
      <c r="P618" s="1" t="s">
        <v>906</v>
      </c>
      <c r="Q618" s="1">
        <v>-1</v>
      </c>
      <c r="R618" s="1"/>
      <c r="S618" s="1"/>
      <c r="T618" s="1"/>
      <c r="U618" s="1"/>
      <c r="V618" s="1"/>
      <c r="W618" s="1"/>
      <c r="X618" s="1"/>
      <c r="Y618" s="1"/>
      <c r="Z618" s="1"/>
      <c r="AA618" s="1"/>
      <c r="AB618" s="1"/>
      <c r="AC618" s="1"/>
      <c r="AD618" s="1"/>
      <c r="AE618" s="1"/>
      <c r="AF618" s="1"/>
    </row>
    <row r="619" spans="1:32" hidden="1" x14ac:dyDescent="0.25">
      <c r="A619" s="1">
        <v>618</v>
      </c>
      <c r="B619" s="1"/>
      <c r="C619" s="1" t="s">
        <v>757</v>
      </c>
      <c r="D619" s="1" t="s">
        <v>1</v>
      </c>
      <c r="E619">
        <v>2007</v>
      </c>
      <c r="F619" s="1" t="s">
        <v>116</v>
      </c>
      <c r="G619" s="1" t="s">
        <v>1</v>
      </c>
      <c r="H619" s="1" t="s">
        <v>758</v>
      </c>
      <c r="I619" s="1" t="s">
        <v>1</v>
      </c>
      <c r="J619" s="1" t="s">
        <v>1</v>
      </c>
      <c r="K619" s="1" t="s">
        <v>3141</v>
      </c>
      <c r="L619" s="1" t="s">
        <v>1</v>
      </c>
      <c r="M619" s="1" t="s">
        <v>1</v>
      </c>
      <c r="N619" s="1" t="s">
        <v>1</v>
      </c>
      <c r="O619" s="1" t="s">
        <v>1</v>
      </c>
      <c r="P619" s="1" t="s">
        <v>756</v>
      </c>
      <c r="Q619" s="1">
        <v>-1</v>
      </c>
      <c r="R619" s="1"/>
      <c r="S619" s="1"/>
      <c r="T619" s="1"/>
      <c r="U619" s="1"/>
      <c r="V619" s="1"/>
      <c r="W619" s="1"/>
      <c r="X619" s="1"/>
      <c r="Y619" s="1"/>
      <c r="Z619" s="1"/>
      <c r="AA619" s="1"/>
      <c r="AB619" s="1"/>
      <c r="AC619" s="1"/>
      <c r="AD619" s="1"/>
      <c r="AE619" s="1"/>
      <c r="AF619" s="1"/>
    </row>
    <row r="620" spans="1:32" hidden="1" x14ac:dyDescent="0.25">
      <c r="A620" s="1">
        <v>619</v>
      </c>
      <c r="B620" s="1"/>
      <c r="C620" s="1" t="s">
        <v>609</v>
      </c>
      <c r="D620" s="1" t="s">
        <v>608</v>
      </c>
      <c r="E620">
        <v>2011</v>
      </c>
      <c r="F620" s="1" t="s">
        <v>116</v>
      </c>
      <c r="G620" s="1" t="s">
        <v>4526</v>
      </c>
      <c r="H620" s="1" t="s">
        <v>610</v>
      </c>
      <c r="I620" s="1" t="s">
        <v>3512</v>
      </c>
      <c r="J620" s="1" t="s">
        <v>3174</v>
      </c>
      <c r="K620" s="1" t="s">
        <v>2597</v>
      </c>
      <c r="L620" s="1" t="s">
        <v>1</v>
      </c>
      <c r="M620" s="1" t="s">
        <v>1</v>
      </c>
      <c r="N620" s="1" t="s">
        <v>611</v>
      </c>
      <c r="O620" s="1" t="s">
        <v>612</v>
      </c>
      <c r="P620" s="1" t="s">
        <v>613</v>
      </c>
      <c r="Q620" s="1">
        <v>-1</v>
      </c>
      <c r="R620" s="1"/>
      <c r="S620" s="1"/>
      <c r="T620" s="1"/>
      <c r="U620" s="1"/>
      <c r="V620" s="1"/>
      <c r="W620" s="1"/>
      <c r="X620" s="1"/>
      <c r="Y620" s="1"/>
      <c r="Z620" s="1"/>
      <c r="AA620" s="1"/>
      <c r="AB620" s="1"/>
      <c r="AC620" s="1"/>
      <c r="AD620" s="1"/>
      <c r="AE620" s="1"/>
      <c r="AF620" s="1"/>
    </row>
    <row r="621" spans="1:32" x14ac:dyDescent="0.25">
      <c r="A621" s="1">
        <v>620</v>
      </c>
      <c r="B621" s="1">
        <v>37</v>
      </c>
      <c r="C621" s="1" t="s">
        <v>269</v>
      </c>
      <c r="D621" s="1" t="s">
        <v>268</v>
      </c>
      <c r="E621">
        <v>2017</v>
      </c>
      <c r="F621" s="1" t="s">
        <v>244</v>
      </c>
      <c r="G621" s="1" t="s">
        <v>4780</v>
      </c>
      <c r="H621" s="1" t="s">
        <v>1</v>
      </c>
      <c r="I621" s="1" t="s">
        <v>2914</v>
      </c>
      <c r="J621" s="1" t="s">
        <v>1</v>
      </c>
      <c r="K621" s="1" t="s">
        <v>2915</v>
      </c>
      <c r="L621" s="1" t="s">
        <v>247</v>
      </c>
      <c r="M621" s="1" t="s">
        <v>1</v>
      </c>
      <c r="N621" s="1" t="s">
        <v>2916</v>
      </c>
      <c r="O621" s="1" t="s">
        <v>271</v>
      </c>
      <c r="P621" s="1" t="s">
        <v>272</v>
      </c>
      <c r="Q621" s="1">
        <v>1</v>
      </c>
      <c r="R621" s="1">
        <v>1</v>
      </c>
      <c r="S621" s="1">
        <v>5.5</v>
      </c>
      <c r="T621" s="1" t="s">
        <v>5076</v>
      </c>
      <c r="U621" s="1" t="s">
        <v>5022</v>
      </c>
      <c r="V621" s="1" t="s">
        <v>4999</v>
      </c>
      <c r="W621" s="1" t="s">
        <v>4974</v>
      </c>
      <c r="X621" s="1" t="s">
        <v>658</v>
      </c>
      <c r="Y621" s="1" t="s">
        <v>5003</v>
      </c>
      <c r="Z621" s="1"/>
      <c r="AA621" s="1"/>
      <c r="AB621" s="1">
        <v>3</v>
      </c>
      <c r="AC621" s="1">
        <v>3</v>
      </c>
      <c r="AD621" s="1">
        <v>3</v>
      </c>
      <c r="AE621" s="1">
        <v>4</v>
      </c>
      <c r="AF621" s="1"/>
    </row>
    <row r="622" spans="1:32" hidden="1" x14ac:dyDescent="0.25">
      <c r="A622" s="1">
        <v>621</v>
      </c>
      <c r="B622" s="1"/>
      <c r="C622" s="1" t="s">
        <v>457</v>
      </c>
      <c r="D622" s="1" t="s">
        <v>456</v>
      </c>
      <c r="E622">
        <v>2014</v>
      </c>
      <c r="F622" s="1" t="s">
        <v>244</v>
      </c>
      <c r="G622" s="1" t="s">
        <v>1</v>
      </c>
      <c r="H622" s="1" t="s">
        <v>1</v>
      </c>
      <c r="I622" s="1" t="s">
        <v>3607</v>
      </c>
      <c r="J622" s="1" t="s">
        <v>1</v>
      </c>
      <c r="K622" s="1" t="s">
        <v>1309</v>
      </c>
      <c r="L622" s="1" t="s">
        <v>247</v>
      </c>
      <c r="M622" s="1" t="s">
        <v>1</v>
      </c>
      <c r="N622" s="1" t="s">
        <v>458</v>
      </c>
      <c r="O622" s="1" t="s">
        <v>459</v>
      </c>
      <c r="P622" s="1" t="s">
        <v>460</v>
      </c>
      <c r="Q622" s="1">
        <v>-1</v>
      </c>
      <c r="R622" s="1"/>
      <c r="S622" s="1"/>
      <c r="T622" s="1"/>
      <c r="U622" s="1"/>
      <c r="V622" s="1"/>
      <c r="W622" s="1"/>
      <c r="X622" s="1"/>
      <c r="Y622" s="1"/>
      <c r="Z622" s="1"/>
      <c r="AA622" s="1"/>
      <c r="AB622" s="1"/>
      <c r="AC622" s="1"/>
      <c r="AD622" s="1"/>
      <c r="AE622" s="1"/>
      <c r="AF622" s="1"/>
    </row>
    <row r="623" spans="1:32" hidden="1" x14ac:dyDescent="0.25">
      <c r="A623" s="1">
        <v>622</v>
      </c>
      <c r="B623" s="1"/>
      <c r="C623" s="1" t="s">
        <v>1314</v>
      </c>
      <c r="D623" s="1" t="s">
        <v>3528</v>
      </c>
      <c r="E623">
        <v>2014</v>
      </c>
      <c r="F623" s="1" t="s">
        <v>0</v>
      </c>
      <c r="G623" s="1" t="s">
        <v>1</v>
      </c>
      <c r="H623" s="1" t="s">
        <v>1</v>
      </c>
      <c r="I623" s="1" t="s">
        <v>3143</v>
      </c>
      <c r="J623" s="1" t="s">
        <v>1</v>
      </c>
      <c r="K623" s="1" t="s">
        <v>1315</v>
      </c>
      <c r="L623" s="1" t="s">
        <v>336</v>
      </c>
      <c r="M623" s="1" t="s">
        <v>1</v>
      </c>
      <c r="N623" s="1" t="s">
        <v>1317</v>
      </c>
      <c r="O623" s="1" t="s">
        <v>3529</v>
      </c>
      <c r="P623" s="1" t="s">
        <v>1316</v>
      </c>
      <c r="Q623" s="1">
        <v>-1</v>
      </c>
      <c r="R623" s="1"/>
      <c r="S623" s="1"/>
      <c r="T623" s="1"/>
      <c r="U623" s="1"/>
      <c r="V623" s="1"/>
      <c r="W623" s="1"/>
      <c r="X623" s="1"/>
      <c r="Y623" s="1"/>
      <c r="Z623" s="1"/>
      <c r="AA623" s="1"/>
      <c r="AB623" s="1"/>
      <c r="AC623" s="1"/>
      <c r="AD623" s="1"/>
      <c r="AE623" s="1"/>
      <c r="AF623" s="1"/>
    </row>
    <row r="624" spans="1:32" hidden="1" x14ac:dyDescent="0.25">
      <c r="A624" s="1">
        <v>623</v>
      </c>
      <c r="B624" s="1"/>
      <c r="C624" s="8" t="s">
        <v>1097</v>
      </c>
      <c r="D624" s="1" t="s">
        <v>3371</v>
      </c>
      <c r="E624">
        <v>2014</v>
      </c>
      <c r="F624" s="1" t="s">
        <v>0</v>
      </c>
      <c r="G624" s="1" t="s">
        <v>3372</v>
      </c>
      <c r="H624" s="1" t="s">
        <v>1032</v>
      </c>
      <c r="I624" s="1" t="s">
        <v>3174</v>
      </c>
      <c r="J624" s="1" t="s">
        <v>1</v>
      </c>
      <c r="K624" s="1" t="s">
        <v>1098</v>
      </c>
      <c r="L624" s="1" t="s">
        <v>1</v>
      </c>
      <c r="M624" s="1" t="s">
        <v>1</v>
      </c>
      <c r="N624" s="1" t="s">
        <v>1</v>
      </c>
      <c r="O624" s="1" t="s">
        <v>3373</v>
      </c>
      <c r="P624" s="1" t="s">
        <v>1099</v>
      </c>
      <c r="Q624" s="1">
        <v>-1</v>
      </c>
      <c r="R624" s="1"/>
      <c r="S624" s="1"/>
      <c r="T624" s="1"/>
      <c r="U624" s="1"/>
      <c r="V624" s="1"/>
      <c r="W624" s="1"/>
      <c r="X624" s="1"/>
      <c r="Y624" s="1"/>
      <c r="Z624" s="1"/>
      <c r="AA624" s="1"/>
      <c r="AB624" s="1"/>
      <c r="AC624" s="1"/>
      <c r="AD624" s="1"/>
      <c r="AE624" s="1"/>
      <c r="AF624" s="1"/>
    </row>
    <row r="625" spans="1:32" hidden="1" x14ac:dyDescent="0.25">
      <c r="A625" s="1">
        <v>624</v>
      </c>
      <c r="B625" s="1"/>
      <c r="C625" s="1" t="s">
        <v>2672</v>
      </c>
      <c r="D625" s="1" t="s">
        <v>4585</v>
      </c>
      <c r="E625">
        <v>2015</v>
      </c>
      <c r="F625" s="1" t="s">
        <v>658</v>
      </c>
      <c r="G625" s="1" t="s">
        <v>4586</v>
      </c>
      <c r="H625" s="1" t="s">
        <v>872</v>
      </c>
      <c r="I625" s="1" t="s">
        <v>1</v>
      </c>
      <c r="J625" s="1" t="s">
        <v>1</v>
      </c>
      <c r="K625" s="1" t="s">
        <v>2673</v>
      </c>
      <c r="L625" s="1" t="s">
        <v>666</v>
      </c>
      <c r="M625" s="1" t="s">
        <v>873</v>
      </c>
      <c r="N625" s="1" t="s">
        <v>1</v>
      </c>
      <c r="O625" s="1" t="s">
        <v>1</v>
      </c>
      <c r="P625" s="1" t="s">
        <v>1</v>
      </c>
      <c r="Q625" s="1">
        <v>-1</v>
      </c>
      <c r="R625" s="1"/>
      <c r="S625" s="1"/>
      <c r="T625" s="1"/>
      <c r="U625" s="1"/>
      <c r="V625" s="1"/>
      <c r="W625" s="1"/>
      <c r="X625" s="1"/>
      <c r="Y625" s="1"/>
      <c r="Z625" s="1"/>
      <c r="AA625" s="1"/>
      <c r="AB625" s="1"/>
      <c r="AC625" s="1"/>
      <c r="AD625" s="1"/>
      <c r="AE625" s="1"/>
      <c r="AF625" s="1"/>
    </row>
    <row r="626" spans="1:32" hidden="1" x14ac:dyDescent="0.25">
      <c r="A626" s="1">
        <v>625</v>
      </c>
      <c r="B626" s="1"/>
      <c r="C626" s="1" t="s">
        <v>2947</v>
      </c>
      <c r="D626" s="1" t="s">
        <v>4805</v>
      </c>
      <c r="E626">
        <v>2013</v>
      </c>
      <c r="F626" s="1" t="s">
        <v>0</v>
      </c>
      <c r="G626" s="1" t="s">
        <v>4806</v>
      </c>
      <c r="H626" s="1" t="s">
        <v>1649</v>
      </c>
      <c r="I626" s="1" t="s">
        <v>1</v>
      </c>
      <c r="J626" s="1" t="s">
        <v>1</v>
      </c>
      <c r="K626" s="1" t="s">
        <v>2948</v>
      </c>
      <c r="L626" s="1" t="s">
        <v>1</v>
      </c>
      <c r="M626" s="1" t="s">
        <v>1</v>
      </c>
      <c r="N626" s="1" t="s">
        <v>1</v>
      </c>
      <c r="O626" s="1" t="s">
        <v>4807</v>
      </c>
      <c r="P626" s="1" t="s">
        <v>2949</v>
      </c>
      <c r="Q626" s="1">
        <v>-1</v>
      </c>
      <c r="R626" s="1"/>
      <c r="S626" s="1"/>
      <c r="T626" s="1"/>
      <c r="U626" s="1"/>
      <c r="V626" s="1"/>
      <c r="W626" s="1"/>
      <c r="X626" s="1"/>
      <c r="Y626" s="1"/>
      <c r="Z626" s="1"/>
      <c r="AA626" s="1"/>
      <c r="AB626" s="1"/>
      <c r="AC626" s="1"/>
      <c r="AD626" s="1"/>
      <c r="AE626" s="1"/>
      <c r="AF626" s="1"/>
    </row>
    <row r="627" spans="1:32" hidden="1" x14ac:dyDescent="0.25">
      <c r="A627" s="1">
        <v>626</v>
      </c>
      <c r="B627" s="1"/>
      <c r="C627" s="1" t="s">
        <v>2166</v>
      </c>
      <c r="D627" s="1" t="s">
        <v>4181</v>
      </c>
      <c r="E627">
        <v>2008</v>
      </c>
      <c r="F627" s="1" t="s">
        <v>0</v>
      </c>
      <c r="G627" s="1" t="s">
        <v>4182</v>
      </c>
      <c r="H627" s="1" t="s">
        <v>2167</v>
      </c>
      <c r="I627" s="1" t="s">
        <v>3141</v>
      </c>
      <c r="J627" s="1" t="s">
        <v>1</v>
      </c>
      <c r="K627" s="1" t="s">
        <v>2168</v>
      </c>
      <c r="L627" s="1" t="s">
        <v>1</v>
      </c>
      <c r="M627" s="1" t="s">
        <v>1</v>
      </c>
      <c r="N627" s="1" t="s">
        <v>1</v>
      </c>
      <c r="O627" s="1" t="s">
        <v>4183</v>
      </c>
      <c r="P627" s="1" t="s">
        <v>2169</v>
      </c>
      <c r="Q627" s="1">
        <v>-1</v>
      </c>
      <c r="R627" s="1"/>
      <c r="S627" s="1"/>
      <c r="T627" s="1"/>
      <c r="U627" s="1"/>
      <c r="V627" s="1"/>
      <c r="W627" s="1"/>
      <c r="X627" s="1"/>
      <c r="Y627" s="1"/>
      <c r="Z627" s="1"/>
      <c r="AA627" s="1"/>
      <c r="AB627" s="1"/>
      <c r="AC627" s="1"/>
      <c r="AD627" s="1"/>
      <c r="AE627" s="1"/>
      <c r="AF627" s="1"/>
    </row>
    <row r="628" spans="1:32" hidden="1" x14ac:dyDescent="0.25">
      <c r="A628" s="1">
        <v>627</v>
      </c>
      <c r="B628" s="1"/>
      <c r="C628" s="1" t="s">
        <v>1261</v>
      </c>
      <c r="D628" s="1" t="s">
        <v>3485</v>
      </c>
      <c r="E628">
        <v>2010</v>
      </c>
      <c r="F628" s="1" t="s">
        <v>0</v>
      </c>
      <c r="G628" s="1" t="s">
        <v>3486</v>
      </c>
      <c r="H628" s="1" t="s">
        <v>1262</v>
      </c>
      <c r="I628" s="1" t="s">
        <v>1</v>
      </c>
      <c r="J628" s="1" t="s">
        <v>1</v>
      </c>
      <c r="K628" s="1" t="s">
        <v>1263</v>
      </c>
      <c r="L628" s="1" t="s">
        <v>1</v>
      </c>
      <c r="M628" s="1" t="s">
        <v>1</v>
      </c>
      <c r="N628" s="1" t="s">
        <v>1</v>
      </c>
      <c r="O628" s="1" t="s">
        <v>3487</v>
      </c>
      <c r="P628" s="1" t="s">
        <v>1264</v>
      </c>
      <c r="Q628" s="1">
        <v>-1</v>
      </c>
      <c r="R628" s="1"/>
      <c r="S628" s="1"/>
      <c r="T628" s="1"/>
      <c r="U628" s="1"/>
      <c r="V628" s="1"/>
      <c r="W628" s="1"/>
      <c r="X628" s="1"/>
      <c r="Y628" s="1"/>
      <c r="Z628" s="1"/>
      <c r="AA628" s="1"/>
      <c r="AB628" s="1"/>
      <c r="AC628" s="1"/>
      <c r="AD628" s="1"/>
      <c r="AE628" s="1"/>
      <c r="AF628" s="1"/>
    </row>
    <row r="629" spans="1:32" hidden="1" x14ac:dyDescent="0.25">
      <c r="A629" s="1">
        <v>628</v>
      </c>
      <c r="B629" s="1"/>
      <c r="C629" s="1" t="s">
        <v>1601</v>
      </c>
      <c r="D629" s="1" t="s">
        <v>3761</v>
      </c>
      <c r="E629">
        <v>2017</v>
      </c>
      <c r="F629" s="1" t="s">
        <v>0</v>
      </c>
      <c r="G629" s="1" t="s">
        <v>3762</v>
      </c>
      <c r="H629" s="1" t="s">
        <v>1602</v>
      </c>
      <c r="I629" s="1" t="s">
        <v>3745</v>
      </c>
      <c r="J629" s="1" t="s">
        <v>1</v>
      </c>
      <c r="K629" s="1" t="s">
        <v>1603</v>
      </c>
      <c r="L629" s="1" t="s">
        <v>1</v>
      </c>
      <c r="M629" s="1" t="s">
        <v>1</v>
      </c>
      <c r="N629" s="1" t="s">
        <v>1</v>
      </c>
      <c r="O629" s="1" t="s">
        <v>3763</v>
      </c>
      <c r="P629" s="1" t="s">
        <v>1604</v>
      </c>
      <c r="Q629" s="1">
        <v>-1</v>
      </c>
      <c r="R629" s="1"/>
      <c r="S629" s="1"/>
      <c r="T629" s="1"/>
      <c r="U629" s="1"/>
      <c r="V629" s="1"/>
      <c r="W629" s="1"/>
      <c r="X629" s="1"/>
      <c r="Y629" s="1"/>
      <c r="Z629" s="1"/>
      <c r="AA629" s="1"/>
      <c r="AB629" s="1"/>
      <c r="AC629" s="1"/>
      <c r="AD629" s="1"/>
      <c r="AE629" s="1"/>
      <c r="AF629" s="1"/>
    </row>
    <row r="630" spans="1:32" hidden="1" x14ac:dyDescent="0.25">
      <c r="A630" s="1">
        <v>629</v>
      </c>
      <c r="B630" s="1"/>
      <c r="C630" s="1" t="s">
        <v>1198</v>
      </c>
      <c r="D630" s="1" t="s">
        <v>3445</v>
      </c>
      <c r="E630">
        <v>2017</v>
      </c>
      <c r="F630" s="1" t="s">
        <v>0</v>
      </c>
      <c r="G630" s="1" t="s">
        <v>3447</v>
      </c>
      <c r="H630" s="1" t="s">
        <v>1199</v>
      </c>
      <c r="I630" s="1" t="s">
        <v>1</v>
      </c>
      <c r="J630" s="1" t="s">
        <v>1</v>
      </c>
      <c r="K630" s="1" t="s">
        <v>3446</v>
      </c>
      <c r="L630" s="1" t="s">
        <v>1</v>
      </c>
      <c r="M630" s="1" t="s">
        <v>1</v>
      </c>
      <c r="N630" s="1" t="s">
        <v>1</v>
      </c>
      <c r="O630" s="1" t="s">
        <v>3448</v>
      </c>
      <c r="P630" s="1" t="s">
        <v>1200</v>
      </c>
      <c r="Q630" s="1">
        <v>-1</v>
      </c>
      <c r="R630" s="1"/>
      <c r="S630" s="1"/>
      <c r="T630" s="1"/>
      <c r="U630" s="1"/>
      <c r="V630" s="1"/>
      <c r="W630" s="1"/>
      <c r="X630" s="1"/>
      <c r="Y630" s="1"/>
      <c r="Z630" s="1"/>
      <c r="AA630" s="1"/>
      <c r="AB630" s="1"/>
      <c r="AC630" s="1"/>
      <c r="AD630" s="1"/>
      <c r="AE630" s="1"/>
      <c r="AF630" s="1"/>
    </row>
    <row r="631" spans="1:32" hidden="1" x14ac:dyDescent="0.25">
      <c r="A631" s="1">
        <v>630</v>
      </c>
      <c r="B631" s="1"/>
      <c r="C631" s="1" t="s">
        <v>943</v>
      </c>
      <c r="D631" s="1" t="s">
        <v>3268</v>
      </c>
      <c r="E631">
        <v>2013</v>
      </c>
      <c r="F631" s="1" t="s">
        <v>0</v>
      </c>
      <c r="G631" s="1" t="s">
        <v>3269</v>
      </c>
      <c r="H631" s="1" t="s">
        <v>944</v>
      </c>
      <c r="I631" s="1" t="s">
        <v>1</v>
      </c>
      <c r="J631" s="1" t="s">
        <v>1</v>
      </c>
      <c r="K631" s="1" t="s">
        <v>941</v>
      </c>
      <c r="L631" s="1" t="s">
        <v>1</v>
      </c>
      <c r="M631" s="1" t="s">
        <v>1</v>
      </c>
      <c r="N631" s="1" t="s">
        <v>1</v>
      </c>
      <c r="O631" s="1" t="s">
        <v>3270</v>
      </c>
      <c r="P631" s="1" t="s">
        <v>3271</v>
      </c>
      <c r="Q631" s="1">
        <v>-1</v>
      </c>
      <c r="R631" s="1"/>
      <c r="S631" s="1"/>
      <c r="T631" s="1"/>
      <c r="U631" s="1"/>
      <c r="V631" s="1"/>
      <c r="W631" s="1"/>
      <c r="X631" s="1"/>
      <c r="Y631" s="1"/>
      <c r="Z631" s="1"/>
      <c r="AA631" s="1"/>
      <c r="AB631" s="1"/>
      <c r="AC631" s="1"/>
      <c r="AD631" s="1"/>
      <c r="AE631" s="1"/>
      <c r="AF631" s="1"/>
    </row>
    <row r="632" spans="1:32" hidden="1" x14ac:dyDescent="0.25">
      <c r="A632" s="1">
        <v>631</v>
      </c>
      <c r="B632" s="1"/>
      <c r="C632" s="1" t="s">
        <v>2139</v>
      </c>
      <c r="D632" s="1" t="s">
        <v>4160</v>
      </c>
      <c r="E632">
        <v>2015</v>
      </c>
      <c r="F632" s="1" t="s">
        <v>116</v>
      </c>
      <c r="G632" s="1" t="s">
        <v>4162</v>
      </c>
      <c r="H632" s="1" t="s">
        <v>2140</v>
      </c>
      <c r="I632" s="1" t="s">
        <v>3442</v>
      </c>
      <c r="J632" s="1" t="s">
        <v>4161</v>
      </c>
      <c r="K632" s="1" t="s">
        <v>2141</v>
      </c>
      <c r="L632" s="1" t="s">
        <v>247</v>
      </c>
      <c r="M632" s="1" t="s">
        <v>1</v>
      </c>
      <c r="N632" s="1" t="s">
        <v>2143</v>
      </c>
      <c r="O632" s="1" t="s">
        <v>4163</v>
      </c>
      <c r="P632" s="1" t="s">
        <v>2142</v>
      </c>
      <c r="Q632" s="1">
        <v>-1</v>
      </c>
      <c r="R632" s="1"/>
      <c r="S632" s="1"/>
      <c r="T632" s="1"/>
      <c r="U632" s="1"/>
      <c r="V632" s="1"/>
      <c r="W632" s="1"/>
      <c r="X632" s="1"/>
      <c r="Y632" s="1"/>
      <c r="Z632" s="1"/>
      <c r="AA632" s="1"/>
      <c r="AB632" s="1"/>
      <c r="AC632" s="1"/>
      <c r="AD632" s="1"/>
      <c r="AE632" s="1"/>
      <c r="AF632" s="1"/>
    </row>
    <row r="633" spans="1:32" hidden="1" x14ac:dyDescent="0.25">
      <c r="A633" s="1">
        <v>632</v>
      </c>
      <c r="B633" s="1"/>
      <c r="C633" s="1" t="s">
        <v>1583</v>
      </c>
      <c r="D633" s="1" t="s">
        <v>3742</v>
      </c>
      <c r="E633">
        <v>2014</v>
      </c>
      <c r="F633" s="1" t="s">
        <v>0</v>
      </c>
      <c r="G633" s="1" t="s">
        <v>1</v>
      </c>
      <c r="H633" s="1" t="s">
        <v>1</v>
      </c>
      <c r="I633" s="1" t="s">
        <v>1</v>
      </c>
      <c r="J633" s="1" t="s">
        <v>1</v>
      </c>
      <c r="K633" s="1" t="s">
        <v>1</v>
      </c>
      <c r="L633" s="1" t="s">
        <v>353</v>
      </c>
      <c r="M633" s="1" t="s">
        <v>1</v>
      </c>
      <c r="N633" s="1" t="s">
        <v>1585</v>
      </c>
      <c r="O633" s="1" t="s">
        <v>3743</v>
      </c>
      <c r="P633" s="1" t="s">
        <v>1584</v>
      </c>
      <c r="Q633" s="1">
        <v>-1</v>
      </c>
      <c r="R633" s="1"/>
      <c r="S633" s="1"/>
      <c r="T633" s="1"/>
      <c r="U633" s="1"/>
      <c r="V633" s="1"/>
      <c r="W633" s="1"/>
      <c r="X633" s="1"/>
      <c r="Y633" s="1"/>
      <c r="Z633" s="1"/>
      <c r="AA633" s="1"/>
      <c r="AB633" s="1"/>
      <c r="AC633" s="1"/>
      <c r="AD633" s="1"/>
      <c r="AE633" s="1"/>
      <c r="AF633" s="1"/>
    </row>
    <row r="634" spans="1:32" hidden="1" x14ac:dyDescent="0.25">
      <c r="A634" s="1">
        <v>633</v>
      </c>
      <c r="B634" s="1"/>
      <c r="C634" s="1" t="s">
        <v>2714</v>
      </c>
      <c r="D634" s="1" t="s">
        <v>4624</v>
      </c>
      <c r="E634">
        <v>2006</v>
      </c>
      <c r="F634" s="1" t="s">
        <v>244</v>
      </c>
      <c r="G634" s="1" t="s">
        <v>1</v>
      </c>
      <c r="H634" s="1" t="s">
        <v>1</v>
      </c>
      <c r="I634" s="1" t="s">
        <v>2715</v>
      </c>
      <c r="J634" s="1" t="s">
        <v>1</v>
      </c>
      <c r="K634" s="1" t="s">
        <v>2716</v>
      </c>
      <c r="L634" s="1" t="s">
        <v>1</v>
      </c>
      <c r="M634" s="1" t="s">
        <v>1</v>
      </c>
      <c r="N634" s="1" t="s">
        <v>2718</v>
      </c>
      <c r="O634" s="1" t="s">
        <v>4625</v>
      </c>
      <c r="P634" s="1" t="s">
        <v>2717</v>
      </c>
      <c r="Q634" s="1">
        <v>-1</v>
      </c>
      <c r="R634" s="1"/>
      <c r="S634" s="1"/>
      <c r="T634" s="1"/>
      <c r="U634" s="1"/>
      <c r="V634" s="1"/>
      <c r="W634" s="1"/>
      <c r="X634" s="1"/>
      <c r="Y634" s="1"/>
      <c r="Z634" s="1"/>
      <c r="AA634" s="1"/>
      <c r="AB634" s="1"/>
      <c r="AC634" s="1"/>
      <c r="AD634" s="1"/>
      <c r="AE634" s="1"/>
      <c r="AF634" s="1"/>
    </row>
    <row r="635" spans="1:32" hidden="1" x14ac:dyDescent="0.25">
      <c r="A635" s="1">
        <v>634</v>
      </c>
      <c r="B635" s="1"/>
      <c r="C635" s="1" t="s">
        <v>2340</v>
      </c>
      <c r="D635" s="1" t="s">
        <v>4319</v>
      </c>
      <c r="E635">
        <v>2013</v>
      </c>
      <c r="F635" s="1" t="s">
        <v>0</v>
      </c>
      <c r="G635" s="1" t="s">
        <v>4320</v>
      </c>
      <c r="H635" s="1" t="s">
        <v>2341</v>
      </c>
      <c r="I635" s="1" t="s">
        <v>1</v>
      </c>
      <c r="J635" s="1" t="s">
        <v>1</v>
      </c>
      <c r="K635" s="1" t="s">
        <v>3767</v>
      </c>
      <c r="L635" s="1" t="s">
        <v>1</v>
      </c>
      <c r="M635" s="1" t="s">
        <v>1</v>
      </c>
      <c r="N635" s="1" t="s">
        <v>1</v>
      </c>
      <c r="O635" s="1" t="s">
        <v>4321</v>
      </c>
      <c r="P635" s="1" t="s">
        <v>2342</v>
      </c>
      <c r="Q635" s="1">
        <v>1</v>
      </c>
      <c r="R635" s="1">
        <v>-1</v>
      </c>
      <c r="S635" s="1"/>
      <c r="T635" s="1"/>
      <c r="U635" s="1"/>
      <c r="V635" s="1"/>
      <c r="W635" s="1"/>
      <c r="X635" s="1"/>
      <c r="Y635" s="1"/>
      <c r="Z635" s="1"/>
      <c r="AA635" s="1"/>
      <c r="AB635" s="1"/>
      <c r="AC635" s="1"/>
      <c r="AD635" s="1"/>
      <c r="AE635" s="1"/>
      <c r="AF635" s="1"/>
    </row>
    <row r="636" spans="1:32" hidden="1" x14ac:dyDescent="0.25">
      <c r="A636" s="1">
        <v>635</v>
      </c>
      <c r="B636" s="1"/>
      <c r="C636" s="1" t="s">
        <v>1621</v>
      </c>
      <c r="D636" s="1" t="s">
        <v>3777</v>
      </c>
      <c r="E636">
        <v>2014</v>
      </c>
      <c r="F636" s="1" t="s">
        <v>0</v>
      </c>
      <c r="G636" s="1" t="s">
        <v>1</v>
      </c>
      <c r="H636" s="1" t="s">
        <v>1</v>
      </c>
      <c r="I636" s="1" t="s">
        <v>1</v>
      </c>
      <c r="J636" s="1" t="s">
        <v>1</v>
      </c>
      <c r="K636" s="1" t="s">
        <v>1622</v>
      </c>
      <c r="L636" s="1" t="s">
        <v>336</v>
      </c>
      <c r="M636" s="1" t="s">
        <v>1</v>
      </c>
      <c r="N636" s="1" t="s">
        <v>1624</v>
      </c>
      <c r="O636" s="1" t="s">
        <v>3778</v>
      </c>
      <c r="P636" s="1" t="s">
        <v>1623</v>
      </c>
      <c r="Q636" s="1">
        <v>-1</v>
      </c>
      <c r="R636" s="1"/>
      <c r="S636" s="1"/>
      <c r="T636" s="1"/>
      <c r="U636" s="1"/>
      <c r="V636" s="1"/>
      <c r="W636" s="1"/>
      <c r="X636" s="1"/>
      <c r="Y636" s="1"/>
      <c r="Z636" s="1"/>
      <c r="AA636" s="1"/>
      <c r="AB636" s="1"/>
      <c r="AC636" s="1"/>
      <c r="AD636" s="1"/>
      <c r="AE636" s="1"/>
      <c r="AF636" s="1"/>
    </row>
    <row r="637" spans="1:32" hidden="1" x14ac:dyDescent="0.25">
      <c r="A637" s="1">
        <v>636</v>
      </c>
      <c r="B637" s="1"/>
      <c r="C637" s="1" t="s">
        <v>2395</v>
      </c>
      <c r="D637" s="1" t="s">
        <v>218</v>
      </c>
      <c r="E637">
        <v>2015</v>
      </c>
      <c r="F637" s="1" t="s">
        <v>116</v>
      </c>
      <c r="G637" s="1" t="s">
        <v>4362</v>
      </c>
      <c r="H637" s="1" t="s">
        <v>2396</v>
      </c>
      <c r="I637" s="1" t="s">
        <v>3165</v>
      </c>
      <c r="J637" s="1" t="s">
        <v>3141</v>
      </c>
      <c r="K637" s="1" t="s">
        <v>2397</v>
      </c>
      <c r="L637" s="1" t="s">
        <v>447</v>
      </c>
      <c r="M637" s="1" t="s">
        <v>1</v>
      </c>
      <c r="N637" s="1" t="s">
        <v>2399</v>
      </c>
      <c r="O637" s="1" t="s">
        <v>4363</v>
      </c>
      <c r="P637" s="1" t="s">
        <v>2398</v>
      </c>
      <c r="Q637" s="1">
        <v>1</v>
      </c>
      <c r="R637" s="1">
        <v>-1</v>
      </c>
      <c r="S637" s="1"/>
      <c r="T637" s="1"/>
      <c r="U637" s="1"/>
      <c r="V637" s="1"/>
      <c r="W637" s="1"/>
      <c r="X637" s="1"/>
      <c r="Y637" s="1"/>
      <c r="Z637" s="1"/>
      <c r="AA637" s="1"/>
      <c r="AB637" s="1"/>
      <c r="AC637" s="1"/>
      <c r="AD637" s="1"/>
      <c r="AE637" s="1"/>
      <c r="AF637" s="1"/>
    </row>
    <row r="638" spans="1:32" x14ac:dyDescent="0.25">
      <c r="A638" s="1">
        <v>637</v>
      </c>
      <c r="B638" s="1">
        <v>38</v>
      </c>
      <c r="C638" s="1" t="s">
        <v>2995</v>
      </c>
      <c r="D638" s="1" t="s">
        <v>273</v>
      </c>
      <c r="E638">
        <v>2017</v>
      </c>
      <c r="F638" s="1" t="s">
        <v>0</v>
      </c>
      <c r="G638" s="1" t="s">
        <v>4845</v>
      </c>
      <c r="H638" s="1" t="s">
        <v>1</v>
      </c>
      <c r="I638" s="1" t="s">
        <v>3141</v>
      </c>
      <c r="J638" s="1" t="s">
        <v>1</v>
      </c>
      <c r="K638" s="1" t="s">
        <v>2996</v>
      </c>
      <c r="L638" s="1" t="s">
        <v>827</v>
      </c>
      <c r="M638" s="1" t="s">
        <v>1</v>
      </c>
      <c r="N638" s="1" t="s">
        <v>2998</v>
      </c>
      <c r="O638" s="1" t="s">
        <v>4846</v>
      </c>
      <c r="P638" s="1" t="s">
        <v>2997</v>
      </c>
      <c r="Q638" s="1">
        <v>1</v>
      </c>
      <c r="R638" s="1">
        <v>1</v>
      </c>
      <c r="S638" s="1">
        <v>6</v>
      </c>
      <c r="T638" s="1" t="s">
        <v>5039</v>
      </c>
      <c r="U638" s="1" t="s">
        <v>5038</v>
      </c>
      <c r="V638" s="1" t="s">
        <v>4996</v>
      </c>
      <c r="W638" s="1" t="s">
        <v>4974</v>
      </c>
      <c r="X638" s="1" t="s">
        <v>658</v>
      </c>
      <c r="Y638" s="1" t="s">
        <v>5003</v>
      </c>
      <c r="Z638" s="1"/>
      <c r="AA638" s="1" t="s">
        <v>5006</v>
      </c>
      <c r="AB638" s="1">
        <v>4</v>
      </c>
      <c r="AC638" s="1">
        <v>4</v>
      </c>
      <c r="AD638" s="1">
        <v>3</v>
      </c>
      <c r="AE638" s="1">
        <v>4</v>
      </c>
      <c r="AF638" s="1"/>
    </row>
    <row r="639" spans="1:32" hidden="1" x14ac:dyDescent="0.25">
      <c r="A639" s="1">
        <v>638</v>
      </c>
      <c r="B639" s="1"/>
      <c r="C639" s="1" t="s">
        <v>1897</v>
      </c>
      <c r="D639" s="1" t="s">
        <v>1896</v>
      </c>
      <c r="E639">
        <v>2017</v>
      </c>
      <c r="F639" s="1" t="s">
        <v>116</v>
      </c>
      <c r="G639" s="1" t="s">
        <v>3978</v>
      </c>
      <c r="H639" s="1" t="s">
        <v>702</v>
      </c>
      <c r="I639" s="1" t="s">
        <v>3977</v>
      </c>
      <c r="J639" s="1" t="s">
        <v>1</v>
      </c>
      <c r="K639" s="1" t="s">
        <v>1898</v>
      </c>
      <c r="L639" s="1" t="s">
        <v>1</v>
      </c>
      <c r="M639" s="1" t="s">
        <v>1</v>
      </c>
      <c r="N639" s="1" t="s">
        <v>1900</v>
      </c>
      <c r="O639" s="1" t="s">
        <v>3979</v>
      </c>
      <c r="P639" s="1" t="s">
        <v>1899</v>
      </c>
      <c r="Q639" s="1">
        <v>-1</v>
      </c>
      <c r="R639" s="1"/>
      <c r="S639" s="1"/>
      <c r="T639" s="1"/>
      <c r="U639" s="1"/>
      <c r="V639" s="1"/>
      <c r="W639" s="1"/>
      <c r="X639" s="1"/>
      <c r="Y639" s="1"/>
      <c r="Z639" s="1"/>
      <c r="AA639" s="1"/>
      <c r="AB639" s="1"/>
      <c r="AC639" s="1"/>
      <c r="AD639" s="1"/>
      <c r="AE639" s="1"/>
      <c r="AF639" s="1"/>
    </row>
    <row r="640" spans="1:32" hidden="1" x14ac:dyDescent="0.25">
      <c r="A640" s="1">
        <v>639</v>
      </c>
      <c r="B640" s="1"/>
      <c r="C640" s="1" t="s">
        <v>1907</v>
      </c>
      <c r="D640" s="1" t="s">
        <v>3987</v>
      </c>
      <c r="E640">
        <v>2013</v>
      </c>
      <c r="F640" s="1" t="s">
        <v>0</v>
      </c>
      <c r="G640" s="1" t="s">
        <v>1</v>
      </c>
      <c r="H640" s="1" t="s">
        <v>1908</v>
      </c>
      <c r="I640" s="1" t="s">
        <v>1</v>
      </c>
      <c r="J640" s="1" t="s">
        <v>1</v>
      </c>
      <c r="K640" s="1" t="s">
        <v>1909</v>
      </c>
      <c r="L640" s="1" t="s">
        <v>1</v>
      </c>
      <c r="M640" s="1" t="s">
        <v>1</v>
      </c>
      <c r="N640" s="1" t="s">
        <v>1</v>
      </c>
      <c r="O640" s="1" t="s">
        <v>3988</v>
      </c>
      <c r="P640" s="1" t="s">
        <v>1910</v>
      </c>
      <c r="Q640" s="1">
        <v>1</v>
      </c>
      <c r="R640" s="1">
        <v>-1</v>
      </c>
      <c r="S640" s="1"/>
      <c r="T640" s="1"/>
      <c r="U640" s="1"/>
      <c r="V640" s="1"/>
      <c r="W640" s="1"/>
      <c r="X640" s="1"/>
      <c r="Y640" s="1"/>
      <c r="Z640" s="1"/>
      <c r="AA640" s="1"/>
      <c r="AB640" s="1"/>
      <c r="AC640" s="1"/>
      <c r="AD640" s="1"/>
      <c r="AE640" s="1"/>
      <c r="AF640" s="1"/>
    </row>
    <row r="641" spans="1:32" hidden="1" x14ac:dyDescent="0.25">
      <c r="A641" s="1">
        <v>640</v>
      </c>
      <c r="B641" s="1"/>
      <c r="C641" s="1" t="s">
        <v>2406</v>
      </c>
      <c r="D641" s="1" t="s">
        <v>4371</v>
      </c>
      <c r="E641">
        <v>2010</v>
      </c>
      <c r="F641" s="1" t="s">
        <v>0</v>
      </c>
      <c r="G641" s="1" t="s">
        <v>4372</v>
      </c>
      <c r="H641" s="1" t="s">
        <v>2407</v>
      </c>
      <c r="I641" s="1" t="s">
        <v>1</v>
      </c>
      <c r="J641" s="1" t="s">
        <v>1</v>
      </c>
      <c r="K641" s="1" t="s">
        <v>2408</v>
      </c>
      <c r="L641" s="1" t="s">
        <v>1</v>
      </c>
      <c r="M641" s="1" t="s">
        <v>1</v>
      </c>
      <c r="N641" s="1" t="s">
        <v>1</v>
      </c>
      <c r="O641" s="1" t="s">
        <v>4373</v>
      </c>
      <c r="P641" s="1" t="s">
        <v>2409</v>
      </c>
      <c r="Q641" s="1">
        <v>-1</v>
      </c>
      <c r="R641" s="1"/>
      <c r="S641" s="1"/>
      <c r="T641" s="1"/>
      <c r="U641" s="1"/>
      <c r="V641" s="1"/>
      <c r="W641" s="1"/>
      <c r="X641" s="1"/>
      <c r="Y641" s="1"/>
      <c r="Z641" s="1"/>
      <c r="AA641" s="1"/>
      <c r="AB641" s="1"/>
      <c r="AC641" s="1"/>
      <c r="AD641" s="1"/>
      <c r="AE641" s="1"/>
      <c r="AF641" s="1"/>
    </row>
    <row r="642" spans="1:32" hidden="1" x14ac:dyDescent="0.25">
      <c r="A642" s="1">
        <v>641</v>
      </c>
      <c r="B642" s="1"/>
      <c r="C642" s="1" t="s">
        <v>2600</v>
      </c>
      <c r="D642" s="1" t="s">
        <v>4528</v>
      </c>
      <c r="E642">
        <v>2015</v>
      </c>
      <c r="F642" s="1" t="s">
        <v>0</v>
      </c>
      <c r="G642" s="1" t="s">
        <v>4529</v>
      </c>
      <c r="H642" s="1" t="s">
        <v>2601</v>
      </c>
      <c r="I642" s="1" t="s">
        <v>1</v>
      </c>
      <c r="J642" s="1" t="s">
        <v>1</v>
      </c>
      <c r="K642" s="1" t="s">
        <v>3195</v>
      </c>
      <c r="L642" s="1" t="s">
        <v>1</v>
      </c>
      <c r="M642" s="1" t="s">
        <v>1</v>
      </c>
      <c r="N642" s="1" t="s">
        <v>1</v>
      </c>
      <c r="O642" s="1" t="s">
        <v>4530</v>
      </c>
      <c r="P642" s="1" t="s">
        <v>2602</v>
      </c>
      <c r="Q642" s="1">
        <v>-1</v>
      </c>
      <c r="R642" s="1"/>
      <c r="S642" s="1"/>
      <c r="T642" s="1"/>
      <c r="U642" s="1"/>
      <c r="V642" s="1"/>
      <c r="W642" s="1"/>
      <c r="X642" s="1"/>
      <c r="Y642" s="1"/>
      <c r="Z642" s="1"/>
      <c r="AA642" s="1"/>
      <c r="AB642" s="1"/>
      <c r="AC642" s="1"/>
      <c r="AD642" s="1"/>
      <c r="AE642" s="1"/>
      <c r="AF642" s="1"/>
    </row>
    <row r="643" spans="1:32" hidden="1" x14ac:dyDescent="0.25">
      <c r="A643" s="1">
        <v>642</v>
      </c>
      <c r="B643" s="1"/>
      <c r="C643" s="1" t="s">
        <v>44</v>
      </c>
      <c r="D643" s="1" t="s">
        <v>43</v>
      </c>
      <c r="E643">
        <v>2012</v>
      </c>
      <c r="F643" s="1" t="s">
        <v>0</v>
      </c>
      <c r="G643" s="1" t="s">
        <v>4246</v>
      </c>
      <c r="H643" s="1" t="s">
        <v>45</v>
      </c>
      <c r="I643" s="1" t="s">
        <v>1</v>
      </c>
      <c r="J643" s="1" t="s">
        <v>1</v>
      </c>
      <c r="K643" s="1" t="s">
        <v>964</v>
      </c>
      <c r="L643" s="1" t="s">
        <v>1</v>
      </c>
      <c r="M643" s="1" t="s">
        <v>1</v>
      </c>
      <c r="N643" s="1" t="s">
        <v>1</v>
      </c>
      <c r="O643" s="1" t="s">
        <v>47</v>
      </c>
      <c r="P643" s="1" t="s">
        <v>735</v>
      </c>
      <c r="Q643" s="1">
        <v>1</v>
      </c>
      <c r="R643" s="1">
        <v>-1</v>
      </c>
      <c r="S643" s="1"/>
      <c r="T643" s="1"/>
      <c r="U643" s="1"/>
      <c r="V643" s="1"/>
      <c r="W643" s="1"/>
      <c r="X643" s="1"/>
      <c r="Y643" s="1"/>
      <c r="Z643" s="1"/>
      <c r="AA643" s="1"/>
      <c r="AB643" s="1"/>
      <c r="AC643" s="1"/>
      <c r="AD643" s="1"/>
      <c r="AE643" s="1"/>
      <c r="AF643" s="1"/>
    </row>
    <row r="644" spans="1:32" hidden="1" x14ac:dyDescent="0.25">
      <c r="A644" s="1">
        <v>643</v>
      </c>
      <c r="B644" s="1"/>
      <c r="C644" s="1" t="s">
        <v>2744</v>
      </c>
      <c r="D644" s="1" t="s">
        <v>4646</v>
      </c>
      <c r="E644">
        <v>2014</v>
      </c>
      <c r="F644" s="1" t="s">
        <v>0</v>
      </c>
      <c r="G644" s="1" t="s">
        <v>4647</v>
      </c>
      <c r="H644" s="1" t="s">
        <v>1085</v>
      </c>
      <c r="I644" s="1" t="s">
        <v>1</v>
      </c>
      <c r="J644" s="1" t="s">
        <v>1</v>
      </c>
      <c r="K644" s="1" t="s">
        <v>2745</v>
      </c>
      <c r="L644" s="1" t="s">
        <v>1</v>
      </c>
      <c r="M644" s="1" t="s">
        <v>1</v>
      </c>
      <c r="N644" s="1" t="s">
        <v>1</v>
      </c>
      <c r="O644" s="1" t="s">
        <v>4648</v>
      </c>
      <c r="P644" s="1" t="s">
        <v>2746</v>
      </c>
      <c r="Q644" s="1">
        <v>1</v>
      </c>
      <c r="R644" s="1">
        <v>-1</v>
      </c>
      <c r="S644" s="1"/>
      <c r="T644" s="1"/>
      <c r="U644" s="1"/>
      <c r="V644" s="1"/>
      <c r="W644" s="1"/>
      <c r="X644" s="1"/>
      <c r="Y644" s="1"/>
      <c r="Z644" s="1"/>
      <c r="AA644" s="1"/>
      <c r="AB644" s="1"/>
      <c r="AC644" s="1"/>
      <c r="AD644" s="1"/>
      <c r="AE644" s="1"/>
      <c r="AF644" s="1"/>
    </row>
    <row r="645" spans="1:32" x14ac:dyDescent="0.25">
      <c r="A645" s="1">
        <v>644</v>
      </c>
      <c r="B645" s="1">
        <v>39</v>
      </c>
      <c r="C645" s="6" t="s">
        <v>513</v>
      </c>
      <c r="D645" s="1" t="s">
        <v>512</v>
      </c>
      <c r="E645">
        <v>2013</v>
      </c>
      <c r="F645" s="1" t="s">
        <v>244</v>
      </c>
      <c r="G645" s="1" t="s">
        <v>4051</v>
      </c>
      <c r="H645" s="1" t="s">
        <v>514</v>
      </c>
      <c r="I645" s="1" t="s">
        <v>3680</v>
      </c>
      <c r="J645" s="1" t="s">
        <v>1</v>
      </c>
      <c r="K645" s="1" t="s">
        <v>4050</v>
      </c>
      <c r="L645" s="1" t="s">
        <v>247</v>
      </c>
      <c r="M645" s="1" t="s">
        <v>1</v>
      </c>
      <c r="N645" s="1" t="s">
        <v>1989</v>
      </c>
      <c r="O645" s="1" t="s">
        <v>516</v>
      </c>
      <c r="P645" s="1" t="s">
        <v>517</v>
      </c>
      <c r="Q645" s="1">
        <v>1</v>
      </c>
      <c r="R645" s="1">
        <v>1</v>
      </c>
      <c r="S645" s="1">
        <v>8</v>
      </c>
      <c r="T645" s="1" t="s">
        <v>5077</v>
      </c>
      <c r="U645" s="1" t="s">
        <v>5078</v>
      </c>
      <c r="V645" s="1" t="s">
        <v>4996</v>
      </c>
      <c r="W645" s="1" t="s">
        <v>4974</v>
      </c>
      <c r="X645" s="1" t="s">
        <v>658</v>
      </c>
      <c r="Y645" s="1" t="s">
        <v>5003</v>
      </c>
      <c r="Z645" s="1"/>
      <c r="AA645" s="1" t="s">
        <v>5007</v>
      </c>
      <c r="AB645" s="1">
        <v>4</v>
      </c>
      <c r="AC645" s="1">
        <v>2</v>
      </c>
      <c r="AD645" s="1">
        <v>3</v>
      </c>
      <c r="AE645" s="1">
        <v>4</v>
      </c>
      <c r="AF645" s="1"/>
    </row>
    <row r="646" spans="1:32" hidden="1" x14ac:dyDescent="0.25">
      <c r="A646" s="1">
        <v>645</v>
      </c>
      <c r="B646" s="1"/>
      <c r="C646" s="1" t="s">
        <v>2258</v>
      </c>
      <c r="D646" s="1" t="s">
        <v>43</v>
      </c>
      <c r="E646">
        <v>2017</v>
      </c>
      <c r="F646" s="1" t="s">
        <v>0</v>
      </c>
      <c r="G646" s="1" t="s">
        <v>4251</v>
      </c>
      <c r="H646" s="1" t="s">
        <v>97</v>
      </c>
      <c r="I646" s="1" t="s">
        <v>1</v>
      </c>
      <c r="J646" s="1" t="s">
        <v>1</v>
      </c>
      <c r="K646" s="1" t="s">
        <v>2259</v>
      </c>
      <c r="L646" s="1" t="s">
        <v>1</v>
      </c>
      <c r="M646" s="1" t="s">
        <v>1</v>
      </c>
      <c r="N646" s="1" t="s">
        <v>1</v>
      </c>
      <c r="O646" s="1" t="s">
        <v>4252</v>
      </c>
      <c r="P646" s="1" t="s">
        <v>2260</v>
      </c>
      <c r="Q646" s="1">
        <v>-1</v>
      </c>
      <c r="R646" s="1"/>
      <c r="S646" s="1"/>
      <c r="T646" s="1"/>
      <c r="U646" s="1"/>
      <c r="V646" s="1"/>
      <c r="W646" s="1"/>
      <c r="X646" s="1"/>
      <c r="Y646" s="1"/>
      <c r="Z646" s="1"/>
      <c r="AA646" s="1"/>
      <c r="AB646" s="1"/>
      <c r="AC646" s="1"/>
      <c r="AD646" s="1"/>
      <c r="AE646" s="1"/>
      <c r="AF646" s="1"/>
    </row>
    <row r="647" spans="1:32" x14ac:dyDescent="0.25">
      <c r="A647" s="1">
        <v>646</v>
      </c>
      <c r="B647" s="1">
        <v>40</v>
      </c>
      <c r="C647" s="1" t="s">
        <v>1541</v>
      </c>
      <c r="D647" s="1" t="s">
        <v>3708</v>
      </c>
      <c r="E647">
        <v>2015</v>
      </c>
      <c r="F647" s="1" t="s">
        <v>658</v>
      </c>
      <c r="G647" s="1" t="s">
        <v>3710</v>
      </c>
      <c r="H647" s="1" t="s">
        <v>1542</v>
      </c>
      <c r="I647" s="1" t="s">
        <v>1</v>
      </c>
      <c r="J647" s="1" t="s">
        <v>1</v>
      </c>
      <c r="K647" s="1" t="s">
        <v>3709</v>
      </c>
      <c r="L647" s="1" t="s">
        <v>666</v>
      </c>
      <c r="M647" s="1" t="s">
        <v>1543</v>
      </c>
      <c r="N647" s="1" t="s">
        <v>1</v>
      </c>
      <c r="O647" s="1" t="s">
        <v>1</v>
      </c>
      <c r="P647" s="1" t="s">
        <v>4962</v>
      </c>
      <c r="Q647" s="1">
        <v>1</v>
      </c>
      <c r="R647" s="1">
        <v>1</v>
      </c>
      <c r="S647" s="1">
        <v>4.5</v>
      </c>
      <c r="T647" s="1" t="s">
        <v>4995</v>
      </c>
      <c r="U647" s="1" t="s">
        <v>5079</v>
      </c>
      <c r="V647" s="1" t="s">
        <v>5282</v>
      </c>
      <c r="W647" s="1" t="s">
        <v>4973</v>
      </c>
      <c r="X647" s="1" t="s">
        <v>658</v>
      </c>
      <c r="Y647" s="1" t="s">
        <v>5003</v>
      </c>
      <c r="Z647" s="1" t="s">
        <v>5080</v>
      </c>
      <c r="AA647" s="1"/>
      <c r="AB647" s="1">
        <v>1</v>
      </c>
      <c r="AC647" s="1">
        <v>1</v>
      </c>
      <c r="AD647" s="1">
        <v>2</v>
      </c>
      <c r="AE647" s="1">
        <v>2</v>
      </c>
      <c r="AF647" s="1"/>
    </row>
    <row r="648" spans="1:32" hidden="1" x14ac:dyDescent="0.25">
      <c r="A648" s="1">
        <v>647</v>
      </c>
      <c r="B648" s="1"/>
      <c r="C648" s="1" t="s">
        <v>2229</v>
      </c>
      <c r="D648" s="1" t="s">
        <v>4232</v>
      </c>
      <c r="E648">
        <v>2015</v>
      </c>
      <c r="F648" s="1" t="s">
        <v>0</v>
      </c>
      <c r="G648" s="1" t="s">
        <v>4233</v>
      </c>
      <c r="H648" s="1" t="s">
        <v>2230</v>
      </c>
      <c r="I648" s="1" t="s">
        <v>1</v>
      </c>
      <c r="J648" s="1" t="s">
        <v>1</v>
      </c>
      <c r="K648" s="1" t="s">
        <v>2231</v>
      </c>
      <c r="L648" s="1" t="s">
        <v>1</v>
      </c>
      <c r="M648" s="1" t="s">
        <v>1</v>
      </c>
      <c r="N648" s="1" t="s">
        <v>1</v>
      </c>
      <c r="O648" s="1" t="s">
        <v>4234</v>
      </c>
      <c r="P648" s="1" t="s">
        <v>2233</v>
      </c>
      <c r="Q648" s="1">
        <v>-1</v>
      </c>
      <c r="R648" s="1"/>
      <c r="S648" s="1"/>
      <c r="T648" s="1"/>
      <c r="U648" s="1"/>
      <c r="V648" s="1"/>
      <c r="W648" s="1"/>
      <c r="X648" s="1"/>
      <c r="Y648" s="1"/>
      <c r="Z648" s="1"/>
      <c r="AA648" s="1"/>
      <c r="AB648" s="1"/>
      <c r="AC648" s="1"/>
      <c r="AD648" s="1"/>
      <c r="AE648" s="1"/>
      <c r="AF648" s="1"/>
    </row>
    <row r="649" spans="1:32" hidden="1" x14ac:dyDescent="0.25">
      <c r="A649" s="1">
        <v>648</v>
      </c>
      <c r="B649" s="1"/>
      <c r="C649" s="1" t="s">
        <v>2634</v>
      </c>
      <c r="D649" s="1" t="s">
        <v>4558</v>
      </c>
      <c r="E649">
        <v>2016</v>
      </c>
      <c r="F649" s="1" t="s">
        <v>116</v>
      </c>
      <c r="G649" s="1" t="s">
        <v>4560</v>
      </c>
      <c r="H649" s="1" t="s">
        <v>2635</v>
      </c>
      <c r="I649" s="1" t="s">
        <v>4559</v>
      </c>
      <c r="J649" s="1" t="s">
        <v>3143</v>
      </c>
      <c r="K649" s="1" t="s">
        <v>2636</v>
      </c>
      <c r="L649" s="1" t="s">
        <v>1</v>
      </c>
      <c r="M649" s="1" t="s">
        <v>1</v>
      </c>
      <c r="N649" s="1" t="s">
        <v>1</v>
      </c>
      <c r="O649" s="1" t="s">
        <v>4561</v>
      </c>
      <c r="P649" s="1" t="s">
        <v>2637</v>
      </c>
      <c r="Q649" s="1">
        <v>-1</v>
      </c>
      <c r="R649" s="1"/>
      <c r="S649" s="1"/>
      <c r="T649" s="1"/>
      <c r="U649" s="1"/>
      <c r="V649" s="1"/>
      <c r="W649" s="1"/>
      <c r="X649" s="1"/>
      <c r="Y649" s="1"/>
      <c r="Z649" s="1"/>
      <c r="AA649" s="1"/>
      <c r="AB649" s="1"/>
      <c r="AC649" s="1"/>
      <c r="AD649" s="1"/>
      <c r="AE649" s="1"/>
      <c r="AF649" s="1"/>
    </row>
    <row r="650" spans="1:32" hidden="1" x14ac:dyDescent="0.25">
      <c r="A650" s="1">
        <v>649</v>
      </c>
      <c r="B650" s="1"/>
      <c r="C650" s="1" t="s">
        <v>1588</v>
      </c>
      <c r="D650" s="1" t="s">
        <v>3749</v>
      </c>
      <c r="E650">
        <v>2015</v>
      </c>
      <c r="F650" s="1" t="s">
        <v>0</v>
      </c>
      <c r="G650" s="1" t="s">
        <v>3750</v>
      </c>
      <c r="H650" s="1" t="s">
        <v>1462</v>
      </c>
      <c r="I650" s="1" t="s">
        <v>1</v>
      </c>
      <c r="J650" s="1" t="s">
        <v>1</v>
      </c>
      <c r="K650" s="1" t="s">
        <v>1255</v>
      </c>
      <c r="L650" s="1" t="s">
        <v>1</v>
      </c>
      <c r="M650" s="1" t="s">
        <v>1</v>
      </c>
      <c r="N650" s="1" t="s">
        <v>1</v>
      </c>
      <c r="O650" s="1" t="s">
        <v>3751</v>
      </c>
      <c r="P650" s="1" t="s">
        <v>1589</v>
      </c>
      <c r="Q650" s="1">
        <v>-1</v>
      </c>
      <c r="R650" s="1"/>
      <c r="S650" s="1"/>
      <c r="T650" s="1"/>
      <c r="U650" s="1"/>
      <c r="V650" s="1"/>
      <c r="W650" s="1"/>
      <c r="X650" s="1"/>
      <c r="Y650" s="1"/>
      <c r="Z650" s="1"/>
      <c r="AA650" s="1"/>
      <c r="AB650" s="1"/>
      <c r="AC650" s="1"/>
      <c r="AD650" s="1"/>
      <c r="AE650" s="1"/>
      <c r="AF650" s="1"/>
    </row>
    <row r="651" spans="1:32" ht="14.25" hidden="1" customHeight="1" x14ac:dyDescent="0.25">
      <c r="A651" s="1">
        <v>650</v>
      </c>
      <c r="B651" s="1"/>
      <c r="C651" s="1" t="s">
        <v>5725</v>
      </c>
      <c r="D651" s="1"/>
      <c r="E651" s="1">
        <v>2018</v>
      </c>
      <c r="F651" s="1" t="s">
        <v>244</v>
      </c>
      <c r="G651" s="1"/>
      <c r="H651" s="1"/>
      <c r="N651" s="1" t="s">
        <v>5726</v>
      </c>
      <c r="O651" s="1"/>
      <c r="P651" s="3" t="s">
        <v>5727</v>
      </c>
      <c r="Q651" s="1">
        <v>-1</v>
      </c>
      <c r="R651" s="1" t="s">
        <v>5036</v>
      </c>
      <c r="S651" s="1"/>
      <c r="T651" s="1"/>
      <c r="U651" s="1"/>
      <c r="V651" s="1"/>
      <c r="W651" s="1"/>
      <c r="X651" s="1"/>
      <c r="Y651" s="1"/>
      <c r="Z651" s="1"/>
      <c r="AA651" s="1"/>
      <c r="AB651" s="1"/>
      <c r="AC651" s="1"/>
      <c r="AD651" s="1"/>
      <c r="AE651" s="1"/>
      <c r="AF651" s="1"/>
    </row>
    <row r="652" spans="1:32" ht="14.25" hidden="1" customHeight="1" x14ac:dyDescent="0.25">
      <c r="A652" s="1">
        <v>651</v>
      </c>
      <c r="B652" s="1"/>
      <c r="C652" s="1" t="s">
        <v>5605</v>
      </c>
      <c r="D652" s="1" t="s">
        <v>5606</v>
      </c>
      <c r="E652" s="1">
        <v>2018</v>
      </c>
      <c r="F652" s="1" t="s">
        <v>127</v>
      </c>
      <c r="H652" s="1" t="s">
        <v>5607</v>
      </c>
      <c r="N652" s="1" t="s">
        <v>5608</v>
      </c>
      <c r="O652" s="47" t="s">
        <v>5609</v>
      </c>
      <c r="P652" s="3" t="s">
        <v>5610</v>
      </c>
      <c r="Q652" s="1">
        <v>-1</v>
      </c>
      <c r="R652" s="1" t="s">
        <v>5036</v>
      </c>
      <c r="S652" s="1"/>
      <c r="T652" s="1"/>
      <c r="U652" s="1"/>
      <c r="V652" s="1"/>
      <c r="W652" s="1"/>
      <c r="X652" s="1"/>
      <c r="Y652" s="1"/>
      <c r="Z652" s="1"/>
      <c r="AA652" s="1"/>
      <c r="AB652" s="1"/>
      <c r="AC652" s="1"/>
      <c r="AD652" s="1"/>
      <c r="AE652" s="1"/>
      <c r="AF652" s="1"/>
    </row>
    <row r="653" spans="1:32" ht="14.25" hidden="1" customHeight="1" x14ac:dyDescent="0.25">
      <c r="A653" s="1">
        <v>652</v>
      </c>
      <c r="B653" s="1"/>
      <c r="C653" s="1" t="s">
        <v>5698</v>
      </c>
      <c r="D653" s="1" t="s">
        <v>5699</v>
      </c>
      <c r="E653" s="1">
        <v>2018</v>
      </c>
      <c r="F653" s="1" t="s">
        <v>0</v>
      </c>
      <c r="H653" s="1" t="s">
        <v>5372</v>
      </c>
      <c r="N653" s="1"/>
      <c r="O653" s="47" t="s">
        <v>5700</v>
      </c>
      <c r="P653" s="3" t="s">
        <v>5701</v>
      </c>
      <c r="Q653" s="1">
        <v>-1</v>
      </c>
      <c r="R653" s="1" t="s">
        <v>5036</v>
      </c>
      <c r="S653" s="1"/>
      <c r="T653" s="1"/>
      <c r="U653" s="1"/>
      <c r="V653" s="1"/>
      <c r="W653" s="1"/>
      <c r="X653" s="1"/>
      <c r="Y653" s="1"/>
      <c r="Z653" s="1"/>
      <c r="AA653" s="1"/>
      <c r="AB653" s="1"/>
      <c r="AC653" s="1"/>
      <c r="AD653" s="1"/>
      <c r="AE653" s="1"/>
      <c r="AF653" s="1"/>
    </row>
    <row r="654" spans="1:32" ht="14.25" hidden="1" customHeight="1" x14ac:dyDescent="0.25">
      <c r="A654" s="1">
        <v>653</v>
      </c>
      <c r="B654" s="1"/>
      <c r="C654" s="1" t="s">
        <v>5622</v>
      </c>
      <c r="D654" s="1" t="s">
        <v>5623</v>
      </c>
      <c r="E654" s="1">
        <v>2018</v>
      </c>
      <c r="F654" s="1" t="s">
        <v>0</v>
      </c>
      <c r="H654" s="1" t="s">
        <v>5367</v>
      </c>
      <c r="N654" s="1"/>
      <c r="O654" s="47" t="s">
        <v>5624</v>
      </c>
      <c r="P654" s="3" t="s">
        <v>5625</v>
      </c>
      <c r="Q654" s="1">
        <v>-1</v>
      </c>
      <c r="R654" s="1" t="s">
        <v>5036</v>
      </c>
      <c r="S654" s="1"/>
      <c r="T654" s="1"/>
      <c r="U654" s="1"/>
      <c r="V654" s="1"/>
      <c r="W654" s="1"/>
      <c r="X654" s="1"/>
      <c r="Y654" s="1"/>
      <c r="Z654" s="1"/>
      <c r="AA654" s="1"/>
      <c r="AB654" s="1"/>
      <c r="AC654" s="1"/>
      <c r="AD654" s="1"/>
      <c r="AE654" s="1"/>
      <c r="AF654" s="1"/>
    </row>
    <row r="655" spans="1:32" ht="14.25" hidden="1" customHeight="1" x14ac:dyDescent="0.25">
      <c r="A655" s="1">
        <v>654</v>
      </c>
      <c r="B655" s="1"/>
      <c r="C655" s="1" t="s">
        <v>5576</v>
      </c>
      <c r="D655" s="1" t="s">
        <v>5577</v>
      </c>
      <c r="E655" s="1">
        <v>2018</v>
      </c>
      <c r="F655" s="1" t="s">
        <v>0</v>
      </c>
      <c r="H655" s="1" t="s">
        <v>5402</v>
      </c>
      <c r="N655" s="1"/>
      <c r="O655" s="47" t="s">
        <v>5578</v>
      </c>
      <c r="P655" s="3" t="s">
        <v>5579</v>
      </c>
      <c r="Q655" s="1">
        <v>-1</v>
      </c>
      <c r="R655" s="1" t="s">
        <v>5036</v>
      </c>
      <c r="S655" s="1"/>
      <c r="T655" s="1"/>
      <c r="U655" s="1"/>
      <c r="V655" s="1"/>
      <c r="W655" s="1"/>
      <c r="X655" s="1"/>
      <c r="Y655" s="1"/>
      <c r="Z655" s="1"/>
      <c r="AA655" s="1"/>
      <c r="AB655" s="1"/>
      <c r="AC655" s="1"/>
      <c r="AD655" s="1"/>
      <c r="AE655" s="1"/>
      <c r="AF655" s="1"/>
    </row>
    <row r="656" spans="1:32" ht="14.25" customHeight="1" x14ac:dyDescent="0.25">
      <c r="A656" s="1">
        <v>655</v>
      </c>
      <c r="B656" s="1">
        <v>41</v>
      </c>
      <c r="C656" s="1" t="s">
        <v>5653</v>
      </c>
      <c r="D656" s="1" t="s">
        <v>5654</v>
      </c>
      <c r="E656" s="54">
        <v>2018</v>
      </c>
      <c r="F656" s="1" t="s">
        <v>0</v>
      </c>
      <c r="H656" s="1" t="s">
        <v>5372</v>
      </c>
      <c r="N656" s="1"/>
      <c r="O656" s="47" t="s">
        <v>5655</v>
      </c>
      <c r="P656" s="3" t="s">
        <v>5656</v>
      </c>
      <c r="Q656" s="1">
        <v>1</v>
      </c>
      <c r="R656" s="1">
        <v>1</v>
      </c>
      <c r="S656" s="1">
        <v>6</v>
      </c>
      <c r="T656" s="1" t="s">
        <v>728</v>
      </c>
      <c r="U656" s="1" t="s">
        <v>5062</v>
      </c>
      <c r="V656" s="1" t="s">
        <v>5277</v>
      </c>
      <c r="W656" s="1" t="s">
        <v>4974</v>
      </c>
      <c r="X656" s="1" t="s">
        <v>658</v>
      </c>
      <c r="Y656" s="1" t="s">
        <v>5003</v>
      </c>
      <c r="Z656" s="1" t="s">
        <v>5013</v>
      </c>
      <c r="AA656" s="1" t="s">
        <v>5006</v>
      </c>
      <c r="AB656" s="1">
        <v>5</v>
      </c>
      <c r="AC656" s="1">
        <v>4</v>
      </c>
      <c r="AD656" s="1">
        <v>1</v>
      </c>
      <c r="AE656" s="1">
        <v>4</v>
      </c>
      <c r="AF656" s="1"/>
    </row>
    <row r="657" spans="1:32" ht="14.25" hidden="1" customHeight="1" x14ac:dyDescent="0.25">
      <c r="A657" s="1">
        <v>656</v>
      </c>
      <c r="B657" s="1"/>
      <c r="C657" s="1" t="s">
        <v>5442</v>
      </c>
      <c r="D657" s="1" t="s">
        <v>5443</v>
      </c>
      <c r="E657" s="1">
        <v>2018</v>
      </c>
      <c r="F657" s="1" t="s">
        <v>116</v>
      </c>
      <c r="H657" s="1" t="s">
        <v>5444</v>
      </c>
      <c r="N657" s="1"/>
      <c r="O657" s="47" t="s">
        <v>5445</v>
      </c>
      <c r="P657" s="3" t="s">
        <v>5446</v>
      </c>
      <c r="Q657" s="1">
        <v>-1</v>
      </c>
      <c r="R657" s="1" t="s">
        <v>5036</v>
      </c>
      <c r="S657" s="1"/>
      <c r="T657" s="1"/>
      <c r="U657" s="1"/>
      <c r="V657" s="1"/>
      <c r="W657" s="1"/>
      <c r="X657" s="1"/>
      <c r="Y657" s="1"/>
      <c r="Z657" s="1"/>
      <c r="AA657" s="1"/>
      <c r="AB657" s="1"/>
      <c r="AC657" s="1"/>
      <c r="AD657" s="1"/>
      <c r="AE657" s="1"/>
      <c r="AF657" s="1"/>
    </row>
    <row r="658" spans="1:32" ht="14.25" hidden="1" customHeight="1" x14ac:dyDescent="0.25">
      <c r="A658" s="1">
        <v>657</v>
      </c>
      <c r="B658" s="1"/>
      <c r="C658" s="1" t="s">
        <v>5582</v>
      </c>
      <c r="D658" s="1" t="s">
        <v>5583</v>
      </c>
      <c r="E658" s="1">
        <v>2018</v>
      </c>
      <c r="F658" s="1" t="s">
        <v>116</v>
      </c>
      <c r="H658" s="1" t="s">
        <v>5584</v>
      </c>
      <c r="N658" s="1"/>
      <c r="O658" s="47" t="s">
        <v>5585</v>
      </c>
      <c r="P658" s="3" t="s">
        <v>5586</v>
      </c>
      <c r="Q658" s="1">
        <v>-1</v>
      </c>
      <c r="R658" s="1" t="s">
        <v>5036</v>
      </c>
      <c r="S658" s="1"/>
      <c r="T658" s="1"/>
      <c r="U658" s="1"/>
      <c r="V658" s="1"/>
      <c r="W658" s="1"/>
      <c r="X658" s="1"/>
      <c r="Y658" s="1"/>
      <c r="Z658" s="1"/>
      <c r="AA658" s="1"/>
      <c r="AB658" s="1"/>
      <c r="AC658" s="1"/>
      <c r="AD658" s="1"/>
      <c r="AE658" s="1"/>
      <c r="AF658" s="1"/>
    </row>
    <row r="659" spans="1:32" ht="14.25" hidden="1" customHeight="1" x14ac:dyDescent="0.25">
      <c r="A659" s="1">
        <v>658</v>
      </c>
      <c r="B659" s="1"/>
      <c r="C659" s="1" t="s">
        <v>5596</v>
      </c>
      <c r="D659" s="1" t="s">
        <v>1069</v>
      </c>
      <c r="E659" s="1">
        <v>2018</v>
      </c>
      <c r="F659" s="1" t="s">
        <v>116</v>
      </c>
      <c r="H659" s="1" t="s">
        <v>702</v>
      </c>
      <c r="N659" s="1" t="s">
        <v>5597</v>
      </c>
      <c r="O659" s="47" t="s">
        <v>5598</v>
      </c>
      <c r="P659" s="3" t="s">
        <v>5599</v>
      </c>
      <c r="Q659" s="1">
        <v>-1</v>
      </c>
      <c r="R659" s="1" t="s">
        <v>5036</v>
      </c>
      <c r="S659" s="1"/>
      <c r="T659" s="1"/>
      <c r="U659" s="1"/>
      <c r="V659" s="1"/>
      <c r="W659" s="1"/>
      <c r="X659" s="1"/>
      <c r="Y659" s="1"/>
      <c r="Z659" s="1"/>
      <c r="AA659" s="1"/>
      <c r="AB659" s="1"/>
      <c r="AC659" s="1"/>
      <c r="AD659" s="1"/>
      <c r="AE659" s="1"/>
      <c r="AF659" s="1"/>
    </row>
    <row r="660" spans="1:32" ht="14.25" hidden="1" customHeight="1" x14ac:dyDescent="0.25">
      <c r="A660" s="1">
        <v>659</v>
      </c>
      <c r="B660" s="1"/>
      <c r="C660" s="1" t="s">
        <v>5613</v>
      </c>
      <c r="D660" s="1" t="s">
        <v>90</v>
      </c>
      <c r="E660" s="1">
        <v>2018</v>
      </c>
      <c r="F660" s="1" t="s">
        <v>116</v>
      </c>
      <c r="H660" s="1" t="s">
        <v>5614</v>
      </c>
      <c r="N660" s="1" t="s">
        <v>5615</v>
      </c>
      <c r="O660" s="47" t="s">
        <v>5616</v>
      </c>
      <c r="P660" s="3" t="s">
        <v>5617</v>
      </c>
      <c r="Q660" s="1">
        <v>-1</v>
      </c>
      <c r="R660" s="1" t="s">
        <v>5036</v>
      </c>
      <c r="S660" s="1"/>
      <c r="T660" s="1"/>
      <c r="U660" s="1"/>
      <c r="V660" s="1"/>
      <c r="W660" s="1"/>
      <c r="X660" s="1"/>
      <c r="Y660" s="1"/>
      <c r="Z660" s="1"/>
      <c r="AA660" s="1"/>
      <c r="AB660" s="1"/>
      <c r="AC660" s="1"/>
      <c r="AD660" s="1"/>
      <c r="AE660" s="1"/>
      <c r="AF660" s="1"/>
    </row>
    <row r="661" spans="1:32" ht="14.25" hidden="1" customHeight="1" x14ac:dyDescent="0.25">
      <c r="A661" s="1">
        <v>660</v>
      </c>
      <c r="B661" s="1"/>
      <c r="C661" s="1" t="s">
        <v>5649</v>
      </c>
      <c r="D661" s="1" t="s">
        <v>5650</v>
      </c>
      <c r="E661" s="1">
        <v>2018</v>
      </c>
      <c r="F661" s="1" t="s">
        <v>0</v>
      </c>
      <c r="H661" s="1" t="s">
        <v>5449</v>
      </c>
      <c r="N661" s="1"/>
      <c r="O661" s="47" t="s">
        <v>5651</v>
      </c>
      <c r="P661" s="3" t="s">
        <v>5652</v>
      </c>
      <c r="Q661" s="1">
        <v>-1</v>
      </c>
      <c r="R661" s="1" t="s">
        <v>5036</v>
      </c>
      <c r="S661" s="1"/>
      <c r="T661" s="1"/>
      <c r="U661" s="1"/>
      <c r="V661" s="1"/>
      <c r="W661" s="1"/>
      <c r="X661" s="1"/>
      <c r="Y661" s="1"/>
      <c r="Z661" s="1"/>
      <c r="AA661" s="1"/>
      <c r="AB661" s="1"/>
      <c r="AC661" s="1"/>
      <c r="AD661" s="1"/>
      <c r="AE661" s="1"/>
      <c r="AF661" s="1"/>
    </row>
    <row r="662" spans="1:32" ht="14.25" hidden="1" customHeight="1" x14ac:dyDescent="0.25">
      <c r="A662" s="1">
        <v>661</v>
      </c>
      <c r="B662" s="1"/>
      <c r="C662" s="1" t="s">
        <v>5461</v>
      </c>
      <c r="D662" s="1" t="s">
        <v>5462</v>
      </c>
      <c r="E662" s="54">
        <v>2018</v>
      </c>
      <c r="F662" s="1" t="s">
        <v>0</v>
      </c>
      <c r="H662" s="1" t="s">
        <v>5402</v>
      </c>
      <c r="N662" s="1"/>
      <c r="O662" s="47" t="s">
        <v>5463</v>
      </c>
      <c r="P662" s="3" t="s">
        <v>5464</v>
      </c>
      <c r="Q662" s="1">
        <v>1</v>
      </c>
      <c r="R662" s="1">
        <v>-1</v>
      </c>
      <c r="S662" s="1"/>
      <c r="T662" s="1"/>
      <c r="U662" s="1"/>
      <c r="V662" s="1"/>
      <c r="W662" s="1"/>
      <c r="X662" s="1"/>
      <c r="Y662" s="1"/>
      <c r="Z662" s="1"/>
      <c r="AA662" s="1"/>
      <c r="AB662" s="1"/>
      <c r="AC662" s="1"/>
      <c r="AD662" s="1"/>
      <c r="AE662" s="1"/>
      <c r="AF662" s="1"/>
    </row>
    <row r="663" spans="1:32" ht="14.25" hidden="1" customHeight="1" x14ac:dyDescent="0.25">
      <c r="A663" s="1">
        <v>662</v>
      </c>
      <c r="B663" s="1"/>
      <c r="C663" s="1" t="s">
        <v>5631</v>
      </c>
      <c r="D663" s="1" t="s">
        <v>5632</v>
      </c>
      <c r="E663" s="1">
        <v>2018</v>
      </c>
      <c r="F663" s="1" t="s">
        <v>0</v>
      </c>
      <c r="H663" s="1" t="s">
        <v>5402</v>
      </c>
      <c r="N663" s="1"/>
      <c r="O663" s="47" t="s">
        <v>5633</v>
      </c>
      <c r="P663" s="3" t="s">
        <v>5634</v>
      </c>
      <c r="Q663" s="1">
        <v>-1</v>
      </c>
      <c r="R663" s="1" t="s">
        <v>5036</v>
      </c>
      <c r="S663" s="1"/>
      <c r="T663" s="1"/>
      <c r="U663" s="1"/>
      <c r="V663" s="1"/>
      <c r="W663" s="1"/>
      <c r="X663" s="1"/>
      <c r="Y663" s="1"/>
      <c r="Z663" s="1"/>
      <c r="AA663" s="1"/>
      <c r="AB663" s="1"/>
      <c r="AC663" s="1"/>
      <c r="AD663" s="1"/>
      <c r="AE663" s="1"/>
      <c r="AF663" s="1"/>
    </row>
    <row r="664" spans="1:32" ht="14.25" hidden="1" customHeight="1" x14ac:dyDescent="0.25">
      <c r="A664" s="1">
        <v>663</v>
      </c>
      <c r="B664" s="1"/>
      <c r="C664" s="1" t="s">
        <v>5509</v>
      </c>
      <c r="D664" s="1" t="s">
        <v>5510</v>
      </c>
      <c r="E664" s="1">
        <v>2018</v>
      </c>
      <c r="F664" s="1" t="s">
        <v>0</v>
      </c>
      <c r="H664" s="1" t="s">
        <v>5511</v>
      </c>
      <c r="N664" s="1"/>
      <c r="O664" s="47" t="s">
        <v>5512</v>
      </c>
      <c r="P664" s="3" t="s">
        <v>5513</v>
      </c>
      <c r="Q664" s="1">
        <v>-1</v>
      </c>
      <c r="R664" s="1" t="s">
        <v>5036</v>
      </c>
      <c r="S664" s="1"/>
      <c r="T664" s="1"/>
      <c r="U664" s="1"/>
      <c r="V664" s="1"/>
      <c r="W664" s="1"/>
      <c r="X664" s="1"/>
      <c r="Y664" s="1"/>
      <c r="Z664" s="1"/>
      <c r="AA664" s="1"/>
      <c r="AB664" s="1"/>
      <c r="AC664" s="1"/>
      <c r="AD664" s="1"/>
      <c r="AE664" s="1"/>
      <c r="AF664" s="1"/>
    </row>
    <row r="665" spans="1:32" ht="14.25" hidden="1" customHeight="1" x14ac:dyDescent="0.25">
      <c r="A665" s="1">
        <v>664</v>
      </c>
      <c r="B665" s="1"/>
      <c r="C665" s="1" t="s">
        <v>5552</v>
      </c>
      <c r="D665" s="1" t="s">
        <v>5553</v>
      </c>
      <c r="E665" s="1">
        <v>2018</v>
      </c>
      <c r="F665" s="1" t="s">
        <v>0</v>
      </c>
      <c r="H665" s="1" t="s">
        <v>5402</v>
      </c>
      <c r="N665" s="1"/>
      <c r="O665" s="47" t="s">
        <v>5554</v>
      </c>
      <c r="P665" s="3" t="s">
        <v>5555</v>
      </c>
      <c r="Q665" s="1">
        <v>-1</v>
      </c>
      <c r="R665" s="1" t="s">
        <v>5036</v>
      </c>
      <c r="S665" s="1"/>
      <c r="T665" s="1"/>
      <c r="U665" s="1"/>
      <c r="V665" s="1"/>
      <c r="W665" s="1"/>
      <c r="X665" s="1"/>
      <c r="Y665" s="1"/>
      <c r="Z665" s="1"/>
      <c r="AA665" s="1"/>
      <c r="AB665" s="1"/>
      <c r="AC665" s="1"/>
      <c r="AD665" s="1"/>
      <c r="AE665" s="1"/>
      <c r="AF665" s="1"/>
    </row>
    <row r="666" spans="1:32" ht="14.25" hidden="1" customHeight="1" x14ac:dyDescent="0.25">
      <c r="A666" s="1">
        <v>665</v>
      </c>
      <c r="B666" s="1"/>
      <c r="C666" s="1" t="s">
        <v>5640</v>
      </c>
      <c r="D666" s="1" t="s">
        <v>5641</v>
      </c>
      <c r="E666" s="1">
        <v>2018</v>
      </c>
      <c r="F666" s="1" t="s">
        <v>0</v>
      </c>
      <c r="H666" s="1"/>
      <c r="N666" s="1" t="s">
        <v>5642</v>
      </c>
      <c r="O666" s="47" t="s">
        <v>5643</v>
      </c>
      <c r="P666" s="3" t="s">
        <v>5644</v>
      </c>
      <c r="Q666" s="1">
        <v>-1</v>
      </c>
      <c r="R666" s="1" t="s">
        <v>5036</v>
      </c>
      <c r="S666" s="1"/>
      <c r="T666" s="1"/>
      <c r="U666" s="1"/>
      <c r="V666" s="1"/>
      <c r="W666" s="1"/>
      <c r="X666" s="1"/>
      <c r="Y666" s="1"/>
      <c r="Z666" s="1"/>
      <c r="AA666" s="1"/>
      <c r="AB666" s="1"/>
      <c r="AC666" s="1"/>
      <c r="AD666" s="1"/>
      <c r="AE666" s="1"/>
      <c r="AF666" s="1"/>
    </row>
    <row r="667" spans="1:32" ht="14.25" hidden="1" customHeight="1" x14ac:dyDescent="0.25">
      <c r="A667" s="1">
        <v>666</v>
      </c>
      <c r="B667" s="1"/>
      <c r="C667" s="1" t="s">
        <v>5519</v>
      </c>
      <c r="D667" s="1" t="s">
        <v>5520</v>
      </c>
      <c r="E667" s="1">
        <v>2018</v>
      </c>
      <c r="F667" s="1" t="s">
        <v>0</v>
      </c>
      <c r="H667" s="1" t="s">
        <v>5521</v>
      </c>
      <c r="N667" s="1"/>
      <c r="O667" s="47" t="s">
        <v>5522</v>
      </c>
      <c r="P667" s="3" t="s">
        <v>5523</v>
      </c>
      <c r="Q667" s="1">
        <v>-1</v>
      </c>
      <c r="R667" s="1" t="s">
        <v>5036</v>
      </c>
      <c r="S667" s="1"/>
      <c r="T667" s="1"/>
      <c r="U667" s="1"/>
      <c r="V667" s="1"/>
      <c r="W667" s="1"/>
      <c r="X667" s="1"/>
      <c r="Y667" s="1"/>
      <c r="Z667" s="1"/>
      <c r="AA667" s="1"/>
      <c r="AB667" s="1"/>
      <c r="AC667" s="1"/>
      <c r="AD667" s="1"/>
      <c r="AE667" s="1"/>
      <c r="AF667" s="1"/>
    </row>
    <row r="668" spans="1:32" ht="14.25" hidden="1" customHeight="1" x14ac:dyDescent="0.25">
      <c r="A668" s="1">
        <v>667</v>
      </c>
      <c r="B668" s="1"/>
      <c r="C668" s="1" t="s">
        <v>5626</v>
      </c>
      <c r="D668" s="1" t="s">
        <v>3907</v>
      </c>
      <c r="E668" s="1">
        <v>2018</v>
      </c>
      <c r="F668" s="1" t="s">
        <v>116</v>
      </c>
      <c r="H668" s="1" t="s">
        <v>5627</v>
      </c>
      <c r="N668" s="1" t="s">
        <v>5628</v>
      </c>
      <c r="O668" s="47" t="s">
        <v>5629</v>
      </c>
      <c r="P668" s="3" t="s">
        <v>5630</v>
      </c>
      <c r="Q668" s="1">
        <v>-1</v>
      </c>
      <c r="R668" s="1" t="s">
        <v>5036</v>
      </c>
      <c r="S668" s="1"/>
      <c r="T668" s="1"/>
      <c r="U668" s="1"/>
      <c r="V668" s="1"/>
      <c r="W668" s="1"/>
      <c r="X668" s="1"/>
      <c r="Y668" s="1"/>
      <c r="Z668" s="1"/>
      <c r="AA668" s="1"/>
      <c r="AB668" s="1"/>
      <c r="AC668" s="1"/>
      <c r="AD668" s="1"/>
      <c r="AE668" s="1"/>
      <c r="AF668" s="1"/>
    </row>
    <row r="669" spans="1:32" ht="14.25" hidden="1" customHeight="1" x14ac:dyDescent="0.25">
      <c r="A669" s="1">
        <v>668</v>
      </c>
      <c r="B669" s="1"/>
      <c r="C669" s="1" t="s">
        <v>5684</v>
      </c>
      <c r="D669" s="1" t="s">
        <v>5685</v>
      </c>
      <c r="E669" s="1">
        <v>2018</v>
      </c>
      <c r="F669" s="1" t="s">
        <v>244</v>
      </c>
      <c r="H669" s="1"/>
      <c r="N669" s="1" t="s">
        <v>5686</v>
      </c>
      <c r="O669" s="47" t="s">
        <v>5687</v>
      </c>
      <c r="P669" s="3" t="s">
        <v>5688</v>
      </c>
      <c r="Q669" s="1">
        <v>-1</v>
      </c>
      <c r="R669" s="1" t="s">
        <v>5036</v>
      </c>
      <c r="S669" s="1"/>
      <c r="T669" s="1"/>
      <c r="U669" s="1"/>
      <c r="V669" s="1"/>
      <c r="W669" s="1"/>
      <c r="X669" s="1"/>
      <c r="Y669" s="1"/>
      <c r="Z669" s="1"/>
      <c r="AA669" s="1"/>
      <c r="AB669" s="1"/>
      <c r="AC669" s="1"/>
      <c r="AD669" s="1"/>
      <c r="AE669" s="1"/>
      <c r="AF669" s="1"/>
    </row>
    <row r="670" spans="1:32" ht="14.25" hidden="1" customHeight="1" x14ac:dyDescent="0.25">
      <c r="A670" s="1">
        <v>669</v>
      </c>
      <c r="B670" s="1"/>
      <c r="C670" s="1" t="s">
        <v>5514</v>
      </c>
      <c r="D670" s="1" t="s">
        <v>5515</v>
      </c>
      <c r="E670" s="1">
        <v>2018</v>
      </c>
      <c r="F670" s="1" t="s">
        <v>0</v>
      </c>
      <c r="H670" s="1"/>
      <c r="N670" s="1" t="s">
        <v>5516</v>
      </c>
      <c r="O670" s="47" t="s">
        <v>5517</v>
      </c>
      <c r="P670" s="3" t="s">
        <v>5518</v>
      </c>
      <c r="Q670" s="1">
        <v>-1</v>
      </c>
      <c r="R670" s="1" t="s">
        <v>5036</v>
      </c>
      <c r="S670" s="1"/>
      <c r="T670" s="1"/>
      <c r="U670" s="1"/>
      <c r="V670" s="1"/>
      <c r="W670" s="1"/>
      <c r="X670" s="1"/>
      <c r="Y670" s="1"/>
      <c r="Z670" s="1"/>
      <c r="AA670" s="1"/>
      <c r="AB670" s="1"/>
      <c r="AC670" s="1"/>
      <c r="AD670" s="1"/>
      <c r="AE670" s="1"/>
      <c r="AF670" s="1"/>
    </row>
    <row r="671" spans="1:32" ht="14.25" customHeight="1" x14ac:dyDescent="0.25">
      <c r="A671" s="1">
        <v>670</v>
      </c>
      <c r="B671" s="1">
        <v>42</v>
      </c>
      <c r="C671" s="1" t="s">
        <v>5542</v>
      </c>
      <c r="D671" s="1" t="s">
        <v>5543</v>
      </c>
      <c r="E671" s="54">
        <v>2018</v>
      </c>
      <c r="F671" s="1" t="s">
        <v>0</v>
      </c>
      <c r="H671" s="1" t="s">
        <v>5544</v>
      </c>
      <c r="N671" s="1"/>
      <c r="O671" s="47" t="s">
        <v>5545</v>
      </c>
      <c r="P671" s="3" t="s">
        <v>5546</v>
      </c>
      <c r="Q671" s="1">
        <v>1</v>
      </c>
      <c r="R671" s="1">
        <v>1</v>
      </c>
      <c r="S671" s="1">
        <v>5</v>
      </c>
      <c r="T671" s="1" t="s">
        <v>728</v>
      </c>
      <c r="U671" s="1" t="s">
        <v>5032</v>
      </c>
      <c r="V671" s="1" t="s">
        <v>4999</v>
      </c>
      <c r="W671" s="1" t="s">
        <v>4974</v>
      </c>
      <c r="X671" s="1" t="s">
        <v>658</v>
      </c>
      <c r="Y671" s="1" t="s">
        <v>5003</v>
      </c>
      <c r="Z671" s="1"/>
      <c r="AA671" s="1" t="s">
        <v>1464</v>
      </c>
      <c r="AB671" s="1">
        <v>5</v>
      </c>
      <c r="AC671" s="1">
        <v>3</v>
      </c>
      <c r="AD671" s="1">
        <v>5</v>
      </c>
      <c r="AE671" s="1">
        <v>4</v>
      </c>
      <c r="AF671" s="1"/>
    </row>
    <row r="672" spans="1:32" ht="14.25" hidden="1" customHeight="1" x14ac:dyDescent="0.25">
      <c r="A672" s="1">
        <v>671</v>
      </c>
      <c r="B672" s="1"/>
      <c r="C672" s="1" t="s">
        <v>5661</v>
      </c>
      <c r="D672" s="1" t="s">
        <v>5662</v>
      </c>
      <c r="E672" s="1">
        <v>2018</v>
      </c>
      <c r="F672" s="1" t="s">
        <v>116</v>
      </c>
      <c r="H672" s="1" t="s">
        <v>5663</v>
      </c>
      <c r="N672" s="1" t="s">
        <v>5664</v>
      </c>
      <c r="O672" s="47" t="s">
        <v>5665</v>
      </c>
      <c r="P672" s="3" t="s">
        <v>5666</v>
      </c>
      <c r="Q672" s="1">
        <v>-1</v>
      </c>
      <c r="R672" s="1" t="s">
        <v>5036</v>
      </c>
      <c r="S672" s="1"/>
      <c r="T672" s="1"/>
      <c r="U672" s="1"/>
      <c r="V672" s="1"/>
      <c r="W672" s="1"/>
      <c r="X672" s="1"/>
      <c r="Y672" s="1"/>
      <c r="Z672" s="1"/>
      <c r="AA672" s="1"/>
      <c r="AB672" s="1"/>
      <c r="AC672" s="1"/>
      <c r="AD672" s="1"/>
      <c r="AE672" s="1"/>
      <c r="AF672" s="1"/>
    </row>
    <row r="673" spans="1:32" ht="14.25" hidden="1" customHeight="1" x14ac:dyDescent="0.25">
      <c r="A673" s="1">
        <v>672</v>
      </c>
      <c r="B673" s="1"/>
      <c r="C673" s="1" t="s">
        <v>5693</v>
      </c>
      <c r="D673" s="1" t="s">
        <v>5694</v>
      </c>
      <c r="E673" s="1">
        <v>2018</v>
      </c>
      <c r="F673" s="1" t="s">
        <v>0</v>
      </c>
      <c r="H673" s="1" t="s">
        <v>5695</v>
      </c>
      <c r="N673" s="1"/>
      <c r="O673" s="47" t="s">
        <v>5696</v>
      </c>
      <c r="P673" s="3" t="s">
        <v>5697</v>
      </c>
      <c r="Q673" s="1">
        <v>-1</v>
      </c>
      <c r="R673" s="1" t="s">
        <v>5036</v>
      </c>
      <c r="S673" s="1"/>
      <c r="T673" s="1"/>
      <c r="U673" s="1"/>
      <c r="V673" s="1"/>
      <c r="W673" s="1"/>
      <c r="X673" s="1"/>
      <c r="Y673" s="1"/>
      <c r="Z673" s="1"/>
      <c r="AA673" s="1"/>
      <c r="AB673" s="1"/>
      <c r="AC673" s="1"/>
      <c r="AD673" s="1"/>
      <c r="AE673" s="1"/>
      <c r="AF673" s="1"/>
    </row>
    <row r="674" spans="1:32" ht="14.25" hidden="1" customHeight="1" x14ac:dyDescent="0.25">
      <c r="A674" s="1">
        <v>673</v>
      </c>
      <c r="B674" s="1"/>
      <c r="C674" s="1" t="s">
        <v>5635</v>
      </c>
      <c r="D674" s="1" t="s">
        <v>5636</v>
      </c>
      <c r="E674" s="1">
        <v>2018</v>
      </c>
      <c r="F674" s="1" t="s">
        <v>116</v>
      </c>
      <c r="H674" s="1" t="s">
        <v>2396</v>
      </c>
      <c r="N674" s="1" t="s">
        <v>5637</v>
      </c>
      <c r="O674" s="47" t="s">
        <v>5638</v>
      </c>
      <c r="P674" s="3" t="s">
        <v>5639</v>
      </c>
      <c r="Q674" s="1">
        <v>-1</v>
      </c>
      <c r="R674" s="1" t="s">
        <v>5036</v>
      </c>
      <c r="S674" s="1"/>
      <c r="T674" s="1"/>
      <c r="U674" s="1"/>
      <c r="V674" s="1"/>
      <c r="W674" s="1"/>
      <c r="X674" s="1"/>
      <c r="Y674" s="1"/>
      <c r="Z674" s="1"/>
      <c r="AA674" s="1"/>
      <c r="AB674" s="1"/>
      <c r="AC674" s="1"/>
      <c r="AD674" s="1"/>
      <c r="AE674" s="1"/>
      <c r="AF674" s="1"/>
    </row>
    <row r="675" spans="1:32" ht="14.25" customHeight="1" x14ac:dyDescent="0.25">
      <c r="A675" s="1">
        <v>674</v>
      </c>
      <c r="B675" s="1">
        <v>43</v>
      </c>
      <c r="C675" s="1" t="s">
        <v>5618</v>
      </c>
      <c r="D675" s="1" t="s">
        <v>5619</v>
      </c>
      <c r="E675" s="54">
        <v>2018</v>
      </c>
      <c r="F675" s="1" t="s">
        <v>0</v>
      </c>
      <c r="H675" s="1" t="s">
        <v>5367</v>
      </c>
      <c r="N675" s="1"/>
      <c r="O675" s="47" t="s">
        <v>5620</v>
      </c>
      <c r="P675" s="3" t="s">
        <v>5621</v>
      </c>
      <c r="Q675" s="1">
        <v>1</v>
      </c>
      <c r="R675" s="1">
        <v>1</v>
      </c>
      <c r="S675" s="1">
        <v>5.5</v>
      </c>
      <c r="T675" s="1" t="s">
        <v>5728</v>
      </c>
      <c r="U675" s="1" t="s">
        <v>5015</v>
      </c>
      <c r="V675" s="1" t="s">
        <v>4996</v>
      </c>
      <c r="W675" s="1" t="s">
        <v>4976</v>
      </c>
      <c r="X675" s="1" t="s">
        <v>658</v>
      </c>
      <c r="Y675" s="1" t="s">
        <v>5003</v>
      </c>
      <c r="Z675" s="1"/>
      <c r="AA675" s="1" t="s">
        <v>5035</v>
      </c>
      <c r="AB675" s="1">
        <v>1</v>
      </c>
      <c r="AC675" s="1">
        <v>1</v>
      </c>
      <c r="AD675" s="1">
        <v>1</v>
      </c>
      <c r="AE675" s="1">
        <v>1</v>
      </c>
      <c r="AF675" s="1"/>
    </row>
    <row r="676" spans="1:32" ht="14.25" hidden="1" customHeight="1" x14ac:dyDescent="0.25">
      <c r="A676" s="1">
        <v>675</v>
      </c>
      <c r="B676" s="1"/>
      <c r="C676" s="1" t="s">
        <v>5571</v>
      </c>
      <c r="D676" s="1" t="s">
        <v>5572</v>
      </c>
      <c r="E676" s="1">
        <v>2018</v>
      </c>
      <c r="F676" s="1" t="s">
        <v>0</v>
      </c>
      <c r="H676" s="1" t="s">
        <v>5573</v>
      </c>
      <c r="N676" s="1"/>
      <c r="O676" s="47" t="s">
        <v>5574</v>
      </c>
      <c r="P676" s="3" t="s">
        <v>5575</v>
      </c>
      <c r="Q676" s="1">
        <v>-1</v>
      </c>
      <c r="R676" s="1" t="s">
        <v>5036</v>
      </c>
      <c r="S676" s="1"/>
      <c r="T676" s="1"/>
      <c r="U676" s="1"/>
      <c r="V676" s="1"/>
      <c r="W676" s="1"/>
      <c r="X676" s="1"/>
      <c r="Y676" s="1"/>
      <c r="Z676" s="1"/>
      <c r="AA676" s="1"/>
      <c r="AB676" s="1"/>
      <c r="AC676" s="1"/>
      <c r="AD676" s="1"/>
      <c r="AE676" s="1"/>
      <c r="AF676" s="1"/>
    </row>
    <row r="677" spans="1:32" ht="14.25" hidden="1" customHeight="1" x14ac:dyDescent="0.25">
      <c r="A677" s="1">
        <v>676</v>
      </c>
      <c r="B677" s="1"/>
      <c r="C677" s="1" t="s">
        <v>5370</v>
      </c>
      <c r="D677" s="1" t="s">
        <v>5371</v>
      </c>
      <c r="E677" s="54">
        <v>2018</v>
      </c>
      <c r="F677" s="1" t="s">
        <v>0</v>
      </c>
      <c r="H677" s="1" t="s">
        <v>5372</v>
      </c>
      <c r="N677" s="1"/>
      <c r="O677" s="47" t="s">
        <v>5373</v>
      </c>
      <c r="P677" s="3" t="s">
        <v>5374</v>
      </c>
      <c r="Q677" s="1">
        <v>1</v>
      </c>
      <c r="R677" s="1">
        <v>-1</v>
      </c>
      <c r="S677" s="1"/>
      <c r="T677" s="1"/>
      <c r="U677" s="1"/>
      <c r="V677" s="1"/>
      <c r="W677" s="1"/>
      <c r="X677" s="1"/>
      <c r="Y677" s="1"/>
      <c r="Z677" s="1"/>
      <c r="AA677" s="1"/>
      <c r="AB677" s="1"/>
      <c r="AC677" s="1"/>
      <c r="AD677" s="1"/>
      <c r="AE677" s="1"/>
      <c r="AF677" s="1"/>
    </row>
    <row r="678" spans="1:32" ht="14.25" hidden="1" customHeight="1" x14ac:dyDescent="0.25">
      <c r="A678" s="1">
        <v>677</v>
      </c>
      <c r="B678" s="1"/>
      <c r="C678" s="1" t="s">
        <v>5657</v>
      </c>
      <c r="D678" s="1" t="s">
        <v>5658</v>
      </c>
      <c r="E678" s="1">
        <v>2018</v>
      </c>
      <c r="F678" s="1" t="s">
        <v>0</v>
      </c>
      <c r="H678" s="1" t="s">
        <v>5449</v>
      </c>
      <c r="N678" s="1"/>
      <c r="O678" s="47" t="s">
        <v>5659</v>
      </c>
      <c r="P678" s="3" t="s">
        <v>5660</v>
      </c>
      <c r="Q678" s="1">
        <v>-1</v>
      </c>
      <c r="R678" s="1" t="s">
        <v>5036</v>
      </c>
      <c r="S678" s="1"/>
      <c r="T678" s="1"/>
      <c r="U678" s="1"/>
      <c r="V678" s="1"/>
      <c r="W678" s="1"/>
      <c r="X678" s="1"/>
      <c r="Y678" s="1"/>
      <c r="Z678" s="1"/>
      <c r="AA678" s="1"/>
      <c r="AB678" s="1"/>
      <c r="AC678" s="1"/>
      <c r="AD678" s="1"/>
      <c r="AE678" s="1"/>
      <c r="AF678" s="1"/>
    </row>
    <row r="679" spans="1:32" ht="14.25" hidden="1" customHeight="1" x14ac:dyDescent="0.25">
      <c r="A679" s="1">
        <v>678</v>
      </c>
      <c r="B679" s="1"/>
      <c r="C679" s="1" t="s">
        <v>5434</v>
      </c>
      <c r="D679" s="1" t="s">
        <v>5435</v>
      </c>
      <c r="E679" s="1">
        <v>2018</v>
      </c>
      <c r="F679" s="1" t="s">
        <v>0</v>
      </c>
      <c r="H679" s="1" t="s">
        <v>5436</v>
      </c>
      <c r="N679" s="1"/>
      <c r="O679" s="47" t="s">
        <v>5437</v>
      </c>
      <c r="P679" s="3" t="s">
        <v>5438</v>
      </c>
      <c r="Q679" s="1">
        <v>-1</v>
      </c>
      <c r="R679" s="1" t="s">
        <v>5036</v>
      </c>
      <c r="S679" s="1"/>
      <c r="T679" s="1"/>
      <c r="U679" s="1"/>
      <c r="V679" s="1"/>
      <c r="W679" s="1"/>
      <c r="X679" s="1"/>
      <c r="Y679" s="1"/>
      <c r="Z679" s="1"/>
      <c r="AA679" s="1"/>
      <c r="AB679" s="1"/>
      <c r="AC679" s="1"/>
      <c r="AD679" s="1"/>
      <c r="AE679" s="1"/>
      <c r="AF679" s="1"/>
    </row>
    <row r="680" spans="1:32" ht="14.25" hidden="1" customHeight="1" x14ac:dyDescent="0.25">
      <c r="A680" s="1">
        <v>679</v>
      </c>
      <c r="B680" s="1"/>
      <c r="C680" s="1" t="s">
        <v>5505</v>
      </c>
      <c r="D680" s="1" t="s">
        <v>5506</v>
      </c>
      <c r="E680" s="1">
        <v>2018</v>
      </c>
      <c r="F680" s="1" t="s">
        <v>0</v>
      </c>
      <c r="H680" s="1" t="s">
        <v>5402</v>
      </c>
      <c r="N680" s="1"/>
      <c r="O680" s="47" t="s">
        <v>5507</v>
      </c>
      <c r="P680" s="3" t="s">
        <v>5508</v>
      </c>
      <c r="Q680" s="1">
        <v>-1</v>
      </c>
      <c r="R680" s="1" t="s">
        <v>5036</v>
      </c>
      <c r="S680" s="1"/>
      <c r="T680" s="1"/>
      <c r="U680" s="1"/>
      <c r="V680" s="1"/>
      <c r="W680" s="1"/>
      <c r="X680" s="1"/>
      <c r="Y680" s="1"/>
      <c r="Z680" s="1"/>
      <c r="AA680" s="1"/>
      <c r="AB680" s="1"/>
      <c r="AC680" s="1"/>
      <c r="AD680" s="1"/>
      <c r="AE680" s="1"/>
      <c r="AF680" s="1"/>
    </row>
    <row r="681" spans="1:32" ht="14.25" hidden="1" customHeight="1" x14ac:dyDescent="0.25">
      <c r="A681" s="1">
        <v>680</v>
      </c>
      <c r="B681" s="1"/>
      <c r="C681" s="1" t="s">
        <v>5385</v>
      </c>
      <c r="D681" s="1" t="s">
        <v>5386</v>
      </c>
      <c r="E681" s="1">
        <v>2018</v>
      </c>
      <c r="F681" s="1" t="s">
        <v>0</v>
      </c>
      <c r="H681" s="1"/>
      <c r="N681" s="1" t="s">
        <v>5387</v>
      </c>
      <c r="O681" s="47" t="s">
        <v>5388</v>
      </c>
      <c r="P681" s="3" t="s">
        <v>5389</v>
      </c>
      <c r="Q681" s="1">
        <v>-1</v>
      </c>
      <c r="R681" s="1" t="s">
        <v>5036</v>
      </c>
      <c r="S681" s="1"/>
      <c r="T681" s="1"/>
      <c r="U681" s="1"/>
      <c r="V681" s="1"/>
      <c r="W681" s="1"/>
      <c r="X681" s="1"/>
      <c r="Y681" s="1"/>
      <c r="Z681" s="1"/>
      <c r="AA681" s="1"/>
      <c r="AB681" s="1"/>
      <c r="AC681" s="1"/>
      <c r="AD681" s="1"/>
      <c r="AE681" s="1"/>
      <c r="AF681" s="1"/>
    </row>
    <row r="682" spans="1:32" ht="14.25" hidden="1" customHeight="1" x14ac:dyDescent="0.25">
      <c r="A682" s="1">
        <v>681</v>
      </c>
      <c r="B682" s="1"/>
      <c r="C682" s="1" t="s">
        <v>5457</v>
      </c>
      <c r="D682" s="1" t="s">
        <v>5458</v>
      </c>
      <c r="E682" s="1">
        <v>2018</v>
      </c>
      <c r="F682" s="1" t="s">
        <v>0</v>
      </c>
      <c r="H682" s="1" t="s">
        <v>5372</v>
      </c>
      <c r="N682" s="1"/>
      <c r="O682" s="47" t="s">
        <v>5459</v>
      </c>
      <c r="P682" s="3" t="s">
        <v>5460</v>
      </c>
      <c r="Q682" s="1">
        <v>-1</v>
      </c>
      <c r="R682" s="1" t="s">
        <v>5036</v>
      </c>
      <c r="S682" s="1"/>
      <c r="T682" s="1"/>
      <c r="U682" s="1"/>
      <c r="V682" s="1"/>
      <c r="W682" s="1"/>
      <c r="X682" s="1"/>
      <c r="Y682" s="1"/>
      <c r="Z682" s="1"/>
      <c r="AA682" s="1"/>
      <c r="AB682" s="1"/>
      <c r="AC682" s="1"/>
      <c r="AD682" s="1"/>
      <c r="AE682" s="1"/>
      <c r="AF682" s="1"/>
    </row>
    <row r="683" spans="1:32" ht="14.25" hidden="1" customHeight="1" x14ac:dyDescent="0.25">
      <c r="A683" s="1">
        <v>682</v>
      </c>
      <c r="B683" s="1"/>
      <c r="C683" s="1" t="s">
        <v>5405</v>
      </c>
      <c r="D683" s="1" t="s">
        <v>5406</v>
      </c>
      <c r="E683" s="54">
        <v>2018</v>
      </c>
      <c r="F683" s="1" t="s">
        <v>244</v>
      </c>
      <c r="H683" s="1"/>
      <c r="N683" s="1" t="s">
        <v>5407</v>
      </c>
      <c r="O683" s="47" t="s">
        <v>5408</v>
      </c>
      <c r="P683" s="3" t="s">
        <v>5409</v>
      </c>
      <c r="Q683" s="1">
        <v>1</v>
      </c>
      <c r="R683" s="1">
        <v>-1</v>
      </c>
      <c r="S683" s="1"/>
    </row>
    <row r="684" spans="1:32" ht="14.25" hidden="1" customHeight="1" x14ac:dyDescent="0.25">
      <c r="A684" s="1">
        <v>683</v>
      </c>
      <c r="B684" s="1"/>
      <c r="C684" s="1" t="s">
        <v>5524</v>
      </c>
      <c r="D684" s="1" t="s">
        <v>5525</v>
      </c>
      <c r="E684" s="1">
        <v>2018</v>
      </c>
      <c r="F684" s="1" t="s">
        <v>116</v>
      </c>
      <c r="H684" s="1" t="s">
        <v>5526</v>
      </c>
      <c r="N684" s="1" t="s">
        <v>5527</v>
      </c>
      <c r="O684" s="47" t="s">
        <v>5528</v>
      </c>
      <c r="P684" s="3" t="s">
        <v>5529</v>
      </c>
      <c r="Q684" s="1">
        <v>-1</v>
      </c>
      <c r="R684" s="1" t="s">
        <v>5036</v>
      </c>
      <c r="S684" s="1"/>
      <c r="T684" s="1"/>
      <c r="U684" s="1"/>
      <c r="V684" s="1"/>
      <c r="W684" s="1"/>
      <c r="X684" s="1"/>
      <c r="Y684" s="1"/>
      <c r="Z684" s="1"/>
      <c r="AA684" s="1"/>
      <c r="AB684" s="1"/>
      <c r="AC684" s="1"/>
      <c r="AD684" s="1"/>
      <c r="AE684" s="1"/>
      <c r="AF684" s="1"/>
    </row>
    <row r="685" spans="1:32" ht="14.25" hidden="1" customHeight="1" x14ac:dyDescent="0.25">
      <c r="A685" s="1">
        <v>684</v>
      </c>
      <c r="B685" s="1"/>
      <c r="C685" s="1" t="s">
        <v>5465</v>
      </c>
      <c r="D685" s="1" t="s">
        <v>5466</v>
      </c>
      <c r="E685" s="1">
        <v>2018</v>
      </c>
      <c r="F685" s="1" t="s">
        <v>244</v>
      </c>
      <c r="H685" s="1"/>
      <c r="N685" s="1" t="s">
        <v>5467</v>
      </c>
      <c r="O685" s="47" t="s">
        <v>5468</v>
      </c>
      <c r="P685" s="3" t="s">
        <v>5469</v>
      </c>
      <c r="Q685" s="1">
        <v>-1</v>
      </c>
      <c r="R685" s="1" t="s">
        <v>5036</v>
      </c>
      <c r="S685" s="1"/>
      <c r="T685" s="1"/>
      <c r="U685" s="1"/>
      <c r="V685" s="1"/>
      <c r="W685" s="1"/>
      <c r="X685" s="1"/>
      <c r="Y685" s="1"/>
      <c r="Z685" s="1"/>
      <c r="AA685" s="1"/>
      <c r="AB685" s="1"/>
      <c r="AC685" s="1"/>
      <c r="AD685" s="1"/>
      <c r="AE685" s="1"/>
      <c r="AF685" s="1"/>
    </row>
    <row r="686" spans="1:32" ht="14.25" hidden="1" customHeight="1" x14ac:dyDescent="0.25">
      <c r="A686" s="1">
        <v>685</v>
      </c>
      <c r="B686" s="1"/>
      <c r="C686" s="1" t="s">
        <v>5400</v>
      </c>
      <c r="D686" s="1" t="s">
        <v>5401</v>
      </c>
      <c r="E686" s="1">
        <v>2018</v>
      </c>
      <c r="F686" s="1" t="s">
        <v>0</v>
      </c>
      <c r="H686" s="1" t="s">
        <v>5402</v>
      </c>
      <c r="N686" s="1"/>
      <c r="O686" s="47" t="s">
        <v>5403</v>
      </c>
      <c r="P686" s="3" t="s">
        <v>5404</v>
      </c>
      <c r="Q686" s="1">
        <v>-1</v>
      </c>
      <c r="R686" s="1" t="s">
        <v>5036</v>
      </c>
      <c r="S686" s="1"/>
      <c r="T686" s="1"/>
      <c r="U686" s="1"/>
      <c r="V686" s="1"/>
      <c r="W686" s="1"/>
      <c r="X686" s="1"/>
      <c r="Y686" s="1"/>
      <c r="Z686" s="1"/>
      <c r="AA686" s="1"/>
      <c r="AB686" s="1"/>
      <c r="AC686" s="1"/>
      <c r="AD686" s="1"/>
      <c r="AE686" s="1"/>
      <c r="AF686" s="1"/>
    </row>
    <row r="687" spans="1:32" ht="14.25" customHeight="1" x14ac:dyDescent="0.25">
      <c r="A687" s="1">
        <v>686</v>
      </c>
      <c r="B687" s="1">
        <v>44</v>
      </c>
      <c r="C687" s="1" t="s">
        <v>5587</v>
      </c>
      <c r="D687" s="1" t="s">
        <v>5588</v>
      </c>
      <c r="E687" s="54">
        <v>2018</v>
      </c>
      <c r="F687" s="1" t="s">
        <v>116</v>
      </c>
      <c r="H687" s="1" t="s">
        <v>5584</v>
      </c>
      <c r="N687" s="1"/>
      <c r="O687" s="47" t="s">
        <v>5589</v>
      </c>
      <c r="P687" s="3" t="s">
        <v>5590</v>
      </c>
      <c r="Q687" s="1">
        <v>1</v>
      </c>
      <c r="R687" s="1">
        <v>1</v>
      </c>
      <c r="S687" s="1"/>
      <c r="T687" s="1" t="s">
        <v>5731</v>
      </c>
      <c r="U687" s="1" t="s">
        <v>5015</v>
      </c>
      <c r="V687" s="1" t="s">
        <v>4996</v>
      </c>
      <c r="W687" s="1" t="s">
        <v>4974</v>
      </c>
      <c r="X687" s="1" t="s">
        <v>116</v>
      </c>
      <c r="Y687" s="1" t="s">
        <v>5003</v>
      </c>
      <c r="Z687" s="1"/>
      <c r="AA687" s="1" t="s">
        <v>5035</v>
      </c>
      <c r="AB687" s="1">
        <v>4</v>
      </c>
      <c r="AC687" s="1">
        <v>1</v>
      </c>
      <c r="AD687" s="1">
        <v>4</v>
      </c>
      <c r="AE687" s="1">
        <v>3</v>
      </c>
      <c r="AF687" s="1"/>
    </row>
    <row r="688" spans="1:32" ht="14.25" hidden="1" customHeight="1" x14ac:dyDescent="0.25">
      <c r="A688" s="1">
        <v>687</v>
      </c>
      <c r="B688" s="1"/>
      <c r="C688" s="1" t="s">
        <v>5547</v>
      </c>
      <c r="D688" s="1" t="s">
        <v>5548</v>
      </c>
      <c r="E688" s="54">
        <v>2018</v>
      </c>
      <c r="F688" s="1" t="s">
        <v>0</v>
      </c>
      <c r="H688" s="1"/>
      <c r="N688" s="1" t="s">
        <v>5549</v>
      </c>
      <c r="O688" s="47" t="s">
        <v>5550</v>
      </c>
      <c r="P688" s="3" t="s">
        <v>5551</v>
      </c>
      <c r="Q688" s="1">
        <v>1</v>
      </c>
      <c r="R688" s="1">
        <v>-1</v>
      </c>
      <c r="S688" s="1"/>
      <c r="T688" s="1"/>
      <c r="U688" s="1"/>
      <c r="V688" s="1"/>
      <c r="W688" s="1"/>
      <c r="X688" s="1"/>
      <c r="Y688" s="1"/>
      <c r="Z688" s="1"/>
      <c r="AA688" s="1"/>
      <c r="AB688" s="1"/>
      <c r="AC688" s="1"/>
      <c r="AD688" s="1"/>
      <c r="AE688" s="1"/>
      <c r="AF688" s="1"/>
    </row>
    <row r="689" spans="1:32" ht="14.25" hidden="1" customHeight="1" x14ac:dyDescent="0.25">
      <c r="A689" s="1">
        <v>688</v>
      </c>
      <c r="B689" s="1"/>
      <c r="C689" s="1" t="s">
        <v>5702</v>
      </c>
      <c r="D689" s="1" t="s">
        <v>5703</v>
      </c>
      <c r="E689" s="1">
        <v>2018</v>
      </c>
      <c r="F689" s="1" t="s">
        <v>116</v>
      </c>
      <c r="H689" s="1" t="s">
        <v>5704</v>
      </c>
      <c r="N689" s="1"/>
      <c r="O689" s="47" t="s">
        <v>5705</v>
      </c>
      <c r="P689" s="3" t="s">
        <v>5706</v>
      </c>
      <c r="Q689" s="1">
        <v>-1</v>
      </c>
      <c r="R689" s="1" t="s">
        <v>5036</v>
      </c>
      <c r="S689" s="1"/>
      <c r="T689" s="1"/>
      <c r="U689" s="1"/>
      <c r="V689" s="1"/>
      <c r="W689" s="1"/>
      <c r="X689" s="1"/>
      <c r="Y689" s="1"/>
      <c r="Z689" s="1"/>
      <c r="AA689" s="1"/>
      <c r="AB689" s="1"/>
      <c r="AC689" s="1"/>
      <c r="AD689" s="1"/>
      <c r="AE689" s="1"/>
      <c r="AF689" s="1"/>
    </row>
    <row r="690" spans="1:32" ht="14.25" hidden="1" customHeight="1" x14ac:dyDescent="0.25">
      <c r="A690" s="1">
        <v>689</v>
      </c>
      <c r="B690" s="1"/>
      <c r="C690" s="1" t="s">
        <v>5486</v>
      </c>
      <c r="D690" s="1" t="s">
        <v>5487</v>
      </c>
      <c r="E690" s="1">
        <v>2018</v>
      </c>
      <c r="F690" s="1" t="s">
        <v>0</v>
      </c>
      <c r="H690" s="1"/>
      <c r="N690" s="1" t="s">
        <v>5488</v>
      </c>
      <c r="O690" s="47" t="s">
        <v>5489</v>
      </c>
      <c r="P690" s="3" t="s">
        <v>5490</v>
      </c>
      <c r="Q690" s="1">
        <v>-1</v>
      </c>
      <c r="R690" s="1" t="s">
        <v>5036</v>
      </c>
      <c r="S690" s="1"/>
      <c r="T690" s="1"/>
      <c r="U690" s="1"/>
      <c r="V690" s="1"/>
      <c r="W690" s="1"/>
      <c r="X690" s="1"/>
      <c r="Y690" s="1"/>
      <c r="Z690" s="1"/>
      <c r="AA690" s="1"/>
      <c r="AB690" s="1"/>
      <c r="AC690" s="1"/>
      <c r="AD690" s="1"/>
      <c r="AE690" s="1"/>
      <c r="AF690" s="1"/>
    </row>
    <row r="691" spans="1:32" ht="14.25" hidden="1" customHeight="1" x14ac:dyDescent="0.25">
      <c r="A691" s="1">
        <v>690</v>
      </c>
      <c r="B691" s="1"/>
      <c r="C691" s="1" t="s">
        <v>5379</v>
      </c>
      <c r="D691" s="1" t="s">
        <v>5380</v>
      </c>
      <c r="E691" s="1">
        <v>2018</v>
      </c>
      <c r="F691" s="1" t="s">
        <v>116</v>
      </c>
      <c r="H691" s="1" t="s">
        <v>5381</v>
      </c>
      <c r="N691" s="1" t="s">
        <v>5382</v>
      </c>
      <c r="O691" s="47" t="s">
        <v>5383</v>
      </c>
      <c r="P691" s="3" t="s">
        <v>5384</v>
      </c>
      <c r="Q691" s="1">
        <v>-1</v>
      </c>
      <c r="R691" s="1" t="s">
        <v>5036</v>
      </c>
      <c r="S691" s="1"/>
      <c r="T691" s="1"/>
      <c r="U691" s="1"/>
      <c r="V691" s="1"/>
      <c r="W691" s="1"/>
      <c r="X691" s="1"/>
      <c r="Y691" s="1"/>
      <c r="Z691" s="1"/>
      <c r="AA691" s="1"/>
      <c r="AB691" s="1"/>
      <c r="AC691" s="1"/>
      <c r="AD691" s="1"/>
      <c r="AE691" s="1"/>
      <c r="AF691" s="1"/>
    </row>
    <row r="692" spans="1:32" ht="14.25" hidden="1" customHeight="1" x14ac:dyDescent="0.25">
      <c r="A692" s="1">
        <v>691</v>
      </c>
      <c r="B692" s="1"/>
      <c r="C692" s="1" t="s">
        <v>5722</v>
      </c>
      <c r="D692" s="1"/>
      <c r="E692" s="1">
        <v>2018</v>
      </c>
      <c r="F692" s="1" t="s">
        <v>116</v>
      </c>
      <c r="H692" s="1" t="s">
        <v>5723</v>
      </c>
      <c r="N692" s="1"/>
      <c r="O692" s="47" t="s">
        <v>5724</v>
      </c>
      <c r="P692" s="3" t="s">
        <v>5721</v>
      </c>
      <c r="Q692" s="1">
        <v>-1</v>
      </c>
      <c r="R692" s="1" t="s">
        <v>5036</v>
      </c>
      <c r="S692" s="1"/>
      <c r="T692" s="1"/>
      <c r="U692" s="1"/>
      <c r="V692" s="1"/>
      <c r="W692" s="1"/>
      <c r="X692" s="1"/>
      <c r="Y692" s="1"/>
      <c r="Z692" s="1"/>
      <c r="AA692" s="1"/>
      <c r="AB692" s="1"/>
      <c r="AC692" s="1"/>
      <c r="AD692" s="1"/>
      <c r="AE692" s="1"/>
      <c r="AF692" s="1"/>
    </row>
    <row r="693" spans="1:32" ht="14.25" hidden="1" customHeight="1" x14ac:dyDescent="0.25">
      <c r="A693" s="1">
        <v>692</v>
      </c>
      <c r="B693" s="1"/>
      <c r="C693" s="1" t="s">
        <v>5710</v>
      </c>
      <c r="D693" s="1"/>
      <c r="E693" s="1">
        <v>2018</v>
      </c>
      <c r="F693" s="1" t="s">
        <v>116</v>
      </c>
      <c r="H693" s="1" t="s">
        <v>5711</v>
      </c>
      <c r="N693" s="1"/>
      <c r="O693" s="47" t="s">
        <v>5712</v>
      </c>
      <c r="P693" s="3" t="s">
        <v>5713</v>
      </c>
      <c r="Q693" s="1">
        <v>-1</v>
      </c>
      <c r="R693" s="1" t="s">
        <v>5036</v>
      </c>
      <c r="S693" s="1"/>
      <c r="T693" s="1"/>
      <c r="U693" s="1"/>
      <c r="V693" s="1"/>
      <c r="W693" s="1"/>
      <c r="X693" s="1"/>
      <c r="Y693" s="1"/>
      <c r="Z693" s="1"/>
      <c r="AA693" s="1"/>
      <c r="AB693" s="1"/>
      <c r="AC693" s="1"/>
      <c r="AD693" s="1"/>
      <c r="AE693" s="1"/>
      <c r="AF693" s="1"/>
    </row>
    <row r="694" spans="1:32" ht="14.25" hidden="1" customHeight="1" x14ac:dyDescent="0.25">
      <c r="A694" s="1">
        <v>693</v>
      </c>
      <c r="B694" s="1"/>
      <c r="C694" s="1" t="s">
        <v>5718</v>
      </c>
      <c r="D694" s="1"/>
      <c r="E694" s="1">
        <v>2018</v>
      </c>
      <c r="F694" s="1" t="s">
        <v>116</v>
      </c>
      <c r="H694" s="1" t="s">
        <v>5719</v>
      </c>
      <c r="N694" s="1"/>
      <c r="O694" s="47" t="s">
        <v>5720</v>
      </c>
      <c r="P694" s="3" t="s">
        <v>5721</v>
      </c>
      <c r="Q694" s="1">
        <v>-1</v>
      </c>
      <c r="R694" s="1" t="s">
        <v>5036</v>
      </c>
      <c r="S694" s="1"/>
      <c r="T694" s="1"/>
      <c r="U694" s="1"/>
      <c r="V694" s="1"/>
      <c r="W694" s="1"/>
      <c r="X694" s="1"/>
      <c r="Y694" s="1"/>
      <c r="Z694" s="1"/>
      <c r="AA694" s="1"/>
      <c r="AB694" s="1"/>
      <c r="AC694" s="1"/>
      <c r="AD694" s="1"/>
      <c r="AE694" s="1"/>
      <c r="AF694" s="1"/>
    </row>
    <row r="695" spans="1:32" ht="14.25" hidden="1" customHeight="1" x14ac:dyDescent="0.25">
      <c r="A695" s="1">
        <v>694</v>
      </c>
      <c r="B695" s="1"/>
      <c r="C695" s="1" t="s">
        <v>5714</v>
      </c>
      <c r="D695" s="1"/>
      <c r="E695" s="1">
        <v>2018</v>
      </c>
      <c r="F695" s="1" t="s">
        <v>116</v>
      </c>
      <c r="H695" s="1" t="s">
        <v>5715</v>
      </c>
      <c r="N695" s="1"/>
      <c r="O695" s="47" t="s">
        <v>5716</v>
      </c>
      <c r="P695" s="3" t="s">
        <v>5717</v>
      </c>
      <c r="Q695" s="1">
        <v>-1</v>
      </c>
      <c r="R695" s="1" t="s">
        <v>5036</v>
      </c>
      <c r="S695" s="1"/>
      <c r="T695" s="1"/>
      <c r="U695" s="1"/>
      <c r="V695" s="1"/>
      <c r="W695" s="1"/>
      <c r="X695" s="1"/>
      <c r="Y695" s="1"/>
      <c r="Z695" s="1"/>
      <c r="AA695" s="1"/>
      <c r="AB695" s="1"/>
      <c r="AC695" s="1"/>
      <c r="AD695" s="1"/>
      <c r="AE695" s="1"/>
      <c r="AF695" s="1"/>
    </row>
    <row r="696" spans="1:32" ht="14.25" hidden="1" customHeight="1" x14ac:dyDescent="0.25">
      <c r="A696" s="1">
        <v>695</v>
      </c>
      <c r="B696" s="1"/>
      <c r="C696" s="1" t="s">
        <v>5500</v>
      </c>
      <c r="D696" s="1" t="s">
        <v>5501</v>
      </c>
      <c r="E696" s="1">
        <v>2018</v>
      </c>
      <c r="F696" s="1" t="s">
        <v>127</v>
      </c>
      <c r="H696" s="1" t="s">
        <v>5502</v>
      </c>
      <c r="N696" s="1" t="s">
        <v>5503</v>
      </c>
      <c r="O696" s="1"/>
      <c r="P696" s="3" t="s">
        <v>5504</v>
      </c>
      <c r="Q696" s="1">
        <v>-1</v>
      </c>
      <c r="R696" s="1" t="s">
        <v>5036</v>
      </c>
      <c r="S696" s="1"/>
      <c r="T696" s="1"/>
      <c r="U696" s="1"/>
      <c r="V696" s="1"/>
      <c r="W696" s="1"/>
      <c r="X696" s="1"/>
      <c r="Y696" s="1"/>
      <c r="Z696" s="1"/>
      <c r="AA696" s="1"/>
      <c r="AB696" s="1"/>
      <c r="AC696" s="1"/>
      <c r="AD696" s="1"/>
      <c r="AE696" s="1"/>
      <c r="AF696" s="1"/>
    </row>
    <row r="697" spans="1:32" ht="14.25" hidden="1" customHeight="1" x14ac:dyDescent="0.25">
      <c r="A697" s="1">
        <v>696</v>
      </c>
      <c r="B697" s="1"/>
      <c r="C697" s="1" t="s">
        <v>5530</v>
      </c>
      <c r="D697" s="1" t="s">
        <v>5531</v>
      </c>
      <c r="E697" s="1">
        <v>2018</v>
      </c>
      <c r="F697" s="1" t="s">
        <v>0</v>
      </c>
      <c r="H697" s="1" t="s">
        <v>5367</v>
      </c>
      <c r="N697" s="1"/>
      <c r="O697" s="47" t="s">
        <v>5532</v>
      </c>
      <c r="P697" s="3" t="s">
        <v>5533</v>
      </c>
      <c r="Q697" s="1">
        <v>-1</v>
      </c>
      <c r="R697" s="1" t="s">
        <v>5036</v>
      </c>
      <c r="S697" s="1"/>
      <c r="T697" s="1"/>
      <c r="U697" s="1"/>
      <c r="V697" s="1"/>
      <c r="W697" s="1"/>
      <c r="X697" s="1"/>
      <c r="Y697" s="1"/>
      <c r="Z697" s="1"/>
      <c r="AA697" s="1"/>
      <c r="AB697" s="1"/>
      <c r="AC697" s="1"/>
      <c r="AD697" s="1"/>
      <c r="AE697" s="1"/>
      <c r="AF697" s="1"/>
    </row>
    <row r="698" spans="1:32" ht="14.25" hidden="1" customHeight="1" x14ac:dyDescent="0.25">
      <c r="A698" s="1">
        <v>697</v>
      </c>
      <c r="B698" s="1"/>
      <c r="C698" s="1" t="s">
        <v>5429</v>
      </c>
      <c r="D698" s="1" t="s">
        <v>5430</v>
      </c>
      <c r="E698" s="1">
        <v>2018</v>
      </c>
      <c r="F698" s="1" t="s">
        <v>244</v>
      </c>
      <c r="H698" s="1"/>
      <c r="N698" s="1" t="s">
        <v>5431</v>
      </c>
      <c r="O698" s="47" t="s">
        <v>5432</v>
      </c>
      <c r="P698" s="3" t="s">
        <v>5433</v>
      </c>
      <c r="Q698" s="1">
        <v>-1</v>
      </c>
      <c r="R698" s="1" t="s">
        <v>5036</v>
      </c>
      <c r="S698" s="1"/>
      <c r="T698" s="1"/>
      <c r="U698" s="1"/>
      <c r="V698" s="1"/>
      <c r="W698" s="1"/>
      <c r="X698" s="1"/>
      <c r="Y698" s="1"/>
      <c r="Z698" s="1"/>
      <c r="AA698" s="1"/>
      <c r="AB698" s="1"/>
      <c r="AC698" s="1"/>
      <c r="AD698" s="1"/>
      <c r="AE698" s="1"/>
      <c r="AF698" s="1"/>
    </row>
    <row r="699" spans="1:32" ht="14.25" customHeight="1" x14ac:dyDescent="0.25">
      <c r="A699" s="1">
        <v>698</v>
      </c>
      <c r="B699" s="1">
        <v>45</v>
      </c>
      <c r="C699" s="1" t="s">
        <v>5566</v>
      </c>
      <c r="D699" s="1" t="s">
        <v>5567</v>
      </c>
      <c r="E699" s="54">
        <v>2018</v>
      </c>
      <c r="F699" s="1" t="s">
        <v>244</v>
      </c>
      <c r="H699" s="1"/>
      <c r="N699" s="1" t="s">
        <v>5568</v>
      </c>
      <c r="O699" s="47" t="s">
        <v>5569</v>
      </c>
      <c r="P699" s="3" t="s">
        <v>5570</v>
      </c>
      <c r="Q699" s="1">
        <v>1</v>
      </c>
      <c r="R699" s="1">
        <v>1</v>
      </c>
      <c r="S699" s="1">
        <v>7</v>
      </c>
      <c r="T699" s="1" t="s">
        <v>2135</v>
      </c>
      <c r="U699" s="1" t="s">
        <v>5067</v>
      </c>
      <c r="V699" s="1" t="s">
        <v>5049</v>
      </c>
      <c r="W699" s="1" t="s">
        <v>4974</v>
      </c>
      <c r="X699" s="1" t="s">
        <v>127</v>
      </c>
      <c r="Y699" s="1" t="s">
        <v>5003</v>
      </c>
      <c r="Z699" s="1" t="s">
        <v>1090</v>
      </c>
      <c r="AA699" s="1" t="s">
        <v>4988</v>
      </c>
      <c r="AB699" s="1">
        <v>4</v>
      </c>
      <c r="AC699" s="1">
        <v>5</v>
      </c>
      <c r="AD699" s="1">
        <v>4</v>
      </c>
      <c r="AE699" s="1">
        <v>4</v>
      </c>
      <c r="AF699" s="1"/>
    </row>
    <row r="700" spans="1:32" ht="14.25" hidden="1" customHeight="1" x14ac:dyDescent="0.25">
      <c r="A700" s="1">
        <v>699</v>
      </c>
      <c r="B700" s="1"/>
      <c r="C700" s="1" t="s">
        <v>5591</v>
      </c>
      <c r="D700" s="1" t="s">
        <v>5592</v>
      </c>
      <c r="E700" s="1">
        <v>2018</v>
      </c>
      <c r="F700" s="1" t="s">
        <v>244</v>
      </c>
      <c r="H700" s="1"/>
      <c r="N700" s="1" t="s">
        <v>5593</v>
      </c>
      <c r="O700" s="47" t="s">
        <v>5594</v>
      </c>
      <c r="P700" s="3" t="s">
        <v>5595</v>
      </c>
      <c r="Q700" s="1">
        <v>-1</v>
      </c>
      <c r="R700" s="1" t="s">
        <v>5036</v>
      </c>
      <c r="S700" s="1"/>
      <c r="T700" s="1"/>
      <c r="U700" s="1"/>
      <c r="V700" s="1"/>
      <c r="W700" s="1"/>
      <c r="X700" s="1"/>
      <c r="Y700" s="1"/>
      <c r="Z700" s="1"/>
      <c r="AA700" s="1"/>
      <c r="AB700" s="1"/>
      <c r="AC700" s="1"/>
      <c r="AD700" s="1"/>
      <c r="AE700" s="1"/>
      <c r="AF700" s="1"/>
    </row>
    <row r="701" spans="1:32" ht="14.25" hidden="1" customHeight="1" x14ac:dyDescent="0.25">
      <c r="A701" s="1">
        <v>700</v>
      </c>
      <c r="B701" s="1"/>
      <c r="C701" s="1" t="s">
        <v>5365</v>
      </c>
      <c r="D701" s="1" t="s">
        <v>5366</v>
      </c>
      <c r="E701" s="54">
        <v>2018</v>
      </c>
      <c r="F701" s="1" t="s">
        <v>0</v>
      </c>
      <c r="H701" s="1" t="s">
        <v>5367</v>
      </c>
      <c r="N701" s="1"/>
      <c r="O701" s="47" t="s">
        <v>5368</v>
      </c>
      <c r="P701" s="3" t="s">
        <v>5369</v>
      </c>
      <c r="Q701" s="1">
        <v>1</v>
      </c>
      <c r="R701" s="1">
        <v>-1</v>
      </c>
      <c r="S701" s="1"/>
      <c r="T701" s="1"/>
      <c r="U701" s="1"/>
      <c r="V701" s="1"/>
      <c r="W701" s="1"/>
      <c r="X701" s="1"/>
      <c r="Y701" s="1"/>
      <c r="Z701" s="1"/>
      <c r="AA701" s="1"/>
      <c r="AB701" s="1"/>
      <c r="AC701" s="1"/>
      <c r="AD701" s="1"/>
      <c r="AE701" s="1"/>
      <c r="AF701" s="1"/>
    </row>
    <row r="702" spans="1:32" ht="14.25" hidden="1" customHeight="1" x14ac:dyDescent="0.25">
      <c r="A702" s="1">
        <v>701</v>
      </c>
      <c r="B702" s="1"/>
      <c r="C702" s="1" t="s">
        <v>5561</v>
      </c>
      <c r="D702" s="1" t="s">
        <v>5562</v>
      </c>
      <c r="E702" s="1">
        <v>2018</v>
      </c>
      <c r="F702" s="1" t="s">
        <v>0</v>
      </c>
      <c r="H702" s="1" t="s">
        <v>5563</v>
      </c>
      <c r="N702" s="1"/>
      <c r="O702" s="47" t="s">
        <v>5564</v>
      </c>
      <c r="P702" s="3" t="s">
        <v>5565</v>
      </c>
      <c r="Q702" s="1">
        <v>-1</v>
      </c>
      <c r="R702" s="1" t="s">
        <v>5036</v>
      </c>
      <c r="S702" s="1"/>
      <c r="T702" s="1"/>
      <c r="U702" s="1"/>
      <c r="V702" s="1"/>
      <c r="W702" s="1"/>
      <c r="X702" s="1"/>
      <c r="Y702" s="1"/>
      <c r="Z702" s="1"/>
      <c r="AA702" s="1"/>
      <c r="AB702" s="1"/>
      <c r="AC702" s="1"/>
      <c r="AD702" s="1"/>
      <c r="AE702" s="1"/>
      <c r="AF702" s="1"/>
    </row>
    <row r="703" spans="1:32" ht="14.25" hidden="1" customHeight="1" x14ac:dyDescent="0.25">
      <c r="A703" s="1">
        <v>702</v>
      </c>
      <c r="B703" s="1"/>
      <c r="C703" s="1" t="s">
        <v>5424</v>
      </c>
      <c r="D703" s="1" t="s">
        <v>5425</v>
      </c>
      <c r="E703" s="1">
        <v>2018</v>
      </c>
      <c r="F703" s="1" t="s">
        <v>0</v>
      </c>
      <c r="H703" s="1" t="s">
        <v>5426</v>
      </c>
      <c r="N703" s="1"/>
      <c r="O703" s="47" t="s">
        <v>5427</v>
      </c>
      <c r="P703" s="3" t="s">
        <v>5428</v>
      </c>
      <c r="Q703" s="1">
        <v>-1</v>
      </c>
      <c r="R703" s="1" t="s">
        <v>5036</v>
      </c>
      <c r="S703" s="1"/>
      <c r="T703" s="1"/>
      <c r="U703" s="1"/>
      <c r="V703" s="1"/>
      <c r="W703" s="1"/>
      <c r="X703" s="1"/>
      <c r="Y703" s="1"/>
      <c r="Z703" s="1"/>
      <c r="AA703" s="1"/>
      <c r="AB703" s="1"/>
      <c r="AC703" s="1"/>
      <c r="AD703" s="1"/>
      <c r="AE703" s="1"/>
      <c r="AF703" s="1"/>
    </row>
    <row r="704" spans="1:32" ht="14.25" hidden="1" customHeight="1" x14ac:dyDescent="0.25">
      <c r="A704" s="1">
        <v>703</v>
      </c>
      <c r="B704" s="1"/>
      <c r="C704" s="1" t="s">
        <v>5680</v>
      </c>
      <c r="D704" s="1" t="s">
        <v>5681</v>
      </c>
      <c r="E704" s="1">
        <v>2018</v>
      </c>
      <c r="F704" s="1" t="s">
        <v>0</v>
      </c>
      <c r="H704" s="1" t="s">
        <v>5372</v>
      </c>
      <c r="N704" s="1"/>
      <c r="O704" s="47" t="s">
        <v>5682</v>
      </c>
      <c r="P704" s="3" t="s">
        <v>5683</v>
      </c>
      <c r="Q704" s="1">
        <v>-1</v>
      </c>
      <c r="R704" s="1" t="s">
        <v>5036</v>
      </c>
      <c r="S704" s="1"/>
      <c r="T704" s="1"/>
      <c r="U704" s="1"/>
      <c r="V704" s="1"/>
      <c r="W704" s="1"/>
      <c r="X704" s="1"/>
      <c r="Y704" s="1"/>
      <c r="Z704" s="1"/>
      <c r="AA704" s="1"/>
      <c r="AB704" s="1"/>
      <c r="AC704" s="1"/>
      <c r="AD704" s="1"/>
      <c r="AE704" s="1"/>
      <c r="AF704" s="1"/>
    </row>
    <row r="705" spans="1:32" ht="14.25" hidden="1" customHeight="1" x14ac:dyDescent="0.25">
      <c r="A705" s="1">
        <v>704</v>
      </c>
      <c r="B705" s="1"/>
      <c r="C705" s="1" t="s">
        <v>5675</v>
      </c>
      <c r="D705" s="1" t="s">
        <v>5676</v>
      </c>
      <c r="E705" s="1">
        <v>2018</v>
      </c>
      <c r="F705" s="1" t="s">
        <v>244</v>
      </c>
      <c r="H705" s="1"/>
      <c r="N705" s="1" t="s">
        <v>5677</v>
      </c>
      <c r="O705" s="47" t="s">
        <v>5678</v>
      </c>
      <c r="P705" s="3" t="s">
        <v>5679</v>
      </c>
      <c r="Q705" s="1">
        <v>-1</v>
      </c>
      <c r="R705" s="1" t="s">
        <v>5036</v>
      </c>
      <c r="S705" s="1"/>
      <c r="T705" s="1"/>
      <c r="U705" s="1"/>
      <c r="V705" s="1"/>
      <c r="W705" s="1"/>
      <c r="X705" s="1"/>
      <c r="Y705" s="1"/>
      <c r="Z705" s="1"/>
      <c r="AA705" s="1"/>
      <c r="AB705" s="1"/>
      <c r="AC705" s="1"/>
      <c r="AD705" s="1"/>
      <c r="AE705" s="1"/>
      <c r="AF705" s="1"/>
    </row>
    <row r="706" spans="1:32" ht="14.25" hidden="1" customHeight="1" x14ac:dyDescent="0.25">
      <c r="A706" s="1">
        <v>705</v>
      </c>
      <c r="B706" s="1"/>
      <c r="C706" s="1" t="s">
        <v>5600</v>
      </c>
      <c r="D706" s="1" t="s">
        <v>5601</v>
      </c>
      <c r="E706" s="1">
        <v>2018</v>
      </c>
      <c r="F706" s="1" t="s">
        <v>116</v>
      </c>
      <c r="H706" s="1" t="s">
        <v>5602</v>
      </c>
      <c r="N706" s="1"/>
      <c r="O706" s="47" t="s">
        <v>5603</v>
      </c>
      <c r="P706" s="3" t="s">
        <v>5604</v>
      </c>
      <c r="Q706" s="1">
        <v>-1</v>
      </c>
      <c r="R706" s="1" t="s">
        <v>5036</v>
      </c>
      <c r="S706" s="1"/>
      <c r="T706" s="1"/>
      <c r="U706" s="1"/>
      <c r="V706" s="1"/>
      <c r="W706" s="1"/>
      <c r="X706" s="1"/>
      <c r="Y706" s="1"/>
      <c r="Z706" s="1"/>
      <c r="AA706" s="1"/>
      <c r="AB706" s="1"/>
      <c r="AC706" s="1"/>
      <c r="AD706" s="1"/>
      <c r="AE706" s="1"/>
      <c r="AF706" s="1"/>
    </row>
    <row r="707" spans="1:32" ht="14.25" hidden="1" customHeight="1" x14ac:dyDescent="0.25">
      <c r="A707" s="1">
        <v>706</v>
      </c>
      <c r="B707" s="1"/>
      <c r="C707" s="1" t="s">
        <v>5580</v>
      </c>
      <c r="D707" s="1" t="s">
        <v>5581</v>
      </c>
      <c r="E707" s="1">
        <v>2018</v>
      </c>
      <c r="F707" s="1" t="s">
        <v>658</v>
      </c>
      <c r="H707" s="1" t="s">
        <v>5441</v>
      </c>
      <c r="N707" s="1"/>
      <c r="O707" s="1"/>
      <c r="P707" s="3"/>
      <c r="Q707" s="1">
        <v>-1</v>
      </c>
      <c r="R707" s="1" t="s">
        <v>5036</v>
      </c>
      <c r="S707" s="1"/>
      <c r="T707" s="1"/>
      <c r="U707" s="1"/>
      <c r="V707" s="1"/>
      <c r="W707" s="1"/>
      <c r="X707" s="1"/>
      <c r="Y707" s="1"/>
      <c r="Z707" s="1"/>
      <c r="AA707" s="1"/>
      <c r="AB707" s="1"/>
      <c r="AC707" s="1"/>
      <c r="AD707" s="1"/>
      <c r="AE707" s="1"/>
      <c r="AF707" s="1"/>
    </row>
    <row r="708" spans="1:32" ht="14.25" hidden="1" customHeight="1" x14ac:dyDescent="0.25">
      <c r="A708" s="1">
        <v>707</v>
      </c>
      <c r="B708" s="1"/>
      <c r="C708" s="1" t="s">
        <v>5475</v>
      </c>
      <c r="D708" s="1" t="s">
        <v>5476</v>
      </c>
      <c r="E708" s="1">
        <v>2018</v>
      </c>
      <c r="F708" s="1" t="s">
        <v>116</v>
      </c>
      <c r="H708" s="1" t="s">
        <v>1045</v>
      </c>
      <c r="N708" s="1" t="s">
        <v>5477</v>
      </c>
      <c r="O708" s="47" t="s">
        <v>5478</v>
      </c>
      <c r="P708" s="3" t="s">
        <v>5479</v>
      </c>
      <c r="Q708" s="1">
        <v>-1</v>
      </c>
      <c r="R708" s="1" t="s">
        <v>5036</v>
      </c>
      <c r="S708" s="1"/>
      <c r="T708" s="1"/>
      <c r="U708" s="1"/>
      <c r="V708" s="1"/>
      <c r="W708" s="1"/>
      <c r="X708" s="1"/>
      <c r="Y708" s="1"/>
      <c r="Z708" s="1"/>
      <c r="AA708" s="1"/>
      <c r="AB708" s="1"/>
      <c r="AC708" s="1"/>
      <c r="AD708" s="1"/>
      <c r="AE708" s="1"/>
      <c r="AF708" s="1"/>
    </row>
    <row r="709" spans="1:32" ht="14.25" hidden="1" customHeight="1" x14ac:dyDescent="0.25">
      <c r="A709" s="1">
        <v>708</v>
      </c>
      <c r="B709" s="1"/>
      <c r="C709" s="1" t="s">
        <v>5707</v>
      </c>
      <c r="D709" s="1"/>
      <c r="E709" s="1">
        <v>2018</v>
      </c>
      <c r="F709" s="1" t="s">
        <v>0</v>
      </c>
      <c r="H709" s="1" t="s">
        <v>5421</v>
      </c>
      <c r="N709" s="1"/>
      <c r="O709" s="1"/>
      <c r="P709" s="3" t="s">
        <v>5707</v>
      </c>
      <c r="Q709" s="1">
        <v>-1</v>
      </c>
      <c r="R709" s="1" t="s">
        <v>5036</v>
      </c>
      <c r="S709" s="1"/>
      <c r="T709" s="1"/>
      <c r="U709" s="1"/>
      <c r="V709" s="1"/>
      <c r="W709" s="1"/>
      <c r="X709" s="1"/>
      <c r="Y709" s="1"/>
      <c r="Z709" s="1"/>
      <c r="AA709" s="1"/>
      <c r="AB709" s="1"/>
      <c r="AC709" s="1"/>
      <c r="AD709" s="1"/>
      <c r="AE709" s="1"/>
      <c r="AF709" s="1"/>
    </row>
    <row r="710" spans="1:32" ht="14.25" hidden="1" customHeight="1" x14ac:dyDescent="0.25">
      <c r="A710" s="1">
        <v>709</v>
      </c>
      <c r="B710" s="1"/>
      <c r="C710" s="1" t="s">
        <v>5491</v>
      </c>
      <c r="D710" s="1" t="s">
        <v>5492</v>
      </c>
      <c r="E710" s="54">
        <v>2018</v>
      </c>
      <c r="F710" s="1" t="s">
        <v>0</v>
      </c>
      <c r="H710" s="1" t="s">
        <v>5402</v>
      </c>
      <c r="N710" s="1"/>
      <c r="O710" s="47" t="s">
        <v>5493</v>
      </c>
      <c r="P710" s="3" t="s">
        <v>5494</v>
      </c>
      <c r="Q710" s="1">
        <v>1</v>
      </c>
      <c r="R710" s="1">
        <v>-1</v>
      </c>
      <c r="S710" s="1"/>
      <c r="T710" s="1"/>
      <c r="U710" s="1"/>
      <c r="V710" s="1"/>
      <c r="W710" s="1"/>
      <c r="X710" s="1"/>
      <c r="Y710" s="1"/>
      <c r="Z710" s="1"/>
      <c r="AA710" s="1"/>
      <c r="AB710" s="1"/>
      <c r="AC710" s="1"/>
      <c r="AD710" s="1"/>
      <c r="AE710" s="1"/>
      <c r="AF710" s="1"/>
    </row>
    <row r="711" spans="1:32" ht="14.25" hidden="1" customHeight="1" x14ac:dyDescent="0.25">
      <c r="A711" s="1">
        <v>710</v>
      </c>
      <c r="B711" s="1"/>
      <c r="C711" s="1" t="s">
        <v>5556</v>
      </c>
      <c r="D711" s="1" t="s">
        <v>5557</v>
      </c>
      <c r="E711" s="1">
        <v>2018</v>
      </c>
      <c r="F711" s="1" t="s">
        <v>244</v>
      </c>
      <c r="H711" s="1"/>
      <c r="N711" s="1" t="s">
        <v>5558</v>
      </c>
      <c r="O711" s="47" t="s">
        <v>5559</v>
      </c>
      <c r="P711" s="3" t="s">
        <v>5560</v>
      </c>
      <c r="Q711" s="1">
        <v>-1</v>
      </c>
      <c r="R711" s="1" t="s">
        <v>5036</v>
      </c>
      <c r="S711" s="1"/>
      <c r="T711" s="1"/>
      <c r="U711" s="1"/>
      <c r="V711" s="1"/>
      <c r="W711" s="1"/>
      <c r="X711" s="1"/>
      <c r="Y711" s="1"/>
      <c r="Z711" s="1"/>
      <c r="AA711" s="1"/>
      <c r="AB711" s="1"/>
      <c r="AC711" s="1"/>
      <c r="AD711" s="1"/>
      <c r="AE711" s="1"/>
      <c r="AF711" s="1"/>
    </row>
    <row r="712" spans="1:32" ht="14.25" hidden="1" customHeight="1" x14ac:dyDescent="0.25">
      <c r="A712" s="1">
        <v>711</v>
      </c>
      <c r="B712" s="1"/>
      <c r="C712" s="1" t="s">
        <v>5395</v>
      </c>
      <c r="D712" s="1" t="s">
        <v>5396</v>
      </c>
      <c r="E712" s="54">
        <v>2018</v>
      </c>
      <c r="F712" s="1" t="s">
        <v>0</v>
      </c>
      <c r="H712" s="1"/>
      <c r="N712" s="1" t="s">
        <v>5397</v>
      </c>
      <c r="O712" s="47" t="s">
        <v>5398</v>
      </c>
      <c r="P712" s="3" t="s">
        <v>5399</v>
      </c>
      <c r="Q712" s="1">
        <v>1</v>
      </c>
      <c r="R712" s="1">
        <v>-1</v>
      </c>
      <c r="S712" s="1"/>
      <c r="T712" s="1"/>
      <c r="U712" s="1"/>
      <c r="V712" s="1"/>
      <c r="W712" s="1"/>
      <c r="X712" s="1"/>
      <c r="Y712" s="1"/>
      <c r="Z712" s="1"/>
      <c r="AA712" s="1"/>
      <c r="AB712" s="1"/>
      <c r="AC712" s="1"/>
      <c r="AD712" s="1"/>
      <c r="AE712" s="1"/>
      <c r="AF712" s="1"/>
    </row>
    <row r="713" spans="1:32" ht="14.25" hidden="1" customHeight="1" x14ac:dyDescent="0.25">
      <c r="A713" s="1">
        <v>712</v>
      </c>
      <c r="B713" s="1"/>
      <c r="C713" s="1" t="s">
        <v>5689</v>
      </c>
      <c r="D713" s="1" t="s">
        <v>5690</v>
      </c>
      <c r="E713" s="1">
        <v>2018</v>
      </c>
      <c r="F713" s="1" t="s">
        <v>0</v>
      </c>
      <c r="H713" s="1" t="s">
        <v>5436</v>
      </c>
      <c r="N713" s="1"/>
      <c r="O713" s="47" t="s">
        <v>5691</v>
      </c>
      <c r="P713" s="3" t="s">
        <v>5692</v>
      </c>
      <c r="Q713" s="1">
        <v>-1</v>
      </c>
      <c r="R713" s="1" t="s">
        <v>5036</v>
      </c>
      <c r="S713" s="1"/>
      <c r="T713" s="1"/>
      <c r="U713" s="1"/>
      <c r="V713" s="1"/>
      <c r="W713" s="1"/>
      <c r="X713" s="1"/>
      <c r="Y713" s="1"/>
      <c r="Z713" s="1"/>
      <c r="AA713" s="1"/>
      <c r="AB713" s="1"/>
      <c r="AC713" s="1"/>
      <c r="AD713" s="1"/>
      <c r="AE713" s="1"/>
      <c r="AF713" s="1"/>
    </row>
    <row r="714" spans="1:32" ht="14.25" hidden="1" customHeight="1" x14ac:dyDescent="0.25">
      <c r="A714" s="1">
        <v>713</v>
      </c>
      <c r="B714" s="1"/>
      <c r="C714" s="1" t="s">
        <v>5390</v>
      </c>
      <c r="D714" s="1" t="s">
        <v>5391</v>
      </c>
      <c r="E714" s="1">
        <v>2018</v>
      </c>
      <c r="F714" s="1" t="s">
        <v>0</v>
      </c>
      <c r="H714" s="1" t="s">
        <v>5392</v>
      </c>
      <c r="N714" s="1"/>
      <c r="O714" s="47" t="s">
        <v>5393</v>
      </c>
      <c r="P714" s="3" t="s">
        <v>5394</v>
      </c>
      <c r="Q714" s="1">
        <v>-1</v>
      </c>
      <c r="R714" s="1" t="s">
        <v>5036</v>
      </c>
      <c r="S714" s="1"/>
      <c r="T714" s="1"/>
      <c r="U714" s="1"/>
      <c r="V714" s="1"/>
      <c r="W714" s="1"/>
      <c r="X714" s="1"/>
      <c r="Y714" s="1"/>
      <c r="Z714" s="1"/>
      <c r="AA714" s="1"/>
      <c r="AB714" s="1"/>
      <c r="AC714" s="1"/>
      <c r="AD714" s="1"/>
      <c r="AE714" s="1"/>
      <c r="AF714" s="1"/>
    </row>
    <row r="715" spans="1:32" ht="14.25" hidden="1" customHeight="1" x14ac:dyDescent="0.25">
      <c r="A715" s="1">
        <v>714</v>
      </c>
      <c r="B715" s="1"/>
      <c r="C715" s="1" t="s">
        <v>5447</v>
      </c>
      <c r="D715" s="1" t="s">
        <v>5448</v>
      </c>
      <c r="E715" s="1">
        <v>2018</v>
      </c>
      <c r="F715" s="1" t="s">
        <v>0</v>
      </c>
      <c r="H715" s="1" t="s">
        <v>5449</v>
      </c>
      <c r="N715" s="1"/>
      <c r="O715" s="47" t="s">
        <v>5450</v>
      </c>
      <c r="P715" s="3" t="s">
        <v>5451</v>
      </c>
      <c r="Q715" s="1">
        <v>-1</v>
      </c>
      <c r="R715" s="1" t="s">
        <v>5036</v>
      </c>
      <c r="S715" s="1"/>
      <c r="T715" s="1"/>
      <c r="U715" s="1"/>
      <c r="V715" s="1"/>
      <c r="W715" s="1"/>
      <c r="X715" s="1"/>
      <c r="Y715" s="1"/>
      <c r="Z715" s="1"/>
      <c r="AA715" s="1"/>
      <c r="AB715" s="1"/>
      <c r="AC715" s="1"/>
      <c r="AD715" s="1"/>
      <c r="AE715" s="1"/>
      <c r="AF715" s="1"/>
    </row>
    <row r="716" spans="1:32" ht="14.25" hidden="1" customHeight="1" x14ac:dyDescent="0.25">
      <c r="A716" s="1">
        <v>715</v>
      </c>
      <c r="B716" s="1"/>
      <c r="C716" s="1" t="s">
        <v>5410</v>
      </c>
      <c r="D716" s="1" t="s">
        <v>5411</v>
      </c>
      <c r="E716" s="1">
        <v>2018</v>
      </c>
      <c r="F716" s="1" t="s">
        <v>0</v>
      </c>
      <c r="H716" s="1" t="s">
        <v>5412</v>
      </c>
      <c r="N716" s="1"/>
      <c r="O716" s="47" t="s">
        <v>5413</v>
      </c>
      <c r="P716" s="3" t="s">
        <v>5414</v>
      </c>
      <c r="Q716" s="1">
        <v>-1</v>
      </c>
      <c r="R716" s="1" t="s">
        <v>5036</v>
      </c>
      <c r="S716" s="1"/>
      <c r="T716" s="1"/>
      <c r="U716" s="1"/>
      <c r="V716" s="1"/>
      <c r="W716" s="1"/>
      <c r="X716" s="1"/>
      <c r="Y716" s="1"/>
      <c r="Z716" s="1"/>
      <c r="AA716" s="1"/>
      <c r="AB716" s="1"/>
      <c r="AC716" s="1"/>
      <c r="AD716" s="1"/>
      <c r="AE716" s="1"/>
      <c r="AF716" s="1"/>
    </row>
    <row r="717" spans="1:32" ht="14.25" hidden="1" customHeight="1" x14ac:dyDescent="0.25">
      <c r="A717" s="1">
        <v>716</v>
      </c>
      <c r="B717" s="1"/>
      <c r="C717" s="1" t="s">
        <v>2</v>
      </c>
      <c r="D717" s="1"/>
      <c r="E717" s="1">
        <v>2018</v>
      </c>
      <c r="F717" s="1" t="s">
        <v>0</v>
      </c>
      <c r="H717" s="1" t="s">
        <v>5372</v>
      </c>
      <c r="N717" s="1"/>
      <c r="O717" s="47" t="s">
        <v>5708</v>
      </c>
      <c r="P717" s="3" t="s">
        <v>5709</v>
      </c>
      <c r="Q717" s="1">
        <v>-1</v>
      </c>
      <c r="R717" s="1" t="s">
        <v>5036</v>
      </c>
      <c r="S717" s="1"/>
      <c r="T717" s="1"/>
      <c r="U717" s="1"/>
      <c r="V717" s="1"/>
      <c r="W717" s="1"/>
      <c r="X717" s="1"/>
      <c r="Y717" s="1"/>
      <c r="Z717" s="1"/>
      <c r="AA717" s="1"/>
      <c r="AB717" s="1"/>
      <c r="AC717" s="1"/>
      <c r="AD717" s="1"/>
      <c r="AE717" s="1"/>
      <c r="AF717" s="1"/>
    </row>
    <row r="718" spans="1:32" ht="14.25" hidden="1" customHeight="1" x14ac:dyDescent="0.25">
      <c r="A718" s="1">
        <v>717</v>
      </c>
      <c r="B718" s="1"/>
      <c r="C718" s="1" t="s">
        <v>5667</v>
      </c>
      <c r="D718" s="1" t="s">
        <v>5668</v>
      </c>
      <c r="E718" s="1">
        <v>2018</v>
      </c>
      <c r="F718" s="1" t="s">
        <v>244</v>
      </c>
      <c r="H718" s="1" t="s">
        <v>5669</v>
      </c>
      <c r="N718" s="1" t="s">
        <v>5670</v>
      </c>
      <c r="O718" s="47" t="s">
        <v>5671</v>
      </c>
      <c r="P718" s="3" t="s">
        <v>5672</v>
      </c>
      <c r="Q718" s="1">
        <v>-1</v>
      </c>
      <c r="R718" s="1" t="s">
        <v>5036</v>
      </c>
      <c r="S718" s="1"/>
      <c r="T718" s="1"/>
      <c r="U718" s="1"/>
      <c r="V718" s="1"/>
      <c r="W718" s="1"/>
      <c r="X718" s="1"/>
      <c r="Y718" s="1"/>
      <c r="Z718" s="1"/>
      <c r="AA718" s="1"/>
      <c r="AB718" s="1"/>
      <c r="AC718" s="1"/>
      <c r="AD718" s="1"/>
      <c r="AE718" s="1"/>
      <c r="AF718" s="1"/>
    </row>
    <row r="719" spans="1:32" ht="14.25" hidden="1" customHeight="1" x14ac:dyDescent="0.25">
      <c r="A719" s="1">
        <v>718</v>
      </c>
      <c r="B719" s="1"/>
      <c r="C719" s="1" t="s">
        <v>1230</v>
      </c>
      <c r="D719" s="1" t="s">
        <v>5606</v>
      </c>
      <c r="E719" s="1">
        <v>2018</v>
      </c>
      <c r="F719" s="1" t="s">
        <v>127</v>
      </c>
      <c r="H719" s="1" t="s">
        <v>5607</v>
      </c>
      <c r="N719" s="1" t="s">
        <v>5611</v>
      </c>
      <c r="O719" s="47" t="s">
        <v>3466</v>
      </c>
      <c r="P719" s="3" t="s">
        <v>5612</v>
      </c>
      <c r="Q719" s="1">
        <v>-1</v>
      </c>
      <c r="R719" s="1" t="s">
        <v>5036</v>
      </c>
      <c r="S719" s="1"/>
      <c r="T719" s="1"/>
      <c r="U719" s="1"/>
      <c r="V719" s="1"/>
      <c r="W719" s="1"/>
      <c r="X719" s="1"/>
      <c r="Y719" s="1"/>
      <c r="Z719" s="1"/>
      <c r="AA719" s="1"/>
      <c r="AB719" s="1"/>
      <c r="AC719" s="1"/>
      <c r="AD719" s="1"/>
      <c r="AE719" s="1"/>
      <c r="AF719" s="1"/>
    </row>
    <row r="720" spans="1:32" ht="14.25" hidden="1" customHeight="1" x14ac:dyDescent="0.25">
      <c r="A720" s="1">
        <v>719</v>
      </c>
      <c r="B720" s="1"/>
      <c r="C720" s="1" t="s">
        <v>5495</v>
      </c>
      <c r="D720" s="1" t="s">
        <v>5496</v>
      </c>
      <c r="E720" s="1">
        <v>2018</v>
      </c>
      <c r="F720" s="1" t="s">
        <v>244</v>
      </c>
      <c r="H720" s="1"/>
      <c r="N720" s="1" t="s">
        <v>5497</v>
      </c>
      <c r="O720" s="47" t="s">
        <v>5498</v>
      </c>
      <c r="P720" s="3" t="s">
        <v>5499</v>
      </c>
      <c r="Q720" s="1">
        <v>-1</v>
      </c>
      <c r="R720" s="1" t="s">
        <v>5036</v>
      </c>
      <c r="S720" s="1"/>
      <c r="T720" s="1"/>
      <c r="U720" s="1"/>
      <c r="V720" s="1"/>
      <c r="W720" s="1"/>
      <c r="X720" s="1"/>
      <c r="Y720" s="1"/>
      <c r="Z720" s="1"/>
      <c r="AA720" s="1"/>
      <c r="AB720" s="1"/>
      <c r="AC720" s="1"/>
      <c r="AD720" s="1"/>
      <c r="AE720" s="1"/>
      <c r="AF720" s="1"/>
    </row>
    <row r="721" spans="1:32" ht="14.25" hidden="1" customHeight="1" x14ac:dyDescent="0.25">
      <c r="A721" s="1">
        <v>720</v>
      </c>
      <c r="B721" s="1"/>
      <c r="C721" s="1" t="s">
        <v>5480</v>
      </c>
      <c r="D721" s="1" t="s">
        <v>5481</v>
      </c>
      <c r="E721" s="1">
        <v>2018</v>
      </c>
      <c r="F721" s="1" t="s">
        <v>116</v>
      </c>
      <c r="H721" s="1" t="s">
        <v>5482</v>
      </c>
      <c r="N721" s="1" t="s">
        <v>5483</v>
      </c>
      <c r="O721" s="47" t="s">
        <v>5484</v>
      </c>
      <c r="P721" s="3" t="s">
        <v>5485</v>
      </c>
      <c r="Q721" s="1">
        <v>-1</v>
      </c>
      <c r="R721" s="1" t="s">
        <v>5036</v>
      </c>
      <c r="S721" s="1"/>
      <c r="T721" s="1"/>
      <c r="U721" s="1"/>
      <c r="V721" s="1"/>
      <c r="W721" s="1"/>
      <c r="X721" s="1"/>
      <c r="Y721" s="1"/>
      <c r="Z721" s="1"/>
      <c r="AA721" s="1"/>
      <c r="AB721" s="1"/>
      <c r="AC721" s="1"/>
      <c r="AD721" s="1"/>
      <c r="AE721" s="1"/>
      <c r="AF721" s="1"/>
    </row>
    <row r="722" spans="1:32" ht="12.75" hidden="1" customHeight="1" x14ac:dyDescent="0.25">
      <c r="A722" s="1">
        <v>721</v>
      </c>
      <c r="B722" s="1"/>
      <c r="C722" s="1" t="s">
        <v>5375</v>
      </c>
      <c r="D722" s="1" t="s">
        <v>5376</v>
      </c>
      <c r="E722" s="54">
        <v>2018</v>
      </c>
      <c r="F722" s="1" t="s">
        <v>0</v>
      </c>
      <c r="H722" s="1" t="s">
        <v>5367</v>
      </c>
      <c r="N722" s="1"/>
      <c r="O722" s="47" t="s">
        <v>5377</v>
      </c>
      <c r="P722" s="3" t="s">
        <v>5378</v>
      </c>
      <c r="Q722" s="1">
        <v>1</v>
      </c>
      <c r="R722" s="1">
        <v>-1</v>
      </c>
      <c r="S722" s="1"/>
      <c r="T722" s="1"/>
      <c r="U722" s="1"/>
      <c r="V722" s="1"/>
      <c r="W722" s="1"/>
      <c r="X722" s="1"/>
      <c r="Y722" s="1"/>
      <c r="Z722" s="1"/>
      <c r="AA722" s="1"/>
      <c r="AB722" s="1"/>
      <c r="AC722" s="1"/>
      <c r="AD722" s="1"/>
      <c r="AE722" s="1"/>
      <c r="AF722" s="1"/>
    </row>
    <row r="723" spans="1:32" ht="14.25" hidden="1" customHeight="1" x14ac:dyDescent="0.25">
      <c r="A723" s="1">
        <v>722</v>
      </c>
      <c r="B723" s="1"/>
      <c r="C723" s="1" t="s">
        <v>5534</v>
      </c>
      <c r="D723" s="1" t="s">
        <v>5535</v>
      </c>
      <c r="E723" s="1">
        <v>2018</v>
      </c>
      <c r="F723" s="1" t="s">
        <v>0</v>
      </c>
      <c r="H723" s="1" t="s">
        <v>5536</v>
      </c>
      <c r="N723" s="1"/>
      <c r="O723" s="47" t="s">
        <v>5537</v>
      </c>
      <c r="P723" s="3" t="s">
        <v>5538</v>
      </c>
      <c r="Q723" s="1">
        <v>-1</v>
      </c>
      <c r="R723" s="1" t="s">
        <v>5036</v>
      </c>
      <c r="S723" s="1"/>
      <c r="T723" s="1"/>
      <c r="U723" s="1"/>
      <c r="V723" s="1"/>
      <c r="W723" s="1"/>
      <c r="X723" s="1"/>
      <c r="Y723" s="1"/>
      <c r="Z723" s="1"/>
      <c r="AA723" s="1"/>
      <c r="AB723" s="1"/>
      <c r="AC723" s="1"/>
      <c r="AD723" s="1"/>
      <c r="AE723" s="1"/>
      <c r="AF723" s="1"/>
    </row>
    <row r="724" spans="1:32" ht="14.25" hidden="1" customHeight="1" x14ac:dyDescent="0.25">
      <c r="A724" s="1">
        <v>723</v>
      </c>
      <c r="B724" s="1"/>
      <c r="C724" s="1" t="s">
        <v>5419</v>
      </c>
      <c r="D724" s="1" t="s">
        <v>5420</v>
      </c>
      <c r="E724" s="1">
        <v>2018</v>
      </c>
      <c r="F724" s="1" t="s">
        <v>0</v>
      </c>
      <c r="H724" s="1" t="s">
        <v>5421</v>
      </c>
      <c r="N724" s="1"/>
      <c r="O724" s="47" t="s">
        <v>5422</v>
      </c>
      <c r="P724" s="3" t="s">
        <v>5423</v>
      </c>
      <c r="Q724" s="1">
        <v>-1</v>
      </c>
      <c r="R724" s="1" t="s">
        <v>5036</v>
      </c>
      <c r="S724" s="1"/>
      <c r="T724" s="1"/>
      <c r="U724" s="1"/>
      <c r="V724" s="1"/>
      <c r="W724" s="1"/>
      <c r="X724" s="1"/>
      <c r="Y724" s="1"/>
      <c r="Z724" s="1"/>
      <c r="AA724" s="1"/>
      <c r="AB724" s="1"/>
      <c r="AC724" s="1"/>
      <c r="AD724" s="1"/>
      <c r="AE724" s="1"/>
      <c r="AF724" s="1"/>
    </row>
    <row r="725" spans="1:32" ht="14.25" hidden="1" customHeight="1" x14ac:dyDescent="0.25">
      <c r="A725" s="1">
        <v>724</v>
      </c>
      <c r="B725" s="1"/>
      <c r="C725" s="1" t="s">
        <v>5415</v>
      </c>
      <c r="D725" s="1" t="s">
        <v>3674</v>
      </c>
      <c r="E725" s="1">
        <v>2018</v>
      </c>
      <c r="F725" s="1" t="s">
        <v>0</v>
      </c>
      <c r="H725" s="1"/>
      <c r="N725" s="1" t="s">
        <v>5416</v>
      </c>
      <c r="O725" s="47" t="s">
        <v>5417</v>
      </c>
      <c r="P725" s="3" t="s">
        <v>5418</v>
      </c>
      <c r="Q725" s="1">
        <v>-1</v>
      </c>
      <c r="R725" s="1" t="s">
        <v>5036</v>
      </c>
      <c r="S725" s="1"/>
      <c r="T725" s="1"/>
      <c r="U725" s="1"/>
      <c r="V725" s="1"/>
      <c r="W725" s="1"/>
      <c r="X725" s="1"/>
      <c r="Y725" s="1"/>
      <c r="Z725" s="1"/>
      <c r="AA725" s="1"/>
      <c r="AB725" s="1"/>
      <c r="AC725" s="1"/>
      <c r="AD725" s="1"/>
      <c r="AE725" s="1"/>
      <c r="AF725" s="1"/>
    </row>
    <row r="726" spans="1:32" ht="14.25" hidden="1" customHeight="1" x14ac:dyDescent="0.25">
      <c r="A726" s="1">
        <v>725</v>
      </c>
      <c r="B726" s="1"/>
      <c r="C726" s="1" t="s">
        <v>5645</v>
      </c>
      <c r="D726" s="1" t="s">
        <v>5646</v>
      </c>
      <c r="E726" s="1">
        <v>2018</v>
      </c>
      <c r="F726" s="1" t="s">
        <v>0</v>
      </c>
      <c r="H726" s="1" t="s">
        <v>5367</v>
      </c>
      <c r="N726" s="1"/>
      <c r="O726" s="47" t="s">
        <v>5647</v>
      </c>
      <c r="P726" s="3" t="s">
        <v>5648</v>
      </c>
      <c r="Q726" s="1">
        <v>-1</v>
      </c>
      <c r="R726" s="1" t="s">
        <v>5036</v>
      </c>
      <c r="S726" s="1"/>
      <c r="T726" s="1"/>
      <c r="U726" s="1"/>
      <c r="V726" s="1"/>
      <c r="W726" s="1"/>
      <c r="X726" s="1"/>
      <c r="Y726" s="1"/>
      <c r="Z726" s="1"/>
      <c r="AA726" s="1"/>
      <c r="AB726" s="1"/>
      <c r="AC726" s="1"/>
      <c r="AD726" s="1"/>
      <c r="AE726" s="1"/>
      <c r="AF726" s="1"/>
    </row>
    <row r="727" spans="1:32" ht="14.25" hidden="1" customHeight="1" x14ac:dyDescent="0.25">
      <c r="A727" s="1">
        <v>726</v>
      </c>
      <c r="B727" s="1"/>
      <c r="C727" s="1" t="s">
        <v>5539</v>
      </c>
      <c r="D727" s="1" t="s">
        <v>5540</v>
      </c>
      <c r="E727" s="1">
        <v>2018</v>
      </c>
      <c r="F727" s="1" t="s">
        <v>658</v>
      </c>
      <c r="H727" s="1" t="s">
        <v>5541</v>
      </c>
      <c r="N727" s="1"/>
      <c r="O727" s="1"/>
      <c r="P727" s="3"/>
      <c r="Q727" s="1">
        <v>-1</v>
      </c>
      <c r="R727" s="1" t="s">
        <v>5036</v>
      </c>
      <c r="S727" s="1"/>
      <c r="T727" s="1"/>
      <c r="U727" s="1"/>
      <c r="V727" s="1"/>
      <c r="W727" s="1"/>
      <c r="X727" s="1"/>
      <c r="Y727" s="1"/>
      <c r="Z727" s="1"/>
      <c r="AA727" s="1"/>
      <c r="AB727" s="1"/>
      <c r="AC727" s="1"/>
      <c r="AD727" s="1"/>
      <c r="AE727" s="1"/>
      <c r="AF727" s="1"/>
    </row>
    <row r="728" spans="1:32" ht="14.25" hidden="1" customHeight="1" x14ac:dyDescent="0.25">
      <c r="A728" s="1">
        <v>727</v>
      </c>
      <c r="B728" s="1"/>
      <c r="C728" s="1" t="s">
        <v>5470</v>
      </c>
      <c r="D728" s="1" t="s">
        <v>5471</v>
      </c>
      <c r="E728" s="1">
        <v>2018</v>
      </c>
      <c r="F728" s="1" t="s">
        <v>0</v>
      </c>
      <c r="H728" s="1"/>
      <c r="N728" s="1" t="s">
        <v>5472</v>
      </c>
      <c r="O728" s="47" t="s">
        <v>5473</v>
      </c>
      <c r="P728" s="3" t="s">
        <v>5474</v>
      </c>
      <c r="Q728" s="1">
        <v>-1</v>
      </c>
      <c r="R728" s="1" t="s">
        <v>5036</v>
      </c>
      <c r="S728" s="1"/>
      <c r="T728" s="1"/>
      <c r="U728" s="1"/>
      <c r="V728" s="1"/>
      <c r="W728" s="1"/>
      <c r="X728" s="1"/>
      <c r="Y728" s="1"/>
      <c r="Z728" s="1"/>
      <c r="AA728" s="1"/>
      <c r="AB728" s="1"/>
      <c r="AC728" s="1"/>
      <c r="AD728" s="1"/>
      <c r="AE728" s="1"/>
      <c r="AF728" s="1"/>
    </row>
    <row r="729" spans="1:32" ht="14.25" hidden="1" customHeight="1" x14ac:dyDescent="0.25">
      <c r="A729" s="1">
        <v>728</v>
      </c>
      <c r="B729" s="1"/>
      <c r="C729" s="1" t="s">
        <v>5673</v>
      </c>
      <c r="D729" s="1" t="s">
        <v>5674</v>
      </c>
      <c r="E729" s="1">
        <v>2018</v>
      </c>
      <c r="F729" s="1" t="s">
        <v>658</v>
      </c>
      <c r="H729" s="1" t="s">
        <v>5541</v>
      </c>
      <c r="N729" s="1"/>
      <c r="O729" s="1"/>
      <c r="P729" s="3"/>
      <c r="Q729" s="1">
        <v>-1</v>
      </c>
      <c r="R729" s="1" t="s">
        <v>5036</v>
      </c>
      <c r="S729" s="1"/>
      <c r="T729" s="1"/>
      <c r="U729" s="1"/>
      <c r="V729" s="1"/>
      <c r="W729" s="1"/>
      <c r="X729" s="1"/>
      <c r="Y729" s="1"/>
      <c r="Z729" s="1"/>
      <c r="AA729" s="1"/>
      <c r="AB729" s="1"/>
      <c r="AC729" s="1"/>
      <c r="AD729" s="1"/>
      <c r="AE729" s="1"/>
      <c r="AF729" s="1"/>
    </row>
    <row r="730" spans="1:32" ht="14.25" hidden="1" customHeight="1" x14ac:dyDescent="0.25">
      <c r="A730" s="1">
        <v>729</v>
      </c>
      <c r="B730" s="1"/>
      <c r="C730" s="1" t="s">
        <v>5439</v>
      </c>
      <c r="D730" s="1" t="s">
        <v>5440</v>
      </c>
      <c r="E730" s="1">
        <v>2018</v>
      </c>
      <c r="F730" s="1" t="s">
        <v>658</v>
      </c>
      <c r="H730" s="1" t="s">
        <v>5441</v>
      </c>
      <c r="N730" s="1"/>
      <c r="O730" s="1"/>
      <c r="P730" s="3"/>
      <c r="Q730" s="1">
        <v>-1</v>
      </c>
      <c r="R730" s="1" t="s">
        <v>5036</v>
      </c>
      <c r="S730" s="1"/>
      <c r="T730" s="1"/>
      <c r="U730" s="1"/>
      <c r="V730" s="1"/>
      <c r="W730" s="1"/>
      <c r="X730" s="1"/>
      <c r="Y730" s="1"/>
      <c r="Z730" s="1"/>
      <c r="AA730" s="1"/>
      <c r="AB730" s="1"/>
      <c r="AC730" s="1"/>
      <c r="AD730" s="1"/>
      <c r="AE730" s="1"/>
      <c r="AF730" s="1"/>
    </row>
    <row r="731" spans="1:32" ht="15" hidden="1" customHeight="1" x14ac:dyDescent="0.25">
      <c r="A731" s="1">
        <v>730</v>
      </c>
      <c r="B731" s="1"/>
      <c r="C731" s="1" t="s">
        <v>5452</v>
      </c>
      <c r="D731" s="1" t="s">
        <v>5453</v>
      </c>
      <c r="E731" s="1">
        <v>2018</v>
      </c>
      <c r="F731" s="1" t="s">
        <v>244</v>
      </c>
      <c r="H731" s="1"/>
      <c r="N731" s="1" t="s">
        <v>5454</v>
      </c>
      <c r="O731" s="47" t="s">
        <v>5455</v>
      </c>
      <c r="P731" s="3" t="s">
        <v>5456</v>
      </c>
      <c r="Q731" s="1">
        <v>-1</v>
      </c>
      <c r="R731" s="1" t="s">
        <v>5036</v>
      </c>
      <c r="S731" s="1"/>
      <c r="T731" s="1"/>
      <c r="U731" s="1"/>
      <c r="V731" s="1"/>
      <c r="W731" s="1"/>
      <c r="X731" s="1"/>
      <c r="Y731" s="1"/>
      <c r="Z731" s="1"/>
      <c r="AA731" s="1"/>
      <c r="AB731" s="1"/>
      <c r="AC731" s="1"/>
      <c r="AD731" s="1"/>
      <c r="AE731" s="1"/>
      <c r="AF731" s="1"/>
    </row>
  </sheetData>
  <conditionalFormatting sqref="R2:S5 R648:S650 R6:R647">
    <cfRule type="iconSet" priority="52">
      <iconSet iconSet="3Symbols2">
        <cfvo type="percent" val="0"/>
        <cfvo type="percent" val="33"/>
        <cfvo type="percent" val="67"/>
      </iconSet>
    </cfRule>
  </conditionalFormatting>
  <conditionalFormatting sqref="Q2:S5 Q648:S650 Q6:R647">
    <cfRule type="iconSet" priority="54">
      <iconSet iconSet="3Symbols2">
        <cfvo type="percent" val="0"/>
        <cfvo type="percent" val="33"/>
        <cfvo type="percent" val="67"/>
      </iconSet>
    </cfRule>
  </conditionalFormatting>
  <conditionalFormatting sqref="S6:S513 S515:S647">
    <cfRule type="colorScale" priority="5">
      <colorScale>
        <cfvo type="min"/>
        <cfvo type="percentile" val="50"/>
        <cfvo type="max"/>
        <color rgb="FFF8696B"/>
        <color rgb="FFFFEB84"/>
        <color rgb="FF63BE7B"/>
      </colorScale>
    </cfRule>
  </conditionalFormatting>
  <conditionalFormatting sqref="S514">
    <cfRule type="colorScale" priority="3">
      <colorScale>
        <cfvo type="min"/>
        <cfvo type="percentile" val="50"/>
        <cfvo type="max"/>
        <color rgb="FFF8696B"/>
        <color rgb="FFFFEB84"/>
        <color rgb="FF63BE7B"/>
      </colorScale>
    </cfRule>
  </conditionalFormatting>
  <conditionalFormatting sqref="S2:S731">
    <cfRule type="colorScale" priority="2">
      <colorScale>
        <cfvo type="min"/>
        <cfvo type="percentile" val="50"/>
        <cfvo type="max"/>
        <color rgb="FFF8696B"/>
        <color rgb="FFFFEB84"/>
        <color rgb="FF63BE7B"/>
      </colorScale>
    </cfRule>
  </conditionalFormatting>
  <conditionalFormatting sqref="Q651:R731">
    <cfRule type="iconSet" priority="1">
      <iconSet iconSet="3Symbols2">
        <cfvo type="percent" val="0"/>
        <cfvo type="percent" val="33"/>
        <cfvo type="percent" val="67"/>
      </iconSet>
    </cfRule>
  </conditionalFormatting>
  <pageMargins left="0.7" right="0.7" top="0.75" bottom="0.75" header="0.3" footer="0.3"/>
  <pageSetup paperSize="9" orientation="portrait" r:id="rId1"/>
  <legacyDrawing r:id="rId2"/>
  <tableParts count="1">
    <tablePart r:id="rId3"/>
  </tableParts>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100-000000000000}">
          <x14:formula1>
            <xm:f>param!$D$2:$D$30</xm:f>
          </x14:formula1>
          <xm:sqref>W2:W650 W656 W662 W671 W675 W677 W687 W687:W688 W699 W701 W710 W712 W722</xm:sqref>
        </x14:dataValidation>
        <x14:dataValidation type="list" allowBlank="1" showInputMessage="1" showErrorMessage="1" xr:uid="{00000000-0002-0000-0100-000001000000}">
          <x14:formula1>
            <xm:f>param!$A$2:$A$30</xm:f>
          </x14:formula1>
          <xm:sqref>U648:U650 U514 U398:U408 T2:T650 U2:U287 U289:U396 T656 T712 T662 T671 T675 T677 T687 T687:T688 T699 T701 T710 T722</xm:sqref>
        </x14:dataValidation>
        <x14:dataValidation type="list" allowBlank="1" showInputMessage="1" showErrorMessage="1" xr:uid="{00000000-0002-0000-0100-000002000000}">
          <x14:formula1>
            <xm:f>param!$E$2:$E$19</xm:f>
          </x14:formula1>
          <xm:sqref>Y648:AA648 Y2:AA5 X2:X648 X656 X662 X671 X675 X677 X687 X687:X688 X699 X701 X710 X712 X722</xm:sqref>
        </x14:dataValidation>
        <x14:dataValidation type="list" allowBlank="1" showInputMessage="1" showErrorMessage="1" xr:uid="{00000000-0002-0000-0100-000004000000}">
          <x14:formula1>
            <xm:f>param!$F$2:$F$21</xm:f>
          </x14:formula1>
          <xm:sqref>AA6:AA647 AA656 AA662 AA671 AA675 AA677 AA687 AA687:AA688 AA699 AA701 AA710 AA712 AA722</xm:sqref>
        </x14:dataValidation>
        <x14:dataValidation type="list" allowBlank="1" showInputMessage="1" showErrorMessage="1" xr:uid="{00000000-0002-0000-0100-000005000000}">
          <x14:formula1>
            <xm:f>param!$G$2:$G$18</xm:f>
          </x14:formula1>
          <xm:sqref>Y6:Y647 Y656 Y662 Y671 Y675 Y677 Y687 Y687:Y688 Y699 Y701 Y710 Y712 Y722</xm:sqref>
        </x14:dataValidation>
        <x14:dataValidation type="list" allowBlank="1" showInputMessage="1" showErrorMessage="1" xr:uid="{00000000-0002-0000-0100-000006000000}">
          <x14:formula1>
            <xm:f>param!$H$2:$H$19</xm:f>
          </x14:formula1>
          <xm:sqref>Z6:Z600 Z602</xm:sqref>
        </x14:dataValidation>
        <x14:dataValidation type="list" allowBlank="1" showInputMessage="1" showErrorMessage="1" xr:uid="{00000000-0002-0000-0100-000007000000}">
          <x14:formula1>
            <xm:f>param!$B$2:$B$30</xm:f>
          </x14:formula1>
          <xm:sqref>X649:AA650 U2:U650 U656 U662 U671 U675 U677 U687 U687:U688 U699 U701 U710 U712 U722</xm:sqref>
        </x14:dataValidation>
        <x14:dataValidation type="list" allowBlank="1" showInputMessage="1" showErrorMessage="1" xr:uid="{00000000-0002-0000-0100-000008000000}">
          <x14:formula1>
            <xm:f>param!$C$2:$C$30</xm:f>
          </x14:formula1>
          <xm:sqref>V2:W650 V656:W656 V662:W662 V671:W671 V675:W675 V677:W677 V687:W687 V687:W688 V699:W699 V701:W701 V710:W710 V712:W712 V722:W722</xm:sqref>
        </x14:dataValidation>
        <x14:dataValidation type="list" allowBlank="1" showInputMessage="1" showErrorMessage="1" xr:uid="{00000000-0002-0000-0100-000009000000}">
          <x14:formula1>
            <xm:f>param!$B$2:$B$24</xm:f>
          </x14:formula1>
          <xm:sqref>U397</xm:sqref>
        </x14:dataValidation>
        <x14:dataValidation type="list" allowBlank="1" showInputMessage="1" showErrorMessage="1" xr:uid="{00000000-0002-0000-0100-00000A000000}">
          <x14:formula1>
            <xm:f>param!$B$2:$B$29</xm:f>
          </x14:formula1>
          <xm:sqref>U409:U513 U515:U647 U656 U662 U671 U675 U677 U687 U687:U688 U699 U701 U710 U712 U722</xm:sqref>
        </x14:dataValidation>
        <x14:dataValidation type="list" allowBlank="1" showInputMessage="1" showErrorMessage="1" xr:uid="{00000000-0002-0000-0100-00000B000000}">
          <x14:formula1>
            <xm:f>param!$H$2:$H$39</xm:f>
          </x14:formula1>
          <xm:sqref>Z601</xm:sqref>
        </x14:dataValidation>
        <x14:dataValidation type="list" allowBlank="1" showInputMessage="1" showErrorMessage="1" xr:uid="{00000000-0002-0000-0100-00000C000000}">
          <x14:formula1>
            <xm:f>param!$H$2:$H$24</xm:f>
          </x14:formula1>
          <xm:sqref>Z603:Z647 Z656 Z662 Z671 Z675 Z677 Z687 Z687:Z688 Z699 Z701 Z710 Z712 Z722</xm:sqref>
        </x14:dataValidation>
        <x14:dataValidation type="list" allowBlank="1" showInputMessage="1" showErrorMessage="1" xr:uid="{00000000-0002-0000-0100-00000D000000}">
          <x14:formula1>
            <xm:f>param!$B$2:$B$27</xm:f>
          </x14:formula1>
          <xm:sqref>U288</xm:sqref>
        </x14:dataValidation>
        <x14:dataValidation type="list" allowBlank="1" showInputMessage="1" showErrorMessage="1" xr:uid="{61E4ACDD-8796-46BE-A18B-F5D2965E5ADE}">
          <x14:formula1>
            <xm:f>param!$E$2:$E$29</xm:f>
          </x14:formula1>
          <xm:sqref>F651:F731</xm:sqref>
        </x14:dataValidation>
        <x14:dataValidation type="list" allowBlank="1" showInputMessage="1" showErrorMessage="1" xr:uid="{00000000-0002-0000-0100-000003000000}">
          <x14:formula1>
            <xm:f>param!$J$2:$J$6</xm:f>
          </x14:formula1>
          <xm:sqref>AB2:AF682 AB684:AF731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47"/>
  <sheetViews>
    <sheetView tabSelected="1" topLeftCell="A22" zoomScale="85" zoomScaleNormal="85" workbookViewId="0">
      <selection activeCell="C44" sqref="C44"/>
    </sheetView>
  </sheetViews>
  <sheetFormatPr baseColWidth="10" defaultRowHeight="15" x14ac:dyDescent="0.25"/>
  <cols>
    <col min="1" max="1" width="5.140625" customWidth="1"/>
    <col min="2" max="2" width="5" customWidth="1"/>
    <col min="3" max="3" width="50.42578125" customWidth="1"/>
    <col min="4" max="4" width="17.42578125" customWidth="1"/>
    <col min="5" max="5" width="7.28515625" bestFit="1" customWidth="1"/>
    <col min="6" max="6" width="5.42578125" customWidth="1"/>
    <col min="7" max="7" width="5" customWidth="1"/>
    <col min="8" max="8" width="7.28515625" customWidth="1"/>
    <col min="9" max="9" width="4.5703125" customWidth="1"/>
    <col min="11" max="12" width="11.42578125" customWidth="1"/>
    <col min="13" max="14" width="4.5703125" customWidth="1"/>
    <col min="15" max="15" width="8.7109375" customWidth="1"/>
    <col min="17" max="17" width="12" customWidth="1"/>
    <col min="18" max="18" width="18.7109375" customWidth="1"/>
    <col min="19" max="19" width="19.7109375" customWidth="1"/>
    <col min="20" max="21" width="13.140625" customWidth="1"/>
    <col min="22" max="22" width="20.140625" customWidth="1"/>
    <col min="23" max="28" width="5.7109375" customWidth="1"/>
    <col min="29" max="29" width="5.7109375" style="45" customWidth="1"/>
    <col min="30" max="30" width="4.85546875" style="12" customWidth="1"/>
    <col min="31" max="31" width="5.7109375" style="12" customWidth="1"/>
    <col min="32" max="40" width="3.7109375" style="41" customWidth="1"/>
    <col min="41" max="48" width="3.7109375" style="12" customWidth="1"/>
    <col min="49" max="54" width="3.5703125" style="12" customWidth="1"/>
    <col min="55" max="72" width="4" style="12" customWidth="1"/>
    <col min="73" max="75" width="3.5703125" style="12" customWidth="1"/>
    <col min="76" max="77" width="3.5703125" customWidth="1"/>
  </cols>
  <sheetData>
    <row r="1" spans="1:75" x14ac:dyDescent="0.25">
      <c r="O1" s="46"/>
      <c r="AC1" s="42"/>
      <c r="AD1" s="25">
        <f>COUNTIF(Tabla7[Database],"X")</f>
        <v>6</v>
      </c>
      <c r="AE1" s="21">
        <f>COUNTIF(Tabla7[expert''s knowledge],"X")</f>
        <v>14</v>
      </c>
      <c r="AF1" s="21">
        <f>COUNTIF(Tabla7[EA Models],"X")</f>
        <v>8</v>
      </c>
      <c r="AG1" s="21">
        <f>COUNTIF(Tabla7[services / ESB],"X")</f>
        <v>6</v>
      </c>
      <c r="AH1" s="21">
        <f>COUNTIF(Tabla7[IT knowledge and operational data],"X")</f>
        <v>8</v>
      </c>
      <c r="AI1" s="21">
        <f>COUNTIF(Tabla7[application info],"X")</f>
        <v>7</v>
      </c>
      <c r="AJ1" s="21">
        <f>COUNTIF(Tabla7[business knowledge / requirements],"X")</f>
        <v>6</v>
      </c>
      <c r="AK1" s="21">
        <f>COUNTIF(Tabla7[process logs],"X")</f>
        <v>9</v>
      </c>
      <c r="AL1" s="21">
        <f>COUNTIF(Tabla7[Social Media],"X")</f>
        <v>1</v>
      </c>
      <c r="AM1" s="21">
        <f>COUNTIF(Tabla7[expert interview / serious game],"X")</f>
        <v>7</v>
      </c>
      <c r="AN1" s="21">
        <f>COUNTIF(Tabla7[Data collection/Data mapping],"X")</f>
        <v>21</v>
      </c>
      <c r="AO1" s="21">
        <f>COUNTIF(Tabla7[process mining],"X")</f>
        <v>5</v>
      </c>
      <c r="AP1" s="21">
        <f>COUNTIF(Tabla7[MDE / Model transformations],"X")</f>
        <v>8</v>
      </c>
      <c r="AQ1" s="21">
        <f>COUNTIF(Tabla7[EA Model annotations],"X")</f>
        <v>4</v>
      </c>
      <c r="AR1" s="21">
        <f>COUNTIF(Tabla7[social network analaysis],"X")</f>
        <v>3</v>
      </c>
      <c r="AS1" s="21">
        <f>COUNTIF(Tabla7[business intelligence /pattern matching],"X")</f>
        <v>2</v>
      </c>
      <c r="AT1" s="21">
        <f>COUNTIF(Tabla7[Runtime/Temporal Analysis],"X")</f>
        <v>3</v>
      </c>
      <c r="AU1" s="25">
        <f>COUNTIF(Tabla7[Holistic],"X")</f>
        <v>17</v>
      </c>
      <c r="AV1" s="21">
        <f>COUNTIF(Tabla7[Process],"X")</f>
        <v>8</v>
      </c>
      <c r="AW1" s="21">
        <f>COUNTIF(Tabla7[Service],"X")</f>
        <v>4</v>
      </c>
      <c r="AX1" s="21">
        <f>COUNTIF(Tabla7[Application concern],"X")</f>
        <v>11</v>
      </c>
      <c r="AY1" s="21">
        <f>COUNTIF(Tabla7[IT Infrastructure],"X")</f>
        <v>5</v>
      </c>
      <c r="AZ1" s="21">
        <f>COUNTIF(Tabla7[Business],"X")</f>
        <v>3</v>
      </c>
      <c r="BA1" s="25">
        <f>COUNTIF(Tabla7[Agnostic],"X")</f>
        <v>28</v>
      </c>
      <c r="BB1" s="21">
        <f>COUNTIF(Tabla7[TOGAF],"X")</f>
        <v>11</v>
      </c>
      <c r="BC1" s="21">
        <f>COUNTIF(Tabla7[Zachman],"X")</f>
        <v>1</v>
      </c>
      <c r="BD1" s="21">
        <f>COUNTIF(Tabla7[ESARC],"X")</f>
        <v>2</v>
      </c>
      <c r="BE1" s="21">
        <f>COUNTIF(Tabla7[ISO 42010],"X")</f>
        <v>1</v>
      </c>
      <c r="BF1" s="21">
        <f>COUNTIF(Tabla7[DoDAF],"X")</f>
        <v>2</v>
      </c>
      <c r="BG1" s="21">
        <f>COUNTIF(Tabla7[MODAF],"X")</f>
        <v>1</v>
      </c>
      <c r="BH1" s="25">
        <f>COUNTIF(Tabla7[ArchiMate],"X")</f>
        <v>8</v>
      </c>
      <c r="BI1" s="21">
        <f>COUNTIF(Tabla7[MOF],"X")</f>
        <v>4</v>
      </c>
      <c r="BJ1" s="21">
        <f>COUNTIF(Tabla7[UML/OCL],"X")</f>
        <v>6</v>
      </c>
      <c r="BK1" s="21">
        <f>COUNTIF(Tabla7[OWL/Sparql],"X")</f>
        <v>4</v>
      </c>
      <c r="BL1" s="21">
        <f>COUNTIF(Tabla7[PetriNet],"X")</f>
        <v>1</v>
      </c>
      <c r="BM1" s="21">
        <f>COUNTIF(Tabla7[BPMN],"X")</f>
        <v>2</v>
      </c>
      <c r="BN1" s="21">
        <f>COUNTIF(Tabla7[SPEM],"X")</f>
        <v>1</v>
      </c>
      <c r="BO1" s="21">
        <f>COUNTIF(Tabla7[SysML],"X")</f>
        <v>1</v>
      </c>
      <c r="BP1" s="21">
        <f>COUNTIF(Tabla7[SoaML],"X")</f>
        <v>1</v>
      </c>
      <c r="BQ1" s="21">
        <f>COUNTIF(Tabla7[XML],"X")</f>
        <v>2</v>
      </c>
      <c r="BR1" s="21"/>
      <c r="BS1" s="25">
        <f>COUNTIF(Tabla7[EA Maintenance],"X")</f>
        <v>16</v>
      </c>
      <c r="BT1" s="21">
        <f>COUNTIF(Tabla7[EA Analysis],"X")</f>
        <v>8</v>
      </c>
      <c r="BU1" s="21">
        <f>COUNTIF(Tabla7[SOA / micro-services],"X")</f>
        <v>5</v>
      </c>
      <c r="BV1" s="21">
        <f>COUNTIF(Tabla7[IoT],"X")</f>
        <v>1</v>
      </c>
      <c r="BW1" s="21">
        <f>COUNTIF(Tabla7[SoS],"X")</f>
        <v>2</v>
      </c>
    </row>
    <row r="2" spans="1:75" ht="194.25" x14ac:dyDescent="0.25">
      <c r="A2" s="30" t="s">
        <v>5235</v>
      </c>
      <c r="B2" s="31" t="s">
        <v>5231</v>
      </c>
      <c r="C2" s="31" t="s">
        <v>711</v>
      </c>
      <c r="D2" s="31" t="s">
        <v>709</v>
      </c>
      <c r="E2" s="31" t="s">
        <v>710</v>
      </c>
      <c r="F2" s="31" t="s">
        <v>5303</v>
      </c>
      <c r="G2" s="31" t="s">
        <v>5293</v>
      </c>
      <c r="H2" s="31" t="s">
        <v>5294</v>
      </c>
      <c r="I2" s="31" t="s">
        <v>5302</v>
      </c>
      <c r="J2" s="31" t="s">
        <v>4953</v>
      </c>
      <c r="K2" s="31" t="s">
        <v>4959</v>
      </c>
      <c r="L2" s="31" t="s">
        <v>716</v>
      </c>
      <c r="M2" s="31" t="s">
        <v>4994</v>
      </c>
      <c r="N2" s="31" t="s">
        <v>5236</v>
      </c>
      <c r="O2" s="31" t="s">
        <v>4969</v>
      </c>
      <c r="P2" s="31" t="s">
        <v>4982</v>
      </c>
      <c r="Q2" s="31" t="s">
        <v>4983</v>
      </c>
      <c r="R2" s="31" t="s">
        <v>4981</v>
      </c>
      <c r="S2" s="31" t="s">
        <v>4980</v>
      </c>
      <c r="T2" s="31" t="s">
        <v>5002</v>
      </c>
      <c r="U2" s="31" t="s">
        <v>5001</v>
      </c>
      <c r="V2" s="31" t="s">
        <v>5280</v>
      </c>
      <c r="W2" s="32" t="s">
        <v>4989</v>
      </c>
      <c r="X2" s="32" t="s">
        <v>4990</v>
      </c>
      <c r="Y2" s="32" t="s">
        <v>4991</v>
      </c>
      <c r="Z2" s="32" t="s">
        <v>4992</v>
      </c>
      <c r="AA2" s="32" t="s">
        <v>5306</v>
      </c>
      <c r="AB2" s="32" t="s">
        <v>5308</v>
      </c>
      <c r="AC2" s="33" t="s">
        <v>5319</v>
      </c>
      <c r="AD2" s="33" t="s">
        <v>5258</v>
      </c>
      <c r="AE2" s="32" t="s">
        <v>5260</v>
      </c>
      <c r="AF2" s="32" t="s">
        <v>728</v>
      </c>
      <c r="AG2" s="32" t="s">
        <v>5261</v>
      </c>
      <c r="AH2" s="32" t="s">
        <v>5262</v>
      </c>
      <c r="AI2" s="32" t="s">
        <v>5263</v>
      </c>
      <c r="AJ2" s="32" t="s">
        <v>5264</v>
      </c>
      <c r="AK2" s="31" t="s">
        <v>5076</v>
      </c>
      <c r="AL2" s="31" t="s">
        <v>5063</v>
      </c>
      <c r="AM2" s="34" t="s">
        <v>5276</v>
      </c>
      <c r="AN2" s="35" t="s">
        <v>5015</v>
      </c>
      <c r="AO2" s="35" t="s">
        <v>5022</v>
      </c>
      <c r="AP2" s="35" t="s">
        <v>5272</v>
      </c>
      <c r="AQ2" s="35" t="s">
        <v>5273</v>
      </c>
      <c r="AR2" s="35" t="s">
        <v>5029</v>
      </c>
      <c r="AS2" s="35" t="s">
        <v>5274</v>
      </c>
      <c r="AT2" s="36" t="s">
        <v>5275</v>
      </c>
      <c r="AU2" s="34" t="s">
        <v>5278</v>
      </c>
      <c r="AV2" s="35" t="s">
        <v>724</v>
      </c>
      <c r="AW2" s="35" t="s">
        <v>5279</v>
      </c>
      <c r="AX2" s="35" t="s">
        <v>5329</v>
      </c>
      <c r="AY2" s="35" t="s">
        <v>5292</v>
      </c>
      <c r="AZ2" s="35" t="s">
        <v>5281</v>
      </c>
      <c r="BA2" s="34" t="s">
        <v>5003</v>
      </c>
      <c r="BB2" s="35" t="s">
        <v>834</v>
      </c>
      <c r="BC2" s="35" t="s">
        <v>1042</v>
      </c>
      <c r="BD2" s="35" t="s">
        <v>3111</v>
      </c>
      <c r="BE2" s="35" t="s">
        <v>5285</v>
      </c>
      <c r="BF2" s="35" t="s">
        <v>2133</v>
      </c>
      <c r="BG2" s="35" t="s">
        <v>5284</v>
      </c>
      <c r="BH2" s="34" t="s">
        <v>726</v>
      </c>
      <c r="BI2" s="35" t="s">
        <v>4998</v>
      </c>
      <c r="BJ2" s="35" t="s">
        <v>5013</v>
      </c>
      <c r="BK2" s="35" t="s">
        <v>5290</v>
      </c>
      <c r="BL2" s="35" t="s">
        <v>5024</v>
      </c>
      <c r="BM2" s="35" t="s">
        <v>1464</v>
      </c>
      <c r="BN2" s="35" t="s">
        <v>5288</v>
      </c>
      <c r="BO2" s="35" t="s">
        <v>1781</v>
      </c>
      <c r="BP2" s="35" t="s">
        <v>2134</v>
      </c>
      <c r="BQ2" s="35" t="s">
        <v>1090</v>
      </c>
      <c r="BR2" s="35" t="s">
        <v>5730</v>
      </c>
      <c r="BS2" s="34" t="s">
        <v>5006</v>
      </c>
      <c r="BT2" s="35" t="s">
        <v>5007</v>
      </c>
      <c r="BU2" s="35" t="s">
        <v>5291</v>
      </c>
      <c r="BV2" s="35" t="s">
        <v>1275</v>
      </c>
      <c r="BW2" s="35" t="s">
        <v>5008</v>
      </c>
    </row>
    <row r="3" spans="1:75" x14ac:dyDescent="0.25">
      <c r="A3" s="13">
        <v>232</v>
      </c>
      <c r="B3" s="14">
        <v>4</v>
      </c>
      <c r="C3" s="14" t="s">
        <v>1318</v>
      </c>
      <c r="D3" s="14" t="s">
        <v>3530</v>
      </c>
      <c r="E3" s="15">
        <v>2012</v>
      </c>
      <c r="F3" s="15" t="s">
        <v>5296</v>
      </c>
      <c r="G3" s="15" t="s">
        <v>5296</v>
      </c>
      <c r="H3" s="15">
        <v>1.135</v>
      </c>
      <c r="I3" s="15">
        <v>2</v>
      </c>
      <c r="J3" s="14" t="s">
        <v>116</v>
      </c>
      <c r="K3" s="14" t="s">
        <v>3532</v>
      </c>
      <c r="L3" s="14" t="s">
        <v>1320</v>
      </c>
      <c r="M3" s="14">
        <v>6</v>
      </c>
      <c r="N3" s="14">
        <v>74</v>
      </c>
      <c r="O3" s="14" t="s">
        <v>5005</v>
      </c>
      <c r="P3" s="14" t="s">
        <v>727</v>
      </c>
      <c r="Q3" s="14" t="s">
        <v>4996</v>
      </c>
      <c r="R3" s="14" t="s">
        <v>4973</v>
      </c>
      <c r="S3" s="14" t="s">
        <v>116</v>
      </c>
      <c r="T3" s="14" t="s">
        <v>5003</v>
      </c>
      <c r="U3" s="14"/>
      <c r="V3" s="14" t="s">
        <v>5006</v>
      </c>
      <c r="W3" s="14">
        <v>1</v>
      </c>
      <c r="X3" s="14">
        <v>1</v>
      </c>
      <c r="Y3" s="14">
        <v>2</v>
      </c>
      <c r="Z3" s="14">
        <v>2</v>
      </c>
      <c r="AA3"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4</v>
      </c>
      <c r="AB3" s="14">
        <v>5</v>
      </c>
      <c r="AC3" s="43" t="s">
        <v>5221</v>
      </c>
      <c r="AD3" s="22" t="str">
        <f>IF(OR(ISNUMBER(SEARCH('Source Artifacts'!$F$3,Tabla7[[#This Row],[Source IS artifacts]])),ISNUMBER(SEARCH('Source Artifacts'!$F$4,Tabla7[[#This Row],[Source IS artifacts]]))),"X","")</f>
        <v/>
      </c>
      <c r="AE3" s="18" t="str">
        <f>IF(OR(ISNUMBER(SEARCH('Source Artifacts'!$L$3,Tabla7[[#This Row],[Source IS artifacts]])),ISNUMBER(SEARCH('Source Artifacts'!$L$4,Tabla7[[#This Row],[Source IS artifacts]])),ISNUMBER(SEARCH('Source Artifacts'!$L$5,Tabla7[[#This Row],[Source IS artifacts]]))),"X","")</f>
        <v/>
      </c>
      <c r="AF3" s="18" t="str">
        <f>IF(OR(ISNUMBER(SEARCH('Source Artifacts'!$I$3,Tabla7[[#This Row],[Source IS artifacts]])),ISNUMBER(SEARCH('Source Artifacts'!$I$4,Tabla7[[#This Row],[Source IS artifacts]])),ISNUMBER(SEARCH('Source Artifacts'!$I$5,Tabla7[[#This Row],[Source IS artifacts]]))),"X","")</f>
        <v/>
      </c>
      <c r="AG3" s="18"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3" s="18"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3" s="18"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X</v>
      </c>
      <c r="AJ3" s="18"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3"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3" s="18" t="str">
        <f>IF(OR(ISNUMBER(SEARCH('Source Artifacts'!$D$3,Tabla7[[#This Row],[Source IS artifacts]]))),"X","")</f>
        <v/>
      </c>
      <c r="AM3"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X</v>
      </c>
      <c r="AN3"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X</v>
      </c>
      <c r="AO3" s="18" t="str">
        <f>IF(OR(ISNUMBER(SEARCH(Techniques!$H$3,Tabla7[[#This Row],[Mining techniques]])),ISNUMBER(SEARCH(Techniques!$H$4,Tabla7[[#This Row],[Mining techniques]]))),"X","")</f>
        <v/>
      </c>
      <c r="AP3" s="18" t="str">
        <f>IF(OR(ISNUMBER(SEARCH(Techniques!$J$3,Tabla7[[#This Row],[Mining techniques]]))),"X","")</f>
        <v/>
      </c>
      <c r="AQ3" s="18" t="str">
        <f>IF(OR(ISNUMBER(SEARCH(Techniques!$G$3,Tabla7[[#This Row],[Mining techniques]])),ISNUMBER(SEARCH(Techniques!$G$4,Tabla7[[#This Row],[Mining techniques]]))),"X","")</f>
        <v/>
      </c>
      <c r="AR3" s="18" t="str">
        <f>IF(OR(ISNUMBER(SEARCH(Techniques!$F$3,Tabla7[[#This Row],[Mining techniques]])),ISNUMBER(SEARCH(Techniques!$F$4,Tabla7[[#This Row],[Mining techniques]]))),"X","")</f>
        <v/>
      </c>
      <c r="AS3" s="18" t="str">
        <f>IF(OR(ISNUMBER(SEARCH(Techniques!$D$3,Tabla7[[#This Row],[Mining techniques]])),ISNUMBER(SEARCH(Techniques!$D$4,Tabla7[[#This Row],[Mining techniques]]))),"X","")</f>
        <v/>
      </c>
      <c r="AT3" s="18" t="str">
        <f>IF(OR(ISNUMBER(SEARCH(Techniques!$E$3,Tabla7[[#This Row],[Mining techniques]])),ISNUMBER(SEARCH(Techniques!$E$4,Tabla7[[#This Row],[Mining techniques]]))),"X","")</f>
        <v/>
      </c>
      <c r="AU3" s="27" t="str">
        <f>IF(OR(ISNUMBER(SEARCH('EA Concern'!$I$3,Tabla7[[#This Row],[EA concern]]))),"X","")</f>
        <v/>
      </c>
      <c r="AV3" s="26" t="str">
        <f>IF(OR(ISNUMBER(SEARCH('EA Concern'!$G$3,Tabla7[[#This Row],[EA concern]])),ISNUMBER(SEARCH('EA Concern'!$G$4,Tabla7[[#This Row],[EA concern]]))),"X","")</f>
        <v/>
      </c>
      <c r="AW3" s="26" t="str">
        <f>IF(OR(ISNUMBER(SEARCH('EA Concern'!$E$3,Tabla7[[#This Row],[EA concern]]))),"X","")</f>
        <v/>
      </c>
      <c r="AX3" s="26" t="str">
        <f>IF(OR(ISNUMBER(SEARCH('EA Concern'!$H$3,Tabla7[[#This Row],[EA concern]])),ISNUMBER(SEARCH('EA Concern'!$H$4,Tabla7[[#This Row],[EA concern]]))),"X","")</f>
        <v>X</v>
      </c>
      <c r="AY3" s="26" t="str">
        <f>IF(OR(ISNUMBER(SEARCH('EA Concern'!$F$3,Tabla7[[#This Row],[EA concern]])),ISNUMBER(SEARCH('EA Concern'!$F$4,Tabla7[[#This Row],[EA concern]]))),"X","")</f>
        <v/>
      </c>
      <c r="AZ3" s="26" t="str">
        <f>IF(OR(ISNUMBER(SEARCH('EA Concern'!$D$3,Tabla7[[#This Row],[EA concern]])),ISNUMBER(SEARCH('EA Concern'!$D$4,Tabla7[[#This Row],[EA concern]]))),"X","")</f>
        <v/>
      </c>
      <c r="BA3" s="22" t="str">
        <f>IF(OR(ISNUMBER(SEARCH('EA Framework'!$J$3,Tabla7[[#This Row],[Framework/Methodology]])),ISNUMBER(SEARCH('EA Framework'!$J$4,Tabla7[[#This Row],[Framework/Methodology]]))),"X","")</f>
        <v>X</v>
      </c>
      <c r="BB3" s="18" t="str">
        <f>IF(OR(ISNUMBER(SEARCH('EA Framework'!$I$3,Tabla7[[#This Row],[Framework/Methodology]]))),"X","")</f>
        <v/>
      </c>
      <c r="BC3" s="18" t="str">
        <f>IF(OR(ISNUMBER(SEARCH('EA Framework'!$F$3,Tabla7[[#This Row],[Framework/Methodology]]))),"X","")</f>
        <v/>
      </c>
      <c r="BD3" s="18" t="str">
        <f>IF(OR(ISNUMBER(SEARCH('EA Framework'!$H$3,Tabla7[[#This Row],[Framework/Methodology]]))),"X","")</f>
        <v/>
      </c>
      <c r="BE3" s="18" t="str">
        <f>IF(OR(ISNUMBER(SEARCH('EA Framework'!$E$3,Tabla7[[#This Row],[Framework/Methodology]]))),"X","")</f>
        <v/>
      </c>
      <c r="BF3" s="18" t="str">
        <f>IF(OR(ISNUMBER(SEARCH('EA Framework'!$G$3,Tabla7[[#This Row],[Framework/Methodology]]))),"X","")</f>
        <v/>
      </c>
      <c r="BG3" s="18" t="str">
        <f>IF(OR(ISNUMBER(SEARCH('EA Framework'!$D$3,Tabla7[[#This Row],[Framework/Methodology]]))),"X","")</f>
        <v/>
      </c>
      <c r="BH3" s="22" t="str">
        <f>IF(OR(ISNUMBER(SEARCH('Modelling Language'!$M$3,Tabla7[[#This Row],[Language]])),ISNUMBER(SEARCH('Modelling Language'!$M$4,Tabla7[[#This Row],[Language]])),ISNUMBER(SEARCH('Modelling Language'!$M$5,Tabla7[[#This Row],[Language]]))),"X","")</f>
        <v/>
      </c>
      <c r="BI3" s="18" t="str">
        <f>IF(OR(ISNUMBER(SEARCH('Modelling Language'!$J$3,Tabla7[[#This Row],[Language]])),ISNUMBER(SEARCH('Modelling Language'!$J$4,Tabla7[[#This Row],[Language]]))),"X","")</f>
        <v/>
      </c>
      <c r="BJ3" s="18" t="str">
        <f>IF(OR(ISNUMBER(SEARCH('Modelling Language'!$L$3,Tabla7[[#This Row],[Language]])),ISNUMBER(SEARCH('Modelling Language'!$L$4,Tabla7[[#This Row],[Language]]))),"X","")</f>
        <v/>
      </c>
      <c r="BK3" s="18" t="str">
        <f>IF(OR(ISNUMBER(SEARCH('Modelling Language'!$K$3,Tabla7[[#This Row],[Language]])),ISNUMBER(SEARCH('Modelling Language'!$K$4,Tabla7[[#This Row],[Language]]))),"X","")</f>
        <v/>
      </c>
      <c r="BL3" s="18" t="str">
        <f>IF(OR(ISNUMBER(SEARCH('Modelling Language'!$D$3,Tabla7[[#This Row],[Language]]))),"X","")</f>
        <v/>
      </c>
      <c r="BM3" s="18" t="str">
        <f>IF(OR(ISNUMBER(SEARCH('Modelling Language'!$I$3,Tabla7[[#This Row],[Language]]))),"X","")</f>
        <v/>
      </c>
      <c r="BN3" s="18" t="str">
        <f>IF(OR(ISNUMBER(SEARCH('Modelling Language'!$G$3,Tabla7[[#This Row],[Language]]))),"X","")</f>
        <v/>
      </c>
      <c r="BO3" s="18" t="str">
        <f>IF(OR(ISNUMBER(SEARCH('Modelling Language'!$F$3,Tabla7[[#This Row],[Language]]))),"X","")</f>
        <v/>
      </c>
      <c r="BP3" s="18" t="str">
        <f>IF(OR(ISNUMBER(SEARCH('Modelling Language'!$E$3,Tabla7[[#This Row],[Language]]))),"X","")</f>
        <v/>
      </c>
      <c r="BQ3" s="18" t="str">
        <f>IF(OR(ISNUMBER(SEARCH('Modelling Language'!$H$3,Tabla7[[#This Row],[Language]]))),"X","")</f>
        <v/>
      </c>
      <c r="BR3" s="18"/>
      <c r="BS3" s="22" t="str">
        <f>IF(OR(ISNUMBER(SEARCH(applicability!$D$3,Tabla7[[#This Row],[Application]])),ISNUMBER(SEARCH(applicability!$D$4,Tabla7[[#This Row],[Application]]))),"X","")</f>
        <v>X</v>
      </c>
      <c r="BT3" s="18" t="str">
        <f>IF(OR(ISNUMBER(SEARCH(applicability!$E$3,Tabla7[[#This Row],[Application]]))),"X","")</f>
        <v/>
      </c>
      <c r="BU3" s="18" t="str">
        <f>IF(OR(ISNUMBER(SEARCH(applicability!$F$3,Tabla7[[#This Row],[Application]])),ISNUMBER(SEARCH(applicability!$F$4,Tabla7[[#This Row],[Application]]))),"X","")</f>
        <v/>
      </c>
      <c r="BV3" s="18" t="str">
        <f>IF(OR(ISNUMBER(SEARCH(applicability!$G$3,Tabla7[[#This Row],[Application]]))),"X","")</f>
        <v/>
      </c>
      <c r="BW3" s="18" t="str">
        <f>IF(OR(ISNUMBER(SEARCH(applicability!$H$3,Tabla7[[#This Row],[Application]]))),"X","")</f>
        <v/>
      </c>
    </row>
    <row r="4" spans="1:75" x14ac:dyDescent="0.25">
      <c r="A4" s="13">
        <v>157</v>
      </c>
      <c r="B4" s="14">
        <v>6</v>
      </c>
      <c r="C4" s="14" t="s">
        <v>1470</v>
      </c>
      <c r="D4" s="14" t="s">
        <v>3651</v>
      </c>
      <c r="E4" s="15">
        <v>2011</v>
      </c>
      <c r="F4" s="15" t="s">
        <v>5295</v>
      </c>
      <c r="G4" s="15" t="s">
        <v>5297</v>
      </c>
      <c r="H4" s="15" t="s">
        <v>5296</v>
      </c>
      <c r="I4" s="15" t="s">
        <v>5296</v>
      </c>
      <c r="J4" s="14" t="s">
        <v>0</v>
      </c>
      <c r="K4" s="14" t="s">
        <v>3652</v>
      </c>
      <c r="L4" s="14" t="s">
        <v>1471</v>
      </c>
      <c r="M4" s="14">
        <v>5</v>
      </c>
      <c r="N4" s="14">
        <v>26</v>
      </c>
      <c r="O4" s="14" t="s">
        <v>5026</v>
      </c>
      <c r="P4" s="14" t="s">
        <v>5015</v>
      </c>
      <c r="Q4" s="14" t="s">
        <v>5277</v>
      </c>
      <c r="R4" s="14" t="s">
        <v>4974</v>
      </c>
      <c r="S4" s="14" t="s">
        <v>5012</v>
      </c>
      <c r="T4" s="14" t="s">
        <v>5003</v>
      </c>
      <c r="U4" s="14"/>
      <c r="V4" s="14" t="s">
        <v>5006</v>
      </c>
      <c r="W4" s="14">
        <v>2</v>
      </c>
      <c r="X4" s="14">
        <v>1</v>
      </c>
      <c r="Y4" s="14">
        <v>1</v>
      </c>
      <c r="Z4" s="14">
        <v>3</v>
      </c>
      <c r="AA4"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2</v>
      </c>
      <c r="AB4" s="14">
        <v>4</v>
      </c>
      <c r="AC4" s="43" t="s">
        <v>5222</v>
      </c>
      <c r="AD4" s="22" t="str">
        <f>IF(OR(ISNUMBER(SEARCH('Source Artifacts'!$F$3,Tabla7[[#This Row],[Source IS artifacts]])),ISNUMBER(SEARCH('Source Artifacts'!$F$4,Tabla7[[#This Row],[Source IS artifacts]]))),"X","")</f>
        <v/>
      </c>
      <c r="AE4" s="19" t="str">
        <f>IF(OR(ISNUMBER(SEARCH('Source Artifacts'!$L$3,Tabla7[[#This Row],[Source IS artifacts]])),ISNUMBER(SEARCH('Source Artifacts'!$L$4,Tabla7[[#This Row],[Source IS artifacts]])),ISNUMBER(SEARCH('Source Artifacts'!$L$5,Tabla7[[#This Row],[Source IS artifacts]]))),"X","")</f>
        <v/>
      </c>
      <c r="AF4" s="19" t="str">
        <f>IF(OR(ISNUMBER(SEARCH('Source Artifacts'!$I$3,Tabla7[[#This Row],[Source IS artifacts]])),ISNUMBER(SEARCH('Source Artifacts'!$I$4,Tabla7[[#This Row],[Source IS artifacts]])),ISNUMBER(SEARCH('Source Artifacts'!$I$5,Tabla7[[#This Row],[Source IS artifacts]]))),"X","")</f>
        <v/>
      </c>
      <c r="AG4"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4"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4"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4"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X</v>
      </c>
      <c r="AK4"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4" s="19" t="str">
        <f>IF(OR(ISNUMBER(SEARCH('Source Artifacts'!$D$3,Tabla7[[#This Row],[Source IS artifacts]]))),"X","")</f>
        <v/>
      </c>
      <c r="AM4"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4"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X</v>
      </c>
      <c r="AO4" s="18" t="str">
        <f>IF(OR(ISNUMBER(SEARCH(Techniques!$H$3,Tabla7[[#This Row],[Mining techniques]])),ISNUMBER(SEARCH(Techniques!$H$4,Tabla7[[#This Row],[Mining techniques]]))),"X","")</f>
        <v/>
      </c>
      <c r="AP4" s="18" t="str">
        <f>IF(OR(ISNUMBER(SEARCH(Techniques!$J$3,Tabla7[[#This Row],[Mining techniques]]))),"X","")</f>
        <v/>
      </c>
      <c r="AQ4" s="19" t="str">
        <f>IF(OR(ISNUMBER(SEARCH(Techniques!$G$3,Tabla7[[#This Row],[Mining techniques]])),ISNUMBER(SEARCH(Techniques!$G$4,Tabla7[[#This Row],[Mining techniques]]))),"X","")</f>
        <v/>
      </c>
      <c r="AR4" s="19" t="str">
        <f>IF(OR(ISNUMBER(SEARCH(Techniques!$F$3,Tabla7[[#This Row],[Mining techniques]])),ISNUMBER(SEARCH(Techniques!$F$4,Tabla7[[#This Row],[Mining techniques]]))),"X","")</f>
        <v/>
      </c>
      <c r="AS4" s="18" t="str">
        <f>IF(OR(ISNUMBER(SEARCH(Techniques!$D$3,Tabla7[[#This Row],[Mining techniques]])),ISNUMBER(SEARCH(Techniques!$D$4,Tabla7[[#This Row],[Mining techniques]]))),"X","")</f>
        <v/>
      </c>
      <c r="AT4" s="18" t="str">
        <f>IF(OR(ISNUMBER(SEARCH(Techniques!$E$3,Tabla7[[#This Row],[Mining techniques]])),ISNUMBER(SEARCH(Techniques!$E$4,Tabla7[[#This Row],[Mining techniques]]))),"X","")</f>
        <v/>
      </c>
      <c r="AU4" s="27" t="str">
        <f>IF(OR(ISNUMBER(SEARCH('EA Concern'!$I$3,Tabla7[[#This Row],[EA concern]]))),"X","")</f>
        <v>X</v>
      </c>
      <c r="AV4" s="26" t="str">
        <f>IF(OR(ISNUMBER(SEARCH('EA Concern'!$G$3,Tabla7[[#This Row],[EA concern]])),ISNUMBER(SEARCH('EA Concern'!$G$4,Tabla7[[#This Row],[EA concern]]))),"X","")</f>
        <v/>
      </c>
      <c r="AW4" s="26" t="str">
        <f>IF(OR(ISNUMBER(SEARCH('EA Concern'!$E$3,Tabla7[[#This Row],[EA concern]]))),"X","")</f>
        <v/>
      </c>
      <c r="AX4" s="26" t="str">
        <f>IF(OR(ISNUMBER(SEARCH('EA Concern'!$H$3,Tabla7[[#This Row],[EA concern]])),ISNUMBER(SEARCH('EA Concern'!$H$4,Tabla7[[#This Row],[EA concern]]))),"X","")</f>
        <v/>
      </c>
      <c r="AY4" s="26" t="str">
        <f>IF(OR(ISNUMBER(SEARCH('EA Concern'!$F$3,Tabla7[[#This Row],[EA concern]])),ISNUMBER(SEARCH('EA Concern'!$F$4,Tabla7[[#This Row],[EA concern]]))),"X","")</f>
        <v/>
      </c>
      <c r="AZ4" s="26" t="str">
        <f>IF(OR(ISNUMBER(SEARCH('EA Concern'!$D$3,Tabla7[[#This Row],[EA concern]])),ISNUMBER(SEARCH('EA Concern'!$D$4,Tabla7[[#This Row],[EA concern]]))),"X","")</f>
        <v/>
      </c>
      <c r="BA4" s="23" t="str">
        <f>IF(OR(ISNUMBER(SEARCH('EA Framework'!$J$3,Tabla7[[#This Row],[Framework/Methodology]])),ISNUMBER(SEARCH('EA Framework'!$J$4,Tabla7[[#This Row],[Framework/Methodology]]))),"X","")</f>
        <v>X</v>
      </c>
      <c r="BB4" s="18" t="str">
        <f>IF(OR(ISNUMBER(SEARCH('EA Framework'!$I$3,Tabla7[[#This Row],[Framework/Methodology]]))),"X","")</f>
        <v/>
      </c>
      <c r="BC4" s="18" t="str">
        <f>IF(OR(ISNUMBER(SEARCH('EA Framework'!$F$3,Tabla7[[#This Row],[Framework/Methodology]]))),"X","")</f>
        <v/>
      </c>
      <c r="BD4" s="18" t="str">
        <f>IF(OR(ISNUMBER(SEARCH('EA Framework'!$H$3,Tabla7[[#This Row],[Framework/Methodology]]))),"X","")</f>
        <v/>
      </c>
      <c r="BE4" s="18" t="str">
        <f>IF(OR(ISNUMBER(SEARCH('EA Framework'!$E$3,Tabla7[[#This Row],[Framework/Methodology]]))),"X","")</f>
        <v/>
      </c>
      <c r="BF4" s="18" t="str">
        <f>IF(OR(ISNUMBER(SEARCH('EA Framework'!$G$3,Tabla7[[#This Row],[Framework/Methodology]]))),"X","")</f>
        <v/>
      </c>
      <c r="BG4" s="18" t="str">
        <f>IF(OR(ISNUMBER(SEARCH('EA Framework'!$D$3,Tabla7[[#This Row],[Framework/Methodology]]))),"X","")</f>
        <v/>
      </c>
      <c r="BH4" s="22" t="str">
        <f>IF(OR(ISNUMBER(SEARCH('Modelling Language'!$M$3,Tabla7[[#This Row],[Language]])),ISNUMBER(SEARCH('Modelling Language'!$M$4,Tabla7[[#This Row],[Language]])),ISNUMBER(SEARCH('Modelling Language'!$M$5,Tabla7[[#This Row],[Language]]))),"X","")</f>
        <v/>
      </c>
      <c r="BI4" s="18" t="str">
        <f>IF(OR(ISNUMBER(SEARCH('Modelling Language'!$J$3,Tabla7[[#This Row],[Language]])),ISNUMBER(SEARCH('Modelling Language'!$J$4,Tabla7[[#This Row],[Language]]))),"X","")</f>
        <v/>
      </c>
      <c r="BJ4" s="18" t="str">
        <f>IF(OR(ISNUMBER(SEARCH('Modelling Language'!$L$3,Tabla7[[#This Row],[Language]])),ISNUMBER(SEARCH('Modelling Language'!$L$4,Tabla7[[#This Row],[Language]]))),"X","")</f>
        <v/>
      </c>
      <c r="BK4" s="18" t="str">
        <f>IF(OR(ISNUMBER(SEARCH('Modelling Language'!$K$3,Tabla7[[#This Row],[Language]])),ISNUMBER(SEARCH('Modelling Language'!$K$4,Tabla7[[#This Row],[Language]]))),"X","")</f>
        <v/>
      </c>
      <c r="BL4" s="18" t="str">
        <f>IF(OR(ISNUMBER(SEARCH('Modelling Language'!$D$3,Tabla7[[#This Row],[Language]]))),"X","")</f>
        <v/>
      </c>
      <c r="BM4" s="18" t="str">
        <f>IF(OR(ISNUMBER(SEARCH('Modelling Language'!$I$3,Tabla7[[#This Row],[Language]]))),"X","")</f>
        <v/>
      </c>
      <c r="BN4" s="18" t="str">
        <f>IF(OR(ISNUMBER(SEARCH('Modelling Language'!$G$3,Tabla7[[#This Row],[Language]]))),"X","")</f>
        <v/>
      </c>
      <c r="BO4" s="18" t="str">
        <f>IF(OR(ISNUMBER(SEARCH('Modelling Language'!$F$3,Tabla7[[#This Row],[Language]]))),"X","")</f>
        <v/>
      </c>
      <c r="BP4" s="18" t="str">
        <f>IF(OR(ISNUMBER(SEARCH('Modelling Language'!$E$3,Tabla7[[#This Row],[Language]]))),"X","")</f>
        <v/>
      </c>
      <c r="BQ4" s="18" t="str">
        <f>IF(OR(ISNUMBER(SEARCH('Modelling Language'!$H$3,Tabla7[[#This Row],[Language]]))),"X","")</f>
        <v/>
      </c>
      <c r="BR4" s="18"/>
      <c r="BS4" s="22" t="str">
        <f>IF(OR(ISNUMBER(SEARCH(applicability!$D$3,Tabla7[[#This Row],[Application]])),ISNUMBER(SEARCH(applicability!$D$4,Tabla7[[#This Row],[Application]]))),"X","")</f>
        <v>X</v>
      </c>
      <c r="BT4" s="18" t="str">
        <f>IF(OR(ISNUMBER(SEARCH(applicability!$E$3,Tabla7[[#This Row],[Application]]))),"X","")</f>
        <v/>
      </c>
      <c r="BU4" s="18" t="str">
        <f>IF(OR(ISNUMBER(SEARCH(applicability!$F$3,Tabla7[[#This Row],[Application]])),ISNUMBER(SEARCH(applicability!$F$4,Tabla7[[#This Row],[Application]]))),"X","")</f>
        <v/>
      </c>
      <c r="BV4" s="18" t="str">
        <f>IF(OR(ISNUMBER(SEARCH(applicability!$G$3,Tabla7[[#This Row],[Application]]))),"X","")</f>
        <v/>
      </c>
      <c r="BW4" s="19" t="str">
        <f>IF(OR(ISNUMBER(SEARCH(applicability!$H$3,Tabla7[[#This Row],[Application]]))),"X","")</f>
        <v/>
      </c>
    </row>
    <row r="5" spans="1:75" x14ac:dyDescent="0.25">
      <c r="A5" s="13">
        <v>296</v>
      </c>
      <c r="B5" s="14">
        <v>7</v>
      </c>
      <c r="C5" s="14" t="s">
        <v>1472</v>
      </c>
      <c r="D5" s="14" t="s">
        <v>3654</v>
      </c>
      <c r="E5" s="15">
        <v>2013</v>
      </c>
      <c r="F5" s="15" t="s">
        <v>5295</v>
      </c>
      <c r="G5" s="15" t="s">
        <v>5295</v>
      </c>
      <c r="H5" s="15" t="s">
        <v>5296</v>
      </c>
      <c r="I5" s="15" t="s">
        <v>5296</v>
      </c>
      <c r="J5" s="14" t="s">
        <v>0</v>
      </c>
      <c r="K5" s="14" t="s">
        <v>3655</v>
      </c>
      <c r="L5" s="14" t="s">
        <v>1474</v>
      </c>
      <c r="M5" s="14">
        <v>7</v>
      </c>
      <c r="N5" s="14">
        <v>24</v>
      </c>
      <c r="O5" s="14" t="s">
        <v>5026</v>
      </c>
      <c r="P5" s="14" t="s">
        <v>5015</v>
      </c>
      <c r="Q5" s="14" t="s">
        <v>5277</v>
      </c>
      <c r="R5" s="14" t="s">
        <v>4973</v>
      </c>
      <c r="S5" s="14" t="s">
        <v>658</v>
      </c>
      <c r="T5" s="14" t="s">
        <v>5003</v>
      </c>
      <c r="U5" s="14"/>
      <c r="V5" s="14"/>
      <c r="W5" s="14">
        <v>1</v>
      </c>
      <c r="X5" s="14">
        <v>1</v>
      </c>
      <c r="Y5" s="14">
        <v>3</v>
      </c>
      <c r="Z5" s="14">
        <v>5</v>
      </c>
      <c r="AA5"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1</v>
      </c>
      <c r="AB5" s="14">
        <v>5</v>
      </c>
      <c r="AC5" s="43" t="s">
        <v>5221</v>
      </c>
      <c r="AD5" s="22" t="str">
        <f>IF(OR(ISNUMBER(SEARCH('Source Artifacts'!$F$3,Tabla7[[#This Row],[Source IS artifacts]])),ISNUMBER(SEARCH('Source Artifacts'!$F$4,Tabla7[[#This Row],[Source IS artifacts]]))),"X","")</f>
        <v/>
      </c>
      <c r="AE5" s="19" t="str">
        <f>IF(OR(ISNUMBER(SEARCH('Source Artifacts'!$L$3,Tabla7[[#This Row],[Source IS artifacts]])),ISNUMBER(SEARCH('Source Artifacts'!$L$4,Tabla7[[#This Row],[Source IS artifacts]])),ISNUMBER(SEARCH('Source Artifacts'!$L$5,Tabla7[[#This Row],[Source IS artifacts]]))),"X","")</f>
        <v/>
      </c>
      <c r="AF5" s="19" t="str">
        <f>IF(OR(ISNUMBER(SEARCH('Source Artifacts'!$I$3,Tabla7[[#This Row],[Source IS artifacts]])),ISNUMBER(SEARCH('Source Artifacts'!$I$4,Tabla7[[#This Row],[Source IS artifacts]])),ISNUMBER(SEARCH('Source Artifacts'!$I$5,Tabla7[[#This Row],[Source IS artifacts]]))),"X","")</f>
        <v/>
      </c>
      <c r="AG5"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5"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5"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5"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X</v>
      </c>
      <c r="AK5"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5" s="19" t="str">
        <f>IF(OR(ISNUMBER(SEARCH('Source Artifacts'!$D$3,Tabla7[[#This Row],[Source IS artifacts]]))),"X","")</f>
        <v/>
      </c>
      <c r="AM5"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5"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X</v>
      </c>
      <c r="AO5" s="18" t="str">
        <f>IF(OR(ISNUMBER(SEARCH(Techniques!$H$3,Tabla7[[#This Row],[Mining techniques]])),ISNUMBER(SEARCH(Techniques!$H$4,Tabla7[[#This Row],[Mining techniques]]))),"X","")</f>
        <v/>
      </c>
      <c r="AP5" s="18" t="str">
        <f>IF(OR(ISNUMBER(SEARCH(Techniques!$J$3,Tabla7[[#This Row],[Mining techniques]]))),"X","")</f>
        <v/>
      </c>
      <c r="AQ5" s="19" t="str">
        <f>IF(OR(ISNUMBER(SEARCH(Techniques!$G$3,Tabla7[[#This Row],[Mining techniques]])),ISNUMBER(SEARCH(Techniques!$G$4,Tabla7[[#This Row],[Mining techniques]]))),"X","")</f>
        <v/>
      </c>
      <c r="AR5" s="19" t="str">
        <f>IF(OR(ISNUMBER(SEARCH(Techniques!$F$3,Tabla7[[#This Row],[Mining techniques]])),ISNUMBER(SEARCH(Techniques!$F$4,Tabla7[[#This Row],[Mining techniques]]))),"X","")</f>
        <v/>
      </c>
      <c r="AS5" s="18" t="str">
        <f>IF(OR(ISNUMBER(SEARCH(Techniques!$D$3,Tabla7[[#This Row],[Mining techniques]])),ISNUMBER(SEARCH(Techniques!$D$4,Tabla7[[#This Row],[Mining techniques]]))),"X","")</f>
        <v/>
      </c>
      <c r="AT5" s="18" t="str">
        <f>IF(OR(ISNUMBER(SEARCH(Techniques!$E$3,Tabla7[[#This Row],[Mining techniques]])),ISNUMBER(SEARCH(Techniques!$E$4,Tabla7[[#This Row],[Mining techniques]]))),"X","")</f>
        <v/>
      </c>
      <c r="AU5" s="27" t="str">
        <f>IF(OR(ISNUMBER(SEARCH('EA Concern'!$I$3,Tabla7[[#This Row],[EA concern]]))),"X","")</f>
        <v>X</v>
      </c>
      <c r="AV5" s="26" t="str">
        <f>IF(OR(ISNUMBER(SEARCH('EA Concern'!$G$3,Tabla7[[#This Row],[EA concern]])),ISNUMBER(SEARCH('EA Concern'!$G$4,Tabla7[[#This Row],[EA concern]]))),"X","")</f>
        <v/>
      </c>
      <c r="AW5" s="26" t="str">
        <f>IF(OR(ISNUMBER(SEARCH('EA Concern'!$E$3,Tabla7[[#This Row],[EA concern]]))),"X","")</f>
        <v/>
      </c>
      <c r="AX5" s="26" t="str">
        <f>IF(OR(ISNUMBER(SEARCH('EA Concern'!$H$3,Tabla7[[#This Row],[EA concern]])),ISNUMBER(SEARCH('EA Concern'!$H$4,Tabla7[[#This Row],[EA concern]]))),"X","")</f>
        <v/>
      </c>
      <c r="AY5" s="26" t="str">
        <f>IF(OR(ISNUMBER(SEARCH('EA Concern'!$F$3,Tabla7[[#This Row],[EA concern]])),ISNUMBER(SEARCH('EA Concern'!$F$4,Tabla7[[#This Row],[EA concern]]))),"X","")</f>
        <v/>
      </c>
      <c r="AZ5" s="26" t="str">
        <f>IF(OR(ISNUMBER(SEARCH('EA Concern'!$D$3,Tabla7[[#This Row],[EA concern]])),ISNUMBER(SEARCH('EA Concern'!$D$4,Tabla7[[#This Row],[EA concern]]))),"X","")</f>
        <v/>
      </c>
      <c r="BA5" s="23" t="str">
        <f>IF(OR(ISNUMBER(SEARCH('EA Framework'!$J$3,Tabla7[[#This Row],[Framework/Methodology]])),ISNUMBER(SEARCH('EA Framework'!$J$4,Tabla7[[#This Row],[Framework/Methodology]]))),"X","")</f>
        <v>X</v>
      </c>
      <c r="BB5" s="18" t="str">
        <f>IF(OR(ISNUMBER(SEARCH('EA Framework'!$I$3,Tabla7[[#This Row],[Framework/Methodology]]))),"X","")</f>
        <v/>
      </c>
      <c r="BC5" s="18" t="str">
        <f>IF(OR(ISNUMBER(SEARCH('EA Framework'!$F$3,Tabla7[[#This Row],[Framework/Methodology]]))),"X","")</f>
        <v/>
      </c>
      <c r="BD5" s="18" t="str">
        <f>IF(OR(ISNUMBER(SEARCH('EA Framework'!$H$3,Tabla7[[#This Row],[Framework/Methodology]]))),"X","")</f>
        <v/>
      </c>
      <c r="BE5" s="18" t="str">
        <f>IF(OR(ISNUMBER(SEARCH('EA Framework'!$E$3,Tabla7[[#This Row],[Framework/Methodology]]))),"X","")</f>
        <v/>
      </c>
      <c r="BF5" s="18" t="str">
        <f>IF(OR(ISNUMBER(SEARCH('EA Framework'!$G$3,Tabla7[[#This Row],[Framework/Methodology]]))),"X","")</f>
        <v/>
      </c>
      <c r="BG5" s="18" t="str">
        <f>IF(OR(ISNUMBER(SEARCH('EA Framework'!$D$3,Tabla7[[#This Row],[Framework/Methodology]]))),"X","")</f>
        <v/>
      </c>
      <c r="BH5" s="22" t="str">
        <f>IF(OR(ISNUMBER(SEARCH('Modelling Language'!$M$3,Tabla7[[#This Row],[Language]])),ISNUMBER(SEARCH('Modelling Language'!$M$4,Tabla7[[#This Row],[Language]])),ISNUMBER(SEARCH('Modelling Language'!$M$5,Tabla7[[#This Row],[Language]]))),"X","")</f>
        <v/>
      </c>
      <c r="BI5" s="18" t="str">
        <f>IF(OR(ISNUMBER(SEARCH('Modelling Language'!$J$3,Tabla7[[#This Row],[Language]])),ISNUMBER(SEARCH('Modelling Language'!$J$4,Tabla7[[#This Row],[Language]]))),"X","")</f>
        <v/>
      </c>
      <c r="BJ5" s="18" t="str">
        <f>IF(OR(ISNUMBER(SEARCH('Modelling Language'!$L$3,Tabla7[[#This Row],[Language]])),ISNUMBER(SEARCH('Modelling Language'!$L$4,Tabla7[[#This Row],[Language]]))),"X","")</f>
        <v/>
      </c>
      <c r="BK5" s="18" t="str">
        <f>IF(OR(ISNUMBER(SEARCH('Modelling Language'!$K$3,Tabla7[[#This Row],[Language]])),ISNUMBER(SEARCH('Modelling Language'!$K$4,Tabla7[[#This Row],[Language]]))),"X","")</f>
        <v/>
      </c>
      <c r="BL5" s="18" t="str">
        <f>IF(OR(ISNUMBER(SEARCH('Modelling Language'!$D$3,Tabla7[[#This Row],[Language]]))),"X","")</f>
        <v/>
      </c>
      <c r="BM5" s="18" t="str">
        <f>IF(OR(ISNUMBER(SEARCH('Modelling Language'!$I$3,Tabla7[[#This Row],[Language]]))),"X","")</f>
        <v/>
      </c>
      <c r="BN5" s="18" t="str">
        <f>IF(OR(ISNUMBER(SEARCH('Modelling Language'!$G$3,Tabla7[[#This Row],[Language]]))),"X","")</f>
        <v/>
      </c>
      <c r="BO5" s="18" t="str">
        <f>IF(OR(ISNUMBER(SEARCH('Modelling Language'!$F$3,Tabla7[[#This Row],[Language]]))),"X","")</f>
        <v/>
      </c>
      <c r="BP5" s="18" t="str">
        <f>IF(OR(ISNUMBER(SEARCH('Modelling Language'!$E$3,Tabla7[[#This Row],[Language]]))),"X","")</f>
        <v/>
      </c>
      <c r="BQ5" s="18" t="str">
        <f>IF(OR(ISNUMBER(SEARCH('Modelling Language'!$H$3,Tabla7[[#This Row],[Language]]))),"X","")</f>
        <v/>
      </c>
      <c r="BR5" s="18"/>
      <c r="BS5" s="22" t="str">
        <f>IF(OR(ISNUMBER(SEARCH(applicability!$D$3,Tabla7[[#This Row],[Application]])),ISNUMBER(SEARCH(applicability!$D$4,Tabla7[[#This Row],[Application]]))),"X","")</f>
        <v/>
      </c>
      <c r="BT5" s="18" t="str">
        <f>IF(OR(ISNUMBER(SEARCH(applicability!$E$3,Tabla7[[#This Row],[Application]]))),"X","")</f>
        <v/>
      </c>
      <c r="BU5" s="18" t="str">
        <f>IF(OR(ISNUMBER(SEARCH(applicability!$F$3,Tabla7[[#This Row],[Application]])),ISNUMBER(SEARCH(applicability!$F$4,Tabla7[[#This Row],[Application]]))),"X","")</f>
        <v/>
      </c>
      <c r="BV5" s="18" t="str">
        <f>IF(OR(ISNUMBER(SEARCH(applicability!$G$3,Tabla7[[#This Row],[Application]]))),"X","")</f>
        <v/>
      </c>
      <c r="BW5" s="19" t="str">
        <f>IF(OR(ISNUMBER(SEARCH(applicability!$H$3,Tabla7[[#This Row],[Application]]))),"X","")</f>
        <v/>
      </c>
    </row>
    <row r="6" spans="1:75" x14ac:dyDescent="0.25">
      <c r="A6" s="13">
        <v>39</v>
      </c>
      <c r="B6" s="14">
        <v>8</v>
      </c>
      <c r="C6" s="14" t="s">
        <v>1475</v>
      </c>
      <c r="D6" s="14" t="s">
        <v>3657</v>
      </c>
      <c r="E6" s="15">
        <v>2012</v>
      </c>
      <c r="F6" s="15" t="s">
        <v>5298</v>
      </c>
      <c r="G6" s="15" t="s">
        <v>5301</v>
      </c>
      <c r="H6" s="15" t="s">
        <v>5296</v>
      </c>
      <c r="I6" s="15" t="s">
        <v>5296</v>
      </c>
      <c r="J6" s="14" t="s">
        <v>0</v>
      </c>
      <c r="K6" s="14" t="s">
        <v>3658</v>
      </c>
      <c r="L6" s="14" t="s">
        <v>1477</v>
      </c>
      <c r="M6" s="14">
        <v>6</v>
      </c>
      <c r="N6" s="14">
        <v>20</v>
      </c>
      <c r="O6" s="14" t="s">
        <v>4995</v>
      </c>
      <c r="P6" s="14" t="s">
        <v>5004</v>
      </c>
      <c r="Q6" s="14" t="s">
        <v>5282</v>
      </c>
      <c r="R6" s="14" t="s">
        <v>4974</v>
      </c>
      <c r="S6" s="14" t="s">
        <v>658</v>
      </c>
      <c r="T6" s="14" t="s">
        <v>834</v>
      </c>
      <c r="U6" s="14" t="s">
        <v>726</v>
      </c>
      <c r="V6" s="14" t="s">
        <v>5006</v>
      </c>
      <c r="W6" s="14">
        <v>4</v>
      </c>
      <c r="X6" s="14">
        <v>2</v>
      </c>
      <c r="Y6" s="14">
        <v>3</v>
      </c>
      <c r="Z6" s="14">
        <v>4</v>
      </c>
      <c r="AA6"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4</v>
      </c>
      <c r="AB6" s="14">
        <v>4</v>
      </c>
      <c r="AC6" s="43" t="s">
        <v>5222</v>
      </c>
      <c r="AD6" s="22" t="str">
        <f>IF(OR(ISNUMBER(SEARCH('Source Artifacts'!$F$3,Tabla7[[#This Row],[Source IS artifacts]])),ISNUMBER(SEARCH('Source Artifacts'!$F$4,Tabla7[[#This Row],[Source IS artifacts]]))),"X","")</f>
        <v/>
      </c>
      <c r="AE6" s="19" t="str">
        <f>IF(OR(ISNUMBER(SEARCH('Source Artifacts'!$L$3,Tabla7[[#This Row],[Source IS artifacts]])),ISNUMBER(SEARCH('Source Artifacts'!$L$4,Tabla7[[#This Row],[Source IS artifacts]])),ISNUMBER(SEARCH('Source Artifacts'!$L$5,Tabla7[[#This Row],[Source IS artifacts]]))),"X","")</f>
        <v>X</v>
      </c>
      <c r="AF6" s="19" t="str">
        <f>IF(OR(ISNUMBER(SEARCH('Source Artifacts'!$I$3,Tabla7[[#This Row],[Source IS artifacts]])),ISNUMBER(SEARCH('Source Artifacts'!$I$4,Tabla7[[#This Row],[Source IS artifacts]])),ISNUMBER(SEARCH('Source Artifacts'!$I$5,Tabla7[[#This Row],[Source IS artifacts]]))),"X","")</f>
        <v/>
      </c>
      <c r="AG6"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6"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6"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6"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6"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6" s="19" t="str">
        <f>IF(OR(ISNUMBER(SEARCH('Source Artifacts'!$D$3,Tabla7[[#This Row],[Source IS artifacts]]))),"X","")</f>
        <v/>
      </c>
      <c r="AM6"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6"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
      </c>
      <c r="AO6" s="18" t="str">
        <f>IF(OR(ISNUMBER(SEARCH(Techniques!$H$3,Tabla7[[#This Row],[Mining techniques]])),ISNUMBER(SEARCH(Techniques!$H$4,Tabla7[[#This Row],[Mining techniques]]))),"X","")</f>
        <v/>
      </c>
      <c r="AP6" s="18" t="str">
        <f>IF(OR(ISNUMBER(SEARCH(Techniques!$J$3,Tabla7[[#This Row],[Mining techniques]]))),"X","")</f>
        <v/>
      </c>
      <c r="AQ6" s="19" t="str">
        <f>IF(OR(ISNUMBER(SEARCH(Techniques!$G$3,Tabla7[[#This Row],[Mining techniques]])),ISNUMBER(SEARCH(Techniques!$G$4,Tabla7[[#This Row],[Mining techniques]]))),"X","")</f>
        <v>X</v>
      </c>
      <c r="AR6" s="19" t="str">
        <f>IF(OR(ISNUMBER(SEARCH(Techniques!$F$3,Tabla7[[#This Row],[Mining techniques]])),ISNUMBER(SEARCH(Techniques!$F$4,Tabla7[[#This Row],[Mining techniques]]))),"X","")</f>
        <v/>
      </c>
      <c r="AS6" s="18" t="str">
        <f>IF(OR(ISNUMBER(SEARCH(Techniques!$D$3,Tabla7[[#This Row],[Mining techniques]])),ISNUMBER(SEARCH(Techniques!$D$4,Tabla7[[#This Row],[Mining techniques]]))),"X","")</f>
        <v/>
      </c>
      <c r="AT6" s="18" t="str">
        <f>IF(OR(ISNUMBER(SEARCH(Techniques!$E$3,Tabla7[[#This Row],[Mining techniques]])),ISNUMBER(SEARCH(Techniques!$E$4,Tabla7[[#This Row],[Mining techniques]]))),"X","")</f>
        <v/>
      </c>
      <c r="AU6" s="27" t="str">
        <f>IF(OR(ISNUMBER(SEARCH('EA Concern'!$I$3,Tabla7[[#This Row],[EA concern]]))),"X","")</f>
        <v/>
      </c>
      <c r="AV6" s="26" t="str">
        <f>IF(OR(ISNUMBER(SEARCH('EA Concern'!$G$3,Tabla7[[#This Row],[EA concern]])),ISNUMBER(SEARCH('EA Concern'!$G$4,Tabla7[[#This Row],[EA concern]]))),"X","")</f>
        <v/>
      </c>
      <c r="AW6" s="26" t="str">
        <f>IF(OR(ISNUMBER(SEARCH('EA Concern'!$E$3,Tabla7[[#This Row],[EA concern]]))),"X","")</f>
        <v/>
      </c>
      <c r="AX6" s="26" t="str">
        <f>IF(OR(ISNUMBER(SEARCH('EA Concern'!$H$3,Tabla7[[#This Row],[EA concern]])),ISNUMBER(SEARCH('EA Concern'!$H$4,Tabla7[[#This Row],[EA concern]]))),"X","")</f>
        <v/>
      </c>
      <c r="AY6" s="26" t="str">
        <f>IF(OR(ISNUMBER(SEARCH('EA Concern'!$F$3,Tabla7[[#This Row],[EA concern]])),ISNUMBER(SEARCH('EA Concern'!$F$4,Tabla7[[#This Row],[EA concern]]))),"X","")</f>
        <v>X</v>
      </c>
      <c r="AZ6" s="26" t="str">
        <f>IF(OR(ISNUMBER(SEARCH('EA Concern'!$D$3,Tabla7[[#This Row],[EA concern]])),ISNUMBER(SEARCH('EA Concern'!$D$4,Tabla7[[#This Row],[EA concern]]))),"X","")</f>
        <v/>
      </c>
      <c r="BA6" s="23" t="str">
        <f>IF(OR(ISNUMBER(SEARCH('EA Framework'!$J$3,Tabla7[[#This Row],[Framework/Methodology]])),ISNUMBER(SEARCH('EA Framework'!$J$4,Tabla7[[#This Row],[Framework/Methodology]]))),"X","")</f>
        <v/>
      </c>
      <c r="BB6" s="18" t="str">
        <f>IF(OR(ISNUMBER(SEARCH('EA Framework'!$I$3,Tabla7[[#This Row],[Framework/Methodology]]))),"X","")</f>
        <v>X</v>
      </c>
      <c r="BC6" s="18" t="str">
        <f>IF(OR(ISNUMBER(SEARCH('EA Framework'!$F$3,Tabla7[[#This Row],[Framework/Methodology]]))),"X","")</f>
        <v/>
      </c>
      <c r="BD6" s="18" t="str">
        <f>IF(OR(ISNUMBER(SEARCH('EA Framework'!$H$3,Tabla7[[#This Row],[Framework/Methodology]]))),"X","")</f>
        <v/>
      </c>
      <c r="BE6" s="18" t="str">
        <f>IF(OR(ISNUMBER(SEARCH('EA Framework'!$E$3,Tabla7[[#This Row],[Framework/Methodology]]))),"X","")</f>
        <v/>
      </c>
      <c r="BF6" s="18" t="str">
        <f>IF(OR(ISNUMBER(SEARCH('EA Framework'!$G$3,Tabla7[[#This Row],[Framework/Methodology]]))),"X","")</f>
        <v/>
      </c>
      <c r="BG6" s="18" t="str">
        <f>IF(OR(ISNUMBER(SEARCH('EA Framework'!$D$3,Tabla7[[#This Row],[Framework/Methodology]]))),"X","")</f>
        <v/>
      </c>
      <c r="BH6" s="22" t="str">
        <f>IF(OR(ISNUMBER(SEARCH('Modelling Language'!$M$3,Tabla7[[#This Row],[Language]])),ISNUMBER(SEARCH('Modelling Language'!$M$4,Tabla7[[#This Row],[Language]])),ISNUMBER(SEARCH('Modelling Language'!$M$5,Tabla7[[#This Row],[Language]]))),"X","")</f>
        <v>X</v>
      </c>
      <c r="BI6" s="18" t="str">
        <f>IF(OR(ISNUMBER(SEARCH('Modelling Language'!$J$3,Tabla7[[#This Row],[Language]])),ISNUMBER(SEARCH('Modelling Language'!$J$4,Tabla7[[#This Row],[Language]]))),"X","")</f>
        <v/>
      </c>
      <c r="BJ6" s="18" t="str">
        <f>IF(OR(ISNUMBER(SEARCH('Modelling Language'!$L$3,Tabla7[[#This Row],[Language]])),ISNUMBER(SEARCH('Modelling Language'!$L$4,Tabla7[[#This Row],[Language]]))),"X","")</f>
        <v/>
      </c>
      <c r="BK6" s="18" t="str">
        <f>IF(OR(ISNUMBER(SEARCH('Modelling Language'!$K$3,Tabla7[[#This Row],[Language]])),ISNUMBER(SEARCH('Modelling Language'!$K$4,Tabla7[[#This Row],[Language]]))),"X","")</f>
        <v/>
      </c>
      <c r="BL6" s="18" t="str">
        <f>IF(OR(ISNUMBER(SEARCH('Modelling Language'!$D$3,Tabla7[[#This Row],[Language]]))),"X","")</f>
        <v/>
      </c>
      <c r="BM6" s="18" t="str">
        <f>IF(OR(ISNUMBER(SEARCH('Modelling Language'!$I$3,Tabla7[[#This Row],[Language]]))),"X","")</f>
        <v/>
      </c>
      <c r="BN6" s="18" t="str">
        <f>IF(OR(ISNUMBER(SEARCH('Modelling Language'!$G$3,Tabla7[[#This Row],[Language]]))),"X","")</f>
        <v/>
      </c>
      <c r="BO6" s="18" t="str">
        <f>IF(OR(ISNUMBER(SEARCH('Modelling Language'!$F$3,Tabla7[[#This Row],[Language]]))),"X","")</f>
        <v/>
      </c>
      <c r="BP6" s="18" t="str">
        <f>IF(OR(ISNUMBER(SEARCH('Modelling Language'!$E$3,Tabla7[[#This Row],[Language]]))),"X","")</f>
        <v/>
      </c>
      <c r="BQ6" s="18" t="str">
        <f>IF(OR(ISNUMBER(SEARCH('Modelling Language'!$H$3,Tabla7[[#This Row],[Language]]))),"X","")</f>
        <v/>
      </c>
      <c r="BR6" s="18"/>
      <c r="BS6" s="22" t="str">
        <f>IF(OR(ISNUMBER(SEARCH(applicability!$D$3,Tabla7[[#This Row],[Application]])),ISNUMBER(SEARCH(applicability!$D$4,Tabla7[[#This Row],[Application]]))),"X","")</f>
        <v>X</v>
      </c>
      <c r="BT6" s="18" t="str">
        <f>IF(OR(ISNUMBER(SEARCH(applicability!$E$3,Tabla7[[#This Row],[Application]]))),"X","")</f>
        <v/>
      </c>
      <c r="BU6" s="18" t="str">
        <f>IF(OR(ISNUMBER(SEARCH(applicability!$F$3,Tabla7[[#This Row],[Application]])),ISNUMBER(SEARCH(applicability!$F$4,Tabla7[[#This Row],[Application]]))),"X","")</f>
        <v/>
      </c>
      <c r="BV6" s="18" t="str">
        <f>IF(OR(ISNUMBER(SEARCH(applicability!$G$3,Tabla7[[#This Row],[Application]]))),"X","")</f>
        <v/>
      </c>
      <c r="BW6" s="19" t="str">
        <f>IF(OR(ISNUMBER(SEARCH(applicability!$H$3,Tabla7[[#This Row],[Application]]))),"X","")</f>
        <v/>
      </c>
    </row>
    <row r="7" spans="1:75" x14ac:dyDescent="0.25">
      <c r="A7" s="13">
        <v>56</v>
      </c>
      <c r="B7" s="14">
        <v>11</v>
      </c>
      <c r="C7" s="14" t="s">
        <v>1573</v>
      </c>
      <c r="D7" s="14" t="s">
        <v>3731</v>
      </c>
      <c r="E7" s="15">
        <v>2014</v>
      </c>
      <c r="F7" s="15" t="s">
        <v>5296</v>
      </c>
      <c r="G7" s="15" t="s">
        <v>5296</v>
      </c>
      <c r="H7" s="15">
        <v>1.98</v>
      </c>
      <c r="I7" s="15">
        <v>1</v>
      </c>
      <c r="J7" s="14" t="s">
        <v>116</v>
      </c>
      <c r="K7" s="14" t="s">
        <v>3734</v>
      </c>
      <c r="L7" s="14" t="s">
        <v>1574</v>
      </c>
      <c r="M7" s="14">
        <v>6</v>
      </c>
      <c r="N7" s="14">
        <v>19</v>
      </c>
      <c r="O7" s="14" t="s">
        <v>4995</v>
      </c>
      <c r="P7" s="14" t="s">
        <v>731</v>
      </c>
      <c r="Q7" s="14" t="s">
        <v>5011</v>
      </c>
      <c r="R7" s="14" t="s">
        <v>4974</v>
      </c>
      <c r="S7" s="14" t="s">
        <v>116</v>
      </c>
      <c r="T7" s="14" t="s">
        <v>2133</v>
      </c>
      <c r="U7" s="14" t="s">
        <v>1090</v>
      </c>
      <c r="V7" s="14" t="s">
        <v>5008</v>
      </c>
      <c r="W7" s="14">
        <v>5</v>
      </c>
      <c r="X7" s="14">
        <v>4</v>
      </c>
      <c r="Y7" s="14">
        <v>2</v>
      </c>
      <c r="Z7" s="14">
        <v>4</v>
      </c>
      <c r="AA7"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5</v>
      </c>
      <c r="AB7" s="14">
        <v>4</v>
      </c>
      <c r="AC7" s="43" t="s">
        <v>5221</v>
      </c>
      <c r="AD7" s="22" t="str">
        <f>IF(OR(ISNUMBER(SEARCH('Source Artifacts'!$F$3,Tabla7[[#This Row],[Source IS artifacts]])),ISNUMBER(SEARCH('Source Artifacts'!$F$4,Tabla7[[#This Row],[Source IS artifacts]]))),"X","")</f>
        <v/>
      </c>
      <c r="AE7" s="19" t="str">
        <f>IF(OR(ISNUMBER(SEARCH('Source Artifacts'!$L$3,Tabla7[[#This Row],[Source IS artifacts]])),ISNUMBER(SEARCH('Source Artifacts'!$L$4,Tabla7[[#This Row],[Source IS artifacts]])),ISNUMBER(SEARCH('Source Artifacts'!$L$5,Tabla7[[#This Row],[Source IS artifacts]]))),"X","")</f>
        <v>X</v>
      </c>
      <c r="AF7" s="19" t="str">
        <f>IF(OR(ISNUMBER(SEARCH('Source Artifacts'!$I$3,Tabla7[[#This Row],[Source IS artifacts]])),ISNUMBER(SEARCH('Source Artifacts'!$I$4,Tabla7[[#This Row],[Source IS artifacts]])),ISNUMBER(SEARCH('Source Artifacts'!$I$5,Tabla7[[#This Row],[Source IS artifacts]]))),"X","")</f>
        <v/>
      </c>
      <c r="AG7"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7"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7"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7"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7"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7" s="19" t="str">
        <f>IF(OR(ISNUMBER(SEARCH('Source Artifacts'!$D$3,Tabla7[[#This Row],[Source IS artifacts]]))),"X","")</f>
        <v/>
      </c>
      <c r="AM7"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7"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
      </c>
      <c r="AO7" s="18" t="str">
        <f>IF(OR(ISNUMBER(SEARCH(Techniques!$H$3,Tabla7[[#This Row],[Mining techniques]])),ISNUMBER(SEARCH(Techniques!$H$4,Tabla7[[#This Row],[Mining techniques]]))),"X","")</f>
        <v/>
      </c>
      <c r="AP7" s="18" t="str">
        <f>IF(OR(ISNUMBER(SEARCH(Techniques!$J$3,Tabla7[[#This Row],[Mining techniques]]))),"X","")</f>
        <v>X</v>
      </c>
      <c r="AQ7" s="19" t="str">
        <f>IF(OR(ISNUMBER(SEARCH(Techniques!$G$3,Tabla7[[#This Row],[Mining techniques]])),ISNUMBER(SEARCH(Techniques!$G$4,Tabla7[[#This Row],[Mining techniques]]))),"X","")</f>
        <v/>
      </c>
      <c r="AR7" s="19" t="str">
        <f>IF(OR(ISNUMBER(SEARCH(Techniques!$F$3,Tabla7[[#This Row],[Mining techniques]])),ISNUMBER(SEARCH(Techniques!$F$4,Tabla7[[#This Row],[Mining techniques]]))),"X","")</f>
        <v/>
      </c>
      <c r="AS7" s="18" t="str">
        <f>IF(OR(ISNUMBER(SEARCH(Techniques!$D$3,Tabla7[[#This Row],[Mining techniques]])),ISNUMBER(SEARCH(Techniques!$D$4,Tabla7[[#This Row],[Mining techniques]]))),"X","")</f>
        <v/>
      </c>
      <c r="AT7" s="18" t="str">
        <f>IF(OR(ISNUMBER(SEARCH(Techniques!$E$3,Tabla7[[#This Row],[Mining techniques]])),ISNUMBER(SEARCH(Techniques!$E$4,Tabla7[[#This Row],[Mining techniques]]))),"X","")</f>
        <v/>
      </c>
      <c r="AU7" s="27" t="str">
        <f>IF(OR(ISNUMBER(SEARCH('EA Concern'!$I$3,Tabla7[[#This Row],[EA concern]]))),"X","")</f>
        <v/>
      </c>
      <c r="AV7" s="26" t="str">
        <f>IF(OR(ISNUMBER(SEARCH('EA Concern'!$G$3,Tabla7[[#This Row],[EA concern]])),ISNUMBER(SEARCH('EA Concern'!$G$4,Tabla7[[#This Row],[EA concern]]))),"X","")</f>
        <v/>
      </c>
      <c r="AW7" s="26" t="str">
        <f>IF(OR(ISNUMBER(SEARCH('EA Concern'!$E$3,Tabla7[[#This Row],[EA concern]]))),"X","")</f>
        <v/>
      </c>
      <c r="AX7" s="26" t="str">
        <f>IF(OR(ISNUMBER(SEARCH('EA Concern'!$H$3,Tabla7[[#This Row],[EA concern]])),ISNUMBER(SEARCH('EA Concern'!$H$4,Tabla7[[#This Row],[EA concern]]))),"X","")</f>
        <v>X</v>
      </c>
      <c r="AY7" s="26" t="str">
        <f>IF(OR(ISNUMBER(SEARCH('EA Concern'!$F$3,Tabla7[[#This Row],[EA concern]])),ISNUMBER(SEARCH('EA Concern'!$F$4,Tabla7[[#This Row],[EA concern]]))),"X","")</f>
        <v/>
      </c>
      <c r="AZ7" s="26" t="str">
        <f>IF(OR(ISNUMBER(SEARCH('EA Concern'!$D$3,Tabla7[[#This Row],[EA concern]])),ISNUMBER(SEARCH('EA Concern'!$D$4,Tabla7[[#This Row],[EA concern]]))),"X","")</f>
        <v/>
      </c>
      <c r="BA7" s="23" t="str">
        <f>IF(OR(ISNUMBER(SEARCH('EA Framework'!$J$3,Tabla7[[#This Row],[Framework/Methodology]])),ISNUMBER(SEARCH('EA Framework'!$J$4,Tabla7[[#This Row],[Framework/Methodology]]))),"X","")</f>
        <v/>
      </c>
      <c r="BB7" s="18" t="str">
        <f>IF(OR(ISNUMBER(SEARCH('EA Framework'!$I$3,Tabla7[[#This Row],[Framework/Methodology]]))),"X","")</f>
        <v/>
      </c>
      <c r="BC7" s="18" t="str">
        <f>IF(OR(ISNUMBER(SEARCH('EA Framework'!$F$3,Tabla7[[#This Row],[Framework/Methodology]]))),"X","")</f>
        <v/>
      </c>
      <c r="BD7" s="18" t="str">
        <f>IF(OR(ISNUMBER(SEARCH('EA Framework'!$H$3,Tabla7[[#This Row],[Framework/Methodology]]))),"X","")</f>
        <v/>
      </c>
      <c r="BE7" s="18" t="str">
        <f>IF(OR(ISNUMBER(SEARCH('EA Framework'!$E$3,Tabla7[[#This Row],[Framework/Methodology]]))),"X","")</f>
        <v/>
      </c>
      <c r="BF7" s="18" t="str">
        <f>IF(OR(ISNUMBER(SEARCH('EA Framework'!$G$3,Tabla7[[#This Row],[Framework/Methodology]]))),"X","")</f>
        <v>X</v>
      </c>
      <c r="BG7" s="18" t="str">
        <f>IF(OR(ISNUMBER(SEARCH('EA Framework'!$D$3,Tabla7[[#This Row],[Framework/Methodology]]))),"X","")</f>
        <v/>
      </c>
      <c r="BH7" s="22" t="str">
        <f>IF(OR(ISNUMBER(SEARCH('Modelling Language'!$M$3,Tabla7[[#This Row],[Language]])),ISNUMBER(SEARCH('Modelling Language'!$M$4,Tabla7[[#This Row],[Language]])),ISNUMBER(SEARCH('Modelling Language'!$M$5,Tabla7[[#This Row],[Language]]))),"X","")</f>
        <v/>
      </c>
      <c r="BI7" s="18" t="str">
        <f>IF(OR(ISNUMBER(SEARCH('Modelling Language'!$J$3,Tabla7[[#This Row],[Language]])),ISNUMBER(SEARCH('Modelling Language'!$J$4,Tabla7[[#This Row],[Language]]))),"X","")</f>
        <v/>
      </c>
      <c r="BJ7" s="18" t="str">
        <f>IF(OR(ISNUMBER(SEARCH('Modelling Language'!$L$3,Tabla7[[#This Row],[Language]])),ISNUMBER(SEARCH('Modelling Language'!$L$4,Tabla7[[#This Row],[Language]]))),"X","")</f>
        <v/>
      </c>
      <c r="BK7" s="18" t="str">
        <f>IF(OR(ISNUMBER(SEARCH('Modelling Language'!$K$3,Tabla7[[#This Row],[Language]])),ISNUMBER(SEARCH('Modelling Language'!$K$4,Tabla7[[#This Row],[Language]]))),"X","")</f>
        <v/>
      </c>
      <c r="BL7" s="18" t="str">
        <f>IF(OR(ISNUMBER(SEARCH('Modelling Language'!$D$3,Tabla7[[#This Row],[Language]]))),"X","")</f>
        <v/>
      </c>
      <c r="BM7" s="18" t="str">
        <f>IF(OR(ISNUMBER(SEARCH('Modelling Language'!$I$3,Tabla7[[#This Row],[Language]]))),"X","")</f>
        <v/>
      </c>
      <c r="BN7" s="18" t="str">
        <f>IF(OR(ISNUMBER(SEARCH('Modelling Language'!$G$3,Tabla7[[#This Row],[Language]]))),"X","")</f>
        <v/>
      </c>
      <c r="BO7" s="18" t="str">
        <f>IF(OR(ISNUMBER(SEARCH('Modelling Language'!$F$3,Tabla7[[#This Row],[Language]]))),"X","")</f>
        <v/>
      </c>
      <c r="BP7" s="18" t="str">
        <f>IF(OR(ISNUMBER(SEARCH('Modelling Language'!$E$3,Tabla7[[#This Row],[Language]]))),"X","")</f>
        <v/>
      </c>
      <c r="BQ7" s="18" t="str">
        <f>IF(OR(ISNUMBER(SEARCH('Modelling Language'!$H$3,Tabla7[[#This Row],[Language]]))),"X","")</f>
        <v>X</v>
      </c>
      <c r="BR7" s="18"/>
      <c r="BS7" s="22" t="str">
        <f>IF(OR(ISNUMBER(SEARCH(applicability!$D$3,Tabla7[[#This Row],[Application]])),ISNUMBER(SEARCH(applicability!$D$4,Tabla7[[#This Row],[Application]]))),"X","")</f>
        <v/>
      </c>
      <c r="BT7" s="18" t="str">
        <f>IF(OR(ISNUMBER(SEARCH(applicability!$E$3,Tabla7[[#This Row],[Application]]))),"X","")</f>
        <v/>
      </c>
      <c r="BU7" s="18" t="str">
        <f>IF(OR(ISNUMBER(SEARCH(applicability!$F$3,Tabla7[[#This Row],[Application]])),ISNUMBER(SEARCH(applicability!$F$4,Tabla7[[#This Row],[Application]]))),"X","")</f>
        <v/>
      </c>
      <c r="BV7" s="18" t="str">
        <f>IF(OR(ISNUMBER(SEARCH(applicability!$G$3,Tabla7[[#This Row],[Application]]))),"X","")</f>
        <v/>
      </c>
      <c r="BW7" s="19" t="str">
        <f>IF(OR(ISNUMBER(SEARCH(applicability!$H$3,Tabla7[[#This Row],[Application]]))),"X","")</f>
        <v>X</v>
      </c>
    </row>
    <row r="8" spans="1:75" x14ac:dyDescent="0.25">
      <c r="A8" s="13">
        <v>447</v>
      </c>
      <c r="B8" s="14">
        <v>14</v>
      </c>
      <c r="C8" s="14" t="s">
        <v>1732</v>
      </c>
      <c r="D8" s="14" t="s">
        <v>3851</v>
      </c>
      <c r="E8" s="15">
        <v>2012</v>
      </c>
      <c r="F8" s="15" t="s">
        <v>5221</v>
      </c>
      <c r="G8" s="15" t="s">
        <v>5304</v>
      </c>
      <c r="H8" s="15" t="s">
        <v>5296</v>
      </c>
      <c r="I8" s="15" t="s">
        <v>5296</v>
      </c>
      <c r="J8" s="14" t="s">
        <v>0</v>
      </c>
      <c r="K8" s="14" t="s">
        <v>3852</v>
      </c>
      <c r="L8" s="14" t="s">
        <v>1734</v>
      </c>
      <c r="M8" s="14">
        <v>5</v>
      </c>
      <c r="N8" s="14">
        <v>14</v>
      </c>
      <c r="O8" s="14" t="s">
        <v>4995</v>
      </c>
      <c r="P8" s="14" t="s">
        <v>731</v>
      </c>
      <c r="Q8" s="14" t="s">
        <v>5277</v>
      </c>
      <c r="R8" s="14" t="s">
        <v>4974</v>
      </c>
      <c r="S8" s="14" t="s">
        <v>658</v>
      </c>
      <c r="T8" s="14" t="s">
        <v>5052</v>
      </c>
      <c r="U8" s="14" t="s">
        <v>5053</v>
      </c>
      <c r="V8" s="14"/>
      <c r="W8" s="14">
        <v>2</v>
      </c>
      <c r="X8" s="14">
        <v>2</v>
      </c>
      <c r="Y8" s="14">
        <v>3</v>
      </c>
      <c r="Z8" s="14">
        <v>3</v>
      </c>
      <c r="AA8"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5</v>
      </c>
      <c r="AB8" s="14">
        <v>4</v>
      </c>
      <c r="AC8" s="43" t="s">
        <v>5223</v>
      </c>
      <c r="AD8" s="22" t="str">
        <f>IF(OR(ISNUMBER(SEARCH('Source Artifacts'!$F$3,Tabla7[[#This Row],[Source IS artifacts]])),ISNUMBER(SEARCH('Source Artifacts'!$F$4,Tabla7[[#This Row],[Source IS artifacts]]))),"X","")</f>
        <v/>
      </c>
      <c r="AE8" s="19" t="str">
        <f>IF(OR(ISNUMBER(SEARCH('Source Artifacts'!$L$3,Tabla7[[#This Row],[Source IS artifacts]])),ISNUMBER(SEARCH('Source Artifacts'!$L$4,Tabla7[[#This Row],[Source IS artifacts]])),ISNUMBER(SEARCH('Source Artifacts'!$L$5,Tabla7[[#This Row],[Source IS artifacts]]))),"X","")</f>
        <v>X</v>
      </c>
      <c r="AF8" s="19" t="str">
        <f>IF(OR(ISNUMBER(SEARCH('Source Artifacts'!$I$3,Tabla7[[#This Row],[Source IS artifacts]])),ISNUMBER(SEARCH('Source Artifacts'!$I$4,Tabla7[[#This Row],[Source IS artifacts]])),ISNUMBER(SEARCH('Source Artifacts'!$I$5,Tabla7[[#This Row],[Source IS artifacts]]))),"X","")</f>
        <v/>
      </c>
      <c r="AG8"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8"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8"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8"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8"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8" s="19" t="str">
        <f>IF(OR(ISNUMBER(SEARCH('Source Artifacts'!$D$3,Tabla7[[#This Row],[Source IS artifacts]]))),"X","")</f>
        <v/>
      </c>
      <c r="AM8"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8"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
      </c>
      <c r="AO8" s="18" t="str">
        <f>IF(OR(ISNUMBER(SEARCH(Techniques!$H$3,Tabla7[[#This Row],[Mining techniques]])),ISNUMBER(SEARCH(Techniques!$H$4,Tabla7[[#This Row],[Mining techniques]]))),"X","")</f>
        <v/>
      </c>
      <c r="AP8" s="18" t="str">
        <f>IF(OR(ISNUMBER(SEARCH(Techniques!$J$3,Tabla7[[#This Row],[Mining techniques]]))),"X","")</f>
        <v>X</v>
      </c>
      <c r="AQ8" s="19" t="str">
        <f>IF(OR(ISNUMBER(SEARCH(Techniques!$G$3,Tabla7[[#This Row],[Mining techniques]])),ISNUMBER(SEARCH(Techniques!$G$4,Tabla7[[#This Row],[Mining techniques]]))),"X","")</f>
        <v/>
      </c>
      <c r="AR8" s="19" t="str">
        <f>IF(OR(ISNUMBER(SEARCH(Techniques!$F$3,Tabla7[[#This Row],[Mining techniques]])),ISNUMBER(SEARCH(Techniques!$F$4,Tabla7[[#This Row],[Mining techniques]]))),"X","")</f>
        <v/>
      </c>
      <c r="AS8" s="18" t="str">
        <f>IF(OR(ISNUMBER(SEARCH(Techniques!$D$3,Tabla7[[#This Row],[Mining techniques]])),ISNUMBER(SEARCH(Techniques!$D$4,Tabla7[[#This Row],[Mining techniques]]))),"X","")</f>
        <v/>
      </c>
      <c r="AT8" s="18" t="str">
        <f>IF(OR(ISNUMBER(SEARCH(Techniques!$E$3,Tabla7[[#This Row],[Mining techniques]])),ISNUMBER(SEARCH(Techniques!$E$4,Tabla7[[#This Row],[Mining techniques]]))),"X","")</f>
        <v/>
      </c>
      <c r="AU8" s="27" t="str">
        <f>IF(OR(ISNUMBER(SEARCH('EA Concern'!$I$3,Tabla7[[#This Row],[EA concern]]))),"X","")</f>
        <v>X</v>
      </c>
      <c r="AV8" s="26" t="str">
        <f>IF(OR(ISNUMBER(SEARCH('EA Concern'!$G$3,Tabla7[[#This Row],[EA concern]])),ISNUMBER(SEARCH('EA Concern'!$G$4,Tabla7[[#This Row],[EA concern]]))),"X","")</f>
        <v/>
      </c>
      <c r="AW8" s="26" t="str">
        <f>IF(OR(ISNUMBER(SEARCH('EA Concern'!$E$3,Tabla7[[#This Row],[EA concern]]))),"X","")</f>
        <v/>
      </c>
      <c r="AX8" s="26" t="str">
        <f>IF(OR(ISNUMBER(SEARCH('EA Concern'!$H$3,Tabla7[[#This Row],[EA concern]])),ISNUMBER(SEARCH('EA Concern'!$H$4,Tabla7[[#This Row],[EA concern]]))),"X","")</f>
        <v/>
      </c>
      <c r="AY8" s="26" t="str">
        <f>IF(OR(ISNUMBER(SEARCH('EA Concern'!$F$3,Tabla7[[#This Row],[EA concern]])),ISNUMBER(SEARCH('EA Concern'!$F$4,Tabla7[[#This Row],[EA concern]]))),"X","")</f>
        <v/>
      </c>
      <c r="AZ8" s="26" t="str">
        <f>IF(OR(ISNUMBER(SEARCH('EA Concern'!$D$3,Tabla7[[#This Row],[EA concern]])),ISNUMBER(SEARCH('EA Concern'!$D$4,Tabla7[[#This Row],[EA concern]]))),"X","")</f>
        <v/>
      </c>
      <c r="BA8" s="23" t="str">
        <f>IF(OR(ISNUMBER(SEARCH('EA Framework'!$J$3,Tabla7[[#This Row],[Framework/Methodology]])),ISNUMBER(SEARCH('EA Framework'!$J$4,Tabla7[[#This Row],[Framework/Methodology]]))),"X","")</f>
        <v/>
      </c>
      <c r="BB8" s="18" t="str">
        <f>IF(OR(ISNUMBER(SEARCH('EA Framework'!$I$3,Tabla7[[#This Row],[Framework/Methodology]]))),"X","")</f>
        <v/>
      </c>
      <c r="BC8" s="18" t="str">
        <f>IF(OR(ISNUMBER(SEARCH('EA Framework'!$F$3,Tabla7[[#This Row],[Framework/Methodology]]))),"X","")</f>
        <v/>
      </c>
      <c r="BD8" s="18" t="str">
        <f>IF(OR(ISNUMBER(SEARCH('EA Framework'!$H$3,Tabla7[[#This Row],[Framework/Methodology]]))),"X","")</f>
        <v/>
      </c>
      <c r="BE8" s="18" t="str">
        <f>IF(OR(ISNUMBER(SEARCH('EA Framework'!$E$3,Tabla7[[#This Row],[Framework/Methodology]]))),"X","")</f>
        <v>X</v>
      </c>
      <c r="BF8" s="18" t="str">
        <f>IF(OR(ISNUMBER(SEARCH('EA Framework'!$G$3,Tabla7[[#This Row],[Framework/Methodology]]))),"X","")</f>
        <v/>
      </c>
      <c r="BG8" s="18" t="str">
        <f>IF(OR(ISNUMBER(SEARCH('EA Framework'!$D$3,Tabla7[[#This Row],[Framework/Methodology]]))),"X","")</f>
        <v/>
      </c>
      <c r="BH8" s="22" t="str">
        <f>IF(OR(ISNUMBER(SEARCH('Modelling Language'!$M$3,Tabla7[[#This Row],[Language]])),ISNUMBER(SEARCH('Modelling Language'!$M$4,Tabla7[[#This Row],[Language]])),ISNUMBER(SEARCH('Modelling Language'!$M$5,Tabla7[[#This Row],[Language]]))),"X","")</f>
        <v/>
      </c>
      <c r="BI8" s="18" t="str">
        <f>IF(OR(ISNUMBER(SEARCH('Modelling Language'!$J$3,Tabla7[[#This Row],[Language]])),ISNUMBER(SEARCH('Modelling Language'!$J$4,Tabla7[[#This Row],[Language]]))),"X","")</f>
        <v>X</v>
      </c>
      <c r="BJ8" s="18" t="str">
        <f>IF(OR(ISNUMBER(SEARCH('Modelling Language'!$L$3,Tabla7[[#This Row],[Language]])),ISNUMBER(SEARCH('Modelling Language'!$L$4,Tabla7[[#This Row],[Language]]))),"X","")</f>
        <v>X</v>
      </c>
      <c r="BK8" s="18" t="str">
        <f>IF(OR(ISNUMBER(SEARCH('Modelling Language'!$K$3,Tabla7[[#This Row],[Language]])),ISNUMBER(SEARCH('Modelling Language'!$K$4,Tabla7[[#This Row],[Language]]))),"X","")</f>
        <v/>
      </c>
      <c r="BL8" s="18" t="str">
        <f>IF(OR(ISNUMBER(SEARCH('Modelling Language'!$D$3,Tabla7[[#This Row],[Language]]))),"X","")</f>
        <v/>
      </c>
      <c r="BM8" s="18" t="str">
        <f>IF(OR(ISNUMBER(SEARCH('Modelling Language'!$I$3,Tabla7[[#This Row],[Language]]))),"X","")</f>
        <v/>
      </c>
      <c r="BN8" s="18" t="str">
        <f>IF(OR(ISNUMBER(SEARCH('Modelling Language'!$G$3,Tabla7[[#This Row],[Language]]))),"X","")</f>
        <v/>
      </c>
      <c r="BO8" s="18" t="str">
        <f>IF(OR(ISNUMBER(SEARCH('Modelling Language'!$F$3,Tabla7[[#This Row],[Language]]))),"X","")</f>
        <v/>
      </c>
      <c r="BP8" s="18" t="str">
        <f>IF(OR(ISNUMBER(SEARCH('Modelling Language'!$E$3,Tabla7[[#This Row],[Language]]))),"X","")</f>
        <v/>
      </c>
      <c r="BQ8" s="18" t="str">
        <f>IF(OR(ISNUMBER(SEARCH('Modelling Language'!$H$3,Tabla7[[#This Row],[Language]]))),"X","")</f>
        <v/>
      </c>
      <c r="BR8" s="18"/>
      <c r="BS8" s="22" t="str">
        <f>IF(OR(ISNUMBER(SEARCH(applicability!$D$3,Tabla7[[#This Row],[Application]])),ISNUMBER(SEARCH(applicability!$D$4,Tabla7[[#This Row],[Application]]))),"X","")</f>
        <v/>
      </c>
      <c r="BT8" s="18" t="str">
        <f>IF(OR(ISNUMBER(SEARCH(applicability!$E$3,Tabla7[[#This Row],[Application]]))),"X","")</f>
        <v/>
      </c>
      <c r="BU8" s="18" t="str">
        <f>IF(OR(ISNUMBER(SEARCH(applicability!$F$3,Tabla7[[#This Row],[Application]])),ISNUMBER(SEARCH(applicability!$F$4,Tabla7[[#This Row],[Application]]))),"X","")</f>
        <v/>
      </c>
      <c r="BV8" s="18" t="str">
        <f>IF(OR(ISNUMBER(SEARCH(applicability!$G$3,Tabla7[[#This Row],[Application]]))),"X","")</f>
        <v/>
      </c>
      <c r="BW8" s="19" t="str">
        <f>IF(OR(ISNUMBER(SEARCH(applicability!$H$3,Tabla7[[#This Row],[Application]]))),"X","")</f>
        <v/>
      </c>
    </row>
    <row r="9" spans="1:75" x14ac:dyDescent="0.25">
      <c r="A9" s="13">
        <v>602</v>
      </c>
      <c r="B9" s="14">
        <v>2</v>
      </c>
      <c r="C9" s="14" t="s">
        <v>1117</v>
      </c>
      <c r="D9" s="14" t="s">
        <v>3388</v>
      </c>
      <c r="E9" s="15">
        <v>2016</v>
      </c>
      <c r="F9" s="15" t="s">
        <v>5295</v>
      </c>
      <c r="G9" s="15" t="s">
        <v>5297</v>
      </c>
      <c r="H9" s="15" t="s">
        <v>5296</v>
      </c>
      <c r="I9" s="15" t="s">
        <v>5296</v>
      </c>
      <c r="J9" s="14" t="s">
        <v>0</v>
      </c>
      <c r="K9" s="14" t="s">
        <v>3389</v>
      </c>
      <c r="L9" s="14" t="s">
        <v>1118</v>
      </c>
      <c r="M9" s="14">
        <v>5</v>
      </c>
      <c r="N9" s="14">
        <v>12</v>
      </c>
      <c r="O9" s="14" t="s">
        <v>5074</v>
      </c>
      <c r="P9" s="14" t="s">
        <v>5044</v>
      </c>
      <c r="Q9" s="14" t="s">
        <v>2135</v>
      </c>
      <c r="R9" s="14" t="s">
        <v>4976</v>
      </c>
      <c r="S9" s="14" t="s">
        <v>5012</v>
      </c>
      <c r="T9" s="14" t="s">
        <v>3111</v>
      </c>
      <c r="U9" s="14" t="s">
        <v>5075</v>
      </c>
      <c r="V9" s="14" t="s">
        <v>4988</v>
      </c>
      <c r="W9" s="14">
        <v>1</v>
      </c>
      <c r="X9" s="14">
        <v>1</v>
      </c>
      <c r="Y9" s="14">
        <v>1</v>
      </c>
      <c r="Z9" s="14">
        <v>1</v>
      </c>
      <c r="AA9"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2</v>
      </c>
      <c r="AB9" s="14">
        <v>5</v>
      </c>
      <c r="AC9" s="43" t="s">
        <v>5222</v>
      </c>
      <c r="AD9" s="22" t="str">
        <f>IF(OR(ISNUMBER(SEARCH('Source Artifacts'!$F$3,Tabla7[[#This Row],[Source IS artifacts]])),ISNUMBER(SEARCH('Source Artifacts'!$F$4,Tabla7[[#This Row],[Source IS artifacts]]))),"X","")</f>
        <v/>
      </c>
      <c r="AE9" s="19" t="str">
        <f>IF(OR(ISNUMBER(SEARCH('Source Artifacts'!$L$3,Tabla7[[#This Row],[Source IS artifacts]])),ISNUMBER(SEARCH('Source Artifacts'!$L$4,Tabla7[[#This Row],[Source IS artifacts]])),ISNUMBER(SEARCH('Source Artifacts'!$L$5,Tabla7[[#This Row],[Source IS artifacts]]))),"X","")</f>
        <v/>
      </c>
      <c r="AF9" s="19" t="str">
        <f>IF(OR(ISNUMBER(SEARCH('Source Artifacts'!$I$3,Tabla7[[#This Row],[Source IS artifacts]])),ISNUMBER(SEARCH('Source Artifacts'!$I$4,Tabla7[[#This Row],[Source IS artifacts]])),ISNUMBER(SEARCH('Source Artifacts'!$I$5,Tabla7[[#This Row],[Source IS artifacts]]))),"X","")</f>
        <v/>
      </c>
      <c r="AG9" s="19" t="str">
        <f>IF(OR(ISNUMBER(SEARCH('Source Artifacts'!$E$3,Tabla7[[#This Row],[Source IS artifacts]])),ISNUMBER(SEARCH('Source Artifacts'!$E$4,Tabla7[[#This Row],[Source IS artifacts]])),ISNUMBER(SEARCH('Source Artifacts'!$E$5,Tabla7[[#This Row],[Source IS artifacts]])),ISNUMBER(SEARCH('Source Artifacts'!$E$6,Tabla7[[#This Row],[Source IS artifacts]]))),"X","")</f>
        <v>X</v>
      </c>
      <c r="AH9"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9"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9"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9"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9" s="19" t="str">
        <f>IF(OR(ISNUMBER(SEARCH('Source Artifacts'!$D$3,Tabla7[[#This Row],[Source IS artifacts]]))),"X","")</f>
        <v/>
      </c>
      <c r="AM9"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9"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X</v>
      </c>
      <c r="AO9" s="18" t="str">
        <f>IF(OR(ISNUMBER(SEARCH(Techniques!$H$3,Tabla7[[#This Row],[Mining techniques]])),ISNUMBER(SEARCH(Techniques!$H$4,Tabla7[[#This Row],[Mining techniques]]))),"X","")</f>
        <v/>
      </c>
      <c r="AP9" s="18" t="str">
        <f>IF(OR(ISNUMBER(SEARCH(Techniques!$J$3,Tabla7[[#This Row],[Mining techniques]]))),"X","")</f>
        <v>X</v>
      </c>
      <c r="AQ9" s="19" t="str">
        <f>IF(OR(ISNUMBER(SEARCH(Techniques!$G$3,Tabla7[[#This Row],[Mining techniques]])),ISNUMBER(SEARCH(Techniques!$G$4,Tabla7[[#This Row],[Mining techniques]]))),"X","")</f>
        <v/>
      </c>
      <c r="AR9" s="19" t="str">
        <f>IF(OR(ISNUMBER(SEARCH(Techniques!$F$3,Tabla7[[#This Row],[Mining techniques]])),ISNUMBER(SEARCH(Techniques!$F$4,Tabla7[[#This Row],[Mining techniques]]))),"X","")</f>
        <v/>
      </c>
      <c r="AS9" s="18" t="str">
        <f>IF(OR(ISNUMBER(SEARCH(Techniques!$D$3,Tabla7[[#This Row],[Mining techniques]])),ISNUMBER(SEARCH(Techniques!$D$4,Tabla7[[#This Row],[Mining techniques]]))),"X","")</f>
        <v/>
      </c>
      <c r="AT9" s="18" t="str">
        <f>IF(OR(ISNUMBER(SEARCH(Techniques!$E$3,Tabla7[[#This Row],[Mining techniques]])),ISNUMBER(SEARCH(Techniques!$E$4,Tabla7[[#This Row],[Mining techniques]]))),"X","")</f>
        <v/>
      </c>
      <c r="AU9" s="27" t="str">
        <f>IF(OR(ISNUMBER(SEARCH('EA Concern'!$I$3,Tabla7[[#This Row],[EA concern]]))),"X","")</f>
        <v/>
      </c>
      <c r="AV9" s="26" t="str">
        <f>IF(OR(ISNUMBER(SEARCH('EA Concern'!$G$3,Tabla7[[#This Row],[EA concern]])),ISNUMBER(SEARCH('EA Concern'!$G$4,Tabla7[[#This Row],[EA concern]]))),"X","")</f>
        <v/>
      </c>
      <c r="AW9" s="26" t="str">
        <f>IF(OR(ISNUMBER(SEARCH('EA Concern'!$E$3,Tabla7[[#This Row],[EA concern]]))),"X","")</f>
        <v>X</v>
      </c>
      <c r="AX9" s="26" t="str">
        <f>IF(OR(ISNUMBER(SEARCH('EA Concern'!$H$3,Tabla7[[#This Row],[EA concern]])),ISNUMBER(SEARCH('EA Concern'!$H$4,Tabla7[[#This Row],[EA concern]]))),"X","")</f>
        <v/>
      </c>
      <c r="AY9" s="26" t="str">
        <f>IF(OR(ISNUMBER(SEARCH('EA Concern'!$F$3,Tabla7[[#This Row],[EA concern]])),ISNUMBER(SEARCH('EA Concern'!$F$4,Tabla7[[#This Row],[EA concern]]))),"X","")</f>
        <v/>
      </c>
      <c r="AZ9" s="26" t="str">
        <f>IF(OR(ISNUMBER(SEARCH('EA Concern'!$D$3,Tabla7[[#This Row],[EA concern]])),ISNUMBER(SEARCH('EA Concern'!$D$4,Tabla7[[#This Row],[EA concern]]))),"X","")</f>
        <v/>
      </c>
      <c r="BA9" s="23" t="str">
        <f>IF(OR(ISNUMBER(SEARCH('EA Framework'!$J$3,Tabla7[[#This Row],[Framework/Methodology]])),ISNUMBER(SEARCH('EA Framework'!$J$4,Tabla7[[#This Row],[Framework/Methodology]]))),"X","")</f>
        <v/>
      </c>
      <c r="BB9" s="18" t="str">
        <f>IF(OR(ISNUMBER(SEARCH('EA Framework'!$I$3,Tabla7[[#This Row],[Framework/Methodology]]))),"X","")</f>
        <v/>
      </c>
      <c r="BC9" s="18" t="str">
        <f>IF(OR(ISNUMBER(SEARCH('EA Framework'!$F$3,Tabla7[[#This Row],[Framework/Methodology]]))),"X","")</f>
        <v/>
      </c>
      <c r="BD9" s="18" t="str">
        <f>IF(OR(ISNUMBER(SEARCH('EA Framework'!$H$3,Tabla7[[#This Row],[Framework/Methodology]]))),"X","")</f>
        <v>X</v>
      </c>
      <c r="BE9" s="18" t="str">
        <f>IF(OR(ISNUMBER(SEARCH('EA Framework'!$E$3,Tabla7[[#This Row],[Framework/Methodology]]))),"X","")</f>
        <v/>
      </c>
      <c r="BF9" s="18" t="str">
        <f>IF(OR(ISNUMBER(SEARCH('EA Framework'!$G$3,Tabla7[[#This Row],[Framework/Methodology]]))),"X","")</f>
        <v/>
      </c>
      <c r="BG9" s="18" t="str">
        <f>IF(OR(ISNUMBER(SEARCH('EA Framework'!$D$3,Tabla7[[#This Row],[Framework/Methodology]]))),"X","")</f>
        <v/>
      </c>
      <c r="BH9" s="22" t="str">
        <f>IF(OR(ISNUMBER(SEARCH('Modelling Language'!$M$3,Tabla7[[#This Row],[Language]])),ISNUMBER(SEARCH('Modelling Language'!$M$4,Tabla7[[#This Row],[Language]])),ISNUMBER(SEARCH('Modelling Language'!$M$5,Tabla7[[#This Row],[Language]]))),"X","")</f>
        <v/>
      </c>
      <c r="BI9" s="18" t="str">
        <f>IF(OR(ISNUMBER(SEARCH('Modelling Language'!$J$3,Tabla7[[#This Row],[Language]])),ISNUMBER(SEARCH('Modelling Language'!$J$4,Tabla7[[#This Row],[Language]]))),"X","")</f>
        <v/>
      </c>
      <c r="BJ9" s="18" t="str">
        <f>IF(OR(ISNUMBER(SEARCH('Modelling Language'!$L$3,Tabla7[[#This Row],[Language]])),ISNUMBER(SEARCH('Modelling Language'!$L$4,Tabla7[[#This Row],[Language]]))),"X","")</f>
        <v>X</v>
      </c>
      <c r="BK9" s="18" t="str">
        <f>IF(OR(ISNUMBER(SEARCH('Modelling Language'!$K$3,Tabla7[[#This Row],[Language]])),ISNUMBER(SEARCH('Modelling Language'!$K$4,Tabla7[[#This Row],[Language]]))),"X","")</f>
        <v>X</v>
      </c>
      <c r="BL9" s="18" t="str">
        <f>IF(OR(ISNUMBER(SEARCH('Modelling Language'!$D$3,Tabla7[[#This Row],[Language]]))),"X","")</f>
        <v/>
      </c>
      <c r="BM9" s="18" t="str">
        <f>IF(OR(ISNUMBER(SEARCH('Modelling Language'!$I$3,Tabla7[[#This Row],[Language]]))),"X","")</f>
        <v/>
      </c>
      <c r="BN9" s="18" t="str">
        <f>IF(OR(ISNUMBER(SEARCH('Modelling Language'!$G$3,Tabla7[[#This Row],[Language]]))),"X","")</f>
        <v/>
      </c>
      <c r="BO9" s="18" t="str">
        <f>IF(OR(ISNUMBER(SEARCH('Modelling Language'!$F$3,Tabla7[[#This Row],[Language]]))),"X","")</f>
        <v/>
      </c>
      <c r="BP9" s="18" t="str">
        <f>IF(OR(ISNUMBER(SEARCH('Modelling Language'!$E$3,Tabla7[[#This Row],[Language]]))),"X","")</f>
        <v/>
      </c>
      <c r="BQ9" s="18" t="str">
        <f>IF(OR(ISNUMBER(SEARCH('Modelling Language'!$H$3,Tabla7[[#This Row],[Language]]))),"X","")</f>
        <v/>
      </c>
      <c r="BR9" s="18"/>
      <c r="BS9" s="22" t="str">
        <f>IF(OR(ISNUMBER(SEARCH(applicability!$D$3,Tabla7[[#This Row],[Application]])),ISNUMBER(SEARCH(applicability!$D$4,Tabla7[[#This Row],[Application]]))),"X","")</f>
        <v/>
      </c>
      <c r="BT9" s="18" t="str">
        <f>IF(OR(ISNUMBER(SEARCH(applicability!$E$3,Tabla7[[#This Row],[Application]]))),"X","")</f>
        <v/>
      </c>
      <c r="BU9" s="18" t="str">
        <f>IF(OR(ISNUMBER(SEARCH(applicability!$F$3,Tabla7[[#This Row],[Application]])),ISNUMBER(SEARCH(applicability!$F$4,Tabla7[[#This Row],[Application]]))),"X","")</f>
        <v>X</v>
      </c>
      <c r="BV9" s="18" t="str">
        <f>IF(OR(ISNUMBER(SEARCH(applicability!$G$3,Tabla7[[#This Row],[Application]]))),"X","")</f>
        <v/>
      </c>
      <c r="BW9" s="19" t="str">
        <f>IF(OR(ISNUMBER(SEARCH(applicability!$H$3,Tabla7[[#This Row],[Application]]))),"X","")</f>
        <v/>
      </c>
    </row>
    <row r="10" spans="1:75" x14ac:dyDescent="0.25">
      <c r="A10" s="13">
        <v>527</v>
      </c>
      <c r="B10" s="14">
        <v>32</v>
      </c>
      <c r="C10" s="14" t="s">
        <v>2625</v>
      </c>
      <c r="D10" s="14" t="s">
        <v>4549</v>
      </c>
      <c r="E10" s="15">
        <v>2015</v>
      </c>
      <c r="F10" s="15" t="s">
        <v>5300</v>
      </c>
      <c r="G10" s="15" t="s">
        <v>5296</v>
      </c>
      <c r="H10" s="15" t="s">
        <v>5296</v>
      </c>
      <c r="I10" s="15" t="s">
        <v>5296</v>
      </c>
      <c r="J10" s="14" t="s">
        <v>244</v>
      </c>
      <c r="K10" s="14" t="s">
        <v>4550</v>
      </c>
      <c r="L10" s="14" t="s">
        <v>2627</v>
      </c>
      <c r="M10" s="14">
        <v>6</v>
      </c>
      <c r="N10" s="14">
        <v>8</v>
      </c>
      <c r="O10" s="14" t="s">
        <v>4995</v>
      </c>
      <c r="P10" s="14" t="s">
        <v>5061</v>
      </c>
      <c r="Q10" s="14" t="s">
        <v>5277</v>
      </c>
      <c r="R10" s="14" t="s">
        <v>4976</v>
      </c>
      <c r="S10" s="14" t="s">
        <v>5012</v>
      </c>
      <c r="T10" s="14" t="s">
        <v>5003</v>
      </c>
      <c r="U10" s="14"/>
      <c r="V10" s="14"/>
      <c r="W10" s="14">
        <v>1</v>
      </c>
      <c r="X10" s="14">
        <v>1</v>
      </c>
      <c r="Y10" s="14">
        <v>1</v>
      </c>
      <c r="Z10" s="14">
        <v>1</v>
      </c>
      <c r="AA10"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2</v>
      </c>
      <c r="AB10" s="14">
        <v>4</v>
      </c>
      <c r="AC10" s="43" t="s">
        <v>5221</v>
      </c>
      <c r="AD10" s="22" t="str">
        <f>IF(OR(ISNUMBER(SEARCH('Source Artifacts'!$F$3,Tabla7[[#This Row],[Source IS artifacts]])),ISNUMBER(SEARCH('Source Artifacts'!$F$4,Tabla7[[#This Row],[Source IS artifacts]]))),"X","")</f>
        <v/>
      </c>
      <c r="AE10" s="19" t="str">
        <f>IF(OR(ISNUMBER(SEARCH('Source Artifacts'!$L$3,Tabla7[[#This Row],[Source IS artifacts]])),ISNUMBER(SEARCH('Source Artifacts'!$L$4,Tabla7[[#This Row],[Source IS artifacts]])),ISNUMBER(SEARCH('Source Artifacts'!$L$5,Tabla7[[#This Row],[Source IS artifacts]]))),"X","")</f>
        <v>X</v>
      </c>
      <c r="AF10" s="19" t="str">
        <f>IF(OR(ISNUMBER(SEARCH('Source Artifacts'!$I$3,Tabla7[[#This Row],[Source IS artifacts]])),ISNUMBER(SEARCH('Source Artifacts'!$I$4,Tabla7[[#This Row],[Source IS artifacts]])),ISNUMBER(SEARCH('Source Artifacts'!$I$5,Tabla7[[#This Row],[Source IS artifacts]]))),"X","")</f>
        <v/>
      </c>
      <c r="AG10"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10"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10"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10"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10"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10" s="19" t="str">
        <f>IF(OR(ISNUMBER(SEARCH('Source Artifacts'!$D$3,Tabla7[[#This Row],[Source IS artifacts]]))),"X","")</f>
        <v/>
      </c>
      <c r="AM10"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10"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
      </c>
      <c r="AO10" s="18" t="str">
        <f>IF(OR(ISNUMBER(SEARCH(Techniques!$H$3,Tabla7[[#This Row],[Mining techniques]])),ISNUMBER(SEARCH(Techniques!$H$4,Tabla7[[#This Row],[Mining techniques]]))),"X","")</f>
        <v/>
      </c>
      <c r="AP10" s="18" t="str">
        <f>IF(OR(ISNUMBER(SEARCH(Techniques!$J$3,Tabla7[[#This Row],[Mining techniques]]))),"X","")</f>
        <v/>
      </c>
      <c r="AQ10" s="19" t="str">
        <f>IF(OR(ISNUMBER(SEARCH(Techniques!$G$3,Tabla7[[#This Row],[Mining techniques]])),ISNUMBER(SEARCH(Techniques!$G$4,Tabla7[[#This Row],[Mining techniques]]))),"X","")</f>
        <v/>
      </c>
      <c r="AR10" s="19" t="str">
        <f>IF(OR(ISNUMBER(SEARCH(Techniques!$F$3,Tabla7[[#This Row],[Mining techniques]])),ISNUMBER(SEARCH(Techniques!$F$4,Tabla7[[#This Row],[Mining techniques]]))),"X","")</f>
        <v>X</v>
      </c>
      <c r="AS10" s="18" t="str">
        <f>IF(OR(ISNUMBER(SEARCH(Techniques!$D$3,Tabla7[[#This Row],[Mining techniques]])),ISNUMBER(SEARCH(Techniques!$D$4,Tabla7[[#This Row],[Mining techniques]]))),"X","")</f>
        <v/>
      </c>
      <c r="AT10" s="18" t="str">
        <f>IF(OR(ISNUMBER(SEARCH(Techniques!$E$3,Tabla7[[#This Row],[Mining techniques]])),ISNUMBER(SEARCH(Techniques!$E$4,Tabla7[[#This Row],[Mining techniques]]))),"X","")</f>
        <v/>
      </c>
      <c r="AU10" s="27" t="str">
        <f>IF(OR(ISNUMBER(SEARCH('EA Concern'!$I$3,Tabla7[[#This Row],[EA concern]]))),"X","")</f>
        <v>X</v>
      </c>
      <c r="AV10" s="26" t="str">
        <f>IF(OR(ISNUMBER(SEARCH('EA Concern'!$G$3,Tabla7[[#This Row],[EA concern]])),ISNUMBER(SEARCH('EA Concern'!$G$4,Tabla7[[#This Row],[EA concern]]))),"X","")</f>
        <v/>
      </c>
      <c r="AW10" s="26" t="str">
        <f>IF(OR(ISNUMBER(SEARCH('EA Concern'!$E$3,Tabla7[[#This Row],[EA concern]]))),"X","")</f>
        <v/>
      </c>
      <c r="AX10" s="26" t="str">
        <f>IF(OR(ISNUMBER(SEARCH('EA Concern'!$H$3,Tabla7[[#This Row],[EA concern]])),ISNUMBER(SEARCH('EA Concern'!$H$4,Tabla7[[#This Row],[EA concern]]))),"X","")</f>
        <v/>
      </c>
      <c r="AY10" s="26" t="str">
        <f>IF(OR(ISNUMBER(SEARCH('EA Concern'!$F$3,Tabla7[[#This Row],[EA concern]])),ISNUMBER(SEARCH('EA Concern'!$F$4,Tabla7[[#This Row],[EA concern]]))),"X","")</f>
        <v/>
      </c>
      <c r="AZ10" s="26" t="str">
        <f>IF(OR(ISNUMBER(SEARCH('EA Concern'!$D$3,Tabla7[[#This Row],[EA concern]])),ISNUMBER(SEARCH('EA Concern'!$D$4,Tabla7[[#This Row],[EA concern]]))),"X","")</f>
        <v/>
      </c>
      <c r="BA10" s="23" t="str">
        <f>IF(OR(ISNUMBER(SEARCH('EA Framework'!$J$3,Tabla7[[#This Row],[Framework/Methodology]])),ISNUMBER(SEARCH('EA Framework'!$J$4,Tabla7[[#This Row],[Framework/Methodology]]))),"X","")</f>
        <v>X</v>
      </c>
      <c r="BB10" s="18" t="str">
        <f>IF(OR(ISNUMBER(SEARCH('EA Framework'!$I$3,Tabla7[[#This Row],[Framework/Methodology]]))),"X","")</f>
        <v/>
      </c>
      <c r="BC10" s="18" t="str">
        <f>IF(OR(ISNUMBER(SEARCH('EA Framework'!$F$3,Tabla7[[#This Row],[Framework/Methodology]]))),"X","")</f>
        <v/>
      </c>
      <c r="BD10" s="18" t="str">
        <f>IF(OR(ISNUMBER(SEARCH('EA Framework'!$H$3,Tabla7[[#This Row],[Framework/Methodology]]))),"X","")</f>
        <v/>
      </c>
      <c r="BE10" s="18" t="str">
        <f>IF(OR(ISNUMBER(SEARCH('EA Framework'!$E$3,Tabla7[[#This Row],[Framework/Methodology]]))),"X","")</f>
        <v/>
      </c>
      <c r="BF10" s="18" t="str">
        <f>IF(OR(ISNUMBER(SEARCH('EA Framework'!$G$3,Tabla7[[#This Row],[Framework/Methodology]]))),"X","")</f>
        <v/>
      </c>
      <c r="BG10" s="18" t="str">
        <f>IF(OR(ISNUMBER(SEARCH('EA Framework'!$D$3,Tabla7[[#This Row],[Framework/Methodology]]))),"X","")</f>
        <v/>
      </c>
      <c r="BH10" s="22" t="str">
        <f>IF(OR(ISNUMBER(SEARCH('Modelling Language'!$M$3,Tabla7[[#This Row],[Language]])),ISNUMBER(SEARCH('Modelling Language'!$M$4,Tabla7[[#This Row],[Language]])),ISNUMBER(SEARCH('Modelling Language'!$M$5,Tabla7[[#This Row],[Language]]))),"X","")</f>
        <v/>
      </c>
      <c r="BI10" s="18" t="str">
        <f>IF(OR(ISNUMBER(SEARCH('Modelling Language'!$J$3,Tabla7[[#This Row],[Language]])),ISNUMBER(SEARCH('Modelling Language'!$J$4,Tabla7[[#This Row],[Language]]))),"X","")</f>
        <v/>
      </c>
      <c r="BJ10" s="18" t="str">
        <f>IF(OR(ISNUMBER(SEARCH('Modelling Language'!$L$3,Tabla7[[#This Row],[Language]])),ISNUMBER(SEARCH('Modelling Language'!$L$4,Tabla7[[#This Row],[Language]]))),"X","")</f>
        <v/>
      </c>
      <c r="BK10" s="18" t="str">
        <f>IF(OR(ISNUMBER(SEARCH('Modelling Language'!$K$3,Tabla7[[#This Row],[Language]])),ISNUMBER(SEARCH('Modelling Language'!$K$4,Tabla7[[#This Row],[Language]]))),"X","")</f>
        <v/>
      </c>
      <c r="BL10" s="18" t="str">
        <f>IF(OR(ISNUMBER(SEARCH('Modelling Language'!$D$3,Tabla7[[#This Row],[Language]]))),"X","")</f>
        <v/>
      </c>
      <c r="BM10" s="18" t="str">
        <f>IF(OR(ISNUMBER(SEARCH('Modelling Language'!$I$3,Tabla7[[#This Row],[Language]]))),"X","")</f>
        <v/>
      </c>
      <c r="BN10" s="18" t="str">
        <f>IF(OR(ISNUMBER(SEARCH('Modelling Language'!$G$3,Tabla7[[#This Row],[Language]]))),"X","")</f>
        <v/>
      </c>
      <c r="BO10" s="18" t="str">
        <f>IF(OR(ISNUMBER(SEARCH('Modelling Language'!$F$3,Tabla7[[#This Row],[Language]]))),"X","")</f>
        <v/>
      </c>
      <c r="BP10" s="18" t="str">
        <f>IF(OR(ISNUMBER(SEARCH('Modelling Language'!$E$3,Tabla7[[#This Row],[Language]]))),"X","")</f>
        <v/>
      </c>
      <c r="BQ10" s="18" t="str">
        <f>IF(OR(ISNUMBER(SEARCH('Modelling Language'!$H$3,Tabla7[[#This Row],[Language]]))),"X","")</f>
        <v/>
      </c>
      <c r="BR10" s="18"/>
      <c r="BS10" s="22" t="str">
        <f>IF(OR(ISNUMBER(SEARCH(applicability!$D$3,Tabla7[[#This Row],[Application]])),ISNUMBER(SEARCH(applicability!$D$4,Tabla7[[#This Row],[Application]]))),"X","")</f>
        <v/>
      </c>
      <c r="BT10" s="18" t="str">
        <f>IF(OR(ISNUMBER(SEARCH(applicability!$E$3,Tabla7[[#This Row],[Application]]))),"X","")</f>
        <v/>
      </c>
      <c r="BU10" s="18" t="str">
        <f>IF(OR(ISNUMBER(SEARCH(applicability!$F$3,Tabla7[[#This Row],[Application]])),ISNUMBER(SEARCH(applicability!$F$4,Tabla7[[#This Row],[Application]]))),"X","")</f>
        <v/>
      </c>
      <c r="BV10" s="18" t="str">
        <f>IF(OR(ISNUMBER(SEARCH(applicability!$G$3,Tabla7[[#This Row],[Application]]))),"X","")</f>
        <v/>
      </c>
      <c r="BW10" s="19" t="str">
        <f>IF(OR(ISNUMBER(SEARCH(applicability!$H$3,Tabla7[[#This Row],[Application]]))),"X","")</f>
        <v/>
      </c>
    </row>
    <row r="11" spans="1:75" x14ac:dyDescent="0.25">
      <c r="A11" s="13">
        <v>178</v>
      </c>
      <c r="B11" s="14">
        <v>20</v>
      </c>
      <c r="C11" s="14" t="s">
        <v>2065</v>
      </c>
      <c r="D11" s="14" t="s">
        <v>4102</v>
      </c>
      <c r="E11" s="15">
        <v>2016</v>
      </c>
      <c r="F11" s="15" t="s">
        <v>5296</v>
      </c>
      <c r="G11" s="15" t="s">
        <v>5296</v>
      </c>
      <c r="H11" s="15" t="s">
        <v>5296</v>
      </c>
      <c r="I11" s="15" t="s">
        <v>5296</v>
      </c>
      <c r="J11" s="14" t="s">
        <v>127</v>
      </c>
      <c r="K11" s="14" t="s">
        <v>4103</v>
      </c>
      <c r="L11" s="14" t="s">
        <v>2069</v>
      </c>
      <c r="M11" s="14">
        <v>4.5</v>
      </c>
      <c r="N11" s="14">
        <v>6</v>
      </c>
      <c r="O11" s="14" t="s">
        <v>4995</v>
      </c>
      <c r="P11" s="14" t="s">
        <v>730</v>
      </c>
      <c r="Q11" s="14" t="s">
        <v>5009</v>
      </c>
      <c r="R11" s="14" t="s">
        <v>4974</v>
      </c>
      <c r="S11" s="14" t="s">
        <v>127</v>
      </c>
      <c r="T11" s="14" t="s">
        <v>5003</v>
      </c>
      <c r="U11" s="14" t="s">
        <v>5027</v>
      </c>
      <c r="V11" s="14"/>
      <c r="W11" s="14">
        <v>3</v>
      </c>
      <c r="X11" s="14">
        <v>5</v>
      </c>
      <c r="Y11" s="14">
        <v>1</v>
      </c>
      <c r="Z11" s="14">
        <v>3</v>
      </c>
      <c r="AA11"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2</v>
      </c>
      <c r="AB11" s="14">
        <v>4</v>
      </c>
      <c r="AC11" s="43" t="s">
        <v>5221</v>
      </c>
      <c r="AD11" s="22" t="str">
        <f>IF(OR(ISNUMBER(SEARCH('Source Artifacts'!$F$3,Tabla7[[#This Row],[Source IS artifacts]])),ISNUMBER(SEARCH('Source Artifacts'!$F$4,Tabla7[[#This Row],[Source IS artifacts]]))),"X","")</f>
        <v/>
      </c>
      <c r="AE11" s="19" t="str">
        <f>IF(OR(ISNUMBER(SEARCH('Source Artifacts'!$L$3,Tabla7[[#This Row],[Source IS artifacts]])),ISNUMBER(SEARCH('Source Artifacts'!$L$4,Tabla7[[#This Row],[Source IS artifacts]])),ISNUMBER(SEARCH('Source Artifacts'!$L$5,Tabla7[[#This Row],[Source IS artifacts]]))),"X","")</f>
        <v>X</v>
      </c>
      <c r="AF11" s="19" t="str">
        <f>IF(OR(ISNUMBER(SEARCH('Source Artifacts'!$I$3,Tabla7[[#This Row],[Source IS artifacts]])),ISNUMBER(SEARCH('Source Artifacts'!$I$4,Tabla7[[#This Row],[Source IS artifacts]])),ISNUMBER(SEARCH('Source Artifacts'!$I$5,Tabla7[[#This Row],[Source IS artifacts]]))),"X","")</f>
        <v/>
      </c>
      <c r="AG11"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11"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11"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11"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11"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11" s="19" t="str">
        <f>IF(OR(ISNUMBER(SEARCH('Source Artifacts'!$D$3,Tabla7[[#This Row],[Source IS artifacts]]))),"X","")</f>
        <v/>
      </c>
      <c r="AM11"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X</v>
      </c>
      <c r="AN11"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
      </c>
      <c r="AO11" s="18" t="str">
        <f>IF(OR(ISNUMBER(SEARCH(Techniques!$H$3,Tabla7[[#This Row],[Mining techniques]])),ISNUMBER(SEARCH(Techniques!$H$4,Tabla7[[#This Row],[Mining techniques]]))),"X","")</f>
        <v/>
      </c>
      <c r="AP11" s="18" t="str">
        <f>IF(OR(ISNUMBER(SEARCH(Techniques!$J$3,Tabla7[[#This Row],[Mining techniques]]))),"X","")</f>
        <v/>
      </c>
      <c r="AQ11" s="19" t="str">
        <f>IF(OR(ISNUMBER(SEARCH(Techniques!$G$3,Tabla7[[#This Row],[Mining techniques]])),ISNUMBER(SEARCH(Techniques!$G$4,Tabla7[[#This Row],[Mining techniques]]))),"X","")</f>
        <v/>
      </c>
      <c r="AR11" s="19" t="str">
        <f>IF(OR(ISNUMBER(SEARCH(Techniques!$F$3,Tabla7[[#This Row],[Mining techniques]])),ISNUMBER(SEARCH(Techniques!$F$4,Tabla7[[#This Row],[Mining techniques]]))),"X","")</f>
        <v/>
      </c>
      <c r="AS11" s="18" t="str">
        <f>IF(OR(ISNUMBER(SEARCH(Techniques!$D$3,Tabla7[[#This Row],[Mining techniques]])),ISNUMBER(SEARCH(Techniques!$D$4,Tabla7[[#This Row],[Mining techniques]]))),"X","")</f>
        <v/>
      </c>
      <c r="AT11" s="18" t="str">
        <f>IF(OR(ISNUMBER(SEARCH(Techniques!$E$3,Tabla7[[#This Row],[Mining techniques]])),ISNUMBER(SEARCH(Techniques!$E$4,Tabla7[[#This Row],[Mining techniques]]))),"X","")</f>
        <v/>
      </c>
      <c r="AU11" s="27" t="str">
        <f>IF(OR(ISNUMBER(SEARCH('EA Concern'!$I$3,Tabla7[[#This Row],[EA concern]]))),"X","")</f>
        <v/>
      </c>
      <c r="AV11" s="26" t="str">
        <f>IF(OR(ISNUMBER(SEARCH('EA Concern'!$G$3,Tabla7[[#This Row],[EA concern]])),ISNUMBER(SEARCH('EA Concern'!$G$4,Tabla7[[#This Row],[EA concern]]))),"X","")</f>
        <v/>
      </c>
      <c r="AW11" s="26" t="str">
        <f>IF(OR(ISNUMBER(SEARCH('EA Concern'!$E$3,Tabla7[[#This Row],[EA concern]]))),"X","")</f>
        <v/>
      </c>
      <c r="AX11" s="26" t="str">
        <f>IF(OR(ISNUMBER(SEARCH('EA Concern'!$H$3,Tabla7[[#This Row],[EA concern]])),ISNUMBER(SEARCH('EA Concern'!$H$4,Tabla7[[#This Row],[EA concern]]))),"X","")</f>
        <v/>
      </c>
      <c r="AY11" s="26" t="str">
        <f>IF(OR(ISNUMBER(SEARCH('EA Concern'!$F$3,Tabla7[[#This Row],[EA concern]])),ISNUMBER(SEARCH('EA Concern'!$F$4,Tabla7[[#This Row],[EA concern]]))),"X","")</f>
        <v/>
      </c>
      <c r="AZ11" s="26" t="str">
        <f>IF(OR(ISNUMBER(SEARCH('EA Concern'!$D$3,Tabla7[[#This Row],[EA concern]])),ISNUMBER(SEARCH('EA Concern'!$D$4,Tabla7[[#This Row],[EA concern]]))),"X","")</f>
        <v/>
      </c>
      <c r="BA11" s="23" t="str">
        <f>IF(OR(ISNUMBER(SEARCH('EA Framework'!$J$3,Tabla7[[#This Row],[Framework/Methodology]])),ISNUMBER(SEARCH('EA Framework'!$J$4,Tabla7[[#This Row],[Framework/Methodology]]))),"X","")</f>
        <v>X</v>
      </c>
      <c r="BB11" s="18" t="str">
        <f>IF(OR(ISNUMBER(SEARCH('EA Framework'!$I$3,Tabla7[[#This Row],[Framework/Methodology]]))),"X","")</f>
        <v/>
      </c>
      <c r="BC11" s="18" t="str">
        <f>IF(OR(ISNUMBER(SEARCH('EA Framework'!$F$3,Tabla7[[#This Row],[Framework/Methodology]]))),"X","")</f>
        <v/>
      </c>
      <c r="BD11" s="18" t="str">
        <f>IF(OR(ISNUMBER(SEARCH('EA Framework'!$H$3,Tabla7[[#This Row],[Framework/Methodology]]))),"X","")</f>
        <v/>
      </c>
      <c r="BE11" s="18" t="str">
        <f>IF(OR(ISNUMBER(SEARCH('EA Framework'!$E$3,Tabla7[[#This Row],[Framework/Methodology]]))),"X","")</f>
        <v/>
      </c>
      <c r="BF11" s="18" t="str">
        <f>IF(OR(ISNUMBER(SEARCH('EA Framework'!$G$3,Tabla7[[#This Row],[Framework/Methodology]]))),"X","")</f>
        <v/>
      </c>
      <c r="BG11" s="18" t="str">
        <f>IF(OR(ISNUMBER(SEARCH('EA Framework'!$D$3,Tabla7[[#This Row],[Framework/Methodology]]))),"X","")</f>
        <v/>
      </c>
      <c r="BH11" s="22" t="str">
        <f>IF(OR(ISNUMBER(SEARCH('Modelling Language'!$M$3,Tabla7[[#This Row],[Language]])),ISNUMBER(SEARCH('Modelling Language'!$M$4,Tabla7[[#This Row],[Language]])),ISNUMBER(SEARCH('Modelling Language'!$M$5,Tabla7[[#This Row],[Language]]))),"X","")</f>
        <v/>
      </c>
      <c r="BI11" s="18" t="str">
        <f>IF(OR(ISNUMBER(SEARCH('Modelling Language'!$J$3,Tabla7[[#This Row],[Language]])),ISNUMBER(SEARCH('Modelling Language'!$J$4,Tabla7[[#This Row],[Language]]))),"X","")</f>
        <v/>
      </c>
      <c r="BJ11" s="18" t="str">
        <f>IF(OR(ISNUMBER(SEARCH('Modelling Language'!$L$3,Tabla7[[#This Row],[Language]])),ISNUMBER(SEARCH('Modelling Language'!$L$4,Tabla7[[#This Row],[Language]]))),"X","")</f>
        <v/>
      </c>
      <c r="BK11" s="18" t="str">
        <f>IF(OR(ISNUMBER(SEARCH('Modelling Language'!$K$3,Tabla7[[#This Row],[Language]])),ISNUMBER(SEARCH('Modelling Language'!$K$4,Tabla7[[#This Row],[Language]]))),"X","")</f>
        <v/>
      </c>
      <c r="BL11" s="18" t="str">
        <f>IF(OR(ISNUMBER(SEARCH('Modelling Language'!$D$3,Tabla7[[#This Row],[Language]]))),"X","")</f>
        <v/>
      </c>
      <c r="BM11" s="18" t="str">
        <f>IF(OR(ISNUMBER(SEARCH('Modelling Language'!$I$3,Tabla7[[#This Row],[Language]]))),"X","")</f>
        <v/>
      </c>
      <c r="BN11" s="18" t="str">
        <f>IF(OR(ISNUMBER(SEARCH('Modelling Language'!$G$3,Tabla7[[#This Row],[Language]]))),"X","")</f>
        <v/>
      </c>
      <c r="BO11" s="18" t="str">
        <f>IF(OR(ISNUMBER(SEARCH('Modelling Language'!$F$3,Tabla7[[#This Row],[Language]]))),"X","")</f>
        <v/>
      </c>
      <c r="BP11" s="18" t="str">
        <f>IF(OR(ISNUMBER(SEARCH('Modelling Language'!$E$3,Tabla7[[#This Row],[Language]]))),"X","")</f>
        <v/>
      </c>
      <c r="BQ11" s="18" t="str">
        <f>IF(OR(ISNUMBER(SEARCH('Modelling Language'!$H$3,Tabla7[[#This Row],[Language]]))),"X","")</f>
        <v/>
      </c>
      <c r="BR11" s="18"/>
      <c r="BS11" s="22" t="str">
        <f>IF(OR(ISNUMBER(SEARCH(applicability!$D$3,Tabla7[[#This Row],[Application]])),ISNUMBER(SEARCH(applicability!$D$4,Tabla7[[#This Row],[Application]]))),"X","")</f>
        <v/>
      </c>
      <c r="BT11" s="18" t="str">
        <f>IF(OR(ISNUMBER(SEARCH(applicability!$E$3,Tabla7[[#This Row],[Application]]))),"X","")</f>
        <v/>
      </c>
      <c r="BU11" s="18" t="str">
        <f>IF(OR(ISNUMBER(SEARCH(applicability!$F$3,Tabla7[[#This Row],[Application]])),ISNUMBER(SEARCH(applicability!$F$4,Tabla7[[#This Row],[Application]]))),"X","")</f>
        <v/>
      </c>
      <c r="BV11" s="18" t="str">
        <f>IF(OR(ISNUMBER(SEARCH(applicability!$G$3,Tabla7[[#This Row],[Application]]))),"X","")</f>
        <v/>
      </c>
      <c r="BW11" s="19" t="str">
        <f>IF(OR(ISNUMBER(SEARCH(applicability!$H$3,Tabla7[[#This Row],[Application]]))),"X","")</f>
        <v/>
      </c>
    </row>
    <row r="12" spans="1:75" x14ac:dyDescent="0.25">
      <c r="A12" s="13">
        <v>38</v>
      </c>
      <c r="B12" s="14">
        <v>3</v>
      </c>
      <c r="C12" s="14" t="s">
        <v>1164</v>
      </c>
      <c r="D12" s="14" t="s">
        <v>3421</v>
      </c>
      <c r="E12" s="15">
        <v>2011</v>
      </c>
      <c r="F12" s="15" t="s">
        <v>5300</v>
      </c>
      <c r="G12" s="15" t="s">
        <v>5297</v>
      </c>
      <c r="H12" s="15" t="s">
        <v>5296</v>
      </c>
      <c r="I12" s="15" t="s">
        <v>5296</v>
      </c>
      <c r="J12" s="14" t="s">
        <v>244</v>
      </c>
      <c r="K12" s="14" t="s">
        <v>3422</v>
      </c>
      <c r="L12" s="14" t="s">
        <v>1167</v>
      </c>
      <c r="M12" s="14">
        <v>6</v>
      </c>
      <c r="N12" s="14">
        <v>12</v>
      </c>
      <c r="O12" s="14" t="s">
        <v>728</v>
      </c>
      <c r="P12" s="14" t="s">
        <v>5004</v>
      </c>
      <c r="Q12" s="14" t="s">
        <v>5277</v>
      </c>
      <c r="R12" s="14" t="s">
        <v>4974</v>
      </c>
      <c r="S12" s="14" t="s">
        <v>658</v>
      </c>
      <c r="T12" s="14" t="s">
        <v>5003</v>
      </c>
      <c r="U12" s="14" t="s">
        <v>4998</v>
      </c>
      <c r="V12" s="14" t="s">
        <v>5007</v>
      </c>
      <c r="W12" s="14">
        <v>4</v>
      </c>
      <c r="X12" s="14">
        <v>1</v>
      </c>
      <c r="Y12" s="14">
        <v>1</v>
      </c>
      <c r="Z12" s="14">
        <v>4</v>
      </c>
      <c r="AA12"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2</v>
      </c>
      <c r="AB12" s="14">
        <v>3</v>
      </c>
      <c r="AC12" s="43" t="s">
        <v>5221</v>
      </c>
      <c r="AD12" s="22" t="str">
        <f>IF(OR(ISNUMBER(SEARCH('Source Artifacts'!$F$3,Tabla7[[#This Row],[Source IS artifacts]])),ISNUMBER(SEARCH('Source Artifacts'!$F$4,Tabla7[[#This Row],[Source IS artifacts]]))),"X","")</f>
        <v/>
      </c>
      <c r="AE12" s="19" t="str">
        <f>IF(OR(ISNUMBER(SEARCH('Source Artifacts'!$L$3,Tabla7[[#This Row],[Source IS artifacts]])),ISNUMBER(SEARCH('Source Artifacts'!$L$4,Tabla7[[#This Row],[Source IS artifacts]])),ISNUMBER(SEARCH('Source Artifacts'!$L$5,Tabla7[[#This Row],[Source IS artifacts]]))),"X","")</f>
        <v/>
      </c>
      <c r="AF12" s="19" t="str">
        <f>IF(OR(ISNUMBER(SEARCH('Source Artifacts'!$I$3,Tabla7[[#This Row],[Source IS artifacts]])),ISNUMBER(SEARCH('Source Artifacts'!$I$4,Tabla7[[#This Row],[Source IS artifacts]])),ISNUMBER(SEARCH('Source Artifacts'!$I$5,Tabla7[[#This Row],[Source IS artifacts]]))),"X","")</f>
        <v>X</v>
      </c>
      <c r="AG12"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12"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12"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12"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12"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12" s="19" t="str">
        <f>IF(OR(ISNUMBER(SEARCH('Source Artifacts'!$D$3,Tabla7[[#This Row],[Source IS artifacts]]))),"X","")</f>
        <v/>
      </c>
      <c r="AM12"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12"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
      </c>
      <c r="AO12" s="18" t="str">
        <f>IF(OR(ISNUMBER(SEARCH(Techniques!$H$3,Tabla7[[#This Row],[Mining techniques]])),ISNUMBER(SEARCH(Techniques!$H$4,Tabla7[[#This Row],[Mining techniques]]))),"X","")</f>
        <v/>
      </c>
      <c r="AP12" s="18" t="str">
        <f>IF(OR(ISNUMBER(SEARCH(Techniques!$J$3,Tabla7[[#This Row],[Mining techniques]]))),"X","")</f>
        <v/>
      </c>
      <c r="AQ12" s="19" t="str">
        <f>IF(OR(ISNUMBER(SEARCH(Techniques!$G$3,Tabla7[[#This Row],[Mining techniques]])),ISNUMBER(SEARCH(Techniques!$G$4,Tabla7[[#This Row],[Mining techniques]]))),"X","")</f>
        <v>X</v>
      </c>
      <c r="AR12" s="19" t="str">
        <f>IF(OR(ISNUMBER(SEARCH(Techniques!$F$3,Tabla7[[#This Row],[Mining techniques]])),ISNUMBER(SEARCH(Techniques!$F$4,Tabla7[[#This Row],[Mining techniques]]))),"X","")</f>
        <v/>
      </c>
      <c r="AS12" s="18" t="str">
        <f>IF(OR(ISNUMBER(SEARCH(Techniques!$D$3,Tabla7[[#This Row],[Mining techniques]])),ISNUMBER(SEARCH(Techniques!$D$4,Tabla7[[#This Row],[Mining techniques]]))),"X","")</f>
        <v/>
      </c>
      <c r="AT12" s="18" t="str">
        <f>IF(OR(ISNUMBER(SEARCH(Techniques!$E$3,Tabla7[[#This Row],[Mining techniques]])),ISNUMBER(SEARCH(Techniques!$E$4,Tabla7[[#This Row],[Mining techniques]]))),"X","")</f>
        <v/>
      </c>
      <c r="AU12" s="27" t="str">
        <f>IF(OR(ISNUMBER(SEARCH('EA Concern'!$I$3,Tabla7[[#This Row],[EA concern]]))),"X","")</f>
        <v>X</v>
      </c>
      <c r="AV12" s="26" t="str">
        <f>IF(OR(ISNUMBER(SEARCH('EA Concern'!$G$3,Tabla7[[#This Row],[EA concern]])),ISNUMBER(SEARCH('EA Concern'!$G$4,Tabla7[[#This Row],[EA concern]]))),"X","")</f>
        <v/>
      </c>
      <c r="AW12" s="26" t="str">
        <f>IF(OR(ISNUMBER(SEARCH('EA Concern'!$E$3,Tabla7[[#This Row],[EA concern]]))),"X","")</f>
        <v/>
      </c>
      <c r="AX12" s="26" t="str">
        <f>IF(OR(ISNUMBER(SEARCH('EA Concern'!$H$3,Tabla7[[#This Row],[EA concern]])),ISNUMBER(SEARCH('EA Concern'!$H$4,Tabla7[[#This Row],[EA concern]]))),"X","")</f>
        <v/>
      </c>
      <c r="AY12" s="26" t="str">
        <f>IF(OR(ISNUMBER(SEARCH('EA Concern'!$F$3,Tabla7[[#This Row],[EA concern]])),ISNUMBER(SEARCH('EA Concern'!$F$4,Tabla7[[#This Row],[EA concern]]))),"X","")</f>
        <v/>
      </c>
      <c r="AZ12" s="26" t="str">
        <f>IF(OR(ISNUMBER(SEARCH('EA Concern'!$D$3,Tabla7[[#This Row],[EA concern]])),ISNUMBER(SEARCH('EA Concern'!$D$4,Tabla7[[#This Row],[EA concern]]))),"X","")</f>
        <v/>
      </c>
      <c r="BA12" s="23" t="str">
        <f>IF(OR(ISNUMBER(SEARCH('EA Framework'!$J$3,Tabla7[[#This Row],[Framework/Methodology]])),ISNUMBER(SEARCH('EA Framework'!$J$4,Tabla7[[#This Row],[Framework/Methodology]]))),"X","")</f>
        <v>X</v>
      </c>
      <c r="BB12" s="18" t="str">
        <f>IF(OR(ISNUMBER(SEARCH('EA Framework'!$I$3,Tabla7[[#This Row],[Framework/Methodology]]))),"X","")</f>
        <v/>
      </c>
      <c r="BC12" s="18" t="str">
        <f>IF(OR(ISNUMBER(SEARCH('EA Framework'!$F$3,Tabla7[[#This Row],[Framework/Methodology]]))),"X","")</f>
        <v/>
      </c>
      <c r="BD12" s="18" t="str">
        <f>IF(OR(ISNUMBER(SEARCH('EA Framework'!$H$3,Tabla7[[#This Row],[Framework/Methodology]]))),"X","")</f>
        <v/>
      </c>
      <c r="BE12" s="18" t="str">
        <f>IF(OR(ISNUMBER(SEARCH('EA Framework'!$E$3,Tabla7[[#This Row],[Framework/Methodology]]))),"X","")</f>
        <v/>
      </c>
      <c r="BF12" s="18" t="str">
        <f>IF(OR(ISNUMBER(SEARCH('EA Framework'!$G$3,Tabla7[[#This Row],[Framework/Methodology]]))),"X","")</f>
        <v/>
      </c>
      <c r="BG12" s="18" t="str">
        <f>IF(OR(ISNUMBER(SEARCH('EA Framework'!$D$3,Tabla7[[#This Row],[Framework/Methodology]]))),"X","")</f>
        <v/>
      </c>
      <c r="BH12" s="22" t="str">
        <f>IF(OR(ISNUMBER(SEARCH('Modelling Language'!$M$3,Tabla7[[#This Row],[Language]])),ISNUMBER(SEARCH('Modelling Language'!$M$4,Tabla7[[#This Row],[Language]])),ISNUMBER(SEARCH('Modelling Language'!$M$5,Tabla7[[#This Row],[Language]]))),"X","")</f>
        <v/>
      </c>
      <c r="BI12" s="18" t="str">
        <f>IF(OR(ISNUMBER(SEARCH('Modelling Language'!$J$3,Tabla7[[#This Row],[Language]])),ISNUMBER(SEARCH('Modelling Language'!$J$4,Tabla7[[#This Row],[Language]]))),"X","")</f>
        <v>X</v>
      </c>
      <c r="BJ12" s="18" t="str">
        <f>IF(OR(ISNUMBER(SEARCH('Modelling Language'!$L$3,Tabla7[[#This Row],[Language]])),ISNUMBER(SEARCH('Modelling Language'!$L$4,Tabla7[[#This Row],[Language]]))),"X","")</f>
        <v/>
      </c>
      <c r="BK12" s="18" t="str">
        <f>IF(OR(ISNUMBER(SEARCH('Modelling Language'!$K$3,Tabla7[[#This Row],[Language]])),ISNUMBER(SEARCH('Modelling Language'!$K$4,Tabla7[[#This Row],[Language]]))),"X","")</f>
        <v/>
      </c>
      <c r="BL12" s="18" t="str">
        <f>IF(OR(ISNUMBER(SEARCH('Modelling Language'!$D$3,Tabla7[[#This Row],[Language]]))),"X","")</f>
        <v/>
      </c>
      <c r="BM12" s="18" t="str">
        <f>IF(OR(ISNUMBER(SEARCH('Modelling Language'!$I$3,Tabla7[[#This Row],[Language]]))),"X","")</f>
        <v/>
      </c>
      <c r="BN12" s="18" t="str">
        <f>IF(OR(ISNUMBER(SEARCH('Modelling Language'!$G$3,Tabla7[[#This Row],[Language]]))),"X","")</f>
        <v/>
      </c>
      <c r="BO12" s="18" t="str">
        <f>IF(OR(ISNUMBER(SEARCH('Modelling Language'!$F$3,Tabla7[[#This Row],[Language]]))),"X","")</f>
        <v/>
      </c>
      <c r="BP12" s="18" t="str">
        <f>IF(OR(ISNUMBER(SEARCH('Modelling Language'!$E$3,Tabla7[[#This Row],[Language]]))),"X","")</f>
        <v/>
      </c>
      <c r="BQ12" s="18" t="str">
        <f>IF(OR(ISNUMBER(SEARCH('Modelling Language'!$H$3,Tabla7[[#This Row],[Language]]))),"X","")</f>
        <v/>
      </c>
      <c r="BR12" s="18"/>
      <c r="BS12" s="22" t="str">
        <f>IF(OR(ISNUMBER(SEARCH(applicability!$D$3,Tabla7[[#This Row],[Application]])),ISNUMBER(SEARCH(applicability!$D$4,Tabla7[[#This Row],[Application]]))),"X","")</f>
        <v/>
      </c>
      <c r="BT12" s="18" t="str">
        <f>IF(OR(ISNUMBER(SEARCH(applicability!$E$3,Tabla7[[#This Row],[Application]]))),"X","")</f>
        <v>X</v>
      </c>
      <c r="BU12" s="18" t="str">
        <f>IF(OR(ISNUMBER(SEARCH(applicability!$F$3,Tabla7[[#This Row],[Application]])),ISNUMBER(SEARCH(applicability!$F$4,Tabla7[[#This Row],[Application]]))),"X","")</f>
        <v/>
      </c>
      <c r="BV12" s="18" t="str">
        <f>IF(OR(ISNUMBER(SEARCH(applicability!$G$3,Tabla7[[#This Row],[Application]]))),"X","")</f>
        <v/>
      </c>
      <c r="BW12" s="19" t="str">
        <f>IF(OR(ISNUMBER(SEARCH(applicability!$H$3,Tabla7[[#This Row],[Application]]))),"X","")</f>
        <v/>
      </c>
    </row>
    <row r="13" spans="1:75" x14ac:dyDescent="0.25">
      <c r="A13" s="13">
        <v>63</v>
      </c>
      <c r="B13" s="14">
        <v>35</v>
      </c>
      <c r="C13" s="14" t="s">
        <v>2896</v>
      </c>
      <c r="D13" s="14" t="s">
        <v>4767</v>
      </c>
      <c r="E13" s="15">
        <v>2015</v>
      </c>
      <c r="F13" s="15" t="s">
        <v>5295</v>
      </c>
      <c r="G13" s="15" t="s">
        <v>5297</v>
      </c>
      <c r="H13" s="15" t="s">
        <v>5296</v>
      </c>
      <c r="I13" s="15" t="s">
        <v>5296</v>
      </c>
      <c r="J13" s="14" t="s">
        <v>0</v>
      </c>
      <c r="K13" s="14" t="s">
        <v>4768</v>
      </c>
      <c r="L13" s="14" t="s">
        <v>2898</v>
      </c>
      <c r="M13" s="14">
        <v>7</v>
      </c>
      <c r="N13" s="14">
        <v>6</v>
      </c>
      <c r="O13" s="14" t="s">
        <v>5014</v>
      </c>
      <c r="P13" s="14" t="s">
        <v>5015</v>
      </c>
      <c r="Q13" s="14" t="s">
        <v>5282</v>
      </c>
      <c r="R13" s="14" t="s">
        <v>4974</v>
      </c>
      <c r="S13" s="14" t="s">
        <v>5012</v>
      </c>
      <c r="T13" s="14" t="s">
        <v>5003</v>
      </c>
      <c r="U13" s="14" t="s">
        <v>5013</v>
      </c>
      <c r="V13" s="14"/>
      <c r="W13" s="14">
        <v>5</v>
      </c>
      <c r="X13" s="14">
        <v>5</v>
      </c>
      <c r="Y13" s="14">
        <v>3</v>
      </c>
      <c r="Z13" s="14">
        <v>4</v>
      </c>
      <c r="AA13"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2</v>
      </c>
      <c r="AB13" s="14">
        <v>3</v>
      </c>
      <c r="AC13" s="43" t="s">
        <v>5221</v>
      </c>
      <c r="AD13" s="22" t="str">
        <f>IF(OR(ISNUMBER(SEARCH('Source Artifacts'!$F$3,Tabla7[[#This Row],[Source IS artifacts]])),ISNUMBER(SEARCH('Source Artifacts'!$F$4,Tabla7[[#This Row],[Source IS artifacts]]))),"X","")</f>
        <v/>
      </c>
      <c r="AE13" s="19" t="str">
        <f>IF(OR(ISNUMBER(SEARCH('Source Artifacts'!$L$3,Tabla7[[#This Row],[Source IS artifacts]])),ISNUMBER(SEARCH('Source Artifacts'!$L$4,Tabla7[[#This Row],[Source IS artifacts]])),ISNUMBER(SEARCH('Source Artifacts'!$L$5,Tabla7[[#This Row],[Source IS artifacts]]))),"X","")</f>
        <v/>
      </c>
      <c r="AF13" s="19" t="str">
        <f>IF(OR(ISNUMBER(SEARCH('Source Artifacts'!$I$3,Tabla7[[#This Row],[Source IS artifacts]])),ISNUMBER(SEARCH('Source Artifacts'!$I$4,Tabla7[[#This Row],[Source IS artifacts]])),ISNUMBER(SEARCH('Source Artifacts'!$I$5,Tabla7[[#This Row],[Source IS artifacts]]))),"X","")</f>
        <v/>
      </c>
      <c r="AG13"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13"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X</v>
      </c>
      <c r="AI13"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13"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13"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13" s="19" t="str">
        <f>IF(OR(ISNUMBER(SEARCH('Source Artifacts'!$D$3,Tabla7[[#This Row],[Source IS artifacts]]))),"X","")</f>
        <v/>
      </c>
      <c r="AM13"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13"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X</v>
      </c>
      <c r="AO13" s="18" t="str">
        <f>IF(OR(ISNUMBER(SEARCH(Techniques!$H$3,Tabla7[[#This Row],[Mining techniques]])),ISNUMBER(SEARCH(Techniques!$H$4,Tabla7[[#This Row],[Mining techniques]]))),"X","")</f>
        <v/>
      </c>
      <c r="AP13" s="18" t="str">
        <f>IF(OR(ISNUMBER(SEARCH(Techniques!$J$3,Tabla7[[#This Row],[Mining techniques]]))),"X","")</f>
        <v/>
      </c>
      <c r="AQ13" s="19" t="str">
        <f>IF(OR(ISNUMBER(SEARCH(Techniques!$G$3,Tabla7[[#This Row],[Mining techniques]])),ISNUMBER(SEARCH(Techniques!$G$4,Tabla7[[#This Row],[Mining techniques]]))),"X","")</f>
        <v/>
      </c>
      <c r="AR13" s="19" t="str">
        <f>IF(OR(ISNUMBER(SEARCH(Techniques!$F$3,Tabla7[[#This Row],[Mining techniques]])),ISNUMBER(SEARCH(Techniques!$F$4,Tabla7[[#This Row],[Mining techniques]]))),"X","")</f>
        <v/>
      </c>
      <c r="AS13" s="18" t="str">
        <f>IF(OR(ISNUMBER(SEARCH(Techniques!$D$3,Tabla7[[#This Row],[Mining techniques]])),ISNUMBER(SEARCH(Techniques!$D$4,Tabla7[[#This Row],[Mining techniques]]))),"X","")</f>
        <v/>
      </c>
      <c r="AT13" s="18" t="str">
        <f>IF(OR(ISNUMBER(SEARCH(Techniques!$E$3,Tabla7[[#This Row],[Mining techniques]])),ISNUMBER(SEARCH(Techniques!$E$4,Tabla7[[#This Row],[Mining techniques]]))),"X","")</f>
        <v/>
      </c>
      <c r="AU13" s="27" t="str">
        <f>IF(OR(ISNUMBER(SEARCH('EA Concern'!$I$3,Tabla7[[#This Row],[EA concern]]))),"X","")</f>
        <v/>
      </c>
      <c r="AV13" s="26" t="str">
        <f>IF(OR(ISNUMBER(SEARCH('EA Concern'!$G$3,Tabla7[[#This Row],[EA concern]])),ISNUMBER(SEARCH('EA Concern'!$G$4,Tabla7[[#This Row],[EA concern]]))),"X","")</f>
        <v/>
      </c>
      <c r="AW13" s="26" t="str">
        <f>IF(OR(ISNUMBER(SEARCH('EA Concern'!$E$3,Tabla7[[#This Row],[EA concern]]))),"X","")</f>
        <v/>
      </c>
      <c r="AX13" s="26" t="str">
        <f>IF(OR(ISNUMBER(SEARCH('EA Concern'!$H$3,Tabla7[[#This Row],[EA concern]])),ISNUMBER(SEARCH('EA Concern'!$H$4,Tabla7[[#This Row],[EA concern]]))),"X","")</f>
        <v/>
      </c>
      <c r="AY13" s="26" t="str">
        <f>IF(OR(ISNUMBER(SEARCH('EA Concern'!$F$3,Tabla7[[#This Row],[EA concern]])),ISNUMBER(SEARCH('EA Concern'!$F$4,Tabla7[[#This Row],[EA concern]]))),"X","")</f>
        <v>X</v>
      </c>
      <c r="AZ13" s="26" t="str">
        <f>IF(OR(ISNUMBER(SEARCH('EA Concern'!$D$3,Tabla7[[#This Row],[EA concern]])),ISNUMBER(SEARCH('EA Concern'!$D$4,Tabla7[[#This Row],[EA concern]]))),"X","")</f>
        <v/>
      </c>
      <c r="BA13" s="23" t="str">
        <f>IF(OR(ISNUMBER(SEARCH('EA Framework'!$J$3,Tabla7[[#This Row],[Framework/Methodology]])),ISNUMBER(SEARCH('EA Framework'!$J$4,Tabla7[[#This Row],[Framework/Methodology]]))),"X","")</f>
        <v>X</v>
      </c>
      <c r="BB13" s="18" t="str">
        <f>IF(OR(ISNUMBER(SEARCH('EA Framework'!$I$3,Tabla7[[#This Row],[Framework/Methodology]]))),"X","")</f>
        <v/>
      </c>
      <c r="BC13" s="18" t="str">
        <f>IF(OR(ISNUMBER(SEARCH('EA Framework'!$F$3,Tabla7[[#This Row],[Framework/Methodology]]))),"X","")</f>
        <v/>
      </c>
      <c r="BD13" s="18" t="str">
        <f>IF(OR(ISNUMBER(SEARCH('EA Framework'!$H$3,Tabla7[[#This Row],[Framework/Methodology]]))),"X","")</f>
        <v/>
      </c>
      <c r="BE13" s="18" t="str">
        <f>IF(OR(ISNUMBER(SEARCH('EA Framework'!$E$3,Tabla7[[#This Row],[Framework/Methodology]]))),"X","")</f>
        <v/>
      </c>
      <c r="BF13" s="18" t="str">
        <f>IF(OR(ISNUMBER(SEARCH('EA Framework'!$G$3,Tabla7[[#This Row],[Framework/Methodology]]))),"X","")</f>
        <v/>
      </c>
      <c r="BG13" s="18" t="str">
        <f>IF(OR(ISNUMBER(SEARCH('EA Framework'!$D$3,Tabla7[[#This Row],[Framework/Methodology]]))),"X","")</f>
        <v/>
      </c>
      <c r="BH13" s="22" t="str">
        <f>IF(OR(ISNUMBER(SEARCH('Modelling Language'!$M$3,Tabla7[[#This Row],[Language]])),ISNUMBER(SEARCH('Modelling Language'!$M$4,Tabla7[[#This Row],[Language]])),ISNUMBER(SEARCH('Modelling Language'!$M$5,Tabla7[[#This Row],[Language]]))),"X","")</f>
        <v/>
      </c>
      <c r="BI13" s="18" t="str">
        <f>IF(OR(ISNUMBER(SEARCH('Modelling Language'!$J$3,Tabla7[[#This Row],[Language]])),ISNUMBER(SEARCH('Modelling Language'!$J$4,Tabla7[[#This Row],[Language]]))),"X","")</f>
        <v/>
      </c>
      <c r="BJ13" s="18" t="str">
        <f>IF(OR(ISNUMBER(SEARCH('Modelling Language'!$L$3,Tabla7[[#This Row],[Language]])),ISNUMBER(SEARCH('Modelling Language'!$L$4,Tabla7[[#This Row],[Language]]))),"X","")</f>
        <v>X</v>
      </c>
      <c r="BK13" s="18" t="str">
        <f>IF(OR(ISNUMBER(SEARCH('Modelling Language'!$K$3,Tabla7[[#This Row],[Language]])),ISNUMBER(SEARCH('Modelling Language'!$K$4,Tabla7[[#This Row],[Language]]))),"X","")</f>
        <v/>
      </c>
      <c r="BL13" s="18" t="str">
        <f>IF(OR(ISNUMBER(SEARCH('Modelling Language'!$D$3,Tabla7[[#This Row],[Language]]))),"X","")</f>
        <v/>
      </c>
      <c r="BM13" s="18" t="str">
        <f>IF(OR(ISNUMBER(SEARCH('Modelling Language'!$I$3,Tabla7[[#This Row],[Language]]))),"X","")</f>
        <v/>
      </c>
      <c r="BN13" s="18" t="str">
        <f>IF(OR(ISNUMBER(SEARCH('Modelling Language'!$G$3,Tabla7[[#This Row],[Language]]))),"X","")</f>
        <v/>
      </c>
      <c r="BO13" s="18" t="str">
        <f>IF(OR(ISNUMBER(SEARCH('Modelling Language'!$F$3,Tabla7[[#This Row],[Language]]))),"X","")</f>
        <v/>
      </c>
      <c r="BP13" s="18" t="str">
        <f>IF(OR(ISNUMBER(SEARCH('Modelling Language'!$E$3,Tabla7[[#This Row],[Language]]))),"X","")</f>
        <v/>
      </c>
      <c r="BQ13" s="18" t="str">
        <f>IF(OR(ISNUMBER(SEARCH('Modelling Language'!$H$3,Tabla7[[#This Row],[Language]]))),"X","")</f>
        <v/>
      </c>
      <c r="BR13" s="18"/>
      <c r="BS13" s="22" t="str">
        <f>IF(OR(ISNUMBER(SEARCH(applicability!$D$3,Tabla7[[#This Row],[Application]])),ISNUMBER(SEARCH(applicability!$D$4,Tabla7[[#This Row],[Application]]))),"X","")</f>
        <v/>
      </c>
      <c r="BT13" s="18" t="str">
        <f>IF(OR(ISNUMBER(SEARCH(applicability!$E$3,Tabla7[[#This Row],[Application]]))),"X","")</f>
        <v/>
      </c>
      <c r="BU13" s="18" t="str">
        <f>IF(OR(ISNUMBER(SEARCH(applicability!$F$3,Tabla7[[#This Row],[Application]])),ISNUMBER(SEARCH(applicability!$F$4,Tabla7[[#This Row],[Application]]))),"X","")</f>
        <v/>
      </c>
      <c r="BV13" s="18" t="str">
        <f>IF(OR(ISNUMBER(SEARCH(applicability!$G$3,Tabla7[[#This Row],[Application]]))),"X","")</f>
        <v/>
      </c>
      <c r="BW13" s="19" t="str">
        <f>IF(OR(ISNUMBER(SEARCH(applicability!$H$3,Tabla7[[#This Row],[Application]]))),"X","")</f>
        <v/>
      </c>
    </row>
    <row r="14" spans="1:75" x14ac:dyDescent="0.25">
      <c r="A14" s="13">
        <v>228</v>
      </c>
      <c r="B14" s="14">
        <v>15</v>
      </c>
      <c r="C14" s="14" t="s">
        <v>1739</v>
      </c>
      <c r="D14" s="14" t="s">
        <v>3857</v>
      </c>
      <c r="E14" s="15">
        <v>2013</v>
      </c>
      <c r="F14" s="15" t="s">
        <v>5295</v>
      </c>
      <c r="G14" s="15" t="s">
        <v>5295</v>
      </c>
      <c r="H14" s="15" t="s">
        <v>5296</v>
      </c>
      <c r="I14" s="15" t="s">
        <v>5296</v>
      </c>
      <c r="J14" s="14" t="s">
        <v>0</v>
      </c>
      <c r="K14" s="14" t="s">
        <v>3858</v>
      </c>
      <c r="L14" s="14" t="s">
        <v>1740</v>
      </c>
      <c r="M14" s="14">
        <v>5</v>
      </c>
      <c r="N14" s="14">
        <v>8</v>
      </c>
      <c r="O14" s="14" t="s">
        <v>5257</v>
      </c>
      <c r="P14" s="14" t="s">
        <v>5030</v>
      </c>
      <c r="Q14" s="14" t="s">
        <v>5277</v>
      </c>
      <c r="R14" s="14" t="s">
        <v>4974</v>
      </c>
      <c r="S14" s="14" t="s">
        <v>658</v>
      </c>
      <c r="T14" s="14" t="s">
        <v>5003</v>
      </c>
      <c r="U14" s="14" t="s">
        <v>5034</v>
      </c>
      <c r="V14" s="14" t="s">
        <v>5035</v>
      </c>
      <c r="W14" s="14">
        <v>3</v>
      </c>
      <c r="X14" s="14">
        <v>3</v>
      </c>
      <c r="Y14" s="14">
        <v>3</v>
      </c>
      <c r="Z14" s="14">
        <v>3</v>
      </c>
      <c r="AA14"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1</v>
      </c>
      <c r="AB14" s="14">
        <v>3</v>
      </c>
      <c r="AC14" s="43" t="s">
        <v>5221</v>
      </c>
      <c r="AD14" s="22" t="str">
        <f>IF(OR(ISNUMBER(SEARCH('Source Artifacts'!$F$3,Tabla7[[#This Row],[Source IS artifacts]])),ISNUMBER(SEARCH('Source Artifacts'!$F$4,Tabla7[[#This Row],[Source IS artifacts]]))),"X","")</f>
        <v>X</v>
      </c>
      <c r="AE14" s="19" t="str">
        <f>IF(OR(ISNUMBER(SEARCH('Source Artifacts'!$L$3,Tabla7[[#This Row],[Source IS artifacts]])),ISNUMBER(SEARCH('Source Artifacts'!$L$4,Tabla7[[#This Row],[Source IS artifacts]])),ISNUMBER(SEARCH('Source Artifacts'!$L$5,Tabla7[[#This Row],[Source IS artifacts]]))),"X","")</f>
        <v/>
      </c>
      <c r="AF14" s="19" t="str">
        <f>IF(OR(ISNUMBER(SEARCH('Source Artifacts'!$I$3,Tabla7[[#This Row],[Source IS artifacts]])),ISNUMBER(SEARCH('Source Artifacts'!$I$4,Tabla7[[#This Row],[Source IS artifacts]])),ISNUMBER(SEARCH('Source Artifacts'!$I$5,Tabla7[[#This Row],[Source IS artifacts]]))),"X","")</f>
        <v/>
      </c>
      <c r="AG14"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14"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14"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14"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14"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14" s="19" t="str">
        <f>IF(OR(ISNUMBER(SEARCH('Source Artifacts'!$D$3,Tabla7[[#This Row],[Source IS artifacts]]))),"X","")</f>
        <v/>
      </c>
      <c r="AM14"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X</v>
      </c>
      <c r="AN14"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
      </c>
      <c r="AO14" s="18" t="str">
        <f>IF(OR(ISNUMBER(SEARCH(Techniques!$H$3,Tabla7[[#This Row],[Mining techniques]])),ISNUMBER(SEARCH(Techniques!$H$4,Tabla7[[#This Row],[Mining techniques]]))),"X","")</f>
        <v/>
      </c>
      <c r="AP14" s="18" t="str">
        <f>IF(OR(ISNUMBER(SEARCH(Techniques!$J$3,Tabla7[[#This Row],[Mining techniques]]))),"X","")</f>
        <v/>
      </c>
      <c r="AQ14" s="19" t="str">
        <f>IF(OR(ISNUMBER(SEARCH(Techniques!$G$3,Tabla7[[#This Row],[Mining techniques]])),ISNUMBER(SEARCH(Techniques!$G$4,Tabla7[[#This Row],[Mining techniques]]))),"X","")</f>
        <v/>
      </c>
      <c r="AR14" s="19" t="str">
        <f>IF(OR(ISNUMBER(SEARCH(Techniques!$F$3,Tabla7[[#This Row],[Mining techniques]])),ISNUMBER(SEARCH(Techniques!$F$4,Tabla7[[#This Row],[Mining techniques]]))),"X","")</f>
        <v>X</v>
      </c>
      <c r="AS14" s="18" t="str">
        <f>IF(OR(ISNUMBER(SEARCH(Techniques!$D$3,Tabla7[[#This Row],[Mining techniques]])),ISNUMBER(SEARCH(Techniques!$D$4,Tabla7[[#This Row],[Mining techniques]]))),"X","")</f>
        <v/>
      </c>
      <c r="AT14" s="18" t="str">
        <f>IF(OR(ISNUMBER(SEARCH(Techniques!$E$3,Tabla7[[#This Row],[Mining techniques]])),ISNUMBER(SEARCH(Techniques!$E$4,Tabla7[[#This Row],[Mining techniques]]))),"X","")</f>
        <v/>
      </c>
      <c r="AU14" s="27" t="str">
        <f>IF(OR(ISNUMBER(SEARCH('EA Concern'!$I$3,Tabla7[[#This Row],[EA concern]]))),"X","")</f>
        <v>X</v>
      </c>
      <c r="AV14" s="26" t="str">
        <f>IF(OR(ISNUMBER(SEARCH('EA Concern'!$G$3,Tabla7[[#This Row],[EA concern]])),ISNUMBER(SEARCH('EA Concern'!$G$4,Tabla7[[#This Row],[EA concern]]))),"X","")</f>
        <v/>
      </c>
      <c r="AW14" s="26" t="str">
        <f>IF(OR(ISNUMBER(SEARCH('EA Concern'!$E$3,Tabla7[[#This Row],[EA concern]]))),"X","")</f>
        <v/>
      </c>
      <c r="AX14" s="26" t="str">
        <f>IF(OR(ISNUMBER(SEARCH('EA Concern'!$H$3,Tabla7[[#This Row],[EA concern]])),ISNUMBER(SEARCH('EA Concern'!$H$4,Tabla7[[#This Row],[EA concern]]))),"X","")</f>
        <v/>
      </c>
      <c r="AY14" s="26" t="str">
        <f>IF(OR(ISNUMBER(SEARCH('EA Concern'!$F$3,Tabla7[[#This Row],[EA concern]])),ISNUMBER(SEARCH('EA Concern'!$F$4,Tabla7[[#This Row],[EA concern]]))),"X","")</f>
        <v/>
      </c>
      <c r="AZ14" s="26" t="str">
        <f>IF(OR(ISNUMBER(SEARCH('EA Concern'!$D$3,Tabla7[[#This Row],[EA concern]])),ISNUMBER(SEARCH('EA Concern'!$D$4,Tabla7[[#This Row],[EA concern]]))),"X","")</f>
        <v/>
      </c>
      <c r="BA14" s="23" t="str">
        <f>IF(OR(ISNUMBER(SEARCH('EA Framework'!$J$3,Tabla7[[#This Row],[Framework/Methodology]])),ISNUMBER(SEARCH('EA Framework'!$J$4,Tabla7[[#This Row],[Framework/Methodology]]))),"X","")</f>
        <v>X</v>
      </c>
      <c r="BB14" s="18" t="str">
        <f>IF(OR(ISNUMBER(SEARCH('EA Framework'!$I$3,Tabla7[[#This Row],[Framework/Methodology]]))),"X","")</f>
        <v/>
      </c>
      <c r="BC14" s="18" t="str">
        <f>IF(OR(ISNUMBER(SEARCH('EA Framework'!$F$3,Tabla7[[#This Row],[Framework/Methodology]]))),"X","")</f>
        <v/>
      </c>
      <c r="BD14" s="18" t="str">
        <f>IF(OR(ISNUMBER(SEARCH('EA Framework'!$H$3,Tabla7[[#This Row],[Framework/Methodology]]))),"X","")</f>
        <v/>
      </c>
      <c r="BE14" s="18" t="str">
        <f>IF(OR(ISNUMBER(SEARCH('EA Framework'!$E$3,Tabla7[[#This Row],[Framework/Methodology]]))),"X","")</f>
        <v/>
      </c>
      <c r="BF14" s="18" t="str">
        <f>IF(OR(ISNUMBER(SEARCH('EA Framework'!$G$3,Tabla7[[#This Row],[Framework/Methodology]]))),"X","")</f>
        <v/>
      </c>
      <c r="BG14" s="18" t="str">
        <f>IF(OR(ISNUMBER(SEARCH('EA Framework'!$D$3,Tabla7[[#This Row],[Framework/Methodology]]))),"X","")</f>
        <v/>
      </c>
      <c r="BH14" s="22" t="str">
        <f>IF(OR(ISNUMBER(SEARCH('Modelling Language'!$M$3,Tabla7[[#This Row],[Language]])),ISNUMBER(SEARCH('Modelling Language'!$M$4,Tabla7[[#This Row],[Language]])),ISNUMBER(SEARCH('Modelling Language'!$M$5,Tabla7[[#This Row],[Language]]))),"X","")</f>
        <v>X</v>
      </c>
      <c r="BI14" s="18" t="str">
        <f>IF(OR(ISNUMBER(SEARCH('Modelling Language'!$J$3,Tabla7[[#This Row],[Language]])),ISNUMBER(SEARCH('Modelling Language'!$J$4,Tabla7[[#This Row],[Language]]))),"X","")</f>
        <v/>
      </c>
      <c r="BJ14" s="18" t="str">
        <f>IF(OR(ISNUMBER(SEARCH('Modelling Language'!$L$3,Tabla7[[#This Row],[Language]])),ISNUMBER(SEARCH('Modelling Language'!$L$4,Tabla7[[#This Row],[Language]]))),"X","")</f>
        <v/>
      </c>
      <c r="BK14" s="18" t="str">
        <f>IF(OR(ISNUMBER(SEARCH('Modelling Language'!$K$3,Tabla7[[#This Row],[Language]])),ISNUMBER(SEARCH('Modelling Language'!$K$4,Tabla7[[#This Row],[Language]]))),"X","")</f>
        <v>X</v>
      </c>
      <c r="BL14" s="18" t="str">
        <f>IF(OR(ISNUMBER(SEARCH('Modelling Language'!$D$3,Tabla7[[#This Row],[Language]]))),"X","")</f>
        <v/>
      </c>
      <c r="BM14" s="18" t="str">
        <f>IF(OR(ISNUMBER(SEARCH('Modelling Language'!$I$3,Tabla7[[#This Row],[Language]]))),"X","")</f>
        <v/>
      </c>
      <c r="BN14" s="18" t="str">
        <f>IF(OR(ISNUMBER(SEARCH('Modelling Language'!$G$3,Tabla7[[#This Row],[Language]]))),"X","")</f>
        <v/>
      </c>
      <c r="BO14" s="18" t="str">
        <f>IF(OR(ISNUMBER(SEARCH('Modelling Language'!$F$3,Tabla7[[#This Row],[Language]]))),"X","")</f>
        <v/>
      </c>
      <c r="BP14" s="18" t="str">
        <f>IF(OR(ISNUMBER(SEARCH('Modelling Language'!$E$3,Tabla7[[#This Row],[Language]]))),"X","")</f>
        <v/>
      </c>
      <c r="BQ14" s="18" t="str">
        <f>IF(OR(ISNUMBER(SEARCH('Modelling Language'!$H$3,Tabla7[[#This Row],[Language]]))),"X","")</f>
        <v/>
      </c>
      <c r="BR14" s="18"/>
      <c r="BS14" s="22" t="str">
        <f>IF(OR(ISNUMBER(SEARCH(applicability!$D$3,Tabla7[[#This Row],[Application]])),ISNUMBER(SEARCH(applicability!$D$4,Tabla7[[#This Row],[Application]]))),"X","")</f>
        <v>X</v>
      </c>
      <c r="BT14" s="18" t="str">
        <f>IF(OR(ISNUMBER(SEARCH(applicability!$E$3,Tabla7[[#This Row],[Application]]))),"X","")</f>
        <v/>
      </c>
      <c r="BU14" s="18" t="str">
        <f>IF(OR(ISNUMBER(SEARCH(applicability!$F$3,Tabla7[[#This Row],[Application]])),ISNUMBER(SEARCH(applicability!$F$4,Tabla7[[#This Row],[Application]]))),"X","")</f>
        <v/>
      </c>
      <c r="BV14" s="18" t="str">
        <f>IF(OR(ISNUMBER(SEARCH(applicability!$G$3,Tabla7[[#This Row],[Application]]))),"X","")</f>
        <v/>
      </c>
      <c r="BW14" s="19" t="str">
        <f>IF(OR(ISNUMBER(SEARCH(applicability!$H$3,Tabla7[[#This Row],[Application]]))),"X","")</f>
        <v/>
      </c>
    </row>
    <row r="15" spans="1:75" x14ac:dyDescent="0.25">
      <c r="A15" s="13">
        <v>500</v>
      </c>
      <c r="B15" s="14">
        <v>37</v>
      </c>
      <c r="C15" s="14" t="s">
        <v>2942</v>
      </c>
      <c r="D15" s="14" t="s">
        <v>4801</v>
      </c>
      <c r="E15" s="15">
        <v>2016</v>
      </c>
      <c r="F15" s="15" t="s">
        <v>5296</v>
      </c>
      <c r="G15" s="15" t="s">
        <v>5296</v>
      </c>
      <c r="H15" s="15">
        <v>0.13500000000000001</v>
      </c>
      <c r="I15" s="15">
        <v>4</v>
      </c>
      <c r="J15" s="14" t="s">
        <v>116</v>
      </c>
      <c r="K15" s="14" t="s">
        <v>4803</v>
      </c>
      <c r="L15" s="14" t="s">
        <v>2945</v>
      </c>
      <c r="M15" s="14">
        <v>6</v>
      </c>
      <c r="N15" s="14">
        <v>4</v>
      </c>
      <c r="O15" s="14" t="s">
        <v>5059</v>
      </c>
      <c r="P15" s="14" t="s">
        <v>5060</v>
      </c>
      <c r="Q15" s="14" t="s">
        <v>5277</v>
      </c>
      <c r="R15" s="14" t="s">
        <v>4974</v>
      </c>
      <c r="S15" s="14" t="s">
        <v>116</v>
      </c>
      <c r="T15" s="14" t="s">
        <v>834</v>
      </c>
      <c r="U15" s="14" t="s">
        <v>726</v>
      </c>
      <c r="V15" s="14" t="s">
        <v>5007</v>
      </c>
      <c r="W15" s="14">
        <v>4</v>
      </c>
      <c r="X15" s="14">
        <v>2</v>
      </c>
      <c r="Y15" s="14">
        <v>3</v>
      </c>
      <c r="Z15" s="14">
        <v>4</v>
      </c>
      <c r="AA15"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2</v>
      </c>
      <c r="AB15" s="14">
        <v>3</v>
      </c>
      <c r="AC15" s="43" t="s">
        <v>5222</v>
      </c>
      <c r="AD15" s="22" t="str">
        <f>IF(OR(ISNUMBER(SEARCH('Source Artifacts'!$F$3,Tabla7[[#This Row],[Source IS artifacts]])),ISNUMBER(SEARCH('Source Artifacts'!$F$4,Tabla7[[#This Row],[Source IS artifacts]]))),"X","")</f>
        <v/>
      </c>
      <c r="AE15" s="19" t="str">
        <f>IF(OR(ISNUMBER(SEARCH('Source Artifacts'!$L$3,Tabla7[[#This Row],[Source IS artifacts]])),ISNUMBER(SEARCH('Source Artifacts'!$L$4,Tabla7[[#This Row],[Source IS artifacts]])),ISNUMBER(SEARCH('Source Artifacts'!$L$5,Tabla7[[#This Row],[Source IS artifacts]]))),"X","")</f>
        <v/>
      </c>
      <c r="AF15" s="19" t="str">
        <f>IF(OR(ISNUMBER(SEARCH('Source Artifacts'!$I$3,Tabla7[[#This Row],[Source IS artifacts]])),ISNUMBER(SEARCH('Source Artifacts'!$I$4,Tabla7[[#This Row],[Source IS artifacts]])),ISNUMBER(SEARCH('Source Artifacts'!$I$5,Tabla7[[#This Row],[Source IS artifacts]]))),"X","")</f>
        <v/>
      </c>
      <c r="AG15"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15"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X</v>
      </c>
      <c r="AI15"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15"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15"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15" s="19" t="str">
        <f>IF(OR(ISNUMBER(SEARCH('Source Artifacts'!$D$3,Tabla7[[#This Row],[Source IS artifacts]]))),"X","")</f>
        <v/>
      </c>
      <c r="AM15"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15"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
      </c>
      <c r="AO15" s="18" t="str">
        <f>IF(OR(ISNUMBER(SEARCH(Techniques!$H$3,Tabla7[[#This Row],[Mining techniques]])),ISNUMBER(SEARCH(Techniques!$H$4,Tabla7[[#This Row],[Mining techniques]]))),"X","")</f>
        <v/>
      </c>
      <c r="AP15" s="18" t="str">
        <f>IF(OR(ISNUMBER(SEARCH(Techniques!$J$3,Tabla7[[#This Row],[Mining techniques]]))),"X","")</f>
        <v/>
      </c>
      <c r="AQ15" s="19" t="str">
        <f>IF(OR(ISNUMBER(SEARCH(Techniques!$G$3,Tabla7[[#This Row],[Mining techniques]])),ISNUMBER(SEARCH(Techniques!$G$4,Tabla7[[#This Row],[Mining techniques]]))),"X","")</f>
        <v/>
      </c>
      <c r="AR15" s="19" t="str">
        <f>IF(OR(ISNUMBER(SEARCH(Techniques!$F$3,Tabla7[[#This Row],[Mining techniques]])),ISNUMBER(SEARCH(Techniques!$F$4,Tabla7[[#This Row],[Mining techniques]]))),"X","")</f>
        <v/>
      </c>
      <c r="AS15" s="18" t="str">
        <f>IF(OR(ISNUMBER(SEARCH(Techniques!$D$3,Tabla7[[#This Row],[Mining techniques]])),ISNUMBER(SEARCH(Techniques!$D$4,Tabla7[[#This Row],[Mining techniques]]))),"X","")</f>
        <v>X</v>
      </c>
      <c r="AT15" s="18" t="str">
        <f>IF(OR(ISNUMBER(SEARCH(Techniques!$E$3,Tabla7[[#This Row],[Mining techniques]])),ISNUMBER(SEARCH(Techniques!$E$4,Tabla7[[#This Row],[Mining techniques]]))),"X","")</f>
        <v/>
      </c>
      <c r="AU15" s="27" t="str">
        <f>IF(OR(ISNUMBER(SEARCH('EA Concern'!$I$3,Tabla7[[#This Row],[EA concern]]))),"X","")</f>
        <v>X</v>
      </c>
      <c r="AV15" s="26" t="str">
        <f>IF(OR(ISNUMBER(SEARCH('EA Concern'!$G$3,Tabla7[[#This Row],[EA concern]])),ISNUMBER(SEARCH('EA Concern'!$G$4,Tabla7[[#This Row],[EA concern]]))),"X","")</f>
        <v/>
      </c>
      <c r="AW15" s="26" t="str">
        <f>IF(OR(ISNUMBER(SEARCH('EA Concern'!$E$3,Tabla7[[#This Row],[EA concern]]))),"X","")</f>
        <v/>
      </c>
      <c r="AX15" s="26" t="str">
        <f>IF(OR(ISNUMBER(SEARCH('EA Concern'!$H$3,Tabla7[[#This Row],[EA concern]])),ISNUMBER(SEARCH('EA Concern'!$H$4,Tabla7[[#This Row],[EA concern]]))),"X","")</f>
        <v/>
      </c>
      <c r="AY15" s="26" t="str">
        <f>IF(OR(ISNUMBER(SEARCH('EA Concern'!$F$3,Tabla7[[#This Row],[EA concern]])),ISNUMBER(SEARCH('EA Concern'!$F$4,Tabla7[[#This Row],[EA concern]]))),"X","")</f>
        <v/>
      </c>
      <c r="AZ15" s="26" t="str">
        <f>IF(OR(ISNUMBER(SEARCH('EA Concern'!$D$3,Tabla7[[#This Row],[EA concern]])),ISNUMBER(SEARCH('EA Concern'!$D$4,Tabla7[[#This Row],[EA concern]]))),"X","")</f>
        <v/>
      </c>
      <c r="BA15" s="23" t="str">
        <f>IF(OR(ISNUMBER(SEARCH('EA Framework'!$J$3,Tabla7[[#This Row],[Framework/Methodology]])),ISNUMBER(SEARCH('EA Framework'!$J$4,Tabla7[[#This Row],[Framework/Methodology]]))),"X","")</f>
        <v/>
      </c>
      <c r="BB15" s="18" t="str">
        <f>IF(OR(ISNUMBER(SEARCH('EA Framework'!$I$3,Tabla7[[#This Row],[Framework/Methodology]]))),"X","")</f>
        <v>X</v>
      </c>
      <c r="BC15" s="18" t="str">
        <f>IF(OR(ISNUMBER(SEARCH('EA Framework'!$F$3,Tabla7[[#This Row],[Framework/Methodology]]))),"X","")</f>
        <v/>
      </c>
      <c r="BD15" s="18" t="str">
        <f>IF(OR(ISNUMBER(SEARCH('EA Framework'!$H$3,Tabla7[[#This Row],[Framework/Methodology]]))),"X","")</f>
        <v/>
      </c>
      <c r="BE15" s="18" t="str">
        <f>IF(OR(ISNUMBER(SEARCH('EA Framework'!$E$3,Tabla7[[#This Row],[Framework/Methodology]]))),"X","")</f>
        <v/>
      </c>
      <c r="BF15" s="18" t="str">
        <f>IF(OR(ISNUMBER(SEARCH('EA Framework'!$G$3,Tabla7[[#This Row],[Framework/Methodology]]))),"X","")</f>
        <v/>
      </c>
      <c r="BG15" s="18" t="str">
        <f>IF(OR(ISNUMBER(SEARCH('EA Framework'!$D$3,Tabla7[[#This Row],[Framework/Methodology]]))),"X","")</f>
        <v/>
      </c>
      <c r="BH15" s="22" t="str">
        <f>IF(OR(ISNUMBER(SEARCH('Modelling Language'!$M$3,Tabla7[[#This Row],[Language]])),ISNUMBER(SEARCH('Modelling Language'!$M$4,Tabla7[[#This Row],[Language]])),ISNUMBER(SEARCH('Modelling Language'!$M$5,Tabla7[[#This Row],[Language]]))),"X","")</f>
        <v>X</v>
      </c>
      <c r="BI15" s="18" t="str">
        <f>IF(OR(ISNUMBER(SEARCH('Modelling Language'!$J$3,Tabla7[[#This Row],[Language]])),ISNUMBER(SEARCH('Modelling Language'!$J$4,Tabla7[[#This Row],[Language]]))),"X","")</f>
        <v/>
      </c>
      <c r="BJ15" s="18" t="str">
        <f>IF(OR(ISNUMBER(SEARCH('Modelling Language'!$L$3,Tabla7[[#This Row],[Language]])),ISNUMBER(SEARCH('Modelling Language'!$L$4,Tabla7[[#This Row],[Language]]))),"X","")</f>
        <v/>
      </c>
      <c r="BK15" s="18" t="str">
        <f>IF(OR(ISNUMBER(SEARCH('Modelling Language'!$K$3,Tabla7[[#This Row],[Language]])),ISNUMBER(SEARCH('Modelling Language'!$K$4,Tabla7[[#This Row],[Language]]))),"X","")</f>
        <v/>
      </c>
      <c r="BL15" s="18" t="str">
        <f>IF(OR(ISNUMBER(SEARCH('Modelling Language'!$D$3,Tabla7[[#This Row],[Language]]))),"X","")</f>
        <v/>
      </c>
      <c r="BM15" s="18" t="str">
        <f>IF(OR(ISNUMBER(SEARCH('Modelling Language'!$I$3,Tabla7[[#This Row],[Language]]))),"X","")</f>
        <v/>
      </c>
      <c r="BN15" s="18" t="str">
        <f>IF(OR(ISNUMBER(SEARCH('Modelling Language'!$G$3,Tabla7[[#This Row],[Language]]))),"X","")</f>
        <v/>
      </c>
      <c r="BO15" s="18" t="str">
        <f>IF(OR(ISNUMBER(SEARCH('Modelling Language'!$F$3,Tabla7[[#This Row],[Language]]))),"X","")</f>
        <v/>
      </c>
      <c r="BP15" s="18" t="str">
        <f>IF(OR(ISNUMBER(SEARCH('Modelling Language'!$E$3,Tabla7[[#This Row],[Language]]))),"X","")</f>
        <v/>
      </c>
      <c r="BQ15" s="18" t="str">
        <f>IF(OR(ISNUMBER(SEARCH('Modelling Language'!$H$3,Tabla7[[#This Row],[Language]]))),"X","")</f>
        <v/>
      </c>
      <c r="BR15" s="18"/>
      <c r="BS15" s="22" t="str">
        <f>IF(OR(ISNUMBER(SEARCH(applicability!$D$3,Tabla7[[#This Row],[Application]])),ISNUMBER(SEARCH(applicability!$D$4,Tabla7[[#This Row],[Application]]))),"X","")</f>
        <v/>
      </c>
      <c r="BT15" s="18" t="str">
        <f>IF(OR(ISNUMBER(SEARCH(applicability!$E$3,Tabla7[[#This Row],[Application]]))),"X","")</f>
        <v>X</v>
      </c>
      <c r="BU15" s="18" t="str">
        <f>IF(OR(ISNUMBER(SEARCH(applicability!$F$3,Tabla7[[#This Row],[Application]])),ISNUMBER(SEARCH(applicability!$F$4,Tabla7[[#This Row],[Application]]))),"X","")</f>
        <v/>
      </c>
      <c r="BV15" s="18" t="str">
        <f>IF(OR(ISNUMBER(SEARCH(applicability!$G$3,Tabla7[[#This Row],[Application]]))),"X","")</f>
        <v/>
      </c>
      <c r="BW15" s="19" t="str">
        <f>IF(OR(ISNUMBER(SEARCH(applicability!$H$3,Tabla7[[#This Row],[Application]]))),"X","")</f>
        <v/>
      </c>
    </row>
    <row r="16" spans="1:75" x14ac:dyDescent="0.25">
      <c r="A16" s="13">
        <v>113</v>
      </c>
      <c r="B16" s="14">
        <v>23</v>
      </c>
      <c r="C16" s="14" t="s">
        <v>2410</v>
      </c>
      <c r="D16" s="14" t="s">
        <v>4374</v>
      </c>
      <c r="E16" s="15">
        <v>2010</v>
      </c>
      <c r="F16" s="15" t="s">
        <v>5298</v>
      </c>
      <c r="G16" s="15" t="s">
        <v>5301</v>
      </c>
      <c r="H16" s="15" t="s">
        <v>5296</v>
      </c>
      <c r="I16" s="15" t="s">
        <v>5296</v>
      </c>
      <c r="J16" s="14" t="s">
        <v>0</v>
      </c>
      <c r="K16" s="14" t="s">
        <v>4375</v>
      </c>
      <c r="L16" s="14" t="s">
        <v>2412</v>
      </c>
      <c r="M16" s="14">
        <v>6</v>
      </c>
      <c r="N16" s="14">
        <v>10</v>
      </c>
      <c r="O16" s="14" t="s">
        <v>5014</v>
      </c>
      <c r="P16" s="14" t="s">
        <v>5019</v>
      </c>
      <c r="Q16" s="14" t="s">
        <v>2135</v>
      </c>
      <c r="R16" s="14" t="s">
        <v>4974</v>
      </c>
      <c r="S16" s="14" t="s">
        <v>658</v>
      </c>
      <c r="T16" s="14" t="s">
        <v>5021</v>
      </c>
      <c r="U16" s="14" t="s">
        <v>5020</v>
      </c>
      <c r="V16" s="14" t="s">
        <v>4987</v>
      </c>
      <c r="W16" s="14">
        <v>3</v>
      </c>
      <c r="X16" s="14">
        <v>5</v>
      </c>
      <c r="Y16" s="14">
        <v>1</v>
      </c>
      <c r="Z16" s="14">
        <v>3</v>
      </c>
      <c r="AA16"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4</v>
      </c>
      <c r="AB16" s="14">
        <v>3</v>
      </c>
      <c r="AC16" s="43" t="s">
        <v>5221</v>
      </c>
      <c r="AD16" s="22" t="str">
        <f>IF(OR(ISNUMBER(SEARCH('Source Artifacts'!$F$3,Tabla7[[#This Row],[Source IS artifacts]])),ISNUMBER(SEARCH('Source Artifacts'!$F$4,Tabla7[[#This Row],[Source IS artifacts]]))),"X","")</f>
        <v/>
      </c>
      <c r="AE16" s="19" t="str">
        <f>IF(OR(ISNUMBER(SEARCH('Source Artifacts'!$L$3,Tabla7[[#This Row],[Source IS artifacts]])),ISNUMBER(SEARCH('Source Artifacts'!$L$4,Tabla7[[#This Row],[Source IS artifacts]])),ISNUMBER(SEARCH('Source Artifacts'!$L$5,Tabla7[[#This Row],[Source IS artifacts]]))),"X","")</f>
        <v/>
      </c>
      <c r="AF16" s="19" t="str">
        <f>IF(OR(ISNUMBER(SEARCH('Source Artifacts'!$I$3,Tabla7[[#This Row],[Source IS artifacts]])),ISNUMBER(SEARCH('Source Artifacts'!$I$4,Tabla7[[#This Row],[Source IS artifacts]])),ISNUMBER(SEARCH('Source Artifacts'!$I$5,Tabla7[[#This Row],[Source IS artifacts]]))),"X","")</f>
        <v/>
      </c>
      <c r="AG16"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16"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X</v>
      </c>
      <c r="AI16"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16"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16"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16" s="19" t="str">
        <f>IF(OR(ISNUMBER(SEARCH('Source Artifacts'!$D$3,Tabla7[[#This Row],[Source IS artifacts]]))),"X","")</f>
        <v/>
      </c>
      <c r="AM16"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16"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X</v>
      </c>
      <c r="AO16" s="18" t="str">
        <f>IF(OR(ISNUMBER(SEARCH(Techniques!$H$3,Tabla7[[#This Row],[Mining techniques]])),ISNUMBER(SEARCH(Techniques!$H$4,Tabla7[[#This Row],[Mining techniques]]))),"X","")</f>
        <v/>
      </c>
      <c r="AP16" s="18" t="str">
        <f>IF(OR(ISNUMBER(SEARCH(Techniques!$J$3,Tabla7[[#This Row],[Mining techniques]]))),"X","")</f>
        <v>X</v>
      </c>
      <c r="AQ16" s="19" t="str">
        <f>IF(OR(ISNUMBER(SEARCH(Techniques!$G$3,Tabla7[[#This Row],[Mining techniques]])),ISNUMBER(SEARCH(Techniques!$G$4,Tabla7[[#This Row],[Mining techniques]]))),"X","")</f>
        <v/>
      </c>
      <c r="AR16" s="19" t="str">
        <f>IF(OR(ISNUMBER(SEARCH(Techniques!$F$3,Tabla7[[#This Row],[Mining techniques]])),ISNUMBER(SEARCH(Techniques!$F$4,Tabla7[[#This Row],[Mining techniques]]))),"X","")</f>
        <v/>
      </c>
      <c r="AS16" s="18" t="str">
        <f>IF(OR(ISNUMBER(SEARCH(Techniques!$D$3,Tabla7[[#This Row],[Mining techniques]])),ISNUMBER(SEARCH(Techniques!$D$4,Tabla7[[#This Row],[Mining techniques]]))),"X","")</f>
        <v/>
      </c>
      <c r="AT16" s="18" t="str">
        <f>IF(OR(ISNUMBER(SEARCH(Techniques!$E$3,Tabla7[[#This Row],[Mining techniques]])),ISNUMBER(SEARCH(Techniques!$E$4,Tabla7[[#This Row],[Mining techniques]]))),"X","")</f>
        <v/>
      </c>
      <c r="AU16" s="27" t="str">
        <f>IF(OR(ISNUMBER(SEARCH('EA Concern'!$I$3,Tabla7[[#This Row],[EA concern]]))),"X","")</f>
        <v/>
      </c>
      <c r="AV16" s="26" t="str">
        <f>IF(OR(ISNUMBER(SEARCH('EA Concern'!$G$3,Tabla7[[#This Row],[EA concern]])),ISNUMBER(SEARCH('EA Concern'!$G$4,Tabla7[[#This Row],[EA concern]]))),"X","")</f>
        <v/>
      </c>
      <c r="AW16" s="26" t="str">
        <f>IF(OR(ISNUMBER(SEARCH('EA Concern'!$E$3,Tabla7[[#This Row],[EA concern]]))),"X","")</f>
        <v>X</v>
      </c>
      <c r="AX16" s="26" t="str">
        <f>IF(OR(ISNUMBER(SEARCH('EA Concern'!$H$3,Tabla7[[#This Row],[EA concern]])),ISNUMBER(SEARCH('EA Concern'!$H$4,Tabla7[[#This Row],[EA concern]]))),"X","")</f>
        <v/>
      </c>
      <c r="AY16" s="26" t="str">
        <f>IF(OR(ISNUMBER(SEARCH('EA Concern'!$F$3,Tabla7[[#This Row],[EA concern]])),ISNUMBER(SEARCH('EA Concern'!$F$4,Tabla7[[#This Row],[EA concern]]))),"X","")</f>
        <v/>
      </c>
      <c r="AZ16" s="26" t="str">
        <f>IF(OR(ISNUMBER(SEARCH('EA Concern'!$D$3,Tabla7[[#This Row],[EA concern]])),ISNUMBER(SEARCH('EA Concern'!$D$4,Tabla7[[#This Row],[EA concern]]))),"X","")</f>
        <v/>
      </c>
      <c r="BA16" s="23" t="str">
        <f>IF(OR(ISNUMBER(SEARCH('EA Framework'!$J$3,Tabla7[[#This Row],[Framework/Methodology]])),ISNUMBER(SEARCH('EA Framework'!$J$4,Tabla7[[#This Row],[Framework/Methodology]]))),"X","")</f>
        <v/>
      </c>
      <c r="BB16" s="18" t="str">
        <f>IF(OR(ISNUMBER(SEARCH('EA Framework'!$I$3,Tabla7[[#This Row],[Framework/Methodology]]))),"X","")</f>
        <v>X</v>
      </c>
      <c r="BC16" s="18" t="str">
        <f>IF(OR(ISNUMBER(SEARCH('EA Framework'!$F$3,Tabla7[[#This Row],[Framework/Methodology]]))),"X","")</f>
        <v/>
      </c>
      <c r="BD16" s="18" t="str">
        <f>IF(OR(ISNUMBER(SEARCH('EA Framework'!$H$3,Tabla7[[#This Row],[Framework/Methodology]]))),"X","")</f>
        <v/>
      </c>
      <c r="BE16" s="18" t="str">
        <f>IF(OR(ISNUMBER(SEARCH('EA Framework'!$E$3,Tabla7[[#This Row],[Framework/Methodology]]))),"X","")</f>
        <v/>
      </c>
      <c r="BF16" s="18" t="str">
        <f>IF(OR(ISNUMBER(SEARCH('EA Framework'!$G$3,Tabla7[[#This Row],[Framework/Methodology]]))),"X","")</f>
        <v/>
      </c>
      <c r="BG16" s="18" t="str">
        <f>IF(OR(ISNUMBER(SEARCH('EA Framework'!$D$3,Tabla7[[#This Row],[Framework/Methodology]]))),"X","")</f>
        <v/>
      </c>
      <c r="BH16" s="22" t="str">
        <f>IF(OR(ISNUMBER(SEARCH('Modelling Language'!$M$3,Tabla7[[#This Row],[Language]])),ISNUMBER(SEARCH('Modelling Language'!$M$4,Tabla7[[#This Row],[Language]])),ISNUMBER(SEARCH('Modelling Language'!$M$5,Tabla7[[#This Row],[Language]]))),"X","")</f>
        <v/>
      </c>
      <c r="BI16" s="18" t="str">
        <f>IF(OR(ISNUMBER(SEARCH('Modelling Language'!$J$3,Tabla7[[#This Row],[Language]])),ISNUMBER(SEARCH('Modelling Language'!$J$4,Tabla7[[#This Row],[Language]]))),"X","")</f>
        <v/>
      </c>
      <c r="BJ16" s="18" t="str">
        <f>IF(OR(ISNUMBER(SEARCH('Modelling Language'!$L$3,Tabla7[[#This Row],[Language]])),ISNUMBER(SEARCH('Modelling Language'!$L$4,Tabla7[[#This Row],[Language]]))),"X","")</f>
        <v>X</v>
      </c>
      <c r="BK16" s="18" t="str">
        <f>IF(OR(ISNUMBER(SEARCH('Modelling Language'!$K$3,Tabla7[[#This Row],[Language]])),ISNUMBER(SEARCH('Modelling Language'!$K$4,Tabla7[[#This Row],[Language]]))),"X","")</f>
        <v>X</v>
      </c>
      <c r="BL16" s="18" t="str">
        <f>IF(OR(ISNUMBER(SEARCH('Modelling Language'!$D$3,Tabla7[[#This Row],[Language]]))),"X","")</f>
        <v/>
      </c>
      <c r="BM16" s="18" t="str">
        <f>IF(OR(ISNUMBER(SEARCH('Modelling Language'!$I$3,Tabla7[[#This Row],[Language]]))),"X","")</f>
        <v/>
      </c>
      <c r="BN16" s="18" t="str">
        <f>IF(OR(ISNUMBER(SEARCH('Modelling Language'!$G$3,Tabla7[[#This Row],[Language]]))),"X","")</f>
        <v/>
      </c>
      <c r="BO16" s="18" t="str">
        <f>IF(OR(ISNUMBER(SEARCH('Modelling Language'!$F$3,Tabla7[[#This Row],[Language]]))),"X","")</f>
        <v/>
      </c>
      <c r="BP16" s="18" t="str">
        <f>IF(OR(ISNUMBER(SEARCH('Modelling Language'!$E$3,Tabla7[[#This Row],[Language]]))),"X","")</f>
        <v/>
      </c>
      <c r="BQ16" s="18" t="str">
        <f>IF(OR(ISNUMBER(SEARCH('Modelling Language'!$H$3,Tabla7[[#This Row],[Language]]))),"X","")</f>
        <v/>
      </c>
      <c r="BR16" s="18"/>
      <c r="BS16" s="22" t="str">
        <f>IF(OR(ISNUMBER(SEARCH(applicability!$D$3,Tabla7[[#This Row],[Application]])),ISNUMBER(SEARCH(applicability!$D$4,Tabla7[[#This Row],[Application]]))),"X","")</f>
        <v/>
      </c>
      <c r="BT16" s="18" t="str">
        <f>IF(OR(ISNUMBER(SEARCH(applicability!$E$3,Tabla7[[#This Row],[Application]]))),"X","")</f>
        <v/>
      </c>
      <c r="BU16" s="18" t="str">
        <f>IF(OR(ISNUMBER(SEARCH(applicability!$F$3,Tabla7[[#This Row],[Application]])),ISNUMBER(SEARCH(applicability!$F$4,Tabla7[[#This Row],[Application]]))),"X","")</f>
        <v>X</v>
      </c>
      <c r="BV16" s="18" t="str">
        <f>IF(OR(ISNUMBER(SEARCH(applicability!$G$3,Tabla7[[#This Row],[Application]]))),"X","")</f>
        <v/>
      </c>
      <c r="BW16" s="19" t="str">
        <f>IF(OR(ISNUMBER(SEARCH(applicability!$H$3,Tabla7[[#This Row],[Application]]))),"X","")</f>
        <v/>
      </c>
    </row>
    <row r="17" spans="1:75" x14ac:dyDescent="0.25">
      <c r="A17" s="13">
        <v>48</v>
      </c>
      <c r="B17" s="14">
        <v>16</v>
      </c>
      <c r="C17" s="14" t="s">
        <v>1778</v>
      </c>
      <c r="D17" s="14" t="s">
        <v>3884</v>
      </c>
      <c r="E17" s="15">
        <v>2014</v>
      </c>
      <c r="F17" s="15" t="s">
        <v>5300</v>
      </c>
      <c r="G17" s="15" t="s">
        <v>5295</v>
      </c>
      <c r="H17" s="15" t="s">
        <v>5296</v>
      </c>
      <c r="I17" s="15" t="s">
        <v>5296</v>
      </c>
      <c r="J17" s="14" t="s">
        <v>0</v>
      </c>
      <c r="K17" s="14" t="s">
        <v>3885</v>
      </c>
      <c r="L17" s="14" t="s">
        <v>1782</v>
      </c>
      <c r="M17" s="14">
        <v>7</v>
      </c>
      <c r="N17" s="14">
        <v>5</v>
      </c>
      <c r="O17" s="14" t="s">
        <v>4995</v>
      </c>
      <c r="P17" s="14" t="s">
        <v>731</v>
      </c>
      <c r="Q17" s="14" t="s">
        <v>2135</v>
      </c>
      <c r="R17" s="14" t="s">
        <v>4974</v>
      </c>
      <c r="S17" s="14" t="s">
        <v>658</v>
      </c>
      <c r="T17" s="14" t="s">
        <v>5003</v>
      </c>
      <c r="U17" s="14" t="s">
        <v>5010</v>
      </c>
      <c r="V17" s="14" t="s">
        <v>5008</v>
      </c>
      <c r="W17" s="14">
        <v>5</v>
      </c>
      <c r="X17" s="14">
        <v>4</v>
      </c>
      <c r="Y17" s="14">
        <v>2</v>
      </c>
      <c r="Z17" s="14">
        <v>4</v>
      </c>
      <c r="AA17"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2</v>
      </c>
      <c r="AB17" s="14">
        <v>2</v>
      </c>
      <c r="AC17" s="43" t="s">
        <v>5221</v>
      </c>
      <c r="AD17" s="22" t="str">
        <f>IF(OR(ISNUMBER(SEARCH('Source Artifacts'!$F$3,Tabla7[[#This Row],[Source IS artifacts]])),ISNUMBER(SEARCH('Source Artifacts'!$F$4,Tabla7[[#This Row],[Source IS artifacts]]))),"X","")</f>
        <v/>
      </c>
      <c r="AE17" s="19" t="str">
        <f>IF(OR(ISNUMBER(SEARCH('Source Artifacts'!$L$3,Tabla7[[#This Row],[Source IS artifacts]])),ISNUMBER(SEARCH('Source Artifacts'!$L$4,Tabla7[[#This Row],[Source IS artifacts]])),ISNUMBER(SEARCH('Source Artifacts'!$L$5,Tabla7[[#This Row],[Source IS artifacts]]))),"X","")</f>
        <v>X</v>
      </c>
      <c r="AF17" s="19" t="str">
        <f>IF(OR(ISNUMBER(SEARCH('Source Artifacts'!$I$3,Tabla7[[#This Row],[Source IS artifacts]])),ISNUMBER(SEARCH('Source Artifacts'!$I$4,Tabla7[[#This Row],[Source IS artifacts]])),ISNUMBER(SEARCH('Source Artifacts'!$I$5,Tabla7[[#This Row],[Source IS artifacts]]))),"X","")</f>
        <v/>
      </c>
      <c r="AG17"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17"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17"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17"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17"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17" s="19" t="str">
        <f>IF(OR(ISNUMBER(SEARCH('Source Artifacts'!$D$3,Tabla7[[#This Row],[Source IS artifacts]]))),"X","")</f>
        <v/>
      </c>
      <c r="AM17"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17"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
      </c>
      <c r="AO17" s="18" t="str">
        <f>IF(OR(ISNUMBER(SEARCH(Techniques!$H$3,Tabla7[[#This Row],[Mining techniques]])),ISNUMBER(SEARCH(Techniques!$H$4,Tabla7[[#This Row],[Mining techniques]]))),"X","")</f>
        <v/>
      </c>
      <c r="AP17" s="18" t="str">
        <f>IF(OR(ISNUMBER(SEARCH(Techniques!$J$3,Tabla7[[#This Row],[Mining techniques]]))),"X","")</f>
        <v>X</v>
      </c>
      <c r="AQ17" s="19" t="str">
        <f>IF(OR(ISNUMBER(SEARCH(Techniques!$G$3,Tabla7[[#This Row],[Mining techniques]])),ISNUMBER(SEARCH(Techniques!$G$4,Tabla7[[#This Row],[Mining techniques]]))),"X","")</f>
        <v/>
      </c>
      <c r="AR17" s="19" t="str">
        <f>IF(OR(ISNUMBER(SEARCH(Techniques!$F$3,Tabla7[[#This Row],[Mining techniques]])),ISNUMBER(SEARCH(Techniques!$F$4,Tabla7[[#This Row],[Mining techniques]]))),"X","")</f>
        <v/>
      </c>
      <c r="AS17" s="18" t="str">
        <f>IF(OR(ISNUMBER(SEARCH(Techniques!$D$3,Tabla7[[#This Row],[Mining techniques]])),ISNUMBER(SEARCH(Techniques!$D$4,Tabla7[[#This Row],[Mining techniques]]))),"X","")</f>
        <v/>
      </c>
      <c r="AT17" s="18" t="str">
        <f>IF(OR(ISNUMBER(SEARCH(Techniques!$E$3,Tabla7[[#This Row],[Mining techniques]])),ISNUMBER(SEARCH(Techniques!$E$4,Tabla7[[#This Row],[Mining techniques]]))),"X","")</f>
        <v/>
      </c>
      <c r="AU17" s="27" t="str">
        <f>IF(OR(ISNUMBER(SEARCH('EA Concern'!$I$3,Tabla7[[#This Row],[EA concern]]))),"X","")</f>
        <v/>
      </c>
      <c r="AV17" s="26" t="str">
        <f>IF(OR(ISNUMBER(SEARCH('EA Concern'!$G$3,Tabla7[[#This Row],[EA concern]])),ISNUMBER(SEARCH('EA Concern'!$G$4,Tabla7[[#This Row],[EA concern]]))),"X","")</f>
        <v/>
      </c>
      <c r="AW17" s="26" t="str">
        <f>IF(OR(ISNUMBER(SEARCH('EA Concern'!$E$3,Tabla7[[#This Row],[EA concern]]))),"X","")</f>
        <v>X</v>
      </c>
      <c r="AX17" s="26" t="str">
        <f>IF(OR(ISNUMBER(SEARCH('EA Concern'!$H$3,Tabla7[[#This Row],[EA concern]])),ISNUMBER(SEARCH('EA Concern'!$H$4,Tabla7[[#This Row],[EA concern]]))),"X","")</f>
        <v/>
      </c>
      <c r="AY17" s="26" t="str">
        <f>IF(OR(ISNUMBER(SEARCH('EA Concern'!$F$3,Tabla7[[#This Row],[EA concern]])),ISNUMBER(SEARCH('EA Concern'!$F$4,Tabla7[[#This Row],[EA concern]]))),"X","")</f>
        <v/>
      </c>
      <c r="AZ17" s="26" t="str">
        <f>IF(OR(ISNUMBER(SEARCH('EA Concern'!$D$3,Tabla7[[#This Row],[EA concern]])),ISNUMBER(SEARCH('EA Concern'!$D$4,Tabla7[[#This Row],[EA concern]]))),"X","")</f>
        <v/>
      </c>
      <c r="BA17" s="23" t="str">
        <f>IF(OR(ISNUMBER(SEARCH('EA Framework'!$J$3,Tabla7[[#This Row],[Framework/Methodology]])),ISNUMBER(SEARCH('EA Framework'!$J$4,Tabla7[[#This Row],[Framework/Methodology]]))),"X","")</f>
        <v>X</v>
      </c>
      <c r="BB17" s="18" t="str">
        <f>IF(OR(ISNUMBER(SEARCH('EA Framework'!$I$3,Tabla7[[#This Row],[Framework/Methodology]]))),"X","")</f>
        <v/>
      </c>
      <c r="BC17" s="18" t="str">
        <f>IF(OR(ISNUMBER(SEARCH('EA Framework'!$F$3,Tabla7[[#This Row],[Framework/Methodology]]))),"X","")</f>
        <v/>
      </c>
      <c r="BD17" s="18" t="str">
        <f>IF(OR(ISNUMBER(SEARCH('EA Framework'!$H$3,Tabla7[[#This Row],[Framework/Methodology]]))),"X","")</f>
        <v/>
      </c>
      <c r="BE17" s="18" t="str">
        <f>IF(OR(ISNUMBER(SEARCH('EA Framework'!$E$3,Tabla7[[#This Row],[Framework/Methodology]]))),"X","")</f>
        <v/>
      </c>
      <c r="BF17" s="18" t="str">
        <f>IF(OR(ISNUMBER(SEARCH('EA Framework'!$G$3,Tabla7[[#This Row],[Framework/Methodology]]))),"X","")</f>
        <v/>
      </c>
      <c r="BG17" s="18" t="str">
        <f>IF(OR(ISNUMBER(SEARCH('EA Framework'!$D$3,Tabla7[[#This Row],[Framework/Methodology]]))),"X","")</f>
        <v/>
      </c>
      <c r="BH17" s="22" t="str">
        <f>IF(OR(ISNUMBER(SEARCH('Modelling Language'!$M$3,Tabla7[[#This Row],[Language]])),ISNUMBER(SEARCH('Modelling Language'!$M$4,Tabla7[[#This Row],[Language]])),ISNUMBER(SEARCH('Modelling Language'!$M$5,Tabla7[[#This Row],[Language]]))),"X","")</f>
        <v/>
      </c>
      <c r="BI17" s="18" t="str">
        <f>IF(OR(ISNUMBER(SEARCH('Modelling Language'!$J$3,Tabla7[[#This Row],[Language]])),ISNUMBER(SEARCH('Modelling Language'!$J$4,Tabla7[[#This Row],[Language]]))),"X","")</f>
        <v/>
      </c>
      <c r="BJ17" s="18" t="str">
        <f>IF(OR(ISNUMBER(SEARCH('Modelling Language'!$L$3,Tabla7[[#This Row],[Language]])),ISNUMBER(SEARCH('Modelling Language'!$L$4,Tabla7[[#This Row],[Language]]))),"X","")</f>
        <v/>
      </c>
      <c r="BK17" s="18" t="str">
        <f>IF(OR(ISNUMBER(SEARCH('Modelling Language'!$K$3,Tabla7[[#This Row],[Language]])),ISNUMBER(SEARCH('Modelling Language'!$K$4,Tabla7[[#This Row],[Language]]))),"X","")</f>
        <v/>
      </c>
      <c r="BL17" s="18" t="str">
        <f>IF(OR(ISNUMBER(SEARCH('Modelling Language'!$D$3,Tabla7[[#This Row],[Language]]))),"X","")</f>
        <v/>
      </c>
      <c r="BM17" s="18" t="str">
        <f>IF(OR(ISNUMBER(SEARCH('Modelling Language'!$I$3,Tabla7[[#This Row],[Language]]))),"X","")</f>
        <v/>
      </c>
      <c r="BN17" s="18" t="str">
        <f>IF(OR(ISNUMBER(SEARCH('Modelling Language'!$G$3,Tabla7[[#This Row],[Language]]))),"X","")</f>
        <v/>
      </c>
      <c r="BO17" s="18" t="str">
        <f>IF(OR(ISNUMBER(SEARCH('Modelling Language'!$F$3,Tabla7[[#This Row],[Language]]))),"X","")</f>
        <v>X</v>
      </c>
      <c r="BP17" s="18" t="str">
        <f>IF(OR(ISNUMBER(SEARCH('Modelling Language'!$E$3,Tabla7[[#This Row],[Language]]))),"X","")</f>
        <v>X</v>
      </c>
      <c r="BQ17" s="18" t="str">
        <f>IF(OR(ISNUMBER(SEARCH('Modelling Language'!$H$3,Tabla7[[#This Row],[Language]]))),"X","")</f>
        <v/>
      </c>
      <c r="BR17" s="18"/>
      <c r="BS17" s="22" t="str">
        <f>IF(OR(ISNUMBER(SEARCH(applicability!$D$3,Tabla7[[#This Row],[Application]])),ISNUMBER(SEARCH(applicability!$D$4,Tabla7[[#This Row],[Application]]))),"X","")</f>
        <v/>
      </c>
      <c r="BT17" s="18" t="str">
        <f>IF(OR(ISNUMBER(SEARCH(applicability!$E$3,Tabla7[[#This Row],[Application]]))),"X","")</f>
        <v/>
      </c>
      <c r="BU17" s="18" t="str">
        <f>IF(OR(ISNUMBER(SEARCH(applicability!$F$3,Tabla7[[#This Row],[Application]])),ISNUMBER(SEARCH(applicability!$F$4,Tabla7[[#This Row],[Application]]))),"X","")</f>
        <v/>
      </c>
      <c r="BV17" s="18" t="str">
        <f>IF(OR(ISNUMBER(SEARCH(applicability!$G$3,Tabla7[[#This Row],[Application]]))),"X","")</f>
        <v/>
      </c>
      <c r="BW17" s="19" t="str">
        <f>IF(OR(ISNUMBER(SEARCH(applicability!$H$3,Tabla7[[#This Row],[Application]]))),"X","")</f>
        <v>X</v>
      </c>
    </row>
    <row r="18" spans="1:75" x14ac:dyDescent="0.25">
      <c r="A18" s="13">
        <v>241</v>
      </c>
      <c r="B18" s="14">
        <v>38</v>
      </c>
      <c r="C18" s="14" t="s">
        <v>2982</v>
      </c>
      <c r="D18" s="14" t="s">
        <v>4833</v>
      </c>
      <c r="E18" s="15">
        <v>2017</v>
      </c>
      <c r="F18" s="15" t="s">
        <v>5295</v>
      </c>
      <c r="G18" s="15" t="s">
        <v>5295</v>
      </c>
      <c r="H18" s="15" t="s">
        <v>5296</v>
      </c>
      <c r="I18" s="15" t="s">
        <v>5296</v>
      </c>
      <c r="J18" s="14" t="s">
        <v>0</v>
      </c>
      <c r="K18" s="14" t="s">
        <v>4834</v>
      </c>
      <c r="L18" s="14" t="s">
        <v>2983</v>
      </c>
      <c r="M18" s="14">
        <v>6</v>
      </c>
      <c r="N18" s="14">
        <v>2</v>
      </c>
      <c r="O18" s="14" t="s">
        <v>5039</v>
      </c>
      <c r="P18" s="14" t="s">
        <v>5038</v>
      </c>
      <c r="Q18" s="14" t="s">
        <v>4996</v>
      </c>
      <c r="R18" s="14" t="s">
        <v>4974</v>
      </c>
      <c r="S18" s="14" t="s">
        <v>5012</v>
      </c>
      <c r="T18" s="14" t="s">
        <v>5003</v>
      </c>
      <c r="U18" s="14"/>
      <c r="V18" s="14" t="s">
        <v>5006</v>
      </c>
      <c r="W18" s="14">
        <v>4</v>
      </c>
      <c r="X18" s="14">
        <v>1</v>
      </c>
      <c r="Y18" s="14">
        <v>2</v>
      </c>
      <c r="Z18" s="14">
        <v>3</v>
      </c>
      <c r="AA18"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1</v>
      </c>
      <c r="AB18" s="14">
        <v>2</v>
      </c>
      <c r="AC18" s="43" t="s">
        <v>5222</v>
      </c>
      <c r="AD18" s="22" t="str">
        <f>IF(OR(ISNUMBER(SEARCH('Source Artifacts'!$F$3,Tabla7[[#This Row],[Source IS artifacts]])),ISNUMBER(SEARCH('Source Artifacts'!$F$4,Tabla7[[#This Row],[Source IS artifacts]]))),"X","")</f>
        <v/>
      </c>
      <c r="AE18" s="19" t="str">
        <f>IF(OR(ISNUMBER(SEARCH('Source Artifacts'!$L$3,Tabla7[[#This Row],[Source IS artifacts]])),ISNUMBER(SEARCH('Source Artifacts'!$L$4,Tabla7[[#This Row],[Source IS artifacts]])),ISNUMBER(SEARCH('Source Artifacts'!$L$5,Tabla7[[#This Row],[Source IS artifacts]]))),"X","")</f>
        <v/>
      </c>
      <c r="AF18" s="19" t="str">
        <f>IF(OR(ISNUMBER(SEARCH('Source Artifacts'!$I$3,Tabla7[[#This Row],[Source IS artifacts]])),ISNUMBER(SEARCH('Source Artifacts'!$I$4,Tabla7[[#This Row],[Source IS artifacts]])),ISNUMBER(SEARCH('Source Artifacts'!$I$5,Tabla7[[#This Row],[Source IS artifacts]]))),"X","")</f>
        <v/>
      </c>
      <c r="AG18"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18"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18"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X</v>
      </c>
      <c r="AJ18"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18"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18" s="19" t="str">
        <f>IF(OR(ISNUMBER(SEARCH('Source Artifacts'!$D$3,Tabla7[[#This Row],[Source IS artifacts]]))),"X","")</f>
        <v/>
      </c>
      <c r="AM18"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18"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
      </c>
      <c r="AO18" s="18" t="str">
        <f>IF(OR(ISNUMBER(SEARCH(Techniques!$H$3,Tabla7[[#This Row],[Mining techniques]])),ISNUMBER(SEARCH(Techniques!$H$4,Tabla7[[#This Row],[Mining techniques]]))),"X","")</f>
        <v>X</v>
      </c>
      <c r="AP18" s="18" t="str">
        <f>IF(OR(ISNUMBER(SEARCH(Techniques!$J$3,Tabla7[[#This Row],[Mining techniques]]))),"X","")</f>
        <v/>
      </c>
      <c r="AQ18" s="19" t="str">
        <f>IF(OR(ISNUMBER(SEARCH(Techniques!$G$3,Tabla7[[#This Row],[Mining techniques]])),ISNUMBER(SEARCH(Techniques!$G$4,Tabla7[[#This Row],[Mining techniques]]))),"X","")</f>
        <v/>
      </c>
      <c r="AR18" s="19" t="str">
        <f>IF(OR(ISNUMBER(SEARCH(Techniques!$F$3,Tabla7[[#This Row],[Mining techniques]])),ISNUMBER(SEARCH(Techniques!$F$4,Tabla7[[#This Row],[Mining techniques]]))),"X","")</f>
        <v/>
      </c>
      <c r="AS18" s="18" t="str">
        <f>IF(OR(ISNUMBER(SEARCH(Techniques!$D$3,Tabla7[[#This Row],[Mining techniques]])),ISNUMBER(SEARCH(Techniques!$D$4,Tabla7[[#This Row],[Mining techniques]]))),"X","")</f>
        <v/>
      </c>
      <c r="AT18" s="18" t="str">
        <f>IF(OR(ISNUMBER(SEARCH(Techniques!$E$3,Tabla7[[#This Row],[Mining techniques]])),ISNUMBER(SEARCH(Techniques!$E$4,Tabla7[[#This Row],[Mining techniques]]))),"X","")</f>
        <v/>
      </c>
      <c r="AU18" s="27" t="str">
        <f>IF(OR(ISNUMBER(SEARCH('EA Concern'!$I$3,Tabla7[[#This Row],[EA concern]]))),"X","")</f>
        <v/>
      </c>
      <c r="AV18" s="26" t="str">
        <f>IF(OR(ISNUMBER(SEARCH('EA Concern'!$G$3,Tabla7[[#This Row],[EA concern]])),ISNUMBER(SEARCH('EA Concern'!$G$4,Tabla7[[#This Row],[EA concern]]))),"X","")</f>
        <v/>
      </c>
      <c r="AW18" s="26" t="str">
        <f>IF(OR(ISNUMBER(SEARCH('EA Concern'!$E$3,Tabla7[[#This Row],[EA concern]]))),"X","")</f>
        <v/>
      </c>
      <c r="AX18" s="26" t="str">
        <f>IF(OR(ISNUMBER(SEARCH('EA Concern'!$H$3,Tabla7[[#This Row],[EA concern]])),ISNUMBER(SEARCH('EA Concern'!$H$4,Tabla7[[#This Row],[EA concern]]))),"X","")</f>
        <v>X</v>
      </c>
      <c r="AY18" s="26" t="str">
        <f>IF(OR(ISNUMBER(SEARCH('EA Concern'!$F$3,Tabla7[[#This Row],[EA concern]])),ISNUMBER(SEARCH('EA Concern'!$F$4,Tabla7[[#This Row],[EA concern]]))),"X","")</f>
        <v/>
      </c>
      <c r="AZ18" s="26" t="str">
        <f>IF(OR(ISNUMBER(SEARCH('EA Concern'!$D$3,Tabla7[[#This Row],[EA concern]])),ISNUMBER(SEARCH('EA Concern'!$D$4,Tabla7[[#This Row],[EA concern]]))),"X","")</f>
        <v/>
      </c>
      <c r="BA18" s="23" t="str">
        <f>IF(OR(ISNUMBER(SEARCH('EA Framework'!$J$3,Tabla7[[#This Row],[Framework/Methodology]])),ISNUMBER(SEARCH('EA Framework'!$J$4,Tabla7[[#This Row],[Framework/Methodology]]))),"X","")</f>
        <v>X</v>
      </c>
      <c r="BB18" s="18" t="str">
        <f>IF(OR(ISNUMBER(SEARCH('EA Framework'!$I$3,Tabla7[[#This Row],[Framework/Methodology]]))),"X","")</f>
        <v/>
      </c>
      <c r="BC18" s="18" t="str">
        <f>IF(OR(ISNUMBER(SEARCH('EA Framework'!$F$3,Tabla7[[#This Row],[Framework/Methodology]]))),"X","")</f>
        <v/>
      </c>
      <c r="BD18" s="18" t="str">
        <f>IF(OR(ISNUMBER(SEARCH('EA Framework'!$H$3,Tabla7[[#This Row],[Framework/Methodology]]))),"X","")</f>
        <v/>
      </c>
      <c r="BE18" s="18" t="str">
        <f>IF(OR(ISNUMBER(SEARCH('EA Framework'!$E$3,Tabla7[[#This Row],[Framework/Methodology]]))),"X","")</f>
        <v/>
      </c>
      <c r="BF18" s="18" t="str">
        <f>IF(OR(ISNUMBER(SEARCH('EA Framework'!$G$3,Tabla7[[#This Row],[Framework/Methodology]]))),"X","")</f>
        <v/>
      </c>
      <c r="BG18" s="18" t="str">
        <f>IF(OR(ISNUMBER(SEARCH('EA Framework'!$D$3,Tabla7[[#This Row],[Framework/Methodology]]))),"X","")</f>
        <v/>
      </c>
      <c r="BH18" s="22" t="str">
        <f>IF(OR(ISNUMBER(SEARCH('Modelling Language'!$M$3,Tabla7[[#This Row],[Language]])),ISNUMBER(SEARCH('Modelling Language'!$M$4,Tabla7[[#This Row],[Language]])),ISNUMBER(SEARCH('Modelling Language'!$M$5,Tabla7[[#This Row],[Language]]))),"X","")</f>
        <v/>
      </c>
      <c r="BI18" s="18" t="str">
        <f>IF(OR(ISNUMBER(SEARCH('Modelling Language'!$J$3,Tabla7[[#This Row],[Language]])),ISNUMBER(SEARCH('Modelling Language'!$J$4,Tabla7[[#This Row],[Language]]))),"X","")</f>
        <v/>
      </c>
      <c r="BJ18" s="18" t="str">
        <f>IF(OR(ISNUMBER(SEARCH('Modelling Language'!$L$3,Tabla7[[#This Row],[Language]])),ISNUMBER(SEARCH('Modelling Language'!$L$4,Tabla7[[#This Row],[Language]]))),"X","")</f>
        <v/>
      </c>
      <c r="BK18" s="18" t="str">
        <f>IF(OR(ISNUMBER(SEARCH('Modelling Language'!$K$3,Tabla7[[#This Row],[Language]])),ISNUMBER(SEARCH('Modelling Language'!$K$4,Tabla7[[#This Row],[Language]]))),"X","")</f>
        <v/>
      </c>
      <c r="BL18" s="18" t="str">
        <f>IF(OR(ISNUMBER(SEARCH('Modelling Language'!$D$3,Tabla7[[#This Row],[Language]]))),"X","")</f>
        <v/>
      </c>
      <c r="BM18" s="18" t="str">
        <f>IF(OR(ISNUMBER(SEARCH('Modelling Language'!$I$3,Tabla7[[#This Row],[Language]]))),"X","")</f>
        <v/>
      </c>
      <c r="BN18" s="18" t="str">
        <f>IF(OR(ISNUMBER(SEARCH('Modelling Language'!$G$3,Tabla7[[#This Row],[Language]]))),"X","")</f>
        <v/>
      </c>
      <c r="BO18" s="18" t="str">
        <f>IF(OR(ISNUMBER(SEARCH('Modelling Language'!$F$3,Tabla7[[#This Row],[Language]]))),"X","")</f>
        <v/>
      </c>
      <c r="BP18" s="18" t="str">
        <f>IF(OR(ISNUMBER(SEARCH('Modelling Language'!$E$3,Tabla7[[#This Row],[Language]]))),"X","")</f>
        <v/>
      </c>
      <c r="BQ18" s="18" t="str">
        <f>IF(OR(ISNUMBER(SEARCH('Modelling Language'!$H$3,Tabla7[[#This Row],[Language]]))),"X","")</f>
        <v/>
      </c>
      <c r="BR18" s="18"/>
      <c r="BS18" s="22" t="str">
        <f>IF(OR(ISNUMBER(SEARCH(applicability!$D$3,Tabla7[[#This Row],[Application]])),ISNUMBER(SEARCH(applicability!$D$4,Tabla7[[#This Row],[Application]]))),"X","")</f>
        <v>X</v>
      </c>
      <c r="BT18" s="18" t="str">
        <f>IF(OR(ISNUMBER(SEARCH(applicability!$E$3,Tabla7[[#This Row],[Application]]))),"X","")</f>
        <v/>
      </c>
      <c r="BU18" s="18" t="str">
        <f>IF(OR(ISNUMBER(SEARCH(applicability!$F$3,Tabla7[[#This Row],[Application]])),ISNUMBER(SEARCH(applicability!$F$4,Tabla7[[#This Row],[Application]]))),"X","")</f>
        <v/>
      </c>
      <c r="BV18" s="18" t="str">
        <f>IF(OR(ISNUMBER(SEARCH(applicability!$G$3,Tabla7[[#This Row],[Application]]))),"X","")</f>
        <v/>
      </c>
      <c r="BW18" s="19" t="str">
        <f>IF(OR(ISNUMBER(SEARCH(applicability!$H$3,Tabla7[[#This Row],[Application]]))),"X","")</f>
        <v/>
      </c>
    </row>
    <row r="19" spans="1:75" x14ac:dyDescent="0.25">
      <c r="A19" s="13">
        <v>644</v>
      </c>
      <c r="B19" s="14">
        <v>19</v>
      </c>
      <c r="C19" s="14" t="s">
        <v>513</v>
      </c>
      <c r="D19" s="14" t="s">
        <v>512</v>
      </c>
      <c r="E19" s="15">
        <v>2013</v>
      </c>
      <c r="F19" s="15" t="s">
        <v>5295</v>
      </c>
      <c r="G19" s="15" t="s">
        <v>5299</v>
      </c>
      <c r="H19" s="15" t="s">
        <v>5296</v>
      </c>
      <c r="I19" s="15" t="s">
        <v>5296</v>
      </c>
      <c r="J19" s="14" t="s">
        <v>244</v>
      </c>
      <c r="K19" s="14" t="s">
        <v>4051</v>
      </c>
      <c r="L19" s="14" t="s">
        <v>517</v>
      </c>
      <c r="M19" s="14">
        <v>8</v>
      </c>
      <c r="N19" s="14">
        <v>4</v>
      </c>
      <c r="O19" s="14" t="s">
        <v>5077</v>
      </c>
      <c r="P19" s="14" t="s">
        <v>5078</v>
      </c>
      <c r="Q19" s="14" t="s">
        <v>4996</v>
      </c>
      <c r="R19" s="14" t="s">
        <v>4974</v>
      </c>
      <c r="S19" s="14" t="s">
        <v>658</v>
      </c>
      <c r="T19" s="14" t="s">
        <v>5003</v>
      </c>
      <c r="U19" s="14"/>
      <c r="V19" s="14" t="s">
        <v>5007</v>
      </c>
      <c r="W19" s="14">
        <v>4</v>
      </c>
      <c r="X19" s="14">
        <v>2</v>
      </c>
      <c r="Y19" s="14">
        <v>3</v>
      </c>
      <c r="Z19" s="14">
        <v>4</v>
      </c>
      <c r="AA19"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2</v>
      </c>
      <c r="AB19" s="14">
        <v>2</v>
      </c>
      <c r="AC19" s="43" t="s">
        <v>5221</v>
      </c>
      <c r="AD19" s="22" t="str">
        <f>IF(OR(ISNUMBER(SEARCH('Source Artifacts'!$F$3,Tabla7[[#This Row],[Source IS artifacts]])),ISNUMBER(SEARCH('Source Artifacts'!$F$4,Tabla7[[#This Row],[Source IS artifacts]]))),"X","")</f>
        <v>X</v>
      </c>
      <c r="AE19" s="19" t="str">
        <f>IF(OR(ISNUMBER(SEARCH('Source Artifacts'!$L$3,Tabla7[[#This Row],[Source IS artifacts]])),ISNUMBER(SEARCH('Source Artifacts'!$L$4,Tabla7[[#This Row],[Source IS artifacts]])),ISNUMBER(SEARCH('Source Artifacts'!$L$5,Tabla7[[#This Row],[Source IS artifacts]]))),"X","")</f>
        <v/>
      </c>
      <c r="AF19" s="19" t="str">
        <f>IF(OR(ISNUMBER(SEARCH('Source Artifacts'!$I$3,Tabla7[[#This Row],[Source IS artifacts]])),ISNUMBER(SEARCH('Source Artifacts'!$I$4,Tabla7[[#This Row],[Source IS artifacts]])),ISNUMBER(SEARCH('Source Artifacts'!$I$5,Tabla7[[#This Row],[Source IS artifacts]]))),"X","")</f>
        <v/>
      </c>
      <c r="AG19"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19"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X</v>
      </c>
      <c r="AI19"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X</v>
      </c>
      <c r="AJ19"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X</v>
      </c>
      <c r="AK19"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19" s="19" t="str">
        <f>IF(OR(ISNUMBER(SEARCH('Source Artifacts'!$D$3,Tabla7[[#This Row],[Source IS artifacts]]))),"X","")</f>
        <v/>
      </c>
      <c r="AM19"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19"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X</v>
      </c>
      <c r="AO19" s="18" t="str">
        <f>IF(OR(ISNUMBER(SEARCH(Techniques!$H$3,Tabla7[[#This Row],[Mining techniques]])),ISNUMBER(SEARCH(Techniques!$H$4,Tabla7[[#This Row],[Mining techniques]]))),"X","")</f>
        <v/>
      </c>
      <c r="AP19" s="18" t="str">
        <f>IF(OR(ISNUMBER(SEARCH(Techniques!$J$3,Tabla7[[#This Row],[Mining techniques]]))),"X","")</f>
        <v/>
      </c>
      <c r="AQ19" s="19" t="str">
        <f>IF(OR(ISNUMBER(SEARCH(Techniques!$G$3,Tabla7[[#This Row],[Mining techniques]])),ISNUMBER(SEARCH(Techniques!$G$4,Tabla7[[#This Row],[Mining techniques]]))),"X","")</f>
        <v/>
      </c>
      <c r="AR19" s="19" t="str">
        <f>IF(OR(ISNUMBER(SEARCH(Techniques!$F$3,Tabla7[[#This Row],[Mining techniques]])),ISNUMBER(SEARCH(Techniques!$F$4,Tabla7[[#This Row],[Mining techniques]]))),"X","")</f>
        <v/>
      </c>
      <c r="AS19" s="18" t="str">
        <f>IF(OR(ISNUMBER(SEARCH(Techniques!$D$3,Tabla7[[#This Row],[Mining techniques]])),ISNUMBER(SEARCH(Techniques!$D$4,Tabla7[[#This Row],[Mining techniques]]))),"X","")</f>
        <v/>
      </c>
      <c r="AT19" s="18" t="str">
        <f>IF(OR(ISNUMBER(SEARCH(Techniques!$E$3,Tabla7[[#This Row],[Mining techniques]])),ISNUMBER(SEARCH(Techniques!$E$4,Tabla7[[#This Row],[Mining techniques]]))),"X","")</f>
        <v/>
      </c>
      <c r="AU19" s="27" t="str">
        <f>IF(OR(ISNUMBER(SEARCH('EA Concern'!$I$3,Tabla7[[#This Row],[EA concern]]))),"X","")</f>
        <v/>
      </c>
      <c r="AV19" s="26" t="str">
        <f>IF(OR(ISNUMBER(SEARCH('EA Concern'!$G$3,Tabla7[[#This Row],[EA concern]])),ISNUMBER(SEARCH('EA Concern'!$G$4,Tabla7[[#This Row],[EA concern]]))),"X","")</f>
        <v/>
      </c>
      <c r="AW19" s="26" t="str">
        <f>IF(OR(ISNUMBER(SEARCH('EA Concern'!$E$3,Tabla7[[#This Row],[EA concern]]))),"X","")</f>
        <v/>
      </c>
      <c r="AX19" s="26" t="str">
        <f>IF(OR(ISNUMBER(SEARCH('EA Concern'!$H$3,Tabla7[[#This Row],[EA concern]])),ISNUMBER(SEARCH('EA Concern'!$H$4,Tabla7[[#This Row],[EA concern]]))),"X","")</f>
        <v>X</v>
      </c>
      <c r="AY19" s="26" t="str">
        <f>IF(OR(ISNUMBER(SEARCH('EA Concern'!$F$3,Tabla7[[#This Row],[EA concern]])),ISNUMBER(SEARCH('EA Concern'!$F$4,Tabla7[[#This Row],[EA concern]]))),"X","")</f>
        <v/>
      </c>
      <c r="AZ19" s="26" t="str">
        <f>IF(OR(ISNUMBER(SEARCH('EA Concern'!$D$3,Tabla7[[#This Row],[EA concern]])),ISNUMBER(SEARCH('EA Concern'!$D$4,Tabla7[[#This Row],[EA concern]]))),"X","")</f>
        <v/>
      </c>
      <c r="BA19" s="23" t="str">
        <f>IF(OR(ISNUMBER(SEARCH('EA Framework'!$J$3,Tabla7[[#This Row],[Framework/Methodology]])),ISNUMBER(SEARCH('EA Framework'!$J$4,Tabla7[[#This Row],[Framework/Methodology]]))),"X","")</f>
        <v>X</v>
      </c>
      <c r="BB19" s="18" t="str">
        <f>IF(OR(ISNUMBER(SEARCH('EA Framework'!$I$3,Tabla7[[#This Row],[Framework/Methodology]]))),"X","")</f>
        <v/>
      </c>
      <c r="BC19" s="18" t="str">
        <f>IF(OR(ISNUMBER(SEARCH('EA Framework'!$F$3,Tabla7[[#This Row],[Framework/Methodology]]))),"X","")</f>
        <v/>
      </c>
      <c r="BD19" s="18" t="str">
        <f>IF(OR(ISNUMBER(SEARCH('EA Framework'!$H$3,Tabla7[[#This Row],[Framework/Methodology]]))),"X","")</f>
        <v/>
      </c>
      <c r="BE19" s="18" t="str">
        <f>IF(OR(ISNUMBER(SEARCH('EA Framework'!$E$3,Tabla7[[#This Row],[Framework/Methodology]]))),"X","")</f>
        <v/>
      </c>
      <c r="BF19" s="18" t="str">
        <f>IF(OR(ISNUMBER(SEARCH('EA Framework'!$G$3,Tabla7[[#This Row],[Framework/Methodology]]))),"X","")</f>
        <v/>
      </c>
      <c r="BG19" s="18" t="str">
        <f>IF(OR(ISNUMBER(SEARCH('EA Framework'!$D$3,Tabla7[[#This Row],[Framework/Methodology]]))),"X","")</f>
        <v/>
      </c>
      <c r="BH19" s="22" t="str">
        <f>IF(OR(ISNUMBER(SEARCH('Modelling Language'!$M$3,Tabla7[[#This Row],[Language]])),ISNUMBER(SEARCH('Modelling Language'!$M$4,Tabla7[[#This Row],[Language]])),ISNUMBER(SEARCH('Modelling Language'!$M$5,Tabla7[[#This Row],[Language]]))),"X","")</f>
        <v/>
      </c>
      <c r="BI19" s="18" t="str">
        <f>IF(OR(ISNUMBER(SEARCH('Modelling Language'!$J$3,Tabla7[[#This Row],[Language]])),ISNUMBER(SEARCH('Modelling Language'!$J$4,Tabla7[[#This Row],[Language]]))),"X","")</f>
        <v/>
      </c>
      <c r="BJ19" s="18" t="str">
        <f>IF(OR(ISNUMBER(SEARCH('Modelling Language'!$L$3,Tabla7[[#This Row],[Language]])),ISNUMBER(SEARCH('Modelling Language'!$L$4,Tabla7[[#This Row],[Language]]))),"X","")</f>
        <v/>
      </c>
      <c r="BK19" s="18" t="str">
        <f>IF(OR(ISNUMBER(SEARCH('Modelling Language'!$K$3,Tabla7[[#This Row],[Language]])),ISNUMBER(SEARCH('Modelling Language'!$K$4,Tabla7[[#This Row],[Language]]))),"X","")</f>
        <v/>
      </c>
      <c r="BL19" s="18" t="str">
        <f>IF(OR(ISNUMBER(SEARCH('Modelling Language'!$D$3,Tabla7[[#This Row],[Language]]))),"X","")</f>
        <v/>
      </c>
      <c r="BM19" s="18" t="str">
        <f>IF(OR(ISNUMBER(SEARCH('Modelling Language'!$I$3,Tabla7[[#This Row],[Language]]))),"X","")</f>
        <v/>
      </c>
      <c r="BN19" s="18" t="str">
        <f>IF(OR(ISNUMBER(SEARCH('Modelling Language'!$G$3,Tabla7[[#This Row],[Language]]))),"X","")</f>
        <v/>
      </c>
      <c r="BO19" s="18" t="str">
        <f>IF(OR(ISNUMBER(SEARCH('Modelling Language'!$F$3,Tabla7[[#This Row],[Language]]))),"X","")</f>
        <v/>
      </c>
      <c r="BP19" s="18" t="str">
        <f>IF(OR(ISNUMBER(SEARCH('Modelling Language'!$E$3,Tabla7[[#This Row],[Language]]))),"X","")</f>
        <v/>
      </c>
      <c r="BQ19" s="18" t="str">
        <f>IF(OR(ISNUMBER(SEARCH('Modelling Language'!$H$3,Tabla7[[#This Row],[Language]]))),"X","")</f>
        <v/>
      </c>
      <c r="BR19" s="18"/>
      <c r="BS19" s="22" t="str">
        <f>IF(OR(ISNUMBER(SEARCH(applicability!$D$3,Tabla7[[#This Row],[Application]])),ISNUMBER(SEARCH(applicability!$D$4,Tabla7[[#This Row],[Application]]))),"X","")</f>
        <v/>
      </c>
      <c r="BT19" s="18" t="str">
        <f>IF(OR(ISNUMBER(SEARCH(applicability!$E$3,Tabla7[[#This Row],[Application]]))),"X","")</f>
        <v>X</v>
      </c>
      <c r="BU19" s="18" t="str">
        <f>IF(OR(ISNUMBER(SEARCH(applicability!$F$3,Tabla7[[#This Row],[Application]])),ISNUMBER(SEARCH(applicability!$F$4,Tabla7[[#This Row],[Application]]))),"X","")</f>
        <v/>
      </c>
      <c r="BV19" s="18" t="str">
        <f>IF(OR(ISNUMBER(SEARCH(applicability!$G$3,Tabla7[[#This Row],[Application]]))),"X","")</f>
        <v/>
      </c>
      <c r="BW19" s="19" t="str">
        <f>IF(OR(ISNUMBER(SEARCH(applicability!$H$3,Tabla7[[#This Row],[Application]]))),"X","")</f>
        <v/>
      </c>
    </row>
    <row r="20" spans="1:75" x14ac:dyDescent="0.25">
      <c r="A20" s="13">
        <v>211</v>
      </c>
      <c r="B20" s="14">
        <v>29</v>
      </c>
      <c r="C20" s="14" t="s">
        <v>2582</v>
      </c>
      <c r="D20" s="14" t="s">
        <v>4511</v>
      </c>
      <c r="E20" s="15">
        <v>2016</v>
      </c>
      <c r="F20" s="15" t="s">
        <v>5298</v>
      </c>
      <c r="G20" s="15" t="s">
        <v>5301</v>
      </c>
      <c r="H20" s="15" t="s">
        <v>5296</v>
      </c>
      <c r="I20" s="15" t="s">
        <v>5296</v>
      </c>
      <c r="J20" s="14" t="s">
        <v>0</v>
      </c>
      <c r="K20" s="14" t="s">
        <v>4512</v>
      </c>
      <c r="L20" s="14" t="s">
        <v>2584</v>
      </c>
      <c r="M20" s="14">
        <v>6.5</v>
      </c>
      <c r="N20" s="14">
        <v>2</v>
      </c>
      <c r="O20" s="14" t="s">
        <v>5028</v>
      </c>
      <c r="P20" s="14" t="s">
        <v>5030</v>
      </c>
      <c r="Q20" s="14" t="s">
        <v>4996</v>
      </c>
      <c r="R20" s="14" t="s">
        <v>4974</v>
      </c>
      <c r="S20" s="14" t="s">
        <v>658</v>
      </c>
      <c r="T20" s="14" t="s">
        <v>5003</v>
      </c>
      <c r="U20" s="14"/>
      <c r="V20" s="14" t="s">
        <v>5007</v>
      </c>
      <c r="W20" s="14">
        <v>4</v>
      </c>
      <c r="X20" s="14">
        <v>2</v>
      </c>
      <c r="Y20" s="14">
        <v>4</v>
      </c>
      <c r="Z20" s="14">
        <v>4</v>
      </c>
      <c r="AA20"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4</v>
      </c>
      <c r="AB20" s="14">
        <v>2</v>
      </c>
      <c r="AC20" s="43" t="s">
        <v>5222</v>
      </c>
      <c r="AD20" s="22" t="str">
        <f>IF(OR(ISNUMBER(SEARCH('Source Artifacts'!$F$3,Tabla7[[#This Row],[Source IS artifacts]])),ISNUMBER(SEARCH('Source Artifacts'!$F$4,Tabla7[[#This Row],[Source IS artifacts]]))),"X","")</f>
        <v/>
      </c>
      <c r="AE20" s="19" t="str">
        <f>IF(OR(ISNUMBER(SEARCH('Source Artifacts'!$L$3,Tabla7[[#This Row],[Source IS artifacts]])),ISNUMBER(SEARCH('Source Artifacts'!$L$4,Tabla7[[#This Row],[Source IS artifacts]])),ISNUMBER(SEARCH('Source Artifacts'!$L$5,Tabla7[[#This Row],[Source IS artifacts]]))),"X","")</f>
        <v/>
      </c>
      <c r="AF20" s="19" t="str">
        <f>IF(OR(ISNUMBER(SEARCH('Source Artifacts'!$I$3,Tabla7[[#This Row],[Source IS artifacts]])),ISNUMBER(SEARCH('Source Artifacts'!$I$4,Tabla7[[#This Row],[Source IS artifacts]])),ISNUMBER(SEARCH('Source Artifacts'!$I$5,Tabla7[[#This Row],[Source IS artifacts]]))),"X","")</f>
        <v/>
      </c>
      <c r="AG20"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20"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20"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X</v>
      </c>
      <c r="AJ20"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20"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20" s="19" t="str">
        <f>IF(OR(ISNUMBER(SEARCH('Source Artifacts'!$D$3,Tabla7[[#This Row],[Source IS artifacts]]))),"X","")</f>
        <v/>
      </c>
      <c r="AM20"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X</v>
      </c>
      <c r="AN20"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
      </c>
      <c r="AO20" s="18" t="str">
        <f>IF(OR(ISNUMBER(SEARCH(Techniques!$H$3,Tabla7[[#This Row],[Mining techniques]])),ISNUMBER(SEARCH(Techniques!$H$4,Tabla7[[#This Row],[Mining techniques]]))),"X","")</f>
        <v/>
      </c>
      <c r="AP20" s="18" t="str">
        <f>IF(OR(ISNUMBER(SEARCH(Techniques!$J$3,Tabla7[[#This Row],[Mining techniques]]))),"X","")</f>
        <v/>
      </c>
      <c r="AQ20" s="19" t="str">
        <f>IF(OR(ISNUMBER(SEARCH(Techniques!$G$3,Tabla7[[#This Row],[Mining techniques]])),ISNUMBER(SEARCH(Techniques!$G$4,Tabla7[[#This Row],[Mining techniques]]))),"X","")</f>
        <v/>
      </c>
      <c r="AR20" s="19" t="str">
        <f>IF(OR(ISNUMBER(SEARCH(Techniques!$F$3,Tabla7[[#This Row],[Mining techniques]])),ISNUMBER(SEARCH(Techniques!$F$4,Tabla7[[#This Row],[Mining techniques]]))),"X","")</f>
        <v>X</v>
      </c>
      <c r="AS20" s="18" t="str">
        <f>IF(OR(ISNUMBER(SEARCH(Techniques!$D$3,Tabla7[[#This Row],[Mining techniques]])),ISNUMBER(SEARCH(Techniques!$D$4,Tabla7[[#This Row],[Mining techniques]]))),"X","")</f>
        <v/>
      </c>
      <c r="AT20" s="18" t="str">
        <f>IF(OR(ISNUMBER(SEARCH(Techniques!$E$3,Tabla7[[#This Row],[Mining techniques]])),ISNUMBER(SEARCH(Techniques!$E$4,Tabla7[[#This Row],[Mining techniques]]))),"X","")</f>
        <v/>
      </c>
      <c r="AU20" s="27" t="str">
        <f>IF(OR(ISNUMBER(SEARCH('EA Concern'!$I$3,Tabla7[[#This Row],[EA concern]]))),"X","")</f>
        <v/>
      </c>
      <c r="AV20" s="26" t="str">
        <f>IF(OR(ISNUMBER(SEARCH('EA Concern'!$G$3,Tabla7[[#This Row],[EA concern]])),ISNUMBER(SEARCH('EA Concern'!$G$4,Tabla7[[#This Row],[EA concern]]))),"X","")</f>
        <v/>
      </c>
      <c r="AW20" s="26" t="str">
        <f>IF(OR(ISNUMBER(SEARCH('EA Concern'!$E$3,Tabla7[[#This Row],[EA concern]]))),"X","")</f>
        <v/>
      </c>
      <c r="AX20" s="26" t="str">
        <f>IF(OR(ISNUMBER(SEARCH('EA Concern'!$H$3,Tabla7[[#This Row],[EA concern]])),ISNUMBER(SEARCH('EA Concern'!$H$4,Tabla7[[#This Row],[EA concern]]))),"X","")</f>
        <v>X</v>
      </c>
      <c r="AY20" s="26" t="str">
        <f>IF(OR(ISNUMBER(SEARCH('EA Concern'!$F$3,Tabla7[[#This Row],[EA concern]])),ISNUMBER(SEARCH('EA Concern'!$F$4,Tabla7[[#This Row],[EA concern]]))),"X","")</f>
        <v/>
      </c>
      <c r="AZ20" s="26" t="str">
        <f>IF(OR(ISNUMBER(SEARCH('EA Concern'!$D$3,Tabla7[[#This Row],[EA concern]])),ISNUMBER(SEARCH('EA Concern'!$D$4,Tabla7[[#This Row],[EA concern]]))),"X","")</f>
        <v/>
      </c>
      <c r="BA20" s="23" t="str">
        <f>IF(OR(ISNUMBER(SEARCH('EA Framework'!$J$3,Tabla7[[#This Row],[Framework/Methodology]])),ISNUMBER(SEARCH('EA Framework'!$J$4,Tabla7[[#This Row],[Framework/Methodology]]))),"X","")</f>
        <v>X</v>
      </c>
      <c r="BB20" s="18" t="str">
        <f>IF(OR(ISNUMBER(SEARCH('EA Framework'!$I$3,Tabla7[[#This Row],[Framework/Methodology]]))),"X","")</f>
        <v/>
      </c>
      <c r="BC20" s="18" t="str">
        <f>IF(OR(ISNUMBER(SEARCH('EA Framework'!$F$3,Tabla7[[#This Row],[Framework/Methodology]]))),"X","")</f>
        <v/>
      </c>
      <c r="BD20" s="18" t="str">
        <f>IF(OR(ISNUMBER(SEARCH('EA Framework'!$H$3,Tabla7[[#This Row],[Framework/Methodology]]))),"X","")</f>
        <v/>
      </c>
      <c r="BE20" s="18" t="str">
        <f>IF(OR(ISNUMBER(SEARCH('EA Framework'!$E$3,Tabla7[[#This Row],[Framework/Methodology]]))),"X","")</f>
        <v/>
      </c>
      <c r="BF20" s="18" t="str">
        <f>IF(OR(ISNUMBER(SEARCH('EA Framework'!$G$3,Tabla7[[#This Row],[Framework/Methodology]]))),"X","")</f>
        <v/>
      </c>
      <c r="BG20" s="18" t="str">
        <f>IF(OR(ISNUMBER(SEARCH('EA Framework'!$D$3,Tabla7[[#This Row],[Framework/Methodology]]))),"X","")</f>
        <v/>
      </c>
      <c r="BH20" s="22" t="str">
        <f>IF(OR(ISNUMBER(SEARCH('Modelling Language'!$M$3,Tabla7[[#This Row],[Language]])),ISNUMBER(SEARCH('Modelling Language'!$M$4,Tabla7[[#This Row],[Language]])),ISNUMBER(SEARCH('Modelling Language'!$M$5,Tabla7[[#This Row],[Language]]))),"X","")</f>
        <v/>
      </c>
      <c r="BI20" s="18" t="str">
        <f>IF(OR(ISNUMBER(SEARCH('Modelling Language'!$J$3,Tabla7[[#This Row],[Language]])),ISNUMBER(SEARCH('Modelling Language'!$J$4,Tabla7[[#This Row],[Language]]))),"X","")</f>
        <v/>
      </c>
      <c r="BJ20" s="18" t="str">
        <f>IF(OR(ISNUMBER(SEARCH('Modelling Language'!$L$3,Tabla7[[#This Row],[Language]])),ISNUMBER(SEARCH('Modelling Language'!$L$4,Tabla7[[#This Row],[Language]]))),"X","")</f>
        <v/>
      </c>
      <c r="BK20" s="18" t="str">
        <f>IF(OR(ISNUMBER(SEARCH('Modelling Language'!$K$3,Tabla7[[#This Row],[Language]])),ISNUMBER(SEARCH('Modelling Language'!$K$4,Tabla7[[#This Row],[Language]]))),"X","")</f>
        <v/>
      </c>
      <c r="BL20" s="18" t="str">
        <f>IF(OR(ISNUMBER(SEARCH('Modelling Language'!$D$3,Tabla7[[#This Row],[Language]]))),"X","")</f>
        <v/>
      </c>
      <c r="BM20" s="18" t="str">
        <f>IF(OR(ISNUMBER(SEARCH('Modelling Language'!$I$3,Tabla7[[#This Row],[Language]]))),"X","")</f>
        <v/>
      </c>
      <c r="BN20" s="18" t="str">
        <f>IF(OR(ISNUMBER(SEARCH('Modelling Language'!$G$3,Tabla7[[#This Row],[Language]]))),"X","")</f>
        <v/>
      </c>
      <c r="BO20" s="18" t="str">
        <f>IF(OR(ISNUMBER(SEARCH('Modelling Language'!$F$3,Tabla7[[#This Row],[Language]]))),"X","")</f>
        <v/>
      </c>
      <c r="BP20" s="18" t="str">
        <f>IF(OR(ISNUMBER(SEARCH('Modelling Language'!$E$3,Tabla7[[#This Row],[Language]]))),"X","")</f>
        <v/>
      </c>
      <c r="BQ20" s="18" t="str">
        <f>IF(OR(ISNUMBER(SEARCH('Modelling Language'!$H$3,Tabla7[[#This Row],[Language]]))),"X","")</f>
        <v/>
      </c>
      <c r="BR20" s="18"/>
      <c r="BS20" s="22" t="str">
        <f>IF(OR(ISNUMBER(SEARCH(applicability!$D$3,Tabla7[[#This Row],[Application]])),ISNUMBER(SEARCH(applicability!$D$4,Tabla7[[#This Row],[Application]]))),"X","")</f>
        <v/>
      </c>
      <c r="BT20" s="18" t="str">
        <f>IF(OR(ISNUMBER(SEARCH(applicability!$E$3,Tabla7[[#This Row],[Application]]))),"X","")</f>
        <v>X</v>
      </c>
      <c r="BU20" s="18" t="str">
        <f>IF(OR(ISNUMBER(SEARCH(applicability!$F$3,Tabla7[[#This Row],[Application]])),ISNUMBER(SEARCH(applicability!$F$4,Tabla7[[#This Row],[Application]]))),"X","")</f>
        <v/>
      </c>
      <c r="BV20" s="18" t="str">
        <f>IF(OR(ISNUMBER(SEARCH(applicability!$G$3,Tabla7[[#This Row],[Application]]))),"X","")</f>
        <v/>
      </c>
      <c r="BW20" s="19" t="str">
        <f>IF(OR(ISNUMBER(SEARCH(applicability!$H$3,Tabla7[[#This Row],[Application]]))),"X","")</f>
        <v/>
      </c>
    </row>
    <row r="21" spans="1:75" x14ac:dyDescent="0.25">
      <c r="A21" s="13">
        <v>287</v>
      </c>
      <c r="B21" s="14">
        <v>31</v>
      </c>
      <c r="C21" s="14" t="s">
        <v>2616</v>
      </c>
      <c r="D21" s="14" t="s">
        <v>4542</v>
      </c>
      <c r="E21" s="15">
        <v>2016</v>
      </c>
      <c r="F21" s="15" t="s">
        <v>5296</v>
      </c>
      <c r="G21" s="15" t="s">
        <v>5296</v>
      </c>
      <c r="H21" s="15" t="s">
        <v>5296</v>
      </c>
      <c r="I21" s="15" t="s">
        <v>5296</v>
      </c>
      <c r="J21" s="14" t="s">
        <v>244</v>
      </c>
      <c r="K21" s="14" t="s">
        <v>4544</v>
      </c>
      <c r="L21" s="14" t="s">
        <v>2620</v>
      </c>
      <c r="M21" s="14">
        <v>5.5</v>
      </c>
      <c r="N21" s="14">
        <v>2</v>
      </c>
      <c r="O21" s="14" t="s">
        <v>5081</v>
      </c>
      <c r="P21" s="14" t="s">
        <v>5015</v>
      </c>
      <c r="Q21" s="14" t="s">
        <v>5282</v>
      </c>
      <c r="R21" s="14" t="s">
        <v>4974</v>
      </c>
      <c r="S21" s="14" t="s">
        <v>658</v>
      </c>
      <c r="T21" s="14" t="s">
        <v>3111</v>
      </c>
      <c r="U21" s="14"/>
      <c r="V21" s="14" t="s">
        <v>5007</v>
      </c>
      <c r="W21" s="14">
        <v>3</v>
      </c>
      <c r="X21" s="14">
        <v>1</v>
      </c>
      <c r="Y21" s="14">
        <v>1</v>
      </c>
      <c r="Z21" s="14">
        <v>3</v>
      </c>
      <c r="AA21"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2</v>
      </c>
      <c r="AB21" s="14">
        <v>2</v>
      </c>
      <c r="AC21" s="43" t="s">
        <v>5221</v>
      </c>
      <c r="AD21" s="22" t="str">
        <f>IF(OR(ISNUMBER(SEARCH('Source Artifacts'!$F$3,Tabla7[[#This Row],[Source IS artifacts]])),ISNUMBER(SEARCH('Source Artifacts'!$F$4,Tabla7[[#This Row],[Source IS artifacts]]))),"X","")</f>
        <v/>
      </c>
      <c r="AE21" s="19" t="str">
        <f>IF(OR(ISNUMBER(SEARCH('Source Artifacts'!$L$3,Tabla7[[#This Row],[Source IS artifacts]])),ISNUMBER(SEARCH('Source Artifacts'!$L$4,Tabla7[[#This Row],[Source IS artifacts]])),ISNUMBER(SEARCH('Source Artifacts'!$L$5,Tabla7[[#This Row],[Source IS artifacts]]))),"X","")</f>
        <v/>
      </c>
      <c r="AF21" s="19" t="str">
        <f>IF(OR(ISNUMBER(SEARCH('Source Artifacts'!$I$3,Tabla7[[#This Row],[Source IS artifacts]])),ISNUMBER(SEARCH('Source Artifacts'!$I$4,Tabla7[[#This Row],[Source IS artifacts]])),ISNUMBER(SEARCH('Source Artifacts'!$I$5,Tabla7[[#This Row],[Source IS artifacts]]))),"X","")</f>
        <v/>
      </c>
      <c r="AG21"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21"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X</v>
      </c>
      <c r="AI21"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21"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21"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21" s="19" t="str">
        <f>IF(OR(ISNUMBER(SEARCH('Source Artifacts'!$D$3,Tabla7[[#This Row],[Source IS artifacts]]))),"X","")</f>
        <v/>
      </c>
      <c r="AM21"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21"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X</v>
      </c>
      <c r="AO21" s="18" t="str">
        <f>IF(OR(ISNUMBER(SEARCH(Techniques!$H$3,Tabla7[[#This Row],[Mining techniques]])),ISNUMBER(SEARCH(Techniques!$H$4,Tabla7[[#This Row],[Mining techniques]]))),"X","")</f>
        <v/>
      </c>
      <c r="AP21" s="18" t="str">
        <f>IF(OR(ISNUMBER(SEARCH(Techniques!$J$3,Tabla7[[#This Row],[Mining techniques]]))),"X","")</f>
        <v/>
      </c>
      <c r="AQ21" s="19" t="str">
        <f>IF(OR(ISNUMBER(SEARCH(Techniques!$G$3,Tabla7[[#This Row],[Mining techniques]])),ISNUMBER(SEARCH(Techniques!$G$4,Tabla7[[#This Row],[Mining techniques]]))),"X","")</f>
        <v/>
      </c>
      <c r="AR21" s="19" t="str">
        <f>IF(OR(ISNUMBER(SEARCH(Techniques!$F$3,Tabla7[[#This Row],[Mining techniques]])),ISNUMBER(SEARCH(Techniques!$F$4,Tabla7[[#This Row],[Mining techniques]]))),"X","")</f>
        <v/>
      </c>
      <c r="AS21" s="18" t="str">
        <f>IF(OR(ISNUMBER(SEARCH(Techniques!$D$3,Tabla7[[#This Row],[Mining techniques]])),ISNUMBER(SEARCH(Techniques!$D$4,Tabla7[[#This Row],[Mining techniques]]))),"X","")</f>
        <v/>
      </c>
      <c r="AT21" s="18" t="str">
        <f>IF(OR(ISNUMBER(SEARCH(Techniques!$E$3,Tabla7[[#This Row],[Mining techniques]])),ISNUMBER(SEARCH(Techniques!$E$4,Tabla7[[#This Row],[Mining techniques]]))),"X","")</f>
        <v/>
      </c>
      <c r="AU21" s="27" t="str">
        <f>IF(OR(ISNUMBER(SEARCH('EA Concern'!$I$3,Tabla7[[#This Row],[EA concern]]))),"X","")</f>
        <v/>
      </c>
      <c r="AV21" s="26" t="str">
        <f>IF(OR(ISNUMBER(SEARCH('EA Concern'!$G$3,Tabla7[[#This Row],[EA concern]])),ISNUMBER(SEARCH('EA Concern'!$G$4,Tabla7[[#This Row],[EA concern]]))),"X","")</f>
        <v/>
      </c>
      <c r="AW21" s="26" t="str">
        <f>IF(OR(ISNUMBER(SEARCH('EA Concern'!$E$3,Tabla7[[#This Row],[EA concern]]))),"X","")</f>
        <v/>
      </c>
      <c r="AX21" s="26" t="str">
        <f>IF(OR(ISNUMBER(SEARCH('EA Concern'!$H$3,Tabla7[[#This Row],[EA concern]])),ISNUMBER(SEARCH('EA Concern'!$H$4,Tabla7[[#This Row],[EA concern]]))),"X","")</f>
        <v/>
      </c>
      <c r="AY21" s="26" t="str">
        <f>IF(OR(ISNUMBER(SEARCH('EA Concern'!$F$3,Tabla7[[#This Row],[EA concern]])),ISNUMBER(SEARCH('EA Concern'!$F$4,Tabla7[[#This Row],[EA concern]]))),"X","")</f>
        <v>X</v>
      </c>
      <c r="AZ21" s="26" t="str">
        <f>IF(OR(ISNUMBER(SEARCH('EA Concern'!$D$3,Tabla7[[#This Row],[EA concern]])),ISNUMBER(SEARCH('EA Concern'!$D$4,Tabla7[[#This Row],[EA concern]]))),"X","")</f>
        <v/>
      </c>
      <c r="BA21" s="23" t="str">
        <f>IF(OR(ISNUMBER(SEARCH('EA Framework'!$J$3,Tabla7[[#This Row],[Framework/Methodology]])),ISNUMBER(SEARCH('EA Framework'!$J$4,Tabla7[[#This Row],[Framework/Methodology]]))),"X","")</f>
        <v/>
      </c>
      <c r="BB21" s="18" t="str">
        <f>IF(OR(ISNUMBER(SEARCH('EA Framework'!$I$3,Tabla7[[#This Row],[Framework/Methodology]]))),"X","")</f>
        <v/>
      </c>
      <c r="BC21" s="18" t="str">
        <f>IF(OR(ISNUMBER(SEARCH('EA Framework'!$F$3,Tabla7[[#This Row],[Framework/Methodology]]))),"X","")</f>
        <v/>
      </c>
      <c r="BD21" s="18" t="str">
        <f>IF(OR(ISNUMBER(SEARCH('EA Framework'!$H$3,Tabla7[[#This Row],[Framework/Methodology]]))),"X","")</f>
        <v>X</v>
      </c>
      <c r="BE21" s="18" t="str">
        <f>IF(OR(ISNUMBER(SEARCH('EA Framework'!$E$3,Tabla7[[#This Row],[Framework/Methodology]]))),"X","")</f>
        <v/>
      </c>
      <c r="BF21" s="18" t="str">
        <f>IF(OR(ISNUMBER(SEARCH('EA Framework'!$G$3,Tabla7[[#This Row],[Framework/Methodology]]))),"X","")</f>
        <v/>
      </c>
      <c r="BG21" s="18" t="str">
        <f>IF(OR(ISNUMBER(SEARCH('EA Framework'!$D$3,Tabla7[[#This Row],[Framework/Methodology]]))),"X","")</f>
        <v/>
      </c>
      <c r="BH21" s="22" t="str">
        <f>IF(OR(ISNUMBER(SEARCH('Modelling Language'!$M$3,Tabla7[[#This Row],[Language]])),ISNUMBER(SEARCH('Modelling Language'!$M$4,Tabla7[[#This Row],[Language]])),ISNUMBER(SEARCH('Modelling Language'!$M$5,Tabla7[[#This Row],[Language]]))),"X","")</f>
        <v/>
      </c>
      <c r="BI21" s="18" t="str">
        <f>IF(OR(ISNUMBER(SEARCH('Modelling Language'!$J$3,Tabla7[[#This Row],[Language]])),ISNUMBER(SEARCH('Modelling Language'!$J$4,Tabla7[[#This Row],[Language]]))),"X","")</f>
        <v/>
      </c>
      <c r="BJ21" s="18" t="str">
        <f>IF(OR(ISNUMBER(SEARCH('Modelling Language'!$L$3,Tabla7[[#This Row],[Language]])),ISNUMBER(SEARCH('Modelling Language'!$L$4,Tabla7[[#This Row],[Language]]))),"X","")</f>
        <v/>
      </c>
      <c r="BK21" s="18" t="str">
        <f>IF(OR(ISNUMBER(SEARCH('Modelling Language'!$K$3,Tabla7[[#This Row],[Language]])),ISNUMBER(SEARCH('Modelling Language'!$K$4,Tabla7[[#This Row],[Language]]))),"X","")</f>
        <v/>
      </c>
      <c r="BL21" s="18" t="str">
        <f>IF(OR(ISNUMBER(SEARCH('Modelling Language'!$D$3,Tabla7[[#This Row],[Language]]))),"X","")</f>
        <v/>
      </c>
      <c r="BM21" s="18" t="str">
        <f>IF(OR(ISNUMBER(SEARCH('Modelling Language'!$I$3,Tabla7[[#This Row],[Language]]))),"X","")</f>
        <v/>
      </c>
      <c r="BN21" s="18" t="str">
        <f>IF(OR(ISNUMBER(SEARCH('Modelling Language'!$G$3,Tabla7[[#This Row],[Language]]))),"X","")</f>
        <v/>
      </c>
      <c r="BO21" s="18" t="str">
        <f>IF(OR(ISNUMBER(SEARCH('Modelling Language'!$F$3,Tabla7[[#This Row],[Language]]))),"X","")</f>
        <v/>
      </c>
      <c r="BP21" s="18" t="str">
        <f>IF(OR(ISNUMBER(SEARCH('Modelling Language'!$E$3,Tabla7[[#This Row],[Language]]))),"X","")</f>
        <v/>
      </c>
      <c r="BQ21" s="18" t="str">
        <f>IF(OR(ISNUMBER(SEARCH('Modelling Language'!$H$3,Tabla7[[#This Row],[Language]]))),"X","")</f>
        <v/>
      </c>
      <c r="BR21" s="18"/>
      <c r="BS21" s="22" t="str">
        <f>IF(OR(ISNUMBER(SEARCH(applicability!$D$3,Tabla7[[#This Row],[Application]])),ISNUMBER(SEARCH(applicability!$D$4,Tabla7[[#This Row],[Application]]))),"X","")</f>
        <v/>
      </c>
      <c r="BT21" s="18" t="str">
        <f>IF(OR(ISNUMBER(SEARCH(applicability!$E$3,Tabla7[[#This Row],[Application]]))),"X","")</f>
        <v>X</v>
      </c>
      <c r="BU21" s="18" t="str">
        <f>IF(OR(ISNUMBER(SEARCH(applicability!$F$3,Tabla7[[#This Row],[Application]])),ISNUMBER(SEARCH(applicability!$F$4,Tabla7[[#This Row],[Application]]))),"X","")</f>
        <v/>
      </c>
      <c r="BV21" s="18" t="str">
        <f>IF(OR(ISNUMBER(SEARCH(applicability!$G$3,Tabla7[[#This Row],[Application]]))),"X","")</f>
        <v/>
      </c>
      <c r="BW21" s="19" t="str">
        <f>IF(OR(ISNUMBER(SEARCH(applicability!$H$3,Tabla7[[#This Row],[Application]]))),"X","")</f>
        <v/>
      </c>
    </row>
    <row r="22" spans="1:75" x14ac:dyDescent="0.25">
      <c r="A22" s="13">
        <v>479</v>
      </c>
      <c r="B22" s="14">
        <v>1</v>
      </c>
      <c r="C22" s="14" t="s">
        <v>1084</v>
      </c>
      <c r="D22" s="14" t="s">
        <v>3363</v>
      </c>
      <c r="E22" s="15">
        <v>2014</v>
      </c>
      <c r="F22" s="15" t="s">
        <v>5295</v>
      </c>
      <c r="G22" s="15" t="s">
        <v>5297</v>
      </c>
      <c r="H22" s="15" t="s">
        <v>5296</v>
      </c>
      <c r="I22" s="15" t="s">
        <v>5296</v>
      </c>
      <c r="J22" s="14" t="s">
        <v>0</v>
      </c>
      <c r="K22" s="14" t="s">
        <v>3364</v>
      </c>
      <c r="L22" s="14" t="s">
        <v>1087</v>
      </c>
      <c r="M22" s="14">
        <v>5</v>
      </c>
      <c r="N22" s="14">
        <v>3</v>
      </c>
      <c r="O22" s="14" t="s">
        <v>5055</v>
      </c>
      <c r="P22" s="14" t="s">
        <v>5015</v>
      </c>
      <c r="Q22" s="14" t="s">
        <v>4999</v>
      </c>
      <c r="R22" s="14" t="s">
        <v>4974</v>
      </c>
      <c r="S22" s="14" t="s">
        <v>5012</v>
      </c>
      <c r="T22" s="14" t="s">
        <v>5003</v>
      </c>
      <c r="U22" s="14"/>
      <c r="V22" s="14" t="s">
        <v>5006</v>
      </c>
      <c r="W22" s="14">
        <v>2</v>
      </c>
      <c r="X22" s="14">
        <v>2</v>
      </c>
      <c r="Y22" s="14">
        <v>1</v>
      </c>
      <c r="Z22" s="14">
        <v>1</v>
      </c>
      <c r="AA22"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2</v>
      </c>
      <c r="AB22" s="14">
        <v>2</v>
      </c>
      <c r="AC22" s="43" t="s">
        <v>5221</v>
      </c>
      <c r="AD22" s="22" t="str">
        <f>IF(OR(ISNUMBER(SEARCH('Source Artifacts'!$F$3,Tabla7[[#This Row],[Source IS artifacts]])),ISNUMBER(SEARCH('Source Artifacts'!$F$4,Tabla7[[#This Row],[Source IS artifacts]]))),"X","")</f>
        <v/>
      </c>
      <c r="AE22" s="19" t="str">
        <f>IF(OR(ISNUMBER(SEARCH('Source Artifacts'!$L$3,Tabla7[[#This Row],[Source IS artifacts]])),ISNUMBER(SEARCH('Source Artifacts'!$L$4,Tabla7[[#This Row],[Source IS artifacts]])),ISNUMBER(SEARCH('Source Artifacts'!$L$5,Tabla7[[#This Row],[Source IS artifacts]]))),"X","")</f>
        <v>X</v>
      </c>
      <c r="AF22" s="19" t="str">
        <f>IF(OR(ISNUMBER(SEARCH('Source Artifacts'!$I$3,Tabla7[[#This Row],[Source IS artifacts]])),ISNUMBER(SEARCH('Source Artifacts'!$I$4,Tabla7[[#This Row],[Source IS artifacts]])),ISNUMBER(SEARCH('Source Artifacts'!$I$5,Tabla7[[#This Row],[Source IS artifacts]]))),"X","")</f>
        <v/>
      </c>
      <c r="AG22"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22"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X</v>
      </c>
      <c r="AI22"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22"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22"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X</v>
      </c>
      <c r="AL22" s="19" t="str">
        <f>IF(OR(ISNUMBER(SEARCH('Source Artifacts'!$D$3,Tabla7[[#This Row],[Source IS artifacts]]))),"X","")</f>
        <v/>
      </c>
      <c r="AM22"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22"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X</v>
      </c>
      <c r="AO22" s="18" t="str">
        <f>IF(OR(ISNUMBER(SEARCH(Techniques!$H$3,Tabla7[[#This Row],[Mining techniques]])),ISNUMBER(SEARCH(Techniques!$H$4,Tabla7[[#This Row],[Mining techniques]]))),"X","")</f>
        <v/>
      </c>
      <c r="AP22" s="18" t="str">
        <f>IF(OR(ISNUMBER(SEARCH(Techniques!$J$3,Tabla7[[#This Row],[Mining techniques]]))),"X","")</f>
        <v/>
      </c>
      <c r="AQ22" s="19" t="str">
        <f>IF(OR(ISNUMBER(SEARCH(Techniques!$G$3,Tabla7[[#This Row],[Mining techniques]])),ISNUMBER(SEARCH(Techniques!$G$4,Tabla7[[#This Row],[Mining techniques]]))),"X","")</f>
        <v/>
      </c>
      <c r="AR22" s="19" t="str">
        <f>IF(OR(ISNUMBER(SEARCH(Techniques!$F$3,Tabla7[[#This Row],[Mining techniques]])),ISNUMBER(SEARCH(Techniques!$F$4,Tabla7[[#This Row],[Mining techniques]]))),"X","")</f>
        <v/>
      </c>
      <c r="AS22" s="18" t="str">
        <f>IF(OR(ISNUMBER(SEARCH(Techniques!$D$3,Tabla7[[#This Row],[Mining techniques]])),ISNUMBER(SEARCH(Techniques!$D$4,Tabla7[[#This Row],[Mining techniques]]))),"X","")</f>
        <v/>
      </c>
      <c r="AT22" s="18" t="str">
        <f>IF(OR(ISNUMBER(SEARCH(Techniques!$E$3,Tabla7[[#This Row],[Mining techniques]])),ISNUMBER(SEARCH(Techniques!$E$4,Tabla7[[#This Row],[Mining techniques]]))),"X","")</f>
        <v/>
      </c>
      <c r="AU22" s="27" t="str">
        <f>IF(OR(ISNUMBER(SEARCH('EA Concern'!$I$3,Tabla7[[#This Row],[EA concern]]))),"X","")</f>
        <v/>
      </c>
      <c r="AV22" s="26" t="str">
        <f>IF(OR(ISNUMBER(SEARCH('EA Concern'!$G$3,Tabla7[[#This Row],[EA concern]])),ISNUMBER(SEARCH('EA Concern'!$G$4,Tabla7[[#This Row],[EA concern]]))),"X","")</f>
        <v>X</v>
      </c>
      <c r="AW22" s="26" t="str">
        <f>IF(OR(ISNUMBER(SEARCH('EA Concern'!$E$3,Tabla7[[#This Row],[EA concern]]))),"X","")</f>
        <v/>
      </c>
      <c r="AX22" s="26" t="str">
        <f>IF(OR(ISNUMBER(SEARCH('EA Concern'!$H$3,Tabla7[[#This Row],[EA concern]])),ISNUMBER(SEARCH('EA Concern'!$H$4,Tabla7[[#This Row],[EA concern]]))),"X","")</f>
        <v/>
      </c>
      <c r="AY22" s="26" t="str">
        <f>IF(OR(ISNUMBER(SEARCH('EA Concern'!$F$3,Tabla7[[#This Row],[EA concern]])),ISNUMBER(SEARCH('EA Concern'!$F$4,Tabla7[[#This Row],[EA concern]]))),"X","")</f>
        <v/>
      </c>
      <c r="AZ22" s="26" t="str">
        <f>IF(OR(ISNUMBER(SEARCH('EA Concern'!$D$3,Tabla7[[#This Row],[EA concern]])),ISNUMBER(SEARCH('EA Concern'!$D$4,Tabla7[[#This Row],[EA concern]]))),"X","")</f>
        <v/>
      </c>
      <c r="BA22" s="23" t="str">
        <f>IF(OR(ISNUMBER(SEARCH('EA Framework'!$J$3,Tabla7[[#This Row],[Framework/Methodology]])),ISNUMBER(SEARCH('EA Framework'!$J$4,Tabla7[[#This Row],[Framework/Methodology]]))),"X","")</f>
        <v>X</v>
      </c>
      <c r="BB22" s="18" t="str">
        <f>IF(OR(ISNUMBER(SEARCH('EA Framework'!$I$3,Tabla7[[#This Row],[Framework/Methodology]]))),"X","")</f>
        <v/>
      </c>
      <c r="BC22" s="18" t="str">
        <f>IF(OR(ISNUMBER(SEARCH('EA Framework'!$F$3,Tabla7[[#This Row],[Framework/Methodology]]))),"X","")</f>
        <v/>
      </c>
      <c r="BD22" s="18" t="str">
        <f>IF(OR(ISNUMBER(SEARCH('EA Framework'!$H$3,Tabla7[[#This Row],[Framework/Methodology]]))),"X","")</f>
        <v/>
      </c>
      <c r="BE22" s="18" t="str">
        <f>IF(OR(ISNUMBER(SEARCH('EA Framework'!$E$3,Tabla7[[#This Row],[Framework/Methodology]]))),"X","")</f>
        <v/>
      </c>
      <c r="BF22" s="18" t="str">
        <f>IF(OR(ISNUMBER(SEARCH('EA Framework'!$G$3,Tabla7[[#This Row],[Framework/Methodology]]))),"X","")</f>
        <v/>
      </c>
      <c r="BG22" s="18" t="str">
        <f>IF(OR(ISNUMBER(SEARCH('EA Framework'!$D$3,Tabla7[[#This Row],[Framework/Methodology]]))),"X","")</f>
        <v/>
      </c>
      <c r="BH22" s="22" t="str">
        <f>IF(OR(ISNUMBER(SEARCH('Modelling Language'!$M$3,Tabla7[[#This Row],[Language]])),ISNUMBER(SEARCH('Modelling Language'!$M$4,Tabla7[[#This Row],[Language]])),ISNUMBER(SEARCH('Modelling Language'!$M$5,Tabla7[[#This Row],[Language]]))),"X","")</f>
        <v/>
      </c>
      <c r="BI22" s="18" t="str">
        <f>IF(OR(ISNUMBER(SEARCH('Modelling Language'!$J$3,Tabla7[[#This Row],[Language]])),ISNUMBER(SEARCH('Modelling Language'!$J$4,Tabla7[[#This Row],[Language]]))),"X","")</f>
        <v/>
      </c>
      <c r="BJ22" s="18" t="str">
        <f>IF(OR(ISNUMBER(SEARCH('Modelling Language'!$L$3,Tabla7[[#This Row],[Language]])),ISNUMBER(SEARCH('Modelling Language'!$L$4,Tabla7[[#This Row],[Language]]))),"X","")</f>
        <v/>
      </c>
      <c r="BK22" s="18" t="str">
        <f>IF(OR(ISNUMBER(SEARCH('Modelling Language'!$K$3,Tabla7[[#This Row],[Language]])),ISNUMBER(SEARCH('Modelling Language'!$K$4,Tabla7[[#This Row],[Language]]))),"X","")</f>
        <v/>
      </c>
      <c r="BL22" s="18" t="str">
        <f>IF(OR(ISNUMBER(SEARCH('Modelling Language'!$D$3,Tabla7[[#This Row],[Language]]))),"X","")</f>
        <v/>
      </c>
      <c r="BM22" s="18" t="str">
        <f>IF(OR(ISNUMBER(SEARCH('Modelling Language'!$I$3,Tabla7[[#This Row],[Language]]))),"X","")</f>
        <v/>
      </c>
      <c r="BN22" s="18" t="str">
        <f>IF(OR(ISNUMBER(SEARCH('Modelling Language'!$G$3,Tabla7[[#This Row],[Language]]))),"X","")</f>
        <v/>
      </c>
      <c r="BO22" s="18" t="str">
        <f>IF(OR(ISNUMBER(SEARCH('Modelling Language'!$F$3,Tabla7[[#This Row],[Language]]))),"X","")</f>
        <v/>
      </c>
      <c r="BP22" s="18" t="str">
        <f>IF(OR(ISNUMBER(SEARCH('Modelling Language'!$E$3,Tabla7[[#This Row],[Language]]))),"X","")</f>
        <v/>
      </c>
      <c r="BQ22" s="18" t="str">
        <f>IF(OR(ISNUMBER(SEARCH('Modelling Language'!$H$3,Tabla7[[#This Row],[Language]]))),"X","")</f>
        <v/>
      </c>
      <c r="BR22" s="18"/>
      <c r="BS22" s="22" t="str">
        <f>IF(OR(ISNUMBER(SEARCH(applicability!$D$3,Tabla7[[#This Row],[Application]])),ISNUMBER(SEARCH(applicability!$D$4,Tabla7[[#This Row],[Application]]))),"X","")</f>
        <v>X</v>
      </c>
      <c r="BT22" s="18" t="str">
        <f>IF(OR(ISNUMBER(SEARCH(applicability!$E$3,Tabla7[[#This Row],[Application]]))),"X","")</f>
        <v/>
      </c>
      <c r="BU22" s="18" t="str">
        <f>IF(OR(ISNUMBER(SEARCH(applicability!$F$3,Tabla7[[#This Row],[Application]])),ISNUMBER(SEARCH(applicability!$F$4,Tabla7[[#This Row],[Application]]))),"X","")</f>
        <v/>
      </c>
      <c r="BV22" s="18" t="str">
        <f>IF(OR(ISNUMBER(SEARCH(applicability!$G$3,Tabla7[[#This Row],[Application]]))),"X","")</f>
        <v/>
      </c>
      <c r="BW22" s="19" t="str">
        <f>IF(OR(ISNUMBER(SEARCH(applicability!$H$3,Tabla7[[#This Row],[Application]]))),"X","")</f>
        <v/>
      </c>
    </row>
    <row r="23" spans="1:75" x14ac:dyDescent="0.25">
      <c r="A23" s="13">
        <v>637</v>
      </c>
      <c r="B23" s="14">
        <v>39</v>
      </c>
      <c r="C23" s="14" t="s">
        <v>2995</v>
      </c>
      <c r="D23" s="14" t="s">
        <v>273</v>
      </c>
      <c r="E23" s="15">
        <v>2017</v>
      </c>
      <c r="F23" s="15" t="s">
        <v>5295</v>
      </c>
      <c r="G23" s="15" t="s">
        <v>5301</v>
      </c>
      <c r="H23" s="15" t="s">
        <v>5296</v>
      </c>
      <c r="I23" s="15" t="s">
        <v>5296</v>
      </c>
      <c r="J23" s="14" t="s">
        <v>0</v>
      </c>
      <c r="K23" s="14" t="s">
        <v>4845</v>
      </c>
      <c r="L23" s="14" t="s">
        <v>2997</v>
      </c>
      <c r="M23" s="14">
        <v>6</v>
      </c>
      <c r="N23" s="14">
        <v>1</v>
      </c>
      <c r="O23" s="14" t="s">
        <v>5039</v>
      </c>
      <c r="P23" s="14" t="s">
        <v>5038</v>
      </c>
      <c r="Q23" s="14" t="s">
        <v>4996</v>
      </c>
      <c r="R23" s="14" t="s">
        <v>4974</v>
      </c>
      <c r="S23" s="14" t="s">
        <v>658</v>
      </c>
      <c r="T23" s="14" t="s">
        <v>5003</v>
      </c>
      <c r="U23" s="14"/>
      <c r="V23" s="14" t="s">
        <v>5006</v>
      </c>
      <c r="W23" s="14">
        <v>4</v>
      </c>
      <c r="X23" s="14">
        <v>4</v>
      </c>
      <c r="Y23" s="14">
        <v>3</v>
      </c>
      <c r="Z23" s="14">
        <v>4</v>
      </c>
      <c r="AA23"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3</v>
      </c>
      <c r="AB23" s="14">
        <v>1</v>
      </c>
      <c r="AC23" s="43" t="s">
        <v>5222</v>
      </c>
      <c r="AD23" s="22" t="str">
        <f>IF(OR(ISNUMBER(SEARCH('Source Artifacts'!$F$3,Tabla7[[#This Row],[Source IS artifacts]])),ISNUMBER(SEARCH('Source Artifacts'!$F$4,Tabla7[[#This Row],[Source IS artifacts]]))),"X","")</f>
        <v/>
      </c>
      <c r="AE23" s="19" t="str">
        <f>IF(OR(ISNUMBER(SEARCH('Source Artifacts'!$L$3,Tabla7[[#This Row],[Source IS artifacts]])),ISNUMBER(SEARCH('Source Artifacts'!$L$4,Tabla7[[#This Row],[Source IS artifacts]])),ISNUMBER(SEARCH('Source Artifacts'!$L$5,Tabla7[[#This Row],[Source IS artifacts]]))),"X","")</f>
        <v/>
      </c>
      <c r="AF23" s="19" t="str">
        <f>IF(OR(ISNUMBER(SEARCH('Source Artifacts'!$I$3,Tabla7[[#This Row],[Source IS artifacts]])),ISNUMBER(SEARCH('Source Artifacts'!$I$4,Tabla7[[#This Row],[Source IS artifacts]])),ISNUMBER(SEARCH('Source Artifacts'!$I$5,Tabla7[[#This Row],[Source IS artifacts]]))),"X","")</f>
        <v/>
      </c>
      <c r="AG23"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23"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23"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X</v>
      </c>
      <c r="AJ23"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23"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23" s="19" t="str">
        <f>IF(OR(ISNUMBER(SEARCH('Source Artifacts'!$D$3,Tabla7[[#This Row],[Source IS artifacts]]))),"X","")</f>
        <v/>
      </c>
      <c r="AM23"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23"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
      </c>
      <c r="AO23" s="18" t="str">
        <f>IF(OR(ISNUMBER(SEARCH(Techniques!$H$3,Tabla7[[#This Row],[Mining techniques]])),ISNUMBER(SEARCH(Techniques!$H$4,Tabla7[[#This Row],[Mining techniques]]))),"X","")</f>
        <v>X</v>
      </c>
      <c r="AP23" s="18" t="str">
        <f>IF(OR(ISNUMBER(SEARCH(Techniques!$J$3,Tabla7[[#This Row],[Mining techniques]]))),"X","")</f>
        <v/>
      </c>
      <c r="AQ23" s="19" t="str">
        <f>IF(OR(ISNUMBER(SEARCH(Techniques!$G$3,Tabla7[[#This Row],[Mining techniques]])),ISNUMBER(SEARCH(Techniques!$G$4,Tabla7[[#This Row],[Mining techniques]]))),"X","")</f>
        <v/>
      </c>
      <c r="AR23" s="19" t="str">
        <f>IF(OR(ISNUMBER(SEARCH(Techniques!$F$3,Tabla7[[#This Row],[Mining techniques]])),ISNUMBER(SEARCH(Techniques!$F$4,Tabla7[[#This Row],[Mining techniques]]))),"X","")</f>
        <v/>
      </c>
      <c r="AS23" s="18" t="str">
        <f>IF(OR(ISNUMBER(SEARCH(Techniques!$D$3,Tabla7[[#This Row],[Mining techniques]])),ISNUMBER(SEARCH(Techniques!$D$4,Tabla7[[#This Row],[Mining techniques]]))),"X","")</f>
        <v/>
      </c>
      <c r="AT23" s="18" t="str">
        <f>IF(OR(ISNUMBER(SEARCH(Techniques!$E$3,Tabla7[[#This Row],[Mining techniques]])),ISNUMBER(SEARCH(Techniques!$E$4,Tabla7[[#This Row],[Mining techniques]]))),"X","")</f>
        <v/>
      </c>
      <c r="AU23" s="27" t="str">
        <f>IF(OR(ISNUMBER(SEARCH('EA Concern'!$I$3,Tabla7[[#This Row],[EA concern]]))),"X","")</f>
        <v/>
      </c>
      <c r="AV23" s="26" t="str">
        <f>IF(OR(ISNUMBER(SEARCH('EA Concern'!$G$3,Tabla7[[#This Row],[EA concern]])),ISNUMBER(SEARCH('EA Concern'!$G$4,Tabla7[[#This Row],[EA concern]]))),"X","")</f>
        <v/>
      </c>
      <c r="AW23" s="26" t="str">
        <f>IF(OR(ISNUMBER(SEARCH('EA Concern'!$E$3,Tabla7[[#This Row],[EA concern]]))),"X","")</f>
        <v/>
      </c>
      <c r="AX23" s="26" t="str">
        <f>IF(OR(ISNUMBER(SEARCH('EA Concern'!$H$3,Tabla7[[#This Row],[EA concern]])),ISNUMBER(SEARCH('EA Concern'!$H$4,Tabla7[[#This Row],[EA concern]]))),"X","")</f>
        <v>X</v>
      </c>
      <c r="AY23" s="26" t="str">
        <f>IF(OR(ISNUMBER(SEARCH('EA Concern'!$F$3,Tabla7[[#This Row],[EA concern]])),ISNUMBER(SEARCH('EA Concern'!$F$4,Tabla7[[#This Row],[EA concern]]))),"X","")</f>
        <v/>
      </c>
      <c r="AZ23" s="26" t="str">
        <f>IF(OR(ISNUMBER(SEARCH('EA Concern'!$D$3,Tabla7[[#This Row],[EA concern]])),ISNUMBER(SEARCH('EA Concern'!$D$4,Tabla7[[#This Row],[EA concern]]))),"X","")</f>
        <v/>
      </c>
      <c r="BA23" s="23" t="str">
        <f>IF(OR(ISNUMBER(SEARCH('EA Framework'!$J$3,Tabla7[[#This Row],[Framework/Methodology]])),ISNUMBER(SEARCH('EA Framework'!$J$4,Tabla7[[#This Row],[Framework/Methodology]]))),"X","")</f>
        <v>X</v>
      </c>
      <c r="BB23" s="18" t="str">
        <f>IF(OR(ISNUMBER(SEARCH('EA Framework'!$I$3,Tabla7[[#This Row],[Framework/Methodology]]))),"X","")</f>
        <v/>
      </c>
      <c r="BC23" s="18" t="str">
        <f>IF(OR(ISNUMBER(SEARCH('EA Framework'!$F$3,Tabla7[[#This Row],[Framework/Methodology]]))),"X","")</f>
        <v/>
      </c>
      <c r="BD23" s="18" t="str">
        <f>IF(OR(ISNUMBER(SEARCH('EA Framework'!$H$3,Tabla7[[#This Row],[Framework/Methodology]]))),"X","")</f>
        <v/>
      </c>
      <c r="BE23" s="18" t="str">
        <f>IF(OR(ISNUMBER(SEARCH('EA Framework'!$E$3,Tabla7[[#This Row],[Framework/Methodology]]))),"X","")</f>
        <v/>
      </c>
      <c r="BF23" s="18" t="str">
        <f>IF(OR(ISNUMBER(SEARCH('EA Framework'!$G$3,Tabla7[[#This Row],[Framework/Methodology]]))),"X","")</f>
        <v/>
      </c>
      <c r="BG23" s="18" t="str">
        <f>IF(OR(ISNUMBER(SEARCH('EA Framework'!$D$3,Tabla7[[#This Row],[Framework/Methodology]]))),"X","")</f>
        <v/>
      </c>
      <c r="BH23" s="22" t="str">
        <f>IF(OR(ISNUMBER(SEARCH('Modelling Language'!$M$3,Tabla7[[#This Row],[Language]])),ISNUMBER(SEARCH('Modelling Language'!$M$4,Tabla7[[#This Row],[Language]])),ISNUMBER(SEARCH('Modelling Language'!$M$5,Tabla7[[#This Row],[Language]]))),"X","")</f>
        <v/>
      </c>
      <c r="BI23" s="18" t="str">
        <f>IF(OR(ISNUMBER(SEARCH('Modelling Language'!$J$3,Tabla7[[#This Row],[Language]])),ISNUMBER(SEARCH('Modelling Language'!$J$4,Tabla7[[#This Row],[Language]]))),"X","")</f>
        <v/>
      </c>
      <c r="BJ23" s="18" t="str">
        <f>IF(OR(ISNUMBER(SEARCH('Modelling Language'!$L$3,Tabla7[[#This Row],[Language]])),ISNUMBER(SEARCH('Modelling Language'!$L$4,Tabla7[[#This Row],[Language]]))),"X","")</f>
        <v/>
      </c>
      <c r="BK23" s="18" t="str">
        <f>IF(OR(ISNUMBER(SEARCH('Modelling Language'!$K$3,Tabla7[[#This Row],[Language]])),ISNUMBER(SEARCH('Modelling Language'!$K$4,Tabla7[[#This Row],[Language]]))),"X","")</f>
        <v/>
      </c>
      <c r="BL23" s="18" t="str">
        <f>IF(OR(ISNUMBER(SEARCH('Modelling Language'!$D$3,Tabla7[[#This Row],[Language]]))),"X","")</f>
        <v/>
      </c>
      <c r="BM23" s="18" t="str">
        <f>IF(OR(ISNUMBER(SEARCH('Modelling Language'!$I$3,Tabla7[[#This Row],[Language]]))),"X","")</f>
        <v/>
      </c>
      <c r="BN23" s="18" t="str">
        <f>IF(OR(ISNUMBER(SEARCH('Modelling Language'!$G$3,Tabla7[[#This Row],[Language]]))),"X","")</f>
        <v/>
      </c>
      <c r="BO23" s="18" t="str">
        <f>IF(OR(ISNUMBER(SEARCH('Modelling Language'!$F$3,Tabla7[[#This Row],[Language]]))),"X","")</f>
        <v/>
      </c>
      <c r="BP23" s="18" t="str">
        <f>IF(OR(ISNUMBER(SEARCH('Modelling Language'!$E$3,Tabla7[[#This Row],[Language]]))),"X","")</f>
        <v/>
      </c>
      <c r="BQ23" s="18" t="str">
        <f>IF(OR(ISNUMBER(SEARCH('Modelling Language'!$H$3,Tabla7[[#This Row],[Language]]))),"X","")</f>
        <v/>
      </c>
      <c r="BR23" s="18"/>
      <c r="BS23" s="22" t="str">
        <f>IF(OR(ISNUMBER(SEARCH(applicability!$D$3,Tabla7[[#This Row],[Application]])),ISNUMBER(SEARCH(applicability!$D$4,Tabla7[[#This Row],[Application]]))),"X","")</f>
        <v>X</v>
      </c>
      <c r="BT23" s="18" t="str">
        <f>IF(OR(ISNUMBER(SEARCH(applicability!$E$3,Tabla7[[#This Row],[Application]]))),"X","")</f>
        <v/>
      </c>
      <c r="BU23" s="18" t="str">
        <f>IF(OR(ISNUMBER(SEARCH(applicability!$F$3,Tabla7[[#This Row],[Application]])),ISNUMBER(SEARCH(applicability!$F$4,Tabla7[[#This Row],[Application]]))),"X","")</f>
        <v/>
      </c>
      <c r="BV23" s="18" t="str">
        <f>IF(OR(ISNUMBER(SEARCH(applicability!$G$3,Tabla7[[#This Row],[Application]]))),"X","")</f>
        <v/>
      </c>
      <c r="BW23" s="19" t="str">
        <f>IF(OR(ISNUMBER(SEARCH(applicability!$H$3,Tabla7[[#This Row],[Application]]))),"X","")</f>
        <v/>
      </c>
    </row>
    <row r="24" spans="1:75" x14ac:dyDescent="0.25">
      <c r="A24" s="13">
        <v>552</v>
      </c>
      <c r="B24" s="14">
        <v>12</v>
      </c>
      <c r="C24" s="14" t="s">
        <v>1591</v>
      </c>
      <c r="D24" s="14" t="s">
        <v>3752</v>
      </c>
      <c r="E24" s="15">
        <v>2011</v>
      </c>
      <c r="F24" s="15" t="s">
        <v>5296</v>
      </c>
      <c r="G24" s="15" t="s">
        <v>5296</v>
      </c>
      <c r="H24" s="15" t="s">
        <v>5296</v>
      </c>
      <c r="I24" s="15" t="s">
        <v>5296</v>
      </c>
      <c r="J24" s="14" t="s">
        <v>0</v>
      </c>
      <c r="K24" s="14" t="s">
        <v>3753</v>
      </c>
      <c r="L24" s="14" t="s">
        <v>1593</v>
      </c>
      <c r="M24" s="14">
        <v>5</v>
      </c>
      <c r="N24" s="14">
        <v>3</v>
      </c>
      <c r="O24" s="14" t="s">
        <v>5064</v>
      </c>
      <c r="P24" s="14" t="s">
        <v>5065</v>
      </c>
      <c r="Q24" s="14" t="s">
        <v>5277</v>
      </c>
      <c r="R24" s="14" t="s">
        <v>4974</v>
      </c>
      <c r="S24" s="14" t="s">
        <v>658</v>
      </c>
      <c r="T24" s="14" t="s">
        <v>5066</v>
      </c>
      <c r="U24" s="14"/>
      <c r="V24" s="14" t="s">
        <v>5007</v>
      </c>
      <c r="W24" s="14">
        <v>5</v>
      </c>
      <c r="X24" s="14">
        <v>5</v>
      </c>
      <c r="Y24" s="14">
        <v>3</v>
      </c>
      <c r="Z24" s="14">
        <v>4</v>
      </c>
      <c r="AA24"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2</v>
      </c>
      <c r="AB24" s="14">
        <v>1</v>
      </c>
      <c r="AC24" s="43" t="s">
        <v>5222</v>
      </c>
      <c r="AD24" s="22" t="str">
        <f>IF(OR(ISNUMBER(SEARCH('Source Artifacts'!$F$3,Tabla7[[#This Row],[Source IS artifacts]])),ISNUMBER(SEARCH('Source Artifacts'!$F$4,Tabla7[[#This Row],[Source IS artifacts]]))),"X","")</f>
        <v/>
      </c>
      <c r="AE24" s="19" t="str">
        <f>IF(OR(ISNUMBER(SEARCH('Source Artifacts'!$L$3,Tabla7[[#This Row],[Source IS artifacts]])),ISNUMBER(SEARCH('Source Artifacts'!$L$4,Tabla7[[#This Row],[Source IS artifacts]])),ISNUMBER(SEARCH('Source Artifacts'!$L$5,Tabla7[[#This Row],[Source IS artifacts]]))),"X","")</f>
        <v/>
      </c>
      <c r="AF24" s="19" t="str">
        <f>IF(OR(ISNUMBER(SEARCH('Source Artifacts'!$I$3,Tabla7[[#This Row],[Source IS artifacts]])),ISNUMBER(SEARCH('Source Artifacts'!$I$4,Tabla7[[#This Row],[Source IS artifacts]])),ISNUMBER(SEARCH('Source Artifacts'!$I$5,Tabla7[[#This Row],[Source IS artifacts]]))),"X","")</f>
        <v>X</v>
      </c>
      <c r="AG24"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24"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24"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24"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24"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24" s="19" t="str">
        <f>IF(OR(ISNUMBER(SEARCH('Source Artifacts'!$D$3,Tabla7[[#This Row],[Source IS artifacts]]))),"X","")</f>
        <v>X</v>
      </c>
      <c r="AM24"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24"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X</v>
      </c>
      <c r="AO24" s="18" t="str">
        <f>IF(OR(ISNUMBER(SEARCH(Techniques!$H$3,Tabla7[[#This Row],[Mining techniques]])),ISNUMBER(SEARCH(Techniques!$H$4,Tabla7[[#This Row],[Mining techniques]]))),"X","")</f>
        <v/>
      </c>
      <c r="AP24" s="18" t="str">
        <f>IF(OR(ISNUMBER(SEARCH(Techniques!$J$3,Tabla7[[#This Row],[Mining techniques]]))),"X","")</f>
        <v/>
      </c>
      <c r="AQ24" s="19" t="str">
        <f>IF(OR(ISNUMBER(SEARCH(Techniques!$G$3,Tabla7[[#This Row],[Mining techniques]])),ISNUMBER(SEARCH(Techniques!$G$4,Tabla7[[#This Row],[Mining techniques]]))),"X","")</f>
        <v/>
      </c>
      <c r="AR24" s="19" t="str">
        <f>IF(OR(ISNUMBER(SEARCH(Techniques!$F$3,Tabla7[[#This Row],[Mining techniques]])),ISNUMBER(SEARCH(Techniques!$F$4,Tabla7[[#This Row],[Mining techniques]]))),"X","")</f>
        <v/>
      </c>
      <c r="AS24" s="18" t="str">
        <f>IF(OR(ISNUMBER(SEARCH(Techniques!$D$3,Tabla7[[#This Row],[Mining techniques]])),ISNUMBER(SEARCH(Techniques!$D$4,Tabla7[[#This Row],[Mining techniques]]))),"X","")</f>
        <v/>
      </c>
      <c r="AT24" s="18" t="str">
        <f>IF(OR(ISNUMBER(SEARCH(Techniques!$E$3,Tabla7[[#This Row],[Mining techniques]])),ISNUMBER(SEARCH(Techniques!$E$4,Tabla7[[#This Row],[Mining techniques]]))),"X","")</f>
        <v/>
      </c>
      <c r="AU24" s="27" t="str">
        <f>IF(OR(ISNUMBER(SEARCH('EA Concern'!$I$3,Tabla7[[#This Row],[EA concern]]))),"X","")</f>
        <v>X</v>
      </c>
      <c r="AV24" s="26" t="str">
        <f>IF(OR(ISNUMBER(SEARCH('EA Concern'!$G$3,Tabla7[[#This Row],[EA concern]])),ISNUMBER(SEARCH('EA Concern'!$G$4,Tabla7[[#This Row],[EA concern]]))),"X","")</f>
        <v/>
      </c>
      <c r="AW24" s="26" t="str">
        <f>IF(OR(ISNUMBER(SEARCH('EA Concern'!$E$3,Tabla7[[#This Row],[EA concern]]))),"X","")</f>
        <v/>
      </c>
      <c r="AX24" s="26" t="str">
        <f>IF(OR(ISNUMBER(SEARCH('EA Concern'!$H$3,Tabla7[[#This Row],[EA concern]])),ISNUMBER(SEARCH('EA Concern'!$H$4,Tabla7[[#This Row],[EA concern]]))),"X","")</f>
        <v/>
      </c>
      <c r="AY24" s="26" t="str">
        <f>IF(OR(ISNUMBER(SEARCH('EA Concern'!$F$3,Tabla7[[#This Row],[EA concern]])),ISNUMBER(SEARCH('EA Concern'!$F$4,Tabla7[[#This Row],[EA concern]]))),"X","")</f>
        <v/>
      </c>
      <c r="AZ24" s="26" t="str">
        <f>IF(OR(ISNUMBER(SEARCH('EA Concern'!$D$3,Tabla7[[#This Row],[EA concern]])),ISNUMBER(SEARCH('EA Concern'!$D$4,Tabla7[[#This Row],[EA concern]]))),"X","")</f>
        <v/>
      </c>
      <c r="BA24" s="23" t="str">
        <f>IF(OR(ISNUMBER(SEARCH('EA Framework'!$J$3,Tabla7[[#This Row],[Framework/Methodology]])),ISNUMBER(SEARCH('EA Framework'!$J$4,Tabla7[[#This Row],[Framework/Methodology]]))),"X","")</f>
        <v>X</v>
      </c>
      <c r="BB24" s="18" t="str">
        <f>IF(OR(ISNUMBER(SEARCH('EA Framework'!$I$3,Tabla7[[#This Row],[Framework/Methodology]]))),"X","")</f>
        <v/>
      </c>
      <c r="BC24" s="18" t="str">
        <f>IF(OR(ISNUMBER(SEARCH('EA Framework'!$F$3,Tabla7[[#This Row],[Framework/Methodology]]))),"X","")</f>
        <v/>
      </c>
      <c r="BD24" s="18" t="str">
        <f>IF(OR(ISNUMBER(SEARCH('EA Framework'!$H$3,Tabla7[[#This Row],[Framework/Methodology]]))),"X","")</f>
        <v/>
      </c>
      <c r="BE24" s="18" t="str">
        <f>IF(OR(ISNUMBER(SEARCH('EA Framework'!$E$3,Tabla7[[#This Row],[Framework/Methodology]]))),"X","")</f>
        <v/>
      </c>
      <c r="BF24" s="18" t="str">
        <f>IF(OR(ISNUMBER(SEARCH('EA Framework'!$G$3,Tabla7[[#This Row],[Framework/Methodology]]))),"X","")</f>
        <v/>
      </c>
      <c r="BG24" s="18" t="str">
        <f>IF(OR(ISNUMBER(SEARCH('EA Framework'!$D$3,Tabla7[[#This Row],[Framework/Methodology]]))),"X","")</f>
        <v/>
      </c>
      <c r="BH24" s="22" t="str">
        <f>IF(OR(ISNUMBER(SEARCH('Modelling Language'!$M$3,Tabla7[[#This Row],[Language]])),ISNUMBER(SEARCH('Modelling Language'!$M$4,Tabla7[[#This Row],[Language]])),ISNUMBER(SEARCH('Modelling Language'!$M$5,Tabla7[[#This Row],[Language]]))),"X","")</f>
        <v/>
      </c>
      <c r="BI24" s="18" t="str">
        <f>IF(OR(ISNUMBER(SEARCH('Modelling Language'!$J$3,Tabla7[[#This Row],[Language]])),ISNUMBER(SEARCH('Modelling Language'!$J$4,Tabla7[[#This Row],[Language]]))),"X","")</f>
        <v/>
      </c>
      <c r="BJ24" s="18" t="str">
        <f>IF(OR(ISNUMBER(SEARCH('Modelling Language'!$L$3,Tabla7[[#This Row],[Language]])),ISNUMBER(SEARCH('Modelling Language'!$L$4,Tabla7[[#This Row],[Language]]))),"X","")</f>
        <v/>
      </c>
      <c r="BK24" s="18" t="str">
        <f>IF(OR(ISNUMBER(SEARCH('Modelling Language'!$K$3,Tabla7[[#This Row],[Language]])),ISNUMBER(SEARCH('Modelling Language'!$K$4,Tabla7[[#This Row],[Language]]))),"X","")</f>
        <v/>
      </c>
      <c r="BL24" s="18" t="str">
        <f>IF(OR(ISNUMBER(SEARCH('Modelling Language'!$D$3,Tabla7[[#This Row],[Language]]))),"X","")</f>
        <v/>
      </c>
      <c r="BM24" s="18" t="str">
        <f>IF(OR(ISNUMBER(SEARCH('Modelling Language'!$I$3,Tabla7[[#This Row],[Language]]))),"X","")</f>
        <v/>
      </c>
      <c r="BN24" s="18" t="str">
        <f>IF(OR(ISNUMBER(SEARCH('Modelling Language'!$G$3,Tabla7[[#This Row],[Language]]))),"X","")</f>
        <v/>
      </c>
      <c r="BO24" s="18" t="str">
        <f>IF(OR(ISNUMBER(SEARCH('Modelling Language'!$F$3,Tabla7[[#This Row],[Language]]))),"X","")</f>
        <v/>
      </c>
      <c r="BP24" s="18" t="str">
        <f>IF(OR(ISNUMBER(SEARCH('Modelling Language'!$E$3,Tabla7[[#This Row],[Language]]))),"X","")</f>
        <v/>
      </c>
      <c r="BQ24" s="18" t="str">
        <f>IF(OR(ISNUMBER(SEARCH('Modelling Language'!$H$3,Tabla7[[#This Row],[Language]]))),"X","")</f>
        <v/>
      </c>
      <c r="BR24" s="18"/>
      <c r="BS24" s="22" t="str">
        <f>IF(OR(ISNUMBER(SEARCH(applicability!$D$3,Tabla7[[#This Row],[Application]])),ISNUMBER(SEARCH(applicability!$D$4,Tabla7[[#This Row],[Application]]))),"X","")</f>
        <v/>
      </c>
      <c r="BT24" s="18" t="str">
        <f>IF(OR(ISNUMBER(SEARCH(applicability!$E$3,Tabla7[[#This Row],[Application]]))),"X","")</f>
        <v>X</v>
      </c>
      <c r="BU24" s="18" t="str">
        <f>IF(OR(ISNUMBER(SEARCH(applicability!$F$3,Tabla7[[#This Row],[Application]])),ISNUMBER(SEARCH(applicability!$F$4,Tabla7[[#This Row],[Application]]))),"X","")</f>
        <v/>
      </c>
      <c r="BV24" s="18" t="str">
        <f>IF(OR(ISNUMBER(SEARCH(applicability!$G$3,Tabla7[[#This Row],[Application]]))),"X","")</f>
        <v/>
      </c>
      <c r="BW24" s="19" t="str">
        <f>IF(OR(ISNUMBER(SEARCH(applicability!$H$3,Tabla7[[#This Row],[Application]]))),"X","")</f>
        <v/>
      </c>
    </row>
    <row r="25" spans="1:75" x14ac:dyDescent="0.25">
      <c r="A25" s="13">
        <v>468</v>
      </c>
      <c r="B25" s="14">
        <v>13</v>
      </c>
      <c r="C25" s="14" t="s">
        <v>1634</v>
      </c>
      <c r="D25" s="14" t="s">
        <v>3788</v>
      </c>
      <c r="E25" s="15">
        <v>2010</v>
      </c>
      <c r="F25" s="15" t="s">
        <v>5300</v>
      </c>
      <c r="G25" s="15" t="s">
        <v>5297</v>
      </c>
      <c r="H25" s="15" t="s">
        <v>5296</v>
      </c>
      <c r="I25" s="15" t="s">
        <v>5296</v>
      </c>
      <c r="J25" s="14" t="s">
        <v>244</v>
      </c>
      <c r="K25" s="14" t="s">
        <v>3789</v>
      </c>
      <c r="L25" s="14" t="s">
        <v>1636</v>
      </c>
      <c r="M25" s="14">
        <v>5</v>
      </c>
      <c r="N25" s="14">
        <v>3</v>
      </c>
      <c r="O25" s="14" t="s">
        <v>4995</v>
      </c>
      <c r="P25" s="14" t="s">
        <v>5054</v>
      </c>
      <c r="Q25" s="14" t="s">
        <v>5277</v>
      </c>
      <c r="R25" s="14" t="s">
        <v>4976</v>
      </c>
      <c r="S25" s="14" t="s">
        <v>5012</v>
      </c>
      <c r="T25" s="14" t="s">
        <v>834</v>
      </c>
      <c r="U25" s="14" t="s">
        <v>726</v>
      </c>
      <c r="V25" s="14" t="s">
        <v>5007</v>
      </c>
      <c r="W25" s="14">
        <v>1</v>
      </c>
      <c r="X25" s="14">
        <v>1</v>
      </c>
      <c r="Y25" s="14">
        <v>1</v>
      </c>
      <c r="Z25" s="14">
        <v>1</v>
      </c>
      <c r="AA25"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2</v>
      </c>
      <c r="AB25" s="14">
        <v>1</v>
      </c>
      <c r="AC25" s="43" t="s">
        <v>5221</v>
      </c>
      <c r="AD25" s="22" t="str">
        <f>IF(OR(ISNUMBER(SEARCH('Source Artifacts'!$F$3,Tabla7[[#This Row],[Source IS artifacts]])),ISNUMBER(SEARCH('Source Artifacts'!$F$4,Tabla7[[#This Row],[Source IS artifacts]]))),"X","")</f>
        <v/>
      </c>
      <c r="AE25" s="19" t="str">
        <f>IF(OR(ISNUMBER(SEARCH('Source Artifacts'!$L$3,Tabla7[[#This Row],[Source IS artifacts]])),ISNUMBER(SEARCH('Source Artifacts'!$L$4,Tabla7[[#This Row],[Source IS artifacts]])),ISNUMBER(SEARCH('Source Artifacts'!$L$5,Tabla7[[#This Row],[Source IS artifacts]]))),"X","")</f>
        <v>X</v>
      </c>
      <c r="AF25" s="19" t="str">
        <f>IF(OR(ISNUMBER(SEARCH('Source Artifacts'!$I$3,Tabla7[[#This Row],[Source IS artifacts]])),ISNUMBER(SEARCH('Source Artifacts'!$I$4,Tabla7[[#This Row],[Source IS artifacts]])),ISNUMBER(SEARCH('Source Artifacts'!$I$5,Tabla7[[#This Row],[Source IS artifacts]]))),"X","")</f>
        <v/>
      </c>
      <c r="AG25"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25"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25"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25"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25"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25" s="19" t="str">
        <f>IF(OR(ISNUMBER(SEARCH('Source Artifacts'!$D$3,Tabla7[[#This Row],[Source IS artifacts]]))),"X","")</f>
        <v/>
      </c>
      <c r="AM25"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X</v>
      </c>
      <c r="AN25"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
      </c>
      <c r="AO25" s="18" t="str">
        <f>IF(OR(ISNUMBER(SEARCH(Techniques!$H$3,Tabla7[[#This Row],[Mining techniques]])),ISNUMBER(SEARCH(Techniques!$H$4,Tabla7[[#This Row],[Mining techniques]]))),"X","")</f>
        <v/>
      </c>
      <c r="AP25" s="18" t="str">
        <f>IF(OR(ISNUMBER(SEARCH(Techniques!$J$3,Tabla7[[#This Row],[Mining techniques]]))),"X","")</f>
        <v/>
      </c>
      <c r="AQ25" s="19" t="str">
        <f>IF(OR(ISNUMBER(SEARCH(Techniques!$G$3,Tabla7[[#This Row],[Mining techniques]])),ISNUMBER(SEARCH(Techniques!$G$4,Tabla7[[#This Row],[Mining techniques]]))),"X","")</f>
        <v/>
      </c>
      <c r="AR25" s="19" t="str">
        <f>IF(OR(ISNUMBER(SEARCH(Techniques!$F$3,Tabla7[[#This Row],[Mining techniques]])),ISNUMBER(SEARCH(Techniques!$F$4,Tabla7[[#This Row],[Mining techniques]]))),"X","")</f>
        <v/>
      </c>
      <c r="AS25" s="18" t="str">
        <f>IF(OR(ISNUMBER(SEARCH(Techniques!$D$3,Tabla7[[#This Row],[Mining techniques]])),ISNUMBER(SEARCH(Techniques!$D$4,Tabla7[[#This Row],[Mining techniques]]))),"X","")</f>
        <v/>
      </c>
      <c r="AT25" s="18" t="str">
        <f>IF(OR(ISNUMBER(SEARCH(Techniques!$E$3,Tabla7[[#This Row],[Mining techniques]])),ISNUMBER(SEARCH(Techniques!$E$4,Tabla7[[#This Row],[Mining techniques]]))),"X","")</f>
        <v/>
      </c>
      <c r="AU25" s="27" t="str">
        <f>IF(OR(ISNUMBER(SEARCH('EA Concern'!$I$3,Tabla7[[#This Row],[EA concern]]))),"X","")</f>
        <v>X</v>
      </c>
      <c r="AV25" s="26" t="str">
        <f>IF(OR(ISNUMBER(SEARCH('EA Concern'!$G$3,Tabla7[[#This Row],[EA concern]])),ISNUMBER(SEARCH('EA Concern'!$G$4,Tabla7[[#This Row],[EA concern]]))),"X","")</f>
        <v/>
      </c>
      <c r="AW25" s="26" t="str">
        <f>IF(OR(ISNUMBER(SEARCH('EA Concern'!$E$3,Tabla7[[#This Row],[EA concern]]))),"X","")</f>
        <v/>
      </c>
      <c r="AX25" s="26" t="str">
        <f>IF(OR(ISNUMBER(SEARCH('EA Concern'!$H$3,Tabla7[[#This Row],[EA concern]])),ISNUMBER(SEARCH('EA Concern'!$H$4,Tabla7[[#This Row],[EA concern]]))),"X","")</f>
        <v/>
      </c>
      <c r="AY25" s="26" t="str">
        <f>IF(OR(ISNUMBER(SEARCH('EA Concern'!$F$3,Tabla7[[#This Row],[EA concern]])),ISNUMBER(SEARCH('EA Concern'!$F$4,Tabla7[[#This Row],[EA concern]]))),"X","")</f>
        <v/>
      </c>
      <c r="AZ25" s="26" t="str">
        <f>IF(OR(ISNUMBER(SEARCH('EA Concern'!$D$3,Tabla7[[#This Row],[EA concern]])),ISNUMBER(SEARCH('EA Concern'!$D$4,Tabla7[[#This Row],[EA concern]]))),"X","")</f>
        <v/>
      </c>
      <c r="BA25" s="23" t="str">
        <f>IF(OR(ISNUMBER(SEARCH('EA Framework'!$J$3,Tabla7[[#This Row],[Framework/Methodology]])),ISNUMBER(SEARCH('EA Framework'!$J$4,Tabla7[[#This Row],[Framework/Methodology]]))),"X","")</f>
        <v/>
      </c>
      <c r="BB25" s="18" t="str">
        <f>IF(OR(ISNUMBER(SEARCH('EA Framework'!$I$3,Tabla7[[#This Row],[Framework/Methodology]]))),"X","")</f>
        <v>X</v>
      </c>
      <c r="BC25" s="18" t="str">
        <f>IF(OR(ISNUMBER(SEARCH('EA Framework'!$F$3,Tabla7[[#This Row],[Framework/Methodology]]))),"X","")</f>
        <v/>
      </c>
      <c r="BD25" s="18" t="str">
        <f>IF(OR(ISNUMBER(SEARCH('EA Framework'!$H$3,Tabla7[[#This Row],[Framework/Methodology]]))),"X","")</f>
        <v/>
      </c>
      <c r="BE25" s="18" t="str">
        <f>IF(OR(ISNUMBER(SEARCH('EA Framework'!$E$3,Tabla7[[#This Row],[Framework/Methodology]]))),"X","")</f>
        <v/>
      </c>
      <c r="BF25" s="18" t="str">
        <f>IF(OR(ISNUMBER(SEARCH('EA Framework'!$G$3,Tabla7[[#This Row],[Framework/Methodology]]))),"X","")</f>
        <v/>
      </c>
      <c r="BG25" s="18" t="str">
        <f>IF(OR(ISNUMBER(SEARCH('EA Framework'!$D$3,Tabla7[[#This Row],[Framework/Methodology]]))),"X","")</f>
        <v/>
      </c>
      <c r="BH25" s="22" t="str">
        <f>IF(OR(ISNUMBER(SEARCH('Modelling Language'!$M$3,Tabla7[[#This Row],[Language]])),ISNUMBER(SEARCH('Modelling Language'!$M$4,Tabla7[[#This Row],[Language]])),ISNUMBER(SEARCH('Modelling Language'!$M$5,Tabla7[[#This Row],[Language]]))),"X","")</f>
        <v>X</v>
      </c>
      <c r="BI25" s="18" t="str">
        <f>IF(OR(ISNUMBER(SEARCH('Modelling Language'!$J$3,Tabla7[[#This Row],[Language]])),ISNUMBER(SEARCH('Modelling Language'!$J$4,Tabla7[[#This Row],[Language]]))),"X","")</f>
        <v/>
      </c>
      <c r="BJ25" s="18" t="str">
        <f>IF(OR(ISNUMBER(SEARCH('Modelling Language'!$L$3,Tabla7[[#This Row],[Language]])),ISNUMBER(SEARCH('Modelling Language'!$L$4,Tabla7[[#This Row],[Language]]))),"X","")</f>
        <v/>
      </c>
      <c r="BK25" s="18" t="str">
        <f>IF(OR(ISNUMBER(SEARCH('Modelling Language'!$K$3,Tabla7[[#This Row],[Language]])),ISNUMBER(SEARCH('Modelling Language'!$K$4,Tabla7[[#This Row],[Language]]))),"X","")</f>
        <v/>
      </c>
      <c r="BL25" s="18" t="str">
        <f>IF(OR(ISNUMBER(SEARCH('Modelling Language'!$D$3,Tabla7[[#This Row],[Language]]))),"X","")</f>
        <v/>
      </c>
      <c r="BM25" s="18" t="str">
        <f>IF(OR(ISNUMBER(SEARCH('Modelling Language'!$I$3,Tabla7[[#This Row],[Language]]))),"X","")</f>
        <v/>
      </c>
      <c r="BN25" s="18" t="str">
        <f>IF(OR(ISNUMBER(SEARCH('Modelling Language'!$G$3,Tabla7[[#This Row],[Language]]))),"X","")</f>
        <v/>
      </c>
      <c r="BO25" s="18" t="str">
        <f>IF(OR(ISNUMBER(SEARCH('Modelling Language'!$F$3,Tabla7[[#This Row],[Language]]))),"X","")</f>
        <v/>
      </c>
      <c r="BP25" s="18" t="str">
        <f>IF(OR(ISNUMBER(SEARCH('Modelling Language'!$E$3,Tabla7[[#This Row],[Language]]))),"X","")</f>
        <v/>
      </c>
      <c r="BQ25" s="18" t="str">
        <f>IF(OR(ISNUMBER(SEARCH('Modelling Language'!$H$3,Tabla7[[#This Row],[Language]]))),"X","")</f>
        <v/>
      </c>
      <c r="BR25" s="18"/>
      <c r="BS25" s="22" t="str">
        <f>IF(OR(ISNUMBER(SEARCH(applicability!$D$3,Tabla7[[#This Row],[Application]])),ISNUMBER(SEARCH(applicability!$D$4,Tabla7[[#This Row],[Application]]))),"X","")</f>
        <v/>
      </c>
      <c r="BT25" s="18" t="str">
        <f>IF(OR(ISNUMBER(SEARCH(applicability!$E$3,Tabla7[[#This Row],[Application]]))),"X","")</f>
        <v>X</v>
      </c>
      <c r="BU25" s="18" t="str">
        <f>IF(OR(ISNUMBER(SEARCH(applicability!$F$3,Tabla7[[#This Row],[Application]])),ISNUMBER(SEARCH(applicability!$F$4,Tabla7[[#This Row],[Application]]))),"X","")</f>
        <v/>
      </c>
      <c r="BV25" s="18" t="str">
        <f>IF(OR(ISNUMBER(SEARCH(applicability!$G$3,Tabla7[[#This Row],[Application]]))),"X","")</f>
        <v/>
      </c>
      <c r="BW25" s="19" t="str">
        <f>IF(OR(ISNUMBER(SEARCH(applicability!$H$3,Tabla7[[#This Row],[Application]]))),"X","")</f>
        <v/>
      </c>
    </row>
    <row r="26" spans="1:75" x14ac:dyDescent="0.25">
      <c r="A26" s="13">
        <v>331</v>
      </c>
      <c r="B26" s="14">
        <v>27</v>
      </c>
      <c r="C26" s="14" t="s">
        <v>2560</v>
      </c>
      <c r="D26" s="14" t="s">
        <v>4491</v>
      </c>
      <c r="E26" s="15">
        <v>2015</v>
      </c>
      <c r="F26" s="15" t="s">
        <v>5295</v>
      </c>
      <c r="G26" s="15" t="s">
        <v>5295</v>
      </c>
      <c r="H26" s="15" t="s">
        <v>5296</v>
      </c>
      <c r="I26" s="15" t="s">
        <v>5296</v>
      </c>
      <c r="J26" s="14" t="s">
        <v>0</v>
      </c>
      <c r="K26" s="14" t="s">
        <v>4494</v>
      </c>
      <c r="L26" s="14" t="s">
        <v>2562</v>
      </c>
      <c r="M26" s="14">
        <v>5</v>
      </c>
      <c r="N26" s="14">
        <v>1</v>
      </c>
      <c r="O26" s="14" t="s">
        <v>5040</v>
      </c>
      <c r="P26" s="14" t="s">
        <v>5015</v>
      </c>
      <c r="Q26" s="14" t="s">
        <v>4999</v>
      </c>
      <c r="R26" s="14" t="s">
        <v>4974</v>
      </c>
      <c r="S26" s="14" t="s">
        <v>658</v>
      </c>
      <c r="T26" s="14" t="s">
        <v>5003</v>
      </c>
      <c r="U26" s="14" t="s">
        <v>5041</v>
      </c>
      <c r="V26" s="14" t="s">
        <v>5042</v>
      </c>
      <c r="W26" s="14">
        <v>3</v>
      </c>
      <c r="X26" s="14">
        <v>1</v>
      </c>
      <c r="Y26" s="14">
        <v>2</v>
      </c>
      <c r="Z26" s="14">
        <v>3</v>
      </c>
      <c r="AA26"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1</v>
      </c>
      <c r="AB26" s="14">
        <v>1</v>
      </c>
      <c r="AC26" s="43" t="s">
        <v>5221</v>
      </c>
      <c r="AD26" s="22" t="str">
        <f>IF(OR(ISNUMBER(SEARCH('Source Artifacts'!$F$3,Tabla7[[#This Row],[Source IS artifacts]])),ISNUMBER(SEARCH('Source Artifacts'!$F$4,Tabla7[[#This Row],[Source IS artifacts]]))),"X","")</f>
        <v/>
      </c>
      <c r="AE26" s="19" t="str">
        <f>IF(OR(ISNUMBER(SEARCH('Source Artifacts'!$L$3,Tabla7[[#This Row],[Source IS artifacts]])),ISNUMBER(SEARCH('Source Artifacts'!$L$4,Tabla7[[#This Row],[Source IS artifacts]])),ISNUMBER(SEARCH('Source Artifacts'!$L$5,Tabla7[[#This Row],[Source IS artifacts]]))),"X","")</f>
        <v/>
      </c>
      <c r="AF26" s="19" t="str">
        <f>IF(OR(ISNUMBER(SEARCH('Source Artifacts'!$I$3,Tabla7[[#This Row],[Source IS artifacts]])),ISNUMBER(SEARCH('Source Artifacts'!$I$4,Tabla7[[#This Row],[Source IS artifacts]])),ISNUMBER(SEARCH('Source Artifacts'!$I$5,Tabla7[[#This Row],[Source IS artifacts]]))),"X","")</f>
        <v/>
      </c>
      <c r="AG26"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26"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26"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26"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X</v>
      </c>
      <c r="AK26"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26" s="19" t="str">
        <f>IF(OR(ISNUMBER(SEARCH('Source Artifacts'!$D$3,Tabla7[[#This Row],[Source IS artifacts]]))),"X","")</f>
        <v/>
      </c>
      <c r="AM26"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26"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X</v>
      </c>
      <c r="AO26" s="18" t="str">
        <f>IF(OR(ISNUMBER(SEARCH(Techniques!$H$3,Tabla7[[#This Row],[Mining techniques]])),ISNUMBER(SEARCH(Techniques!$H$4,Tabla7[[#This Row],[Mining techniques]]))),"X","")</f>
        <v/>
      </c>
      <c r="AP26" s="18" t="str">
        <f>IF(OR(ISNUMBER(SEARCH(Techniques!$J$3,Tabla7[[#This Row],[Mining techniques]]))),"X","")</f>
        <v/>
      </c>
      <c r="AQ26" s="19" t="str">
        <f>IF(OR(ISNUMBER(SEARCH(Techniques!$G$3,Tabla7[[#This Row],[Mining techniques]])),ISNUMBER(SEARCH(Techniques!$G$4,Tabla7[[#This Row],[Mining techniques]]))),"X","")</f>
        <v/>
      </c>
      <c r="AR26" s="19" t="str">
        <f>IF(OR(ISNUMBER(SEARCH(Techniques!$F$3,Tabla7[[#This Row],[Mining techniques]])),ISNUMBER(SEARCH(Techniques!$F$4,Tabla7[[#This Row],[Mining techniques]]))),"X","")</f>
        <v/>
      </c>
      <c r="AS26" s="18" t="str">
        <f>IF(OR(ISNUMBER(SEARCH(Techniques!$D$3,Tabla7[[#This Row],[Mining techniques]])),ISNUMBER(SEARCH(Techniques!$D$4,Tabla7[[#This Row],[Mining techniques]]))),"X","")</f>
        <v/>
      </c>
      <c r="AT26" s="18" t="str">
        <f>IF(OR(ISNUMBER(SEARCH(Techniques!$E$3,Tabla7[[#This Row],[Mining techniques]])),ISNUMBER(SEARCH(Techniques!$E$4,Tabla7[[#This Row],[Mining techniques]]))),"X","")</f>
        <v/>
      </c>
      <c r="AU26" s="27" t="str">
        <f>IF(OR(ISNUMBER(SEARCH('EA Concern'!$I$3,Tabla7[[#This Row],[EA concern]]))),"X","")</f>
        <v/>
      </c>
      <c r="AV26" s="26" t="str">
        <f>IF(OR(ISNUMBER(SEARCH('EA Concern'!$G$3,Tabla7[[#This Row],[EA concern]])),ISNUMBER(SEARCH('EA Concern'!$G$4,Tabla7[[#This Row],[EA concern]]))),"X","")</f>
        <v>X</v>
      </c>
      <c r="AW26" s="26" t="str">
        <f>IF(OR(ISNUMBER(SEARCH('EA Concern'!$E$3,Tabla7[[#This Row],[EA concern]]))),"X","")</f>
        <v/>
      </c>
      <c r="AX26" s="26" t="str">
        <f>IF(OR(ISNUMBER(SEARCH('EA Concern'!$H$3,Tabla7[[#This Row],[EA concern]])),ISNUMBER(SEARCH('EA Concern'!$H$4,Tabla7[[#This Row],[EA concern]]))),"X","")</f>
        <v/>
      </c>
      <c r="AY26" s="26" t="str">
        <f>IF(OR(ISNUMBER(SEARCH('EA Concern'!$F$3,Tabla7[[#This Row],[EA concern]])),ISNUMBER(SEARCH('EA Concern'!$F$4,Tabla7[[#This Row],[EA concern]]))),"X","")</f>
        <v/>
      </c>
      <c r="AZ26" s="26" t="str">
        <f>IF(OR(ISNUMBER(SEARCH('EA Concern'!$D$3,Tabla7[[#This Row],[EA concern]])),ISNUMBER(SEARCH('EA Concern'!$D$4,Tabla7[[#This Row],[EA concern]]))),"X","")</f>
        <v/>
      </c>
      <c r="BA26" s="23" t="str">
        <f>IF(OR(ISNUMBER(SEARCH('EA Framework'!$J$3,Tabla7[[#This Row],[Framework/Methodology]])),ISNUMBER(SEARCH('EA Framework'!$J$4,Tabla7[[#This Row],[Framework/Methodology]]))),"X","")</f>
        <v>X</v>
      </c>
      <c r="BB26" s="18" t="str">
        <f>IF(OR(ISNUMBER(SEARCH('EA Framework'!$I$3,Tabla7[[#This Row],[Framework/Methodology]]))),"X","")</f>
        <v/>
      </c>
      <c r="BC26" s="18" t="str">
        <f>IF(OR(ISNUMBER(SEARCH('EA Framework'!$F$3,Tabla7[[#This Row],[Framework/Methodology]]))),"X","")</f>
        <v/>
      </c>
      <c r="BD26" s="18" t="str">
        <f>IF(OR(ISNUMBER(SEARCH('EA Framework'!$H$3,Tabla7[[#This Row],[Framework/Methodology]]))),"X","")</f>
        <v/>
      </c>
      <c r="BE26" s="18" t="str">
        <f>IF(OR(ISNUMBER(SEARCH('EA Framework'!$E$3,Tabla7[[#This Row],[Framework/Methodology]]))),"X","")</f>
        <v/>
      </c>
      <c r="BF26" s="18" t="str">
        <f>IF(OR(ISNUMBER(SEARCH('EA Framework'!$G$3,Tabla7[[#This Row],[Framework/Methodology]]))),"X","")</f>
        <v/>
      </c>
      <c r="BG26" s="18" t="str">
        <f>IF(OR(ISNUMBER(SEARCH('EA Framework'!$D$3,Tabla7[[#This Row],[Framework/Methodology]]))),"X","")</f>
        <v/>
      </c>
      <c r="BH26" s="22" t="str">
        <f>IF(OR(ISNUMBER(SEARCH('Modelling Language'!$M$3,Tabla7[[#This Row],[Language]])),ISNUMBER(SEARCH('Modelling Language'!$M$4,Tabla7[[#This Row],[Language]])),ISNUMBER(SEARCH('Modelling Language'!$M$5,Tabla7[[#This Row],[Language]]))),"X","")</f>
        <v/>
      </c>
      <c r="BI26" s="18" t="str">
        <f>IF(OR(ISNUMBER(SEARCH('Modelling Language'!$J$3,Tabla7[[#This Row],[Language]])),ISNUMBER(SEARCH('Modelling Language'!$J$4,Tabla7[[#This Row],[Language]]))),"X","")</f>
        <v/>
      </c>
      <c r="BJ26" s="18" t="str">
        <f>IF(OR(ISNUMBER(SEARCH('Modelling Language'!$L$3,Tabla7[[#This Row],[Language]])),ISNUMBER(SEARCH('Modelling Language'!$L$4,Tabla7[[#This Row],[Language]]))),"X","")</f>
        <v/>
      </c>
      <c r="BK26" s="18" t="str">
        <f>IF(OR(ISNUMBER(SEARCH('Modelling Language'!$K$3,Tabla7[[#This Row],[Language]])),ISNUMBER(SEARCH('Modelling Language'!$K$4,Tabla7[[#This Row],[Language]]))),"X","")</f>
        <v/>
      </c>
      <c r="BL26" s="18" t="str">
        <f>IF(OR(ISNUMBER(SEARCH('Modelling Language'!$D$3,Tabla7[[#This Row],[Language]]))),"X","")</f>
        <v/>
      </c>
      <c r="BM26" s="18" t="str">
        <f>IF(OR(ISNUMBER(SEARCH('Modelling Language'!$I$3,Tabla7[[#This Row],[Language]]))),"X","")</f>
        <v/>
      </c>
      <c r="BN26" s="18" t="str">
        <f>IF(OR(ISNUMBER(SEARCH('Modelling Language'!$G$3,Tabla7[[#This Row],[Language]]))),"X","")</f>
        <v>X</v>
      </c>
      <c r="BO26" s="18" t="str">
        <f>IF(OR(ISNUMBER(SEARCH('Modelling Language'!$F$3,Tabla7[[#This Row],[Language]]))),"X","")</f>
        <v/>
      </c>
      <c r="BP26" s="18" t="str">
        <f>IF(OR(ISNUMBER(SEARCH('Modelling Language'!$E$3,Tabla7[[#This Row],[Language]]))),"X","")</f>
        <v/>
      </c>
      <c r="BQ26" s="18" t="str">
        <f>IF(OR(ISNUMBER(SEARCH('Modelling Language'!$H$3,Tabla7[[#This Row],[Language]]))),"X","")</f>
        <v/>
      </c>
      <c r="BR26" s="18"/>
      <c r="BS26" s="22" t="str">
        <f>IF(OR(ISNUMBER(SEARCH(applicability!$D$3,Tabla7[[#This Row],[Application]])),ISNUMBER(SEARCH(applicability!$D$4,Tabla7[[#This Row],[Application]]))),"X","")</f>
        <v>X</v>
      </c>
      <c r="BT26" s="18" t="str">
        <f>IF(OR(ISNUMBER(SEARCH(applicability!$E$3,Tabla7[[#This Row],[Application]]))),"X","")</f>
        <v/>
      </c>
      <c r="BU26" s="18" t="str">
        <f>IF(OR(ISNUMBER(SEARCH(applicability!$F$3,Tabla7[[#This Row],[Application]])),ISNUMBER(SEARCH(applicability!$F$4,Tabla7[[#This Row],[Application]]))),"X","")</f>
        <v/>
      </c>
      <c r="BV26" s="18" t="str">
        <f>IF(OR(ISNUMBER(SEARCH(applicability!$G$3,Tabla7[[#This Row],[Application]]))),"X","")</f>
        <v/>
      </c>
      <c r="BW26" s="19" t="str">
        <f>IF(OR(ISNUMBER(SEARCH(applicability!$H$3,Tabla7[[#This Row],[Application]]))),"X","")</f>
        <v/>
      </c>
    </row>
    <row r="27" spans="1:75" x14ac:dyDescent="0.25">
      <c r="A27" s="13">
        <v>396</v>
      </c>
      <c r="B27" s="14">
        <v>30</v>
      </c>
      <c r="C27" s="14" t="s">
        <v>615</v>
      </c>
      <c r="D27" s="14" t="s">
        <v>614</v>
      </c>
      <c r="E27" s="15">
        <v>2015</v>
      </c>
      <c r="F27" s="15" t="s">
        <v>5295</v>
      </c>
      <c r="G27" s="15" t="s">
        <v>5301</v>
      </c>
      <c r="H27" s="15" t="s">
        <v>5296</v>
      </c>
      <c r="I27" s="15" t="s">
        <v>5296</v>
      </c>
      <c r="J27" s="14" t="s">
        <v>244</v>
      </c>
      <c r="K27" s="14" t="s">
        <v>4527</v>
      </c>
      <c r="L27" s="14" t="s">
        <v>618</v>
      </c>
      <c r="M27" s="14">
        <v>7</v>
      </c>
      <c r="N27" s="14">
        <v>1</v>
      </c>
      <c r="O27" s="14" t="s">
        <v>5048</v>
      </c>
      <c r="P27" s="14" t="s">
        <v>5050</v>
      </c>
      <c r="Q27" s="14" t="s">
        <v>5049</v>
      </c>
      <c r="R27" s="14" t="s">
        <v>4974</v>
      </c>
      <c r="S27" s="14" t="s">
        <v>658</v>
      </c>
      <c r="T27" s="14" t="s">
        <v>834</v>
      </c>
      <c r="U27" s="14" t="s">
        <v>726</v>
      </c>
      <c r="V27" s="14"/>
      <c r="W27" s="14">
        <v>4</v>
      </c>
      <c r="X27" s="14">
        <v>3</v>
      </c>
      <c r="Y27" s="14">
        <v>2</v>
      </c>
      <c r="Z27" s="14">
        <v>4</v>
      </c>
      <c r="AA27"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3</v>
      </c>
      <c r="AB27" s="14">
        <v>1</v>
      </c>
      <c r="AC27" s="43" t="s">
        <v>5221</v>
      </c>
      <c r="AD27" s="22" t="str">
        <f>IF(OR(ISNUMBER(SEARCH('Source Artifacts'!$F$3,Tabla7[[#This Row],[Source IS artifacts]])),ISNUMBER(SEARCH('Source Artifacts'!$F$4,Tabla7[[#This Row],[Source IS artifacts]]))),"X","")</f>
        <v/>
      </c>
      <c r="AE27" s="19" t="str">
        <f>IF(OR(ISNUMBER(SEARCH('Source Artifacts'!$L$3,Tabla7[[#This Row],[Source IS artifacts]])),ISNUMBER(SEARCH('Source Artifacts'!$L$4,Tabla7[[#This Row],[Source IS artifacts]])),ISNUMBER(SEARCH('Source Artifacts'!$L$5,Tabla7[[#This Row],[Source IS artifacts]]))),"X","")</f>
        <v/>
      </c>
      <c r="AF27" s="19" t="str">
        <f>IF(OR(ISNUMBER(SEARCH('Source Artifacts'!$I$3,Tabla7[[#This Row],[Source IS artifacts]])),ISNUMBER(SEARCH('Source Artifacts'!$I$4,Tabla7[[#This Row],[Source IS artifacts]])),ISNUMBER(SEARCH('Source Artifacts'!$I$5,Tabla7[[#This Row],[Source IS artifacts]]))),"X","")</f>
        <v/>
      </c>
      <c r="AG27"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27"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27"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X</v>
      </c>
      <c r="AJ27"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27"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X</v>
      </c>
      <c r="AL27" s="19" t="str">
        <f>IF(OR(ISNUMBER(SEARCH('Source Artifacts'!$D$3,Tabla7[[#This Row],[Source IS artifacts]]))),"X","")</f>
        <v/>
      </c>
      <c r="AM27"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27"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X</v>
      </c>
      <c r="AO27" s="18" t="str">
        <f>IF(OR(ISNUMBER(SEARCH(Techniques!$H$3,Tabla7[[#This Row],[Mining techniques]])),ISNUMBER(SEARCH(Techniques!$H$4,Tabla7[[#This Row],[Mining techniques]]))),"X","")</f>
        <v/>
      </c>
      <c r="AP27" s="18" t="str">
        <f>IF(OR(ISNUMBER(SEARCH(Techniques!$J$3,Tabla7[[#This Row],[Mining techniques]]))),"X","")</f>
        <v/>
      </c>
      <c r="AQ27" s="19" t="str">
        <f>IF(OR(ISNUMBER(SEARCH(Techniques!$G$3,Tabla7[[#This Row],[Mining techniques]])),ISNUMBER(SEARCH(Techniques!$G$4,Tabla7[[#This Row],[Mining techniques]]))),"X","")</f>
        <v/>
      </c>
      <c r="AR27" s="19" t="str">
        <f>IF(OR(ISNUMBER(SEARCH(Techniques!$F$3,Tabla7[[#This Row],[Mining techniques]])),ISNUMBER(SEARCH(Techniques!$F$4,Tabla7[[#This Row],[Mining techniques]]))),"X","")</f>
        <v/>
      </c>
      <c r="AS27" s="18" t="str">
        <f>IF(OR(ISNUMBER(SEARCH(Techniques!$D$3,Tabla7[[#This Row],[Mining techniques]])),ISNUMBER(SEARCH(Techniques!$D$4,Tabla7[[#This Row],[Mining techniques]]))),"X","")</f>
        <v/>
      </c>
      <c r="AT27" s="18" t="str">
        <f>IF(OR(ISNUMBER(SEARCH(Techniques!$E$3,Tabla7[[#This Row],[Mining techniques]])),ISNUMBER(SEARCH(Techniques!$E$4,Tabla7[[#This Row],[Mining techniques]]))),"X","")</f>
        <v>X</v>
      </c>
      <c r="AU27" s="27" t="str">
        <f>IF(OR(ISNUMBER(SEARCH('EA Concern'!$I$3,Tabla7[[#This Row],[EA concern]]))),"X","")</f>
        <v/>
      </c>
      <c r="AV27" s="26" t="str">
        <f>IF(OR(ISNUMBER(SEARCH('EA Concern'!$G$3,Tabla7[[#This Row],[EA concern]])),ISNUMBER(SEARCH('EA Concern'!$G$4,Tabla7[[#This Row],[EA concern]]))),"X","")</f>
        <v/>
      </c>
      <c r="AW27" s="26" t="str">
        <f>IF(OR(ISNUMBER(SEARCH('EA Concern'!$E$3,Tabla7[[#This Row],[EA concern]]))),"X","")</f>
        <v/>
      </c>
      <c r="AX27" s="26" t="str">
        <f>IF(OR(ISNUMBER(SEARCH('EA Concern'!$H$3,Tabla7[[#This Row],[EA concern]])),ISNUMBER(SEARCH('EA Concern'!$H$4,Tabla7[[#This Row],[EA concern]]))),"X","")</f>
        <v>X</v>
      </c>
      <c r="AY27" s="26" t="str">
        <f>IF(OR(ISNUMBER(SEARCH('EA Concern'!$F$3,Tabla7[[#This Row],[EA concern]])),ISNUMBER(SEARCH('EA Concern'!$F$4,Tabla7[[#This Row],[EA concern]]))),"X","")</f>
        <v/>
      </c>
      <c r="AZ27" s="26" t="str">
        <f>IF(OR(ISNUMBER(SEARCH('EA Concern'!$D$3,Tabla7[[#This Row],[EA concern]])),ISNUMBER(SEARCH('EA Concern'!$D$4,Tabla7[[#This Row],[EA concern]]))),"X","")</f>
        <v>X</v>
      </c>
      <c r="BA27" s="23" t="str">
        <f>IF(OR(ISNUMBER(SEARCH('EA Framework'!$J$3,Tabla7[[#This Row],[Framework/Methodology]])),ISNUMBER(SEARCH('EA Framework'!$J$4,Tabla7[[#This Row],[Framework/Methodology]]))),"X","")</f>
        <v/>
      </c>
      <c r="BB27" s="18" t="str">
        <f>IF(OR(ISNUMBER(SEARCH('EA Framework'!$I$3,Tabla7[[#This Row],[Framework/Methodology]]))),"X","")</f>
        <v>X</v>
      </c>
      <c r="BC27" s="18" t="str">
        <f>IF(OR(ISNUMBER(SEARCH('EA Framework'!$F$3,Tabla7[[#This Row],[Framework/Methodology]]))),"X","")</f>
        <v/>
      </c>
      <c r="BD27" s="18" t="str">
        <f>IF(OR(ISNUMBER(SEARCH('EA Framework'!$H$3,Tabla7[[#This Row],[Framework/Methodology]]))),"X","")</f>
        <v/>
      </c>
      <c r="BE27" s="18" t="str">
        <f>IF(OR(ISNUMBER(SEARCH('EA Framework'!$E$3,Tabla7[[#This Row],[Framework/Methodology]]))),"X","")</f>
        <v/>
      </c>
      <c r="BF27" s="18" t="str">
        <f>IF(OR(ISNUMBER(SEARCH('EA Framework'!$G$3,Tabla7[[#This Row],[Framework/Methodology]]))),"X","")</f>
        <v/>
      </c>
      <c r="BG27" s="18" t="str">
        <f>IF(OR(ISNUMBER(SEARCH('EA Framework'!$D$3,Tabla7[[#This Row],[Framework/Methodology]]))),"X","")</f>
        <v/>
      </c>
      <c r="BH27" s="22" t="str">
        <f>IF(OR(ISNUMBER(SEARCH('Modelling Language'!$M$3,Tabla7[[#This Row],[Language]])),ISNUMBER(SEARCH('Modelling Language'!$M$4,Tabla7[[#This Row],[Language]])),ISNUMBER(SEARCH('Modelling Language'!$M$5,Tabla7[[#This Row],[Language]]))),"X","")</f>
        <v>X</v>
      </c>
      <c r="BI27" s="18" t="str">
        <f>IF(OR(ISNUMBER(SEARCH('Modelling Language'!$J$3,Tabla7[[#This Row],[Language]])),ISNUMBER(SEARCH('Modelling Language'!$J$4,Tabla7[[#This Row],[Language]]))),"X","")</f>
        <v/>
      </c>
      <c r="BJ27" s="18" t="str">
        <f>IF(OR(ISNUMBER(SEARCH('Modelling Language'!$L$3,Tabla7[[#This Row],[Language]])),ISNUMBER(SEARCH('Modelling Language'!$L$4,Tabla7[[#This Row],[Language]]))),"X","")</f>
        <v/>
      </c>
      <c r="BK27" s="18" t="str">
        <f>IF(OR(ISNUMBER(SEARCH('Modelling Language'!$K$3,Tabla7[[#This Row],[Language]])),ISNUMBER(SEARCH('Modelling Language'!$K$4,Tabla7[[#This Row],[Language]]))),"X","")</f>
        <v/>
      </c>
      <c r="BL27" s="18" t="str">
        <f>IF(OR(ISNUMBER(SEARCH('Modelling Language'!$D$3,Tabla7[[#This Row],[Language]]))),"X","")</f>
        <v/>
      </c>
      <c r="BM27" s="18" t="str">
        <f>IF(OR(ISNUMBER(SEARCH('Modelling Language'!$I$3,Tabla7[[#This Row],[Language]]))),"X","")</f>
        <v/>
      </c>
      <c r="BN27" s="18" t="str">
        <f>IF(OR(ISNUMBER(SEARCH('Modelling Language'!$G$3,Tabla7[[#This Row],[Language]]))),"X","")</f>
        <v/>
      </c>
      <c r="BO27" s="18" t="str">
        <f>IF(OR(ISNUMBER(SEARCH('Modelling Language'!$F$3,Tabla7[[#This Row],[Language]]))),"X","")</f>
        <v/>
      </c>
      <c r="BP27" s="18" t="str">
        <f>IF(OR(ISNUMBER(SEARCH('Modelling Language'!$E$3,Tabla7[[#This Row],[Language]]))),"X","")</f>
        <v/>
      </c>
      <c r="BQ27" s="18" t="str">
        <f>IF(OR(ISNUMBER(SEARCH('Modelling Language'!$H$3,Tabla7[[#This Row],[Language]]))),"X","")</f>
        <v/>
      </c>
      <c r="BR27" s="18"/>
      <c r="BS27" s="22" t="str">
        <f>IF(OR(ISNUMBER(SEARCH(applicability!$D$3,Tabla7[[#This Row],[Application]])),ISNUMBER(SEARCH(applicability!$D$4,Tabla7[[#This Row],[Application]]))),"X","")</f>
        <v/>
      </c>
      <c r="BT27" s="18" t="str">
        <f>IF(OR(ISNUMBER(SEARCH(applicability!$E$3,Tabla7[[#This Row],[Application]]))),"X","")</f>
        <v/>
      </c>
      <c r="BU27" s="18" t="str">
        <f>IF(OR(ISNUMBER(SEARCH(applicability!$F$3,Tabla7[[#This Row],[Application]])),ISNUMBER(SEARCH(applicability!$F$4,Tabla7[[#This Row],[Application]]))),"X","")</f>
        <v/>
      </c>
      <c r="BV27" s="18" t="str">
        <f>IF(OR(ISNUMBER(SEARCH(applicability!$G$3,Tabla7[[#This Row],[Application]]))),"X","")</f>
        <v/>
      </c>
      <c r="BW27" s="19" t="str">
        <f>IF(OR(ISNUMBER(SEARCH(applicability!$H$3,Tabla7[[#This Row],[Application]]))),"X","")</f>
        <v/>
      </c>
    </row>
    <row r="28" spans="1:75" x14ac:dyDescent="0.25">
      <c r="A28" s="13">
        <v>548</v>
      </c>
      <c r="B28" s="14">
        <v>9</v>
      </c>
      <c r="C28" s="14" t="s">
        <v>1516</v>
      </c>
      <c r="D28" s="14" t="s">
        <v>3689</v>
      </c>
      <c r="E28" s="15">
        <v>2014</v>
      </c>
      <c r="F28" s="15" t="s">
        <v>5296</v>
      </c>
      <c r="G28" s="15" t="s">
        <v>5296</v>
      </c>
      <c r="H28" s="15" t="s">
        <v>5296</v>
      </c>
      <c r="I28" s="15" t="s">
        <v>5296</v>
      </c>
      <c r="J28" s="14" t="s">
        <v>0</v>
      </c>
      <c r="K28" s="14" t="s">
        <v>3690</v>
      </c>
      <c r="L28" s="14" t="s">
        <v>1519</v>
      </c>
      <c r="M28" s="14">
        <v>6.5</v>
      </c>
      <c r="N28" s="14">
        <v>1</v>
      </c>
      <c r="O28" s="14" t="s">
        <v>728</v>
      </c>
      <c r="P28" s="14" t="s">
        <v>5062</v>
      </c>
      <c r="Q28" s="14" t="s">
        <v>5277</v>
      </c>
      <c r="R28" s="14" t="s">
        <v>4974</v>
      </c>
      <c r="S28" s="14" t="s">
        <v>658</v>
      </c>
      <c r="T28" s="14" t="s">
        <v>834</v>
      </c>
      <c r="U28" s="14" t="s">
        <v>726</v>
      </c>
      <c r="V28" s="14" t="s">
        <v>5006</v>
      </c>
      <c r="W28" s="14">
        <v>4</v>
      </c>
      <c r="X28" s="14">
        <v>5</v>
      </c>
      <c r="Y28" s="14">
        <v>1</v>
      </c>
      <c r="Z28" s="14">
        <v>3</v>
      </c>
      <c r="AA28"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2</v>
      </c>
      <c r="AB28" s="14">
        <v>1</v>
      </c>
      <c r="AC28" s="43" t="s">
        <v>5221</v>
      </c>
      <c r="AD28" s="22" t="str">
        <f>IF(OR(ISNUMBER(SEARCH('Source Artifacts'!$F$3,Tabla7[[#This Row],[Source IS artifacts]])),ISNUMBER(SEARCH('Source Artifacts'!$F$4,Tabla7[[#This Row],[Source IS artifacts]]))),"X","")</f>
        <v/>
      </c>
      <c r="AE28" s="19" t="str">
        <f>IF(OR(ISNUMBER(SEARCH('Source Artifacts'!$L$3,Tabla7[[#This Row],[Source IS artifacts]])),ISNUMBER(SEARCH('Source Artifacts'!$L$4,Tabla7[[#This Row],[Source IS artifacts]])),ISNUMBER(SEARCH('Source Artifacts'!$L$5,Tabla7[[#This Row],[Source IS artifacts]]))),"X","")</f>
        <v/>
      </c>
      <c r="AF28" s="19" t="str">
        <f>IF(OR(ISNUMBER(SEARCH('Source Artifacts'!$I$3,Tabla7[[#This Row],[Source IS artifacts]])),ISNUMBER(SEARCH('Source Artifacts'!$I$4,Tabla7[[#This Row],[Source IS artifacts]])),ISNUMBER(SEARCH('Source Artifacts'!$I$5,Tabla7[[#This Row],[Source IS artifacts]]))),"X","")</f>
        <v>X</v>
      </c>
      <c r="AG28"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28"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28"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28"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28"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28" s="19" t="str">
        <f>IF(OR(ISNUMBER(SEARCH('Source Artifacts'!$D$3,Tabla7[[#This Row],[Source IS artifacts]]))),"X","")</f>
        <v/>
      </c>
      <c r="AM28"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28"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
      </c>
      <c r="AO28" s="18" t="str">
        <f>IF(OR(ISNUMBER(SEARCH(Techniques!$H$3,Tabla7[[#This Row],[Mining techniques]])),ISNUMBER(SEARCH(Techniques!$H$4,Tabla7[[#This Row],[Mining techniques]]))),"X","")</f>
        <v/>
      </c>
      <c r="AP28" s="18" t="str">
        <f>IF(OR(ISNUMBER(SEARCH(Techniques!$J$3,Tabla7[[#This Row],[Mining techniques]]))),"X","")</f>
        <v/>
      </c>
      <c r="AQ28" s="19" t="str">
        <f>IF(OR(ISNUMBER(SEARCH(Techniques!$G$3,Tabla7[[#This Row],[Mining techniques]])),ISNUMBER(SEARCH(Techniques!$G$4,Tabla7[[#This Row],[Mining techniques]]))),"X","")</f>
        <v>X</v>
      </c>
      <c r="AR28" s="19" t="str">
        <f>IF(OR(ISNUMBER(SEARCH(Techniques!$F$3,Tabla7[[#This Row],[Mining techniques]])),ISNUMBER(SEARCH(Techniques!$F$4,Tabla7[[#This Row],[Mining techniques]]))),"X","")</f>
        <v/>
      </c>
      <c r="AS28" s="18" t="str">
        <f>IF(OR(ISNUMBER(SEARCH(Techniques!$D$3,Tabla7[[#This Row],[Mining techniques]])),ISNUMBER(SEARCH(Techniques!$D$4,Tabla7[[#This Row],[Mining techniques]]))),"X","")</f>
        <v/>
      </c>
      <c r="AT28" s="18" t="str">
        <f>IF(OR(ISNUMBER(SEARCH(Techniques!$E$3,Tabla7[[#This Row],[Mining techniques]])),ISNUMBER(SEARCH(Techniques!$E$4,Tabla7[[#This Row],[Mining techniques]]))),"X","")</f>
        <v/>
      </c>
      <c r="AU28" s="27" t="str">
        <f>IF(OR(ISNUMBER(SEARCH('EA Concern'!$I$3,Tabla7[[#This Row],[EA concern]]))),"X","")</f>
        <v>X</v>
      </c>
      <c r="AV28" s="26" t="str">
        <f>IF(OR(ISNUMBER(SEARCH('EA Concern'!$G$3,Tabla7[[#This Row],[EA concern]])),ISNUMBER(SEARCH('EA Concern'!$G$4,Tabla7[[#This Row],[EA concern]]))),"X","")</f>
        <v/>
      </c>
      <c r="AW28" s="26" t="str">
        <f>IF(OR(ISNUMBER(SEARCH('EA Concern'!$E$3,Tabla7[[#This Row],[EA concern]]))),"X","")</f>
        <v/>
      </c>
      <c r="AX28" s="26" t="str">
        <f>IF(OR(ISNUMBER(SEARCH('EA Concern'!$H$3,Tabla7[[#This Row],[EA concern]])),ISNUMBER(SEARCH('EA Concern'!$H$4,Tabla7[[#This Row],[EA concern]]))),"X","")</f>
        <v/>
      </c>
      <c r="AY28" s="26" t="str">
        <f>IF(OR(ISNUMBER(SEARCH('EA Concern'!$F$3,Tabla7[[#This Row],[EA concern]])),ISNUMBER(SEARCH('EA Concern'!$F$4,Tabla7[[#This Row],[EA concern]]))),"X","")</f>
        <v/>
      </c>
      <c r="AZ28" s="26" t="str">
        <f>IF(OR(ISNUMBER(SEARCH('EA Concern'!$D$3,Tabla7[[#This Row],[EA concern]])),ISNUMBER(SEARCH('EA Concern'!$D$4,Tabla7[[#This Row],[EA concern]]))),"X","")</f>
        <v/>
      </c>
      <c r="BA28" s="23" t="str">
        <f>IF(OR(ISNUMBER(SEARCH('EA Framework'!$J$3,Tabla7[[#This Row],[Framework/Methodology]])),ISNUMBER(SEARCH('EA Framework'!$J$4,Tabla7[[#This Row],[Framework/Methodology]]))),"X","")</f>
        <v/>
      </c>
      <c r="BB28" s="18" t="str">
        <f>IF(OR(ISNUMBER(SEARCH('EA Framework'!$I$3,Tabla7[[#This Row],[Framework/Methodology]]))),"X","")</f>
        <v>X</v>
      </c>
      <c r="BC28" s="18" t="str">
        <f>IF(OR(ISNUMBER(SEARCH('EA Framework'!$F$3,Tabla7[[#This Row],[Framework/Methodology]]))),"X","")</f>
        <v/>
      </c>
      <c r="BD28" s="18" t="str">
        <f>IF(OR(ISNUMBER(SEARCH('EA Framework'!$H$3,Tabla7[[#This Row],[Framework/Methodology]]))),"X","")</f>
        <v/>
      </c>
      <c r="BE28" s="18" t="str">
        <f>IF(OR(ISNUMBER(SEARCH('EA Framework'!$E$3,Tabla7[[#This Row],[Framework/Methodology]]))),"X","")</f>
        <v/>
      </c>
      <c r="BF28" s="18" t="str">
        <f>IF(OR(ISNUMBER(SEARCH('EA Framework'!$G$3,Tabla7[[#This Row],[Framework/Methodology]]))),"X","")</f>
        <v/>
      </c>
      <c r="BG28" s="18" t="str">
        <f>IF(OR(ISNUMBER(SEARCH('EA Framework'!$D$3,Tabla7[[#This Row],[Framework/Methodology]]))),"X","")</f>
        <v/>
      </c>
      <c r="BH28" s="22" t="str">
        <f>IF(OR(ISNUMBER(SEARCH('Modelling Language'!$M$3,Tabla7[[#This Row],[Language]])),ISNUMBER(SEARCH('Modelling Language'!$M$4,Tabla7[[#This Row],[Language]])),ISNUMBER(SEARCH('Modelling Language'!$M$5,Tabla7[[#This Row],[Language]]))),"X","")</f>
        <v>X</v>
      </c>
      <c r="BI28" s="18" t="str">
        <f>IF(OR(ISNUMBER(SEARCH('Modelling Language'!$J$3,Tabla7[[#This Row],[Language]])),ISNUMBER(SEARCH('Modelling Language'!$J$4,Tabla7[[#This Row],[Language]]))),"X","")</f>
        <v/>
      </c>
      <c r="BJ28" s="18" t="str">
        <f>IF(OR(ISNUMBER(SEARCH('Modelling Language'!$L$3,Tabla7[[#This Row],[Language]])),ISNUMBER(SEARCH('Modelling Language'!$L$4,Tabla7[[#This Row],[Language]]))),"X","")</f>
        <v/>
      </c>
      <c r="BK28" s="18" t="str">
        <f>IF(OR(ISNUMBER(SEARCH('Modelling Language'!$K$3,Tabla7[[#This Row],[Language]])),ISNUMBER(SEARCH('Modelling Language'!$K$4,Tabla7[[#This Row],[Language]]))),"X","")</f>
        <v/>
      </c>
      <c r="BL28" s="18" t="str">
        <f>IF(OR(ISNUMBER(SEARCH('Modelling Language'!$D$3,Tabla7[[#This Row],[Language]]))),"X","")</f>
        <v/>
      </c>
      <c r="BM28" s="18" t="str">
        <f>IF(OR(ISNUMBER(SEARCH('Modelling Language'!$I$3,Tabla7[[#This Row],[Language]]))),"X","")</f>
        <v/>
      </c>
      <c r="BN28" s="18" t="str">
        <f>IF(OR(ISNUMBER(SEARCH('Modelling Language'!$G$3,Tabla7[[#This Row],[Language]]))),"X","")</f>
        <v/>
      </c>
      <c r="BO28" s="18" t="str">
        <f>IF(OR(ISNUMBER(SEARCH('Modelling Language'!$F$3,Tabla7[[#This Row],[Language]]))),"X","")</f>
        <v/>
      </c>
      <c r="BP28" s="18" t="str">
        <f>IF(OR(ISNUMBER(SEARCH('Modelling Language'!$E$3,Tabla7[[#This Row],[Language]]))),"X","")</f>
        <v/>
      </c>
      <c r="BQ28" s="18" t="str">
        <f>IF(OR(ISNUMBER(SEARCH('Modelling Language'!$H$3,Tabla7[[#This Row],[Language]]))),"X","")</f>
        <v/>
      </c>
      <c r="BR28" s="18"/>
      <c r="BS28" s="22" t="str">
        <f>IF(OR(ISNUMBER(SEARCH(applicability!$D$3,Tabla7[[#This Row],[Application]])),ISNUMBER(SEARCH(applicability!$D$4,Tabla7[[#This Row],[Application]]))),"X","")</f>
        <v>X</v>
      </c>
      <c r="BT28" s="18" t="str">
        <f>IF(OR(ISNUMBER(SEARCH(applicability!$E$3,Tabla7[[#This Row],[Application]]))),"X","")</f>
        <v/>
      </c>
      <c r="BU28" s="18" t="str">
        <f>IF(OR(ISNUMBER(SEARCH(applicability!$F$3,Tabla7[[#This Row],[Application]])),ISNUMBER(SEARCH(applicability!$F$4,Tabla7[[#This Row],[Application]]))),"X","")</f>
        <v/>
      </c>
      <c r="BV28" s="18" t="str">
        <f>IF(OR(ISNUMBER(SEARCH(applicability!$G$3,Tabla7[[#This Row],[Application]]))),"X","")</f>
        <v/>
      </c>
      <c r="BW28" s="19" t="str">
        <f>IF(OR(ISNUMBER(SEARCH(applicability!$H$3,Tabla7[[#This Row],[Application]]))),"X","")</f>
        <v/>
      </c>
    </row>
    <row r="29" spans="1:75" x14ac:dyDescent="0.25">
      <c r="A29" s="13">
        <v>513</v>
      </c>
      <c r="B29" s="14">
        <v>21</v>
      </c>
      <c r="C29" s="14" t="s">
        <v>2207</v>
      </c>
      <c r="D29" s="14" t="s">
        <v>4217</v>
      </c>
      <c r="E29" s="15">
        <v>2013</v>
      </c>
      <c r="F29" s="15" t="s">
        <v>5296</v>
      </c>
      <c r="G29" s="15" t="s">
        <v>5296</v>
      </c>
      <c r="H29" s="15">
        <v>1.3859999999999999</v>
      </c>
      <c r="I29" s="15">
        <v>2</v>
      </c>
      <c r="J29" s="14" t="s">
        <v>116</v>
      </c>
      <c r="K29" s="14" t="s">
        <v>1</v>
      </c>
      <c r="L29" s="14" t="s">
        <v>2209</v>
      </c>
      <c r="M29" s="14">
        <v>5</v>
      </c>
      <c r="N29" s="14">
        <v>1</v>
      </c>
      <c r="O29" s="14" t="s">
        <v>728</v>
      </c>
      <c r="P29" s="14" t="s">
        <v>731</v>
      </c>
      <c r="Q29" s="14" t="s">
        <v>2135</v>
      </c>
      <c r="R29" s="14" t="s">
        <v>4974</v>
      </c>
      <c r="S29" s="14" t="s">
        <v>116</v>
      </c>
      <c r="T29" s="14" t="s">
        <v>5018</v>
      </c>
      <c r="U29" s="14" t="s">
        <v>5017</v>
      </c>
      <c r="V29" s="14" t="s">
        <v>4987</v>
      </c>
      <c r="W29" s="14">
        <v>4</v>
      </c>
      <c r="X29" s="14">
        <v>4</v>
      </c>
      <c r="Y29" s="14">
        <v>2</v>
      </c>
      <c r="Z29" s="14">
        <v>4</v>
      </c>
      <c r="AA29"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4</v>
      </c>
      <c r="AB29" s="14">
        <v>1</v>
      </c>
      <c r="AC29" s="43" t="s">
        <v>5221</v>
      </c>
      <c r="AD29" s="22" t="str">
        <f>IF(OR(ISNUMBER(SEARCH('Source Artifacts'!$F$3,Tabla7[[#This Row],[Source IS artifacts]])),ISNUMBER(SEARCH('Source Artifacts'!$F$4,Tabla7[[#This Row],[Source IS artifacts]]))),"X","")</f>
        <v/>
      </c>
      <c r="AE29" s="19" t="str">
        <f>IF(OR(ISNUMBER(SEARCH('Source Artifacts'!$L$3,Tabla7[[#This Row],[Source IS artifacts]])),ISNUMBER(SEARCH('Source Artifacts'!$L$4,Tabla7[[#This Row],[Source IS artifacts]])),ISNUMBER(SEARCH('Source Artifacts'!$L$5,Tabla7[[#This Row],[Source IS artifacts]]))),"X","")</f>
        <v/>
      </c>
      <c r="AF29" s="19" t="str">
        <f>IF(OR(ISNUMBER(SEARCH('Source Artifacts'!$I$3,Tabla7[[#This Row],[Source IS artifacts]])),ISNUMBER(SEARCH('Source Artifacts'!$I$4,Tabla7[[#This Row],[Source IS artifacts]])),ISNUMBER(SEARCH('Source Artifacts'!$I$5,Tabla7[[#This Row],[Source IS artifacts]]))),"X","")</f>
        <v>X</v>
      </c>
      <c r="AG29"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29"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29"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29"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29"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29" s="19" t="str">
        <f>IF(OR(ISNUMBER(SEARCH('Source Artifacts'!$D$3,Tabla7[[#This Row],[Source IS artifacts]]))),"X","")</f>
        <v/>
      </c>
      <c r="AM29"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29"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
      </c>
      <c r="AO29" s="18" t="str">
        <f>IF(OR(ISNUMBER(SEARCH(Techniques!$H$3,Tabla7[[#This Row],[Mining techniques]])),ISNUMBER(SEARCH(Techniques!$H$4,Tabla7[[#This Row],[Mining techniques]]))),"X","")</f>
        <v/>
      </c>
      <c r="AP29" s="18" t="str">
        <f>IF(OR(ISNUMBER(SEARCH(Techniques!$J$3,Tabla7[[#This Row],[Mining techniques]]))),"X","")</f>
        <v>X</v>
      </c>
      <c r="AQ29" s="19" t="str">
        <f>IF(OR(ISNUMBER(SEARCH(Techniques!$G$3,Tabla7[[#This Row],[Mining techniques]])),ISNUMBER(SEARCH(Techniques!$G$4,Tabla7[[#This Row],[Mining techniques]]))),"X","")</f>
        <v/>
      </c>
      <c r="AR29" s="19" t="str">
        <f>IF(OR(ISNUMBER(SEARCH(Techniques!$F$3,Tabla7[[#This Row],[Mining techniques]])),ISNUMBER(SEARCH(Techniques!$F$4,Tabla7[[#This Row],[Mining techniques]]))),"X","")</f>
        <v/>
      </c>
      <c r="AS29" s="18" t="str">
        <f>IF(OR(ISNUMBER(SEARCH(Techniques!$D$3,Tabla7[[#This Row],[Mining techniques]])),ISNUMBER(SEARCH(Techniques!$D$4,Tabla7[[#This Row],[Mining techniques]]))),"X","")</f>
        <v/>
      </c>
      <c r="AT29" s="18" t="str">
        <f>IF(OR(ISNUMBER(SEARCH(Techniques!$E$3,Tabla7[[#This Row],[Mining techniques]])),ISNUMBER(SEARCH(Techniques!$E$4,Tabla7[[#This Row],[Mining techniques]]))),"X","")</f>
        <v/>
      </c>
      <c r="AU29" s="27" t="str">
        <f>IF(OR(ISNUMBER(SEARCH('EA Concern'!$I$3,Tabla7[[#This Row],[EA concern]]))),"X","")</f>
        <v/>
      </c>
      <c r="AV29" s="26" t="str">
        <f>IF(OR(ISNUMBER(SEARCH('EA Concern'!$G$3,Tabla7[[#This Row],[EA concern]])),ISNUMBER(SEARCH('EA Concern'!$G$4,Tabla7[[#This Row],[EA concern]]))),"X","")</f>
        <v/>
      </c>
      <c r="AW29" s="26" t="str">
        <f>IF(OR(ISNUMBER(SEARCH('EA Concern'!$E$3,Tabla7[[#This Row],[EA concern]]))),"X","")</f>
        <v>X</v>
      </c>
      <c r="AX29" s="26" t="str">
        <f>IF(OR(ISNUMBER(SEARCH('EA Concern'!$H$3,Tabla7[[#This Row],[EA concern]])),ISNUMBER(SEARCH('EA Concern'!$H$4,Tabla7[[#This Row],[EA concern]]))),"X","")</f>
        <v/>
      </c>
      <c r="AY29" s="26" t="str">
        <f>IF(OR(ISNUMBER(SEARCH('EA Concern'!$F$3,Tabla7[[#This Row],[EA concern]])),ISNUMBER(SEARCH('EA Concern'!$F$4,Tabla7[[#This Row],[EA concern]]))),"X","")</f>
        <v/>
      </c>
      <c r="AZ29" s="26" t="str">
        <f>IF(OR(ISNUMBER(SEARCH('EA Concern'!$D$3,Tabla7[[#This Row],[EA concern]])),ISNUMBER(SEARCH('EA Concern'!$D$4,Tabla7[[#This Row],[EA concern]]))),"X","")</f>
        <v/>
      </c>
      <c r="BA29" s="23" t="str">
        <f>IF(OR(ISNUMBER(SEARCH('EA Framework'!$J$3,Tabla7[[#This Row],[Framework/Methodology]])),ISNUMBER(SEARCH('EA Framework'!$J$4,Tabla7[[#This Row],[Framework/Methodology]]))),"X","")</f>
        <v/>
      </c>
      <c r="BB29" s="18" t="str">
        <f>IF(OR(ISNUMBER(SEARCH('EA Framework'!$I$3,Tabla7[[#This Row],[Framework/Methodology]]))),"X","")</f>
        <v/>
      </c>
      <c r="BC29" s="18" t="str">
        <f>IF(OR(ISNUMBER(SEARCH('EA Framework'!$F$3,Tabla7[[#This Row],[Framework/Methodology]]))),"X","")</f>
        <v/>
      </c>
      <c r="BD29" s="18" t="str">
        <f>IF(OR(ISNUMBER(SEARCH('EA Framework'!$H$3,Tabla7[[#This Row],[Framework/Methodology]]))),"X","")</f>
        <v/>
      </c>
      <c r="BE29" s="18" t="str">
        <f>IF(OR(ISNUMBER(SEARCH('EA Framework'!$E$3,Tabla7[[#This Row],[Framework/Methodology]]))),"X","")</f>
        <v/>
      </c>
      <c r="BF29" s="18" t="str">
        <f>IF(OR(ISNUMBER(SEARCH('EA Framework'!$G$3,Tabla7[[#This Row],[Framework/Methodology]]))),"X","")</f>
        <v>X</v>
      </c>
      <c r="BG29" s="18" t="str">
        <f>IF(OR(ISNUMBER(SEARCH('EA Framework'!$D$3,Tabla7[[#This Row],[Framework/Methodology]]))),"X","")</f>
        <v>X</v>
      </c>
      <c r="BH29" s="22" t="str">
        <f>IF(OR(ISNUMBER(SEARCH('Modelling Language'!$M$3,Tabla7[[#This Row],[Language]])),ISNUMBER(SEARCH('Modelling Language'!$M$4,Tabla7[[#This Row],[Language]])),ISNUMBER(SEARCH('Modelling Language'!$M$5,Tabla7[[#This Row],[Language]]))),"X","")</f>
        <v/>
      </c>
      <c r="BI29" s="18" t="str">
        <f>IF(OR(ISNUMBER(SEARCH('Modelling Language'!$J$3,Tabla7[[#This Row],[Language]])),ISNUMBER(SEARCH('Modelling Language'!$J$4,Tabla7[[#This Row],[Language]]))),"X","")</f>
        <v/>
      </c>
      <c r="BJ29" s="18" t="str">
        <f>IF(OR(ISNUMBER(SEARCH('Modelling Language'!$L$3,Tabla7[[#This Row],[Language]])),ISNUMBER(SEARCH('Modelling Language'!$L$4,Tabla7[[#This Row],[Language]]))),"X","")</f>
        <v>X</v>
      </c>
      <c r="BK29" s="18" t="str">
        <f>IF(OR(ISNUMBER(SEARCH('Modelling Language'!$K$3,Tabla7[[#This Row],[Language]])),ISNUMBER(SEARCH('Modelling Language'!$K$4,Tabla7[[#This Row],[Language]]))),"X","")</f>
        <v/>
      </c>
      <c r="BL29" s="18" t="str">
        <f>IF(OR(ISNUMBER(SEARCH('Modelling Language'!$D$3,Tabla7[[#This Row],[Language]]))),"X","")</f>
        <v/>
      </c>
      <c r="BM29" s="18" t="str">
        <f>IF(OR(ISNUMBER(SEARCH('Modelling Language'!$I$3,Tabla7[[#This Row],[Language]]))),"X","")</f>
        <v/>
      </c>
      <c r="BN29" s="18" t="str">
        <f>IF(OR(ISNUMBER(SEARCH('Modelling Language'!$G$3,Tabla7[[#This Row],[Language]]))),"X","")</f>
        <v/>
      </c>
      <c r="BO29" s="18" t="str">
        <f>IF(OR(ISNUMBER(SEARCH('Modelling Language'!$F$3,Tabla7[[#This Row],[Language]]))),"X","")</f>
        <v/>
      </c>
      <c r="BP29" s="18" t="str">
        <f>IF(OR(ISNUMBER(SEARCH('Modelling Language'!$E$3,Tabla7[[#This Row],[Language]]))),"X","")</f>
        <v/>
      </c>
      <c r="BQ29" s="18" t="str">
        <f>IF(OR(ISNUMBER(SEARCH('Modelling Language'!$H$3,Tabla7[[#This Row],[Language]]))),"X","")</f>
        <v/>
      </c>
      <c r="BR29" s="18"/>
      <c r="BS29" s="22" t="str">
        <f>IF(OR(ISNUMBER(SEARCH(applicability!$D$3,Tabla7[[#This Row],[Application]])),ISNUMBER(SEARCH(applicability!$D$4,Tabla7[[#This Row],[Application]]))),"X","")</f>
        <v/>
      </c>
      <c r="BT29" s="18" t="str">
        <f>IF(OR(ISNUMBER(SEARCH(applicability!$E$3,Tabla7[[#This Row],[Application]]))),"X","")</f>
        <v/>
      </c>
      <c r="BU29" s="18" t="str">
        <f>IF(OR(ISNUMBER(SEARCH(applicability!$F$3,Tabla7[[#This Row],[Application]])),ISNUMBER(SEARCH(applicability!$F$4,Tabla7[[#This Row],[Application]]))),"X","")</f>
        <v>X</v>
      </c>
      <c r="BV29" s="18" t="str">
        <f>IF(OR(ISNUMBER(SEARCH(applicability!$G$3,Tabla7[[#This Row],[Application]]))),"X","")</f>
        <v/>
      </c>
      <c r="BW29" s="19" t="str">
        <f>IF(OR(ISNUMBER(SEARCH(applicability!$H$3,Tabla7[[#This Row],[Application]]))),"X","")</f>
        <v/>
      </c>
    </row>
    <row r="30" spans="1:75" x14ac:dyDescent="0.25">
      <c r="A30" s="13">
        <v>415</v>
      </c>
      <c r="B30" s="14">
        <v>40</v>
      </c>
      <c r="C30" s="14" t="s">
        <v>3046</v>
      </c>
      <c r="D30" s="14" t="s">
        <v>3045</v>
      </c>
      <c r="E30" s="15">
        <v>2013</v>
      </c>
      <c r="F30" s="15" t="s">
        <v>5296</v>
      </c>
      <c r="G30" s="15" t="s">
        <v>5296</v>
      </c>
      <c r="H30" s="15" t="s">
        <v>5296</v>
      </c>
      <c r="I30" s="15" t="s">
        <v>5296</v>
      </c>
      <c r="J30" s="14" t="s">
        <v>127</v>
      </c>
      <c r="K30" s="14" t="s">
        <v>4885</v>
      </c>
      <c r="L30" s="14" t="s">
        <v>3049</v>
      </c>
      <c r="M30" s="14">
        <v>5</v>
      </c>
      <c r="N30" s="14">
        <v>1</v>
      </c>
      <c r="O30" s="14" t="s">
        <v>5026</v>
      </c>
      <c r="P30" s="14" t="s">
        <v>731</v>
      </c>
      <c r="Q30" s="14" t="s">
        <v>5277</v>
      </c>
      <c r="R30" s="14" t="s">
        <v>4976</v>
      </c>
      <c r="S30" s="14" t="s">
        <v>127</v>
      </c>
      <c r="T30" s="14" t="s">
        <v>5003</v>
      </c>
      <c r="U30" s="14"/>
      <c r="V30" s="14"/>
      <c r="W30" s="14">
        <v>2</v>
      </c>
      <c r="X30" s="14">
        <v>1</v>
      </c>
      <c r="Y30" s="14">
        <v>1</v>
      </c>
      <c r="Z30" s="14">
        <v>2</v>
      </c>
      <c r="AA30"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2</v>
      </c>
      <c r="AB30" s="14">
        <v>1</v>
      </c>
      <c r="AC30" s="43" t="s">
        <v>5223</v>
      </c>
      <c r="AD30" s="22" t="str">
        <f>IF(OR(ISNUMBER(SEARCH('Source Artifacts'!$F$3,Tabla7[[#This Row],[Source IS artifacts]])),ISNUMBER(SEARCH('Source Artifacts'!$F$4,Tabla7[[#This Row],[Source IS artifacts]]))),"X","")</f>
        <v/>
      </c>
      <c r="AE30" s="19" t="str">
        <f>IF(OR(ISNUMBER(SEARCH('Source Artifacts'!$L$3,Tabla7[[#This Row],[Source IS artifacts]])),ISNUMBER(SEARCH('Source Artifacts'!$L$4,Tabla7[[#This Row],[Source IS artifacts]])),ISNUMBER(SEARCH('Source Artifacts'!$L$5,Tabla7[[#This Row],[Source IS artifacts]]))),"X","")</f>
        <v/>
      </c>
      <c r="AF30" s="19" t="str">
        <f>IF(OR(ISNUMBER(SEARCH('Source Artifacts'!$I$3,Tabla7[[#This Row],[Source IS artifacts]])),ISNUMBER(SEARCH('Source Artifacts'!$I$4,Tabla7[[#This Row],[Source IS artifacts]])),ISNUMBER(SEARCH('Source Artifacts'!$I$5,Tabla7[[#This Row],[Source IS artifacts]]))),"X","")</f>
        <v/>
      </c>
      <c r="AG30"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30"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30"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30"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X</v>
      </c>
      <c r="AK30"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30" s="19" t="str">
        <f>IF(OR(ISNUMBER(SEARCH('Source Artifacts'!$D$3,Tabla7[[#This Row],[Source IS artifacts]]))),"X","")</f>
        <v/>
      </c>
      <c r="AM30"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30"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
      </c>
      <c r="AO30" s="18" t="str">
        <f>IF(OR(ISNUMBER(SEARCH(Techniques!$H$3,Tabla7[[#This Row],[Mining techniques]])),ISNUMBER(SEARCH(Techniques!$H$4,Tabla7[[#This Row],[Mining techniques]]))),"X","")</f>
        <v/>
      </c>
      <c r="AP30" s="18" t="str">
        <f>IF(OR(ISNUMBER(SEARCH(Techniques!$J$3,Tabla7[[#This Row],[Mining techniques]]))),"X","")</f>
        <v>X</v>
      </c>
      <c r="AQ30" s="19" t="str">
        <f>IF(OR(ISNUMBER(SEARCH(Techniques!$G$3,Tabla7[[#This Row],[Mining techniques]])),ISNUMBER(SEARCH(Techniques!$G$4,Tabla7[[#This Row],[Mining techniques]]))),"X","")</f>
        <v/>
      </c>
      <c r="AR30" s="19" t="str">
        <f>IF(OR(ISNUMBER(SEARCH(Techniques!$F$3,Tabla7[[#This Row],[Mining techniques]])),ISNUMBER(SEARCH(Techniques!$F$4,Tabla7[[#This Row],[Mining techniques]]))),"X","")</f>
        <v/>
      </c>
      <c r="AS30" s="18" t="str">
        <f>IF(OR(ISNUMBER(SEARCH(Techniques!$D$3,Tabla7[[#This Row],[Mining techniques]])),ISNUMBER(SEARCH(Techniques!$D$4,Tabla7[[#This Row],[Mining techniques]]))),"X","")</f>
        <v/>
      </c>
      <c r="AT30" s="18" t="str">
        <f>IF(OR(ISNUMBER(SEARCH(Techniques!$E$3,Tabla7[[#This Row],[Mining techniques]])),ISNUMBER(SEARCH(Techniques!$E$4,Tabla7[[#This Row],[Mining techniques]]))),"X","")</f>
        <v/>
      </c>
      <c r="AU30" s="27" t="str">
        <f>IF(OR(ISNUMBER(SEARCH('EA Concern'!$I$3,Tabla7[[#This Row],[EA concern]]))),"X","")</f>
        <v>X</v>
      </c>
      <c r="AV30" s="26" t="str">
        <f>IF(OR(ISNUMBER(SEARCH('EA Concern'!$G$3,Tabla7[[#This Row],[EA concern]])),ISNUMBER(SEARCH('EA Concern'!$G$4,Tabla7[[#This Row],[EA concern]]))),"X","")</f>
        <v/>
      </c>
      <c r="AW30" s="26" t="str">
        <f>IF(OR(ISNUMBER(SEARCH('EA Concern'!$E$3,Tabla7[[#This Row],[EA concern]]))),"X","")</f>
        <v/>
      </c>
      <c r="AX30" s="26" t="str">
        <f>IF(OR(ISNUMBER(SEARCH('EA Concern'!$H$3,Tabla7[[#This Row],[EA concern]])),ISNUMBER(SEARCH('EA Concern'!$H$4,Tabla7[[#This Row],[EA concern]]))),"X","")</f>
        <v/>
      </c>
      <c r="AY30" s="26" t="str">
        <f>IF(OR(ISNUMBER(SEARCH('EA Concern'!$F$3,Tabla7[[#This Row],[EA concern]])),ISNUMBER(SEARCH('EA Concern'!$F$4,Tabla7[[#This Row],[EA concern]]))),"X","")</f>
        <v/>
      </c>
      <c r="AZ30" s="26" t="str">
        <f>IF(OR(ISNUMBER(SEARCH('EA Concern'!$D$3,Tabla7[[#This Row],[EA concern]])),ISNUMBER(SEARCH('EA Concern'!$D$4,Tabla7[[#This Row],[EA concern]]))),"X","")</f>
        <v/>
      </c>
      <c r="BA30" s="23" t="str">
        <f>IF(OR(ISNUMBER(SEARCH('EA Framework'!$J$3,Tabla7[[#This Row],[Framework/Methodology]])),ISNUMBER(SEARCH('EA Framework'!$J$4,Tabla7[[#This Row],[Framework/Methodology]]))),"X","")</f>
        <v>X</v>
      </c>
      <c r="BB30" s="18" t="str">
        <f>IF(OR(ISNUMBER(SEARCH('EA Framework'!$I$3,Tabla7[[#This Row],[Framework/Methodology]]))),"X","")</f>
        <v/>
      </c>
      <c r="BC30" s="18" t="str">
        <f>IF(OR(ISNUMBER(SEARCH('EA Framework'!$F$3,Tabla7[[#This Row],[Framework/Methodology]]))),"X","")</f>
        <v/>
      </c>
      <c r="BD30" s="18" t="str">
        <f>IF(OR(ISNUMBER(SEARCH('EA Framework'!$H$3,Tabla7[[#This Row],[Framework/Methodology]]))),"X","")</f>
        <v/>
      </c>
      <c r="BE30" s="18" t="str">
        <f>IF(OR(ISNUMBER(SEARCH('EA Framework'!$E$3,Tabla7[[#This Row],[Framework/Methodology]]))),"X","")</f>
        <v/>
      </c>
      <c r="BF30" s="18" t="str">
        <f>IF(OR(ISNUMBER(SEARCH('EA Framework'!$G$3,Tabla7[[#This Row],[Framework/Methodology]]))),"X","")</f>
        <v/>
      </c>
      <c r="BG30" s="18" t="str">
        <f>IF(OR(ISNUMBER(SEARCH('EA Framework'!$D$3,Tabla7[[#This Row],[Framework/Methodology]]))),"X","")</f>
        <v/>
      </c>
      <c r="BH30" s="22" t="str">
        <f>IF(OR(ISNUMBER(SEARCH('Modelling Language'!$M$3,Tabla7[[#This Row],[Language]])),ISNUMBER(SEARCH('Modelling Language'!$M$4,Tabla7[[#This Row],[Language]])),ISNUMBER(SEARCH('Modelling Language'!$M$5,Tabla7[[#This Row],[Language]]))),"X","")</f>
        <v/>
      </c>
      <c r="BI30" s="18" t="str">
        <f>IF(OR(ISNUMBER(SEARCH('Modelling Language'!$J$3,Tabla7[[#This Row],[Language]])),ISNUMBER(SEARCH('Modelling Language'!$J$4,Tabla7[[#This Row],[Language]]))),"X","")</f>
        <v/>
      </c>
      <c r="BJ30" s="18" t="str">
        <f>IF(OR(ISNUMBER(SEARCH('Modelling Language'!$L$3,Tabla7[[#This Row],[Language]])),ISNUMBER(SEARCH('Modelling Language'!$L$4,Tabla7[[#This Row],[Language]]))),"X","")</f>
        <v/>
      </c>
      <c r="BK30" s="18" t="str">
        <f>IF(OR(ISNUMBER(SEARCH('Modelling Language'!$K$3,Tabla7[[#This Row],[Language]])),ISNUMBER(SEARCH('Modelling Language'!$K$4,Tabla7[[#This Row],[Language]]))),"X","")</f>
        <v/>
      </c>
      <c r="BL30" s="18" t="str">
        <f>IF(OR(ISNUMBER(SEARCH('Modelling Language'!$D$3,Tabla7[[#This Row],[Language]]))),"X","")</f>
        <v/>
      </c>
      <c r="BM30" s="18" t="str">
        <f>IF(OR(ISNUMBER(SEARCH('Modelling Language'!$I$3,Tabla7[[#This Row],[Language]]))),"X","")</f>
        <v/>
      </c>
      <c r="BN30" s="18" t="str">
        <f>IF(OR(ISNUMBER(SEARCH('Modelling Language'!$G$3,Tabla7[[#This Row],[Language]]))),"X","")</f>
        <v/>
      </c>
      <c r="BO30" s="18" t="str">
        <f>IF(OR(ISNUMBER(SEARCH('Modelling Language'!$F$3,Tabla7[[#This Row],[Language]]))),"X","")</f>
        <v/>
      </c>
      <c r="BP30" s="18" t="str">
        <f>IF(OR(ISNUMBER(SEARCH('Modelling Language'!$E$3,Tabla7[[#This Row],[Language]]))),"X","")</f>
        <v/>
      </c>
      <c r="BQ30" s="18" t="str">
        <f>IF(OR(ISNUMBER(SEARCH('Modelling Language'!$H$3,Tabla7[[#This Row],[Language]]))),"X","")</f>
        <v/>
      </c>
      <c r="BR30" s="18"/>
      <c r="BS30" s="22" t="str">
        <f>IF(OR(ISNUMBER(SEARCH(applicability!$D$3,Tabla7[[#This Row],[Application]])),ISNUMBER(SEARCH(applicability!$D$4,Tabla7[[#This Row],[Application]]))),"X","")</f>
        <v/>
      </c>
      <c r="BT30" s="18" t="str">
        <f>IF(OR(ISNUMBER(SEARCH(applicability!$E$3,Tabla7[[#This Row],[Application]]))),"X","")</f>
        <v/>
      </c>
      <c r="BU30" s="18" t="str">
        <f>IF(OR(ISNUMBER(SEARCH(applicability!$F$3,Tabla7[[#This Row],[Application]])),ISNUMBER(SEARCH(applicability!$F$4,Tabla7[[#This Row],[Application]]))),"X","")</f>
        <v/>
      </c>
      <c r="BV30" s="18" t="str">
        <f>IF(OR(ISNUMBER(SEARCH(applicability!$G$3,Tabla7[[#This Row],[Application]]))),"X","")</f>
        <v/>
      </c>
      <c r="BW30" s="19" t="str">
        <f>IF(OR(ISNUMBER(SEARCH(applicability!$H$3,Tabla7[[#This Row],[Application]]))),"X","")</f>
        <v/>
      </c>
    </row>
    <row r="31" spans="1:75" x14ac:dyDescent="0.25">
      <c r="A31" s="13">
        <v>597</v>
      </c>
      <c r="B31" s="14">
        <v>5</v>
      </c>
      <c r="C31" s="14" t="s">
        <v>1466</v>
      </c>
      <c r="D31" s="14" t="s">
        <v>1465</v>
      </c>
      <c r="E31" s="15">
        <v>2012</v>
      </c>
      <c r="F31" s="15" t="s">
        <v>5296</v>
      </c>
      <c r="G31" s="15" t="s">
        <v>5296</v>
      </c>
      <c r="H31" s="15" t="s">
        <v>5296</v>
      </c>
      <c r="I31" s="15" t="s">
        <v>5296</v>
      </c>
      <c r="J31" s="14" t="s">
        <v>0</v>
      </c>
      <c r="K31" s="14" t="s">
        <v>1</v>
      </c>
      <c r="L31" s="14" t="s">
        <v>1467</v>
      </c>
      <c r="M31" s="14">
        <v>7</v>
      </c>
      <c r="N31" s="14">
        <v>0</v>
      </c>
      <c r="O31" s="14" t="s">
        <v>5026</v>
      </c>
      <c r="P31" s="14" t="s">
        <v>5015</v>
      </c>
      <c r="Q31" s="14" t="s">
        <v>5277</v>
      </c>
      <c r="R31" s="14" t="s">
        <v>4976</v>
      </c>
      <c r="S31" s="14" t="s">
        <v>658</v>
      </c>
      <c r="T31" s="14" t="s">
        <v>5003</v>
      </c>
      <c r="U31" s="14" t="s">
        <v>942</v>
      </c>
      <c r="V31" s="14" t="s">
        <v>5006</v>
      </c>
      <c r="W31" s="14">
        <v>4</v>
      </c>
      <c r="X31" s="14">
        <v>4</v>
      </c>
      <c r="Y31" s="14">
        <v>1</v>
      </c>
      <c r="Z31" s="14">
        <v>2</v>
      </c>
      <c r="AA31"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2</v>
      </c>
      <c r="AB31" s="14">
        <v>1</v>
      </c>
      <c r="AC31" s="43" t="s">
        <v>5221</v>
      </c>
      <c r="AD31" s="22" t="str">
        <f>IF(OR(ISNUMBER(SEARCH('Source Artifacts'!$F$3,Tabla7[[#This Row],[Source IS artifacts]])),ISNUMBER(SEARCH('Source Artifacts'!$F$4,Tabla7[[#This Row],[Source IS artifacts]]))),"X","")</f>
        <v/>
      </c>
      <c r="AE31" s="19" t="str">
        <f>IF(OR(ISNUMBER(SEARCH('Source Artifacts'!$L$3,Tabla7[[#This Row],[Source IS artifacts]])),ISNUMBER(SEARCH('Source Artifacts'!$L$4,Tabla7[[#This Row],[Source IS artifacts]])),ISNUMBER(SEARCH('Source Artifacts'!$L$5,Tabla7[[#This Row],[Source IS artifacts]]))),"X","")</f>
        <v/>
      </c>
      <c r="AF31" s="19" t="str">
        <f>IF(OR(ISNUMBER(SEARCH('Source Artifacts'!$I$3,Tabla7[[#This Row],[Source IS artifacts]])),ISNUMBER(SEARCH('Source Artifacts'!$I$4,Tabla7[[#This Row],[Source IS artifacts]])),ISNUMBER(SEARCH('Source Artifacts'!$I$5,Tabla7[[#This Row],[Source IS artifacts]]))),"X","")</f>
        <v/>
      </c>
      <c r="AG31"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31"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31"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31"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X</v>
      </c>
      <c r="AK31"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31" s="19" t="str">
        <f>IF(OR(ISNUMBER(SEARCH('Source Artifacts'!$D$3,Tabla7[[#This Row],[Source IS artifacts]]))),"X","")</f>
        <v/>
      </c>
      <c r="AM31"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31"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X</v>
      </c>
      <c r="AO31" s="18" t="str">
        <f>IF(OR(ISNUMBER(SEARCH(Techniques!$H$3,Tabla7[[#This Row],[Mining techniques]])),ISNUMBER(SEARCH(Techniques!$H$4,Tabla7[[#This Row],[Mining techniques]]))),"X","")</f>
        <v/>
      </c>
      <c r="AP31" s="18" t="str">
        <f>IF(OR(ISNUMBER(SEARCH(Techniques!$J$3,Tabla7[[#This Row],[Mining techniques]]))),"X","")</f>
        <v/>
      </c>
      <c r="AQ31" s="19" t="str">
        <f>IF(OR(ISNUMBER(SEARCH(Techniques!$G$3,Tabla7[[#This Row],[Mining techniques]])),ISNUMBER(SEARCH(Techniques!$G$4,Tabla7[[#This Row],[Mining techniques]]))),"X","")</f>
        <v/>
      </c>
      <c r="AR31" s="19" t="str">
        <f>IF(OR(ISNUMBER(SEARCH(Techniques!$F$3,Tabla7[[#This Row],[Mining techniques]])),ISNUMBER(SEARCH(Techniques!$F$4,Tabla7[[#This Row],[Mining techniques]]))),"X","")</f>
        <v/>
      </c>
      <c r="AS31" s="18" t="str">
        <f>IF(OR(ISNUMBER(SEARCH(Techniques!$D$3,Tabla7[[#This Row],[Mining techniques]])),ISNUMBER(SEARCH(Techniques!$D$4,Tabla7[[#This Row],[Mining techniques]]))),"X","")</f>
        <v/>
      </c>
      <c r="AT31" s="18" t="str">
        <f>IF(OR(ISNUMBER(SEARCH(Techniques!$E$3,Tabla7[[#This Row],[Mining techniques]])),ISNUMBER(SEARCH(Techniques!$E$4,Tabla7[[#This Row],[Mining techniques]]))),"X","")</f>
        <v/>
      </c>
      <c r="AU31" s="27" t="str">
        <f>IF(OR(ISNUMBER(SEARCH('EA Concern'!$I$3,Tabla7[[#This Row],[EA concern]]))),"X","")</f>
        <v>X</v>
      </c>
      <c r="AV31" s="26" t="str">
        <f>IF(OR(ISNUMBER(SEARCH('EA Concern'!$G$3,Tabla7[[#This Row],[EA concern]])),ISNUMBER(SEARCH('EA Concern'!$G$4,Tabla7[[#This Row],[EA concern]]))),"X","")</f>
        <v/>
      </c>
      <c r="AW31" s="26" t="str">
        <f>IF(OR(ISNUMBER(SEARCH('EA Concern'!$E$3,Tabla7[[#This Row],[EA concern]]))),"X","")</f>
        <v/>
      </c>
      <c r="AX31" s="26" t="str">
        <f>IF(OR(ISNUMBER(SEARCH('EA Concern'!$H$3,Tabla7[[#This Row],[EA concern]])),ISNUMBER(SEARCH('EA Concern'!$H$4,Tabla7[[#This Row],[EA concern]]))),"X","")</f>
        <v/>
      </c>
      <c r="AY31" s="26" t="str">
        <f>IF(OR(ISNUMBER(SEARCH('EA Concern'!$F$3,Tabla7[[#This Row],[EA concern]])),ISNUMBER(SEARCH('EA Concern'!$F$4,Tabla7[[#This Row],[EA concern]]))),"X","")</f>
        <v/>
      </c>
      <c r="AZ31" s="26" t="str">
        <f>IF(OR(ISNUMBER(SEARCH('EA Concern'!$D$3,Tabla7[[#This Row],[EA concern]])),ISNUMBER(SEARCH('EA Concern'!$D$4,Tabla7[[#This Row],[EA concern]]))),"X","")</f>
        <v/>
      </c>
      <c r="BA31" s="23" t="str">
        <f>IF(OR(ISNUMBER(SEARCH('EA Framework'!$J$3,Tabla7[[#This Row],[Framework/Methodology]])),ISNUMBER(SEARCH('EA Framework'!$J$4,Tabla7[[#This Row],[Framework/Methodology]]))),"X","")</f>
        <v>X</v>
      </c>
      <c r="BB31" s="18" t="str">
        <f>IF(OR(ISNUMBER(SEARCH('EA Framework'!$I$3,Tabla7[[#This Row],[Framework/Methodology]]))),"X","")</f>
        <v/>
      </c>
      <c r="BC31" s="18" t="str">
        <f>IF(OR(ISNUMBER(SEARCH('EA Framework'!$F$3,Tabla7[[#This Row],[Framework/Methodology]]))),"X","")</f>
        <v/>
      </c>
      <c r="BD31" s="18" t="str">
        <f>IF(OR(ISNUMBER(SEARCH('EA Framework'!$H$3,Tabla7[[#This Row],[Framework/Methodology]]))),"X","")</f>
        <v/>
      </c>
      <c r="BE31" s="18" t="str">
        <f>IF(OR(ISNUMBER(SEARCH('EA Framework'!$E$3,Tabla7[[#This Row],[Framework/Methodology]]))),"X","")</f>
        <v/>
      </c>
      <c r="BF31" s="18" t="str">
        <f>IF(OR(ISNUMBER(SEARCH('EA Framework'!$G$3,Tabla7[[#This Row],[Framework/Methodology]]))),"X","")</f>
        <v/>
      </c>
      <c r="BG31" s="18" t="str">
        <f>IF(OR(ISNUMBER(SEARCH('EA Framework'!$D$3,Tabla7[[#This Row],[Framework/Methodology]]))),"X","")</f>
        <v/>
      </c>
      <c r="BH31" s="22" t="str">
        <f>IF(OR(ISNUMBER(SEARCH('Modelling Language'!$M$3,Tabla7[[#This Row],[Language]])),ISNUMBER(SEARCH('Modelling Language'!$M$4,Tabla7[[#This Row],[Language]])),ISNUMBER(SEARCH('Modelling Language'!$M$5,Tabla7[[#This Row],[Language]]))),"X","")</f>
        <v/>
      </c>
      <c r="BI31" s="18" t="str">
        <f>IF(OR(ISNUMBER(SEARCH('Modelling Language'!$J$3,Tabla7[[#This Row],[Language]])),ISNUMBER(SEARCH('Modelling Language'!$J$4,Tabla7[[#This Row],[Language]]))),"X","")</f>
        <v/>
      </c>
      <c r="BJ31" s="18" t="str">
        <f>IF(OR(ISNUMBER(SEARCH('Modelling Language'!$L$3,Tabla7[[#This Row],[Language]])),ISNUMBER(SEARCH('Modelling Language'!$L$4,Tabla7[[#This Row],[Language]]))),"X","")</f>
        <v/>
      </c>
      <c r="BK31" s="18" t="str">
        <f>IF(OR(ISNUMBER(SEARCH('Modelling Language'!$K$3,Tabla7[[#This Row],[Language]])),ISNUMBER(SEARCH('Modelling Language'!$K$4,Tabla7[[#This Row],[Language]]))),"X","")</f>
        <v>X</v>
      </c>
      <c r="BL31" s="18" t="str">
        <f>IF(OR(ISNUMBER(SEARCH('Modelling Language'!$D$3,Tabla7[[#This Row],[Language]]))),"X","")</f>
        <v/>
      </c>
      <c r="BM31" s="18" t="str">
        <f>IF(OR(ISNUMBER(SEARCH('Modelling Language'!$I$3,Tabla7[[#This Row],[Language]]))),"X","")</f>
        <v/>
      </c>
      <c r="BN31" s="18" t="str">
        <f>IF(OR(ISNUMBER(SEARCH('Modelling Language'!$G$3,Tabla7[[#This Row],[Language]]))),"X","")</f>
        <v/>
      </c>
      <c r="BO31" s="18" t="str">
        <f>IF(OR(ISNUMBER(SEARCH('Modelling Language'!$F$3,Tabla7[[#This Row],[Language]]))),"X","")</f>
        <v/>
      </c>
      <c r="BP31" s="18" t="str">
        <f>IF(OR(ISNUMBER(SEARCH('Modelling Language'!$E$3,Tabla7[[#This Row],[Language]]))),"X","")</f>
        <v/>
      </c>
      <c r="BQ31" s="18" t="str">
        <f>IF(OR(ISNUMBER(SEARCH('Modelling Language'!$H$3,Tabla7[[#This Row],[Language]]))),"X","")</f>
        <v/>
      </c>
      <c r="BR31" s="18"/>
      <c r="BS31" s="22" t="str">
        <f>IF(OR(ISNUMBER(SEARCH(applicability!$D$3,Tabla7[[#This Row],[Application]])),ISNUMBER(SEARCH(applicability!$D$4,Tabla7[[#This Row],[Application]]))),"X","")</f>
        <v>X</v>
      </c>
      <c r="BT31" s="18" t="str">
        <f>IF(OR(ISNUMBER(SEARCH(applicability!$E$3,Tabla7[[#This Row],[Application]]))),"X","")</f>
        <v/>
      </c>
      <c r="BU31" s="18" t="str">
        <f>IF(OR(ISNUMBER(SEARCH(applicability!$F$3,Tabla7[[#This Row],[Application]])),ISNUMBER(SEARCH(applicability!$F$4,Tabla7[[#This Row],[Application]]))),"X","")</f>
        <v/>
      </c>
      <c r="BV31" s="18" t="str">
        <f>IF(OR(ISNUMBER(SEARCH(applicability!$G$3,Tabla7[[#This Row],[Application]]))),"X","")</f>
        <v/>
      </c>
      <c r="BW31" s="19" t="str">
        <f>IF(OR(ISNUMBER(SEARCH(applicability!$H$3,Tabla7[[#This Row],[Application]]))),"X","")</f>
        <v/>
      </c>
    </row>
    <row r="32" spans="1:75" x14ac:dyDescent="0.25">
      <c r="A32" s="13">
        <v>646</v>
      </c>
      <c r="B32" s="14">
        <v>10</v>
      </c>
      <c r="C32" s="14" t="s">
        <v>1541</v>
      </c>
      <c r="D32" s="14" t="s">
        <v>5317</v>
      </c>
      <c r="E32" s="15">
        <v>2015</v>
      </c>
      <c r="F32" s="15" t="s">
        <v>5298</v>
      </c>
      <c r="G32" s="15" t="s">
        <v>5295</v>
      </c>
      <c r="H32" s="15" t="s">
        <v>5296</v>
      </c>
      <c r="I32" s="15" t="s">
        <v>5296</v>
      </c>
      <c r="J32" s="14" t="s">
        <v>658</v>
      </c>
      <c r="K32" s="14" t="s">
        <v>3710</v>
      </c>
      <c r="L32" s="14" t="s">
        <v>4962</v>
      </c>
      <c r="M32" s="14">
        <v>4.5</v>
      </c>
      <c r="N32" s="14">
        <v>0</v>
      </c>
      <c r="O32" s="14" t="s">
        <v>4995</v>
      </c>
      <c r="P32" s="14" t="s">
        <v>5079</v>
      </c>
      <c r="Q32" s="14" t="s">
        <v>5282</v>
      </c>
      <c r="R32" s="14" t="s">
        <v>4973</v>
      </c>
      <c r="S32" s="14" t="s">
        <v>658</v>
      </c>
      <c r="T32" s="14" t="s">
        <v>5003</v>
      </c>
      <c r="U32" s="14" t="s">
        <v>5080</v>
      </c>
      <c r="V32" s="14"/>
      <c r="W32" s="14">
        <v>1</v>
      </c>
      <c r="X32" s="14">
        <v>1</v>
      </c>
      <c r="Y32" s="14">
        <v>2</v>
      </c>
      <c r="Z32" s="14">
        <v>2</v>
      </c>
      <c r="AA32"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2</v>
      </c>
      <c r="AB32" s="14">
        <v>1</v>
      </c>
      <c r="AC32" s="43" t="s">
        <v>5222</v>
      </c>
      <c r="AD32" s="22" t="str">
        <f>IF(OR(ISNUMBER(SEARCH('Source Artifacts'!$F$3,Tabla7[[#This Row],[Source IS artifacts]])),ISNUMBER(SEARCH('Source Artifacts'!$F$4,Tabla7[[#This Row],[Source IS artifacts]]))),"X","")</f>
        <v/>
      </c>
      <c r="AE32" s="19" t="str">
        <f>IF(OR(ISNUMBER(SEARCH('Source Artifacts'!$L$3,Tabla7[[#This Row],[Source IS artifacts]])),ISNUMBER(SEARCH('Source Artifacts'!$L$4,Tabla7[[#This Row],[Source IS artifacts]])),ISNUMBER(SEARCH('Source Artifacts'!$L$5,Tabla7[[#This Row],[Source IS artifacts]]))),"X","")</f>
        <v>X</v>
      </c>
      <c r="AF32" s="19" t="str">
        <f>IF(OR(ISNUMBER(SEARCH('Source Artifacts'!$I$3,Tabla7[[#This Row],[Source IS artifacts]])),ISNUMBER(SEARCH('Source Artifacts'!$I$4,Tabla7[[#This Row],[Source IS artifacts]])),ISNUMBER(SEARCH('Source Artifacts'!$I$5,Tabla7[[#This Row],[Source IS artifacts]]))),"X","")</f>
        <v/>
      </c>
      <c r="AG32"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32"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32"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32"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32"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32" s="19" t="str">
        <f>IF(OR(ISNUMBER(SEARCH('Source Artifacts'!$D$3,Tabla7[[#This Row],[Source IS artifacts]]))),"X","")</f>
        <v/>
      </c>
      <c r="AM32"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32"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X</v>
      </c>
      <c r="AO32" s="18" t="str">
        <f>IF(OR(ISNUMBER(SEARCH(Techniques!$H$3,Tabla7[[#This Row],[Mining techniques]])),ISNUMBER(SEARCH(Techniques!$H$4,Tabla7[[#This Row],[Mining techniques]]))),"X","")</f>
        <v/>
      </c>
      <c r="AP32" s="18" t="str">
        <f>IF(OR(ISNUMBER(SEARCH(Techniques!$J$3,Tabla7[[#This Row],[Mining techniques]]))),"X","")</f>
        <v/>
      </c>
      <c r="AQ32" s="19" t="str">
        <f>IF(OR(ISNUMBER(SEARCH(Techniques!$G$3,Tabla7[[#This Row],[Mining techniques]])),ISNUMBER(SEARCH(Techniques!$G$4,Tabla7[[#This Row],[Mining techniques]]))),"X","")</f>
        <v/>
      </c>
      <c r="AR32" s="19" t="str">
        <f>IF(OR(ISNUMBER(SEARCH(Techniques!$F$3,Tabla7[[#This Row],[Mining techniques]])),ISNUMBER(SEARCH(Techniques!$F$4,Tabla7[[#This Row],[Mining techniques]]))),"X","")</f>
        <v/>
      </c>
      <c r="AS32" s="18" t="str">
        <f>IF(OR(ISNUMBER(SEARCH(Techniques!$D$3,Tabla7[[#This Row],[Mining techniques]])),ISNUMBER(SEARCH(Techniques!$D$4,Tabla7[[#This Row],[Mining techniques]]))),"X","")</f>
        <v>X</v>
      </c>
      <c r="AT32" s="18" t="str">
        <f>IF(OR(ISNUMBER(SEARCH(Techniques!$E$3,Tabla7[[#This Row],[Mining techniques]])),ISNUMBER(SEARCH(Techniques!$E$4,Tabla7[[#This Row],[Mining techniques]]))),"X","")</f>
        <v/>
      </c>
      <c r="AU32" s="27" t="str">
        <f>IF(OR(ISNUMBER(SEARCH('EA Concern'!$I$3,Tabla7[[#This Row],[EA concern]]))),"X","")</f>
        <v/>
      </c>
      <c r="AV32" s="26" t="str">
        <f>IF(OR(ISNUMBER(SEARCH('EA Concern'!$G$3,Tabla7[[#This Row],[EA concern]])),ISNUMBER(SEARCH('EA Concern'!$G$4,Tabla7[[#This Row],[EA concern]]))),"X","")</f>
        <v/>
      </c>
      <c r="AW32" s="26" t="str">
        <f>IF(OR(ISNUMBER(SEARCH('EA Concern'!$E$3,Tabla7[[#This Row],[EA concern]]))),"X","")</f>
        <v/>
      </c>
      <c r="AX32" s="26" t="str">
        <f>IF(OR(ISNUMBER(SEARCH('EA Concern'!$H$3,Tabla7[[#This Row],[EA concern]])),ISNUMBER(SEARCH('EA Concern'!$H$4,Tabla7[[#This Row],[EA concern]]))),"X","")</f>
        <v/>
      </c>
      <c r="AY32" s="26" t="str">
        <f>IF(OR(ISNUMBER(SEARCH('EA Concern'!$F$3,Tabla7[[#This Row],[EA concern]])),ISNUMBER(SEARCH('EA Concern'!$F$4,Tabla7[[#This Row],[EA concern]]))),"X","")</f>
        <v>X</v>
      </c>
      <c r="AZ32" s="26" t="str">
        <f>IF(OR(ISNUMBER(SEARCH('EA Concern'!$D$3,Tabla7[[#This Row],[EA concern]])),ISNUMBER(SEARCH('EA Concern'!$D$4,Tabla7[[#This Row],[EA concern]]))),"X","")</f>
        <v/>
      </c>
      <c r="BA32" s="23" t="str">
        <f>IF(OR(ISNUMBER(SEARCH('EA Framework'!$J$3,Tabla7[[#This Row],[Framework/Methodology]])),ISNUMBER(SEARCH('EA Framework'!$J$4,Tabla7[[#This Row],[Framework/Methodology]]))),"X","")</f>
        <v>X</v>
      </c>
      <c r="BB32" s="18" t="str">
        <f>IF(OR(ISNUMBER(SEARCH('EA Framework'!$I$3,Tabla7[[#This Row],[Framework/Methodology]]))),"X","")</f>
        <v/>
      </c>
      <c r="BC32" s="18" t="str">
        <f>IF(OR(ISNUMBER(SEARCH('EA Framework'!$F$3,Tabla7[[#This Row],[Framework/Methodology]]))),"X","")</f>
        <v/>
      </c>
      <c r="BD32" s="18" t="str">
        <f>IF(OR(ISNUMBER(SEARCH('EA Framework'!$H$3,Tabla7[[#This Row],[Framework/Methodology]]))),"X","")</f>
        <v/>
      </c>
      <c r="BE32" s="18" t="str">
        <f>IF(OR(ISNUMBER(SEARCH('EA Framework'!$E$3,Tabla7[[#This Row],[Framework/Methodology]]))),"X","")</f>
        <v/>
      </c>
      <c r="BF32" s="18" t="str">
        <f>IF(OR(ISNUMBER(SEARCH('EA Framework'!$G$3,Tabla7[[#This Row],[Framework/Methodology]]))),"X","")</f>
        <v/>
      </c>
      <c r="BG32" s="18" t="str">
        <f>IF(OR(ISNUMBER(SEARCH('EA Framework'!$D$3,Tabla7[[#This Row],[Framework/Methodology]]))),"X","")</f>
        <v/>
      </c>
      <c r="BH32" s="22" t="str">
        <f>IF(OR(ISNUMBER(SEARCH('Modelling Language'!$M$3,Tabla7[[#This Row],[Language]])),ISNUMBER(SEARCH('Modelling Language'!$M$4,Tabla7[[#This Row],[Language]])),ISNUMBER(SEARCH('Modelling Language'!$M$5,Tabla7[[#This Row],[Language]]))),"X","")</f>
        <v>X</v>
      </c>
      <c r="BI32" s="18" t="str">
        <f>IF(OR(ISNUMBER(SEARCH('Modelling Language'!$J$3,Tabla7[[#This Row],[Language]])),ISNUMBER(SEARCH('Modelling Language'!$J$4,Tabla7[[#This Row],[Language]]))),"X","")</f>
        <v/>
      </c>
      <c r="BJ32" s="18" t="str">
        <f>IF(OR(ISNUMBER(SEARCH('Modelling Language'!$L$3,Tabla7[[#This Row],[Language]])),ISNUMBER(SEARCH('Modelling Language'!$L$4,Tabla7[[#This Row],[Language]]))),"X","")</f>
        <v/>
      </c>
      <c r="BK32" s="18" t="str">
        <f>IF(OR(ISNUMBER(SEARCH('Modelling Language'!$K$3,Tabla7[[#This Row],[Language]])),ISNUMBER(SEARCH('Modelling Language'!$K$4,Tabla7[[#This Row],[Language]]))),"X","")</f>
        <v/>
      </c>
      <c r="BL32" s="18" t="str">
        <f>IF(OR(ISNUMBER(SEARCH('Modelling Language'!$D$3,Tabla7[[#This Row],[Language]]))),"X","")</f>
        <v/>
      </c>
      <c r="BM32" s="18" t="str">
        <f>IF(OR(ISNUMBER(SEARCH('Modelling Language'!$I$3,Tabla7[[#This Row],[Language]]))),"X","")</f>
        <v/>
      </c>
      <c r="BN32" s="18" t="str">
        <f>IF(OR(ISNUMBER(SEARCH('Modelling Language'!$G$3,Tabla7[[#This Row],[Language]]))),"X","")</f>
        <v/>
      </c>
      <c r="BO32" s="18" t="str">
        <f>IF(OR(ISNUMBER(SEARCH('Modelling Language'!$F$3,Tabla7[[#This Row],[Language]]))),"X","")</f>
        <v/>
      </c>
      <c r="BP32" s="18" t="str">
        <f>IF(OR(ISNUMBER(SEARCH('Modelling Language'!$E$3,Tabla7[[#This Row],[Language]]))),"X","")</f>
        <v/>
      </c>
      <c r="BQ32" s="18" t="str">
        <f>IF(OR(ISNUMBER(SEARCH('Modelling Language'!$H$3,Tabla7[[#This Row],[Language]]))),"X","")</f>
        <v/>
      </c>
      <c r="BR32" s="18"/>
      <c r="BS32" s="22" t="str">
        <f>IF(OR(ISNUMBER(SEARCH(applicability!$D$3,Tabla7[[#This Row],[Application]])),ISNUMBER(SEARCH(applicability!$D$4,Tabla7[[#This Row],[Application]]))),"X","")</f>
        <v/>
      </c>
      <c r="BT32" s="18" t="str">
        <f>IF(OR(ISNUMBER(SEARCH(applicability!$E$3,Tabla7[[#This Row],[Application]]))),"X","")</f>
        <v/>
      </c>
      <c r="BU32" s="18" t="str">
        <f>IF(OR(ISNUMBER(SEARCH(applicability!$F$3,Tabla7[[#This Row],[Application]])),ISNUMBER(SEARCH(applicability!$F$4,Tabla7[[#This Row],[Application]]))),"X","")</f>
        <v/>
      </c>
      <c r="BV32" s="18" t="str">
        <f>IF(OR(ISNUMBER(SEARCH(applicability!$G$3,Tabla7[[#This Row],[Application]]))),"X","")</f>
        <v/>
      </c>
      <c r="BW32" s="19" t="str">
        <f>IF(OR(ISNUMBER(SEARCH(applicability!$H$3,Tabla7[[#This Row],[Application]]))),"X","")</f>
        <v/>
      </c>
    </row>
    <row r="33" spans="1:75" x14ac:dyDescent="0.25">
      <c r="A33" s="13">
        <v>600</v>
      </c>
      <c r="B33" s="14">
        <v>17</v>
      </c>
      <c r="C33" s="14" t="s">
        <v>1886</v>
      </c>
      <c r="D33" s="14" t="s">
        <v>3972</v>
      </c>
      <c r="E33" s="15">
        <v>2013</v>
      </c>
      <c r="F33" s="15" t="s">
        <v>5296</v>
      </c>
      <c r="G33" s="15" t="s">
        <v>5296</v>
      </c>
      <c r="H33" s="15" t="s">
        <v>5296</v>
      </c>
      <c r="I33" s="15" t="s">
        <v>5296</v>
      </c>
      <c r="J33" s="14" t="s">
        <v>127</v>
      </c>
      <c r="K33" s="14" t="s">
        <v>3973</v>
      </c>
      <c r="L33" s="14" t="s">
        <v>3974</v>
      </c>
      <c r="M33" s="14">
        <v>5</v>
      </c>
      <c r="N33" s="14">
        <v>0</v>
      </c>
      <c r="O33" s="14" t="s">
        <v>5265</v>
      </c>
      <c r="P33" s="14" t="s">
        <v>5015</v>
      </c>
      <c r="Q33" s="14" t="s">
        <v>5071</v>
      </c>
      <c r="R33" s="14" t="s">
        <v>4974</v>
      </c>
      <c r="S33" s="14" t="s">
        <v>127</v>
      </c>
      <c r="T33" s="14" t="s">
        <v>5021</v>
      </c>
      <c r="U33" s="14" t="s">
        <v>5057</v>
      </c>
      <c r="V33" s="14" t="s">
        <v>5070</v>
      </c>
      <c r="W33" s="14">
        <v>4</v>
      </c>
      <c r="X33" s="14">
        <v>3</v>
      </c>
      <c r="Y33" s="14">
        <v>2</v>
      </c>
      <c r="Z33" s="14">
        <v>3</v>
      </c>
      <c r="AA33"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2</v>
      </c>
      <c r="AB33" s="14">
        <v>1</v>
      </c>
      <c r="AC33" s="43" t="s">
        <v>5221</v>
      </c>
      <c r="AD33" s="22" t="str">
        <f>IF(OR(ISNUMBER(SEARCH('Source Artifacts'!$F$3,Tabla7[[#This Row],[Source IS artifacts]])),ISNUMBER(SEARCH('Source Artifacts'!$F$4,Tabla7[[#This Row],[Source IS artifacts]]))),"X","")</f>
        <v>X</v>
      </c>
      <c r="AE33" s="19" t="str">
        <f>IF(OR(ISNUMBER(SEARCH('Source Artifacts'!$L$3,Tabla7[[#This Row],[Source IS artifacts]])),ISNUMBER(SEARCH('Source Artifacts'!$L$4,Tabla7[[#This Row],[Source IS artifacts]])),ISNUMBER(SEARCH('Source Artifacts'!$L$5,Tabla7[[#This Row],[Source IS artifacts]]))),"X","")</f>
        <v/>
      </c>
      <c r="AF33" s="19" t="str">
        <f>IF(OR(ISNUMBER(SEARCH('Source Artifacts'!$I$3,Tabla7[[#This Row],[Source IS artifacts]])),ISNUMBER(SEARCH('Source Artifacts'!$I$4,Tabla7[[#This Row],[Source IS artifacts]])),ISNUMBER(SEARCH('Source Artifacts'!$I$5,Tabla7[[#This Row],[Source IS artifacts]]))),"X","")</f>
        <v/>
      </c>
      <c r="AG33" s="19" t="str">
        <f>IF(OR(ISNUMBER(SEARCH('Source Artifacts'!$E$3,Tabla7[[#This Row],[Source IS artifacts]])),ISNUMBER(SEARCH('Source Artifacts'!$E$4,Tabla7[[#This Row],[Source IS artifacts]])),ISNUMBER(SEARCH('Source Artifacts'!$E$5,Tabla7[[#This Row],[Source IS artifacts]])),ISNUMBER(SEARCH('Source Artifacts'!$E$6,Tabla7[[#This Row],[Source IS artifacts]]))),"X","")</f>
        <v>X</v>
      </c>
      <c r="AH33"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33"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33"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33"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X</v>
      </c>
      <c r="AL33" s="19" t="str">
        <f>IF(OR(ISNUMBER(SEARCH('Source Artifacts'!$D$3,Tabla7[[#This Row],[Source IS artifacts]]))),"X","")</f>
        <v/>
      </c>
      <c r="AM33"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33"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X</v>
      </c>
      <c r="AO33" s="18" t="str">
        <f>IF(OR(ISNUMBER(SEARCH(Techniques!$H$3,Tabla7[[#This Row],[Mining techniques]])),ISNUMBER(SEARCH(Techniques!$H$4,Tabla7[[#This Row],[Mining techniques]]))),"X","")</f>
        <v/>
      </c>
      <c r="AP33" s="18" t="str">
        <f>IF(OR(ISNUMBER(SEARCH(Techniques!$J$3,Tabla7[[#This Row],[Mining techniques]]))),"X","")</f>
        <v/>
      </c>
      <c r="AQ33" s="19" t="str">
        <f>IF(OR(ISNUMBER(SEARCH(Techniques!$G$3,Tabla7[[#This Row],[Mining techniques]])),ISNUMBER(SEARCH(Techniques!$G$4,Tabla7[[#This Row],[Mining techniques]]))),"X","")</f>
        <v/>
      </c>
      <c r="AR33" s="19" t="str">
        <f>IF(OR(ISNUMBER(SEARCH(Techniques!$F$3,Tabla7[[#This Row],[Mining techniques]])),ISNUMBER(SEARCH(Techniques!$F$4,Tabla7[[#This Row],[Mining techniques]]))),"X","")</f>
        <v/>
      </c>
      <c r="AS33" s="18" t="str">
        <f>IF(OR(ISNUMBER(SEARCH(Techniques!$D$3,Tabla7[[#This Row],[Mining techniques]])),ISNUMBER(SEARCH(Techniques!$D$4,Tabla7[[#This Row],[Mining techniques]]))),"X","")</f>
        <v/>
      </c>
      <c r="AT33" s="18" t="str">
        <f>IF(OR(ISNUMBER(SEARCH(Techniques!$E$3,Tabla7[[#This Row],[Mining techniques]])),ISNUMBER(SEARCH(Techniques!$E$4,Tabla7[[#This Row],[Mining techniques]]))),"X","")</f>
        <v/>
      </c>
      <c r="AU33" s="27" t="str">
        <f>IF(OR(ISNUMBER(SEARCH('EA Concern'!$I$3,Tabla7[[#This Row],[EA concern]]))),"X","")</f>
        <v/>
      </c>
      <c r="AV33" s="26" t="str">
        <f>IF(OR(ISNUMBER(SEARCH('EA Concern'!$G$3,Tabla7[[#This Row],[EA concern]])),ISNUMBER(SEARCH('EA Concern'!$G$4,Tabla7[[#This Row],[EA concern]]))),"X","")</f>
        <v>X</v>
      </c>
      <c r="AW33" s="26" t="str">
        <f>IF(OR(ISNUMBER(SEARCH('EA Concern'!$E$3,Tabla7[[#This Row],[EA concern]]))),"X","")</f>
        <v/>
      </c>
      <c r="AX33" s="26" t="str">
        <f>IF(OR(ISNUMBER(SEARCH('EA Concern'!$H$3,Tabla7[[#This Row],[EA concern]])),ISNUMBER(SEARCH('EA Concern'!$H$4,Tabla7[[#This Row],[EA concern]]))),"X","")</f>
        <v/>
      </c>
      <c r="AY33" s="26" t="str">
        <f>IF(OR(ISNUMBER(SEARCH('EA Concern'!$F$3,Tabla7[[#This Row],[EA concern]])),ISNUMBER(SEARCH('EA Concern'!$F$4,Tabla7[[#This Row],[EA concern]]))),"X","")</f>
        <v/>
      </c>
      <c r="AZ33" s="26" t="str">
        <f>IF(OR(ISNUMBER(SEARCH('EA Concern'!$D$3,Tabla7[[#This Row],[EA concern]])),ISNUMBER(SEARCH('EA Concern'!$D$4,Tabla7[[#This Row],[EA concern]]))),"X","")</f>
        <v/>
      </c>
      <c r="BA33" s="23" t="str">
        <f>IF(OR(ISNUMBER(SEARCH('EA Framework'!$J$3,Tabla7[[#This Row],[Framework/Methodology]])),ISNUMBER(SEARCH('EA Framework'!$J$4,Tabla7[[#This Row],[Framework/Methodology]]))),"X","")</f>
        <v/>
      </c>
      <c r="BB33" s="18" t="str">
        <f>IF(OR(ISNUMBER(SEARCH('EA Framework'!$I$3,Tabla7[[#This Row],[Framework/Methodology]]))),"X","")</f>
        <v>X</v>
      </c>
      <c r="BC33" s="18" t="str">
        <f>IF(OR(ISNUMBER(SEARCH('EA Framework'!$F$3,Tabla7[[#This Row],[Framework/Methodology]]))),"X","")</f>
        <v/>
      </c>
      <c r="BD33" s="18" t="str">
        <f>IF(OR(ISNUMBER(SEARCH('EA Framework'!$H$3,Tabla7[[#This Row],[Framework/Methodology]]))),"X","")</f>
        <v/>
      </c>
      <c r="BE33" s="18" t="str">
        <f>IF(OR(ISNUMBER(SEARCH('EA Framework'!$E$3,Tabla7[[#This Row],[Framework/Methodology]]))),"X","")</f>
        <v/>
      </c>
      <c r="BF33" s="18" t="str">
        <f>IF(OR(ISNUMBER(SEARCH('EA Framework'!$G$3,Tabla7[[#This Row],[Framework/Methodology]]))),"X","")</f>
        <v/>
      </c>
      <c r="BG33" s="18" t="str">
        <f>IF(OR(ISNUMBER(SEARCH('EA Framework'!$D$3,Tabla7[[#This Row],[Framework/Methodology]]))),"X","")</f>
        <v/>
      </c>
      <c r="BH33" s="22" t="str">
        <f>IF(OR(ISNUMBER(SEARCH('Modelling Language'!$M$3,Tabla7[[#This Row],[Language]])),ISNUMBER(SEARCH('Modelling Language'!$M$4,Tabla7[[#This Row],[Language]])),ISNUMBER(SEARCH('Modelling Language'!$M$5,Tabla7[[#This Row],[Language]]))),"X","")</f>
        <v/>
      </c>
      <c r="BI33" s="18" t="str">
        <f>IF(OR(ISNUMBER(SEARCH('Modelling Language'!$J$3,Tabla7[[#This Row],[Language]])),ISNUMBER(SEARCH('Modelling Language'!$J$4,Tabla7[[#This Row],[Language]]))),"X","")</f>
        <v/>
      </c>
      <c r="BJ33" s="18" t="str">
        <f>IF(OR(ISNUMBER(SEARCH('Modelling Language'!$L$3,Tabla7[[#This Row],[Language]])),ISNUMBER(SEARCH('Modelling Language'!$L$4,Tabla7[[#This Row],[Language]]))),"X","")</f>
        <v/>
      </c>
      <c r="BK33" s="18" t="str">
        <f>IF(OR(ISNUMBER(SEARCH('Modelling Language'!$K$3,Tabla7[[#This Row],[Language]])),ISNUMBER(SEARCH('Modelling Language'!$K$4,Tabla7[[#This Row],[Language]]))),"X","")</f>
        <v/>
      </c>
      <c r="BL33" s="18" t="str">
        <f>IF(OR(ISNUMBER(SEARCH('Modelling Language'!$D$3,Tabla7[[#This Row],[Language]]))),"X","")</f>
        <v/>
      </c>
      <c r="BM33" s="18" t="str">
        <f>IF(OR(ISNUMBER(SEARCH('Modelling Language'!$I$3,Tabla7[[#This Row],[Language]]))),"X","")</f>
        <v>X</v>
      </c>
      <c r="BN33" s="18" t="str">
        <f>IF(OR(ISNUMBER(SEARCH('Modelling Language'!$G$3,Tabla7[[#This Row],[Language]]))),"X","")</f>
        <v/>
      </c>
      <c r="BO33" s="18" t="str">
        <f>IF(OR(ISNUMBER(SEARCH('Modelling Language'!$F$3,Tabla7[[#This Row],[Language]]))),"X","")</f>
        <v/>
      </c>
      <c r="BP33" s="18" t="str">
        <f>IF(OR(ISNUMBER(SEARCH('Modelling Language'!$E$3,Tabla7[[#This Row],[Language]]))),"X","")</f>
        <v/>
      </c>
      <c r="BQ33" s="18" t="str">
        <f>IF(OR(ISNUMBER(SEARCH('Modelling Language'!$H$3,Tabla7[[#This Row],[Language]]))),"X","")</f>
        <v/>
      </c>
      <c r="BR33" s="18"/>
      <c r="BS33" s="22" t="str">
        <f>IF(OR(ISNUMBER(SEARCH(applicability!$D$3,Tabla7[[#This Row],[Application]])),ISNUMBER(SEARCH(applicability!$D$4,Tabla7[[#This Row],[Application]]))),"X","")</f>
        <v/>
      </c>
      <c r="BT33" s="18" t="str">
        <f>IF(OR(ISNUMBER(SEARCH(applicability!$E$3,Tabla7[[#This Row],[Application]]))),"X","")</f>
        <v/>
      </c>
      <c r="BU33" s="18" t="str">
        <f>IF(OR(ISNUMBER(SEARCH(applicability!$F$3,Tabla7[[#This Row],[Application]])),ISNUMBER(SEARCH(applicability!$F$4,Tabla7[[#This Row],[Application]]))),"X","")</f>
        <v>X</v>
      </c>
      <c r="BV33" s="18" t="str">
        <f>IF(OR(ISNUMBER(SEARCH(applicability!$G$3,Tabla7[[#This Row],[Application]]))),"X","")</f>
        <v/>
      </c>
      <c r="BW33" s="19" t="str">
        <f>IF(OR(ISNUMBER(SEARCH(applicability!$H$3,Tabla7[[#This Row],[Application]]))),"X","")</f>
        <v/>
      </c>
    </row>
    <row r="34" spans="1:75" x14ac:dyDescent="0.25">
      <c r="A34" s="13">
        <v>586</v>
      </c>
      <c r="B34" s="14">
        <v>18</v>
      </c>
      <c r="C34" s="14" t="s">
        <v>258</v>
      </c>
      <c r="D34" s="14" t="s">
        <v>257</v>
      </c>
      <c r="E34" s="15">
        <v>2017</v>
      </c>
      <c r="F34" s="15" t="s">
        <v>5296</v>
      </c>
      <c r="G34" s="15" t="s">
        <v>5296</v>
      </c>
      <c r="H34" s="15" t="s">
        <v>5296</v>
      </c>
      <c r="I34" s="15" t="s">
        <v>5296</v>
      </c>
      <c r="J34" s="14" t="s">
        <v>0</v>
      </c>
      <c r="K34" s="14" t="s">
        <v>1</v>
      </c>
      <c r="L34" s="14" t="s">
        <v>262</v>
      </c>
      <c r="M34" s="14">
        <v>5</v>
      </c>
      <c r="N34" s="14">
        <v>0</v>
      </c>
      <c r="O34" s="14" t="s">
        <v>5068</v>
      </c>
      <c r="P34" s="14" t="s">
        <v>5067</v>
      </c>
      <c r="Q34" s="14" t="s">
        <v>5283</v>
      </c>
      <c r="R34" s="14" t="s">
        <v>4974</v>
      </c>
      <c r="S34" s="14" t="s">
        <v>5012</v>
      </c>
      <c r="T34" s="14" t="s">
        <v>5003</v>
      </c>
      <c r="U34" s="14"/>
      <c r="V34" s="14" t="s">
        <v>5007</v>
      </c>
      <c r="W34" s="14">
        <v>2</v>
      </c>
      <c r="X34" s="14">
        <v>3</v>
      </c>
      <c r="Y34" s="14">
        <v>2</v>
      </c>
      <c r="Z34" s="14">
        <v>3</v>
      </c>
      <c r="AA34"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2</v>
      </c>
      <c r="AB34" s="14">
        <v>1</v>
      </c>
      <c r="AC34" s="43" t="s">
        <v>5221</v>
      </c>
      <c r="AD34" s="22" t="str">
        <f>IF(OR(ISNUMBER(SEARCH('Source Artifacts'!$F$3,Tabla7[[#This Row],[Source IS artifacts]])),ISNUMBER(SEARCH('Source Artifacts'!$F$4,Tabla7[[#This Row],[Source IS artifacts]]))),"X","")</f>
        <v/>
      </c>
      <c r="AE34" s="19" t="str">
        <f>IF(OR(ISNUMBER(SEARCH('Source Artifacts'!$L$3,Tabla7[[#This Row],[Source IS artifacts]])),ISNUMBER(SEARCH('Source Artifacts'!$L$4,Tabla7[[#This Row],[Source IS artifacts]])),ISNUMBER(SEARCH('Source Artifacts'!$L$5,Tabla7[[#This Row],[Source IS artifacts]]))),"X","")</f>
        <v/>
      </c>
      <c r="AF34" s="19" t="str">
        <f>IF(OR(ISNUMBER(SEARCH('Source Artifacts'!$I$3,Tabla7[[#This Row],[Source IS artifacts]])),ISNUMBER(SEARCH('Source Artifacts'!$I$4,Tabla7[[#This Row],[Source IS artifacts]])),ISNUMBER(SEARCH('Source Artifacts'!$I$5,Tabla7[[#This Row],[Source IS artifacts]]))),"X","")</f>
        <v/>
      </c>
      <c r="AG34" s="19" t="str">
        <f>IF(OR(ISNUMBER(SEARCH('Source Artifacts'!$E$3,Tabla7[[#This Row],[Source IS artifacts]])),ISNUMBER(SEARCH('Source Artifacts'!$E$4,Tabla7[[#This Row],[Source IS artifacts]])),ISNUMBER(SEARCH('Source Artifacts'!$E$5,Tabla7[[#This Row],[Source IS artifacts]])),ISNUMBER(SEARCH('Source Artifacts'!$E$6,Tabla7[[#This Row],[Source IS artifacts]]))),"X","")</f>
        <v>X</v>
      </c>
      <c r="AH34"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X</v>
      </c>
      <c r="AI34"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34"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34"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X</v>
      </c>
      <c r="AL34" s="19" t="str">
        <f>IF(OR(ISNUMBER(SEARCH('Source Artifacts'!$D$3,Tabla7[[#This Row],[Source IS artifacts]]))),"X","")</f>
        <v/>
      </c>
      <c r="AM34"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34"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
      </c>
      <c r="AO34" s="18" t="str">
        <f>IF(OR(ISNUMBER(SEARCH(Techniques!$H$3,Tabla7[[#This Row],[Mining techniques]])),ISNUMBER(SEARCH(Techniques!$H$4,Tabla7[[#This Row],[Mining techniques]]))),"X","")</f>
        <v/>
      </c>
      <c r="AP34" s="18" t="str">
        <f>IF(OR(ISNUMBER(SEARCH(Techniques!$J$3,Tabla7[[#This Row],[Mining techniques]]))),"X","")</f>
        <v/>
      </c>
      <c r="AQ34" s="19" t="str">
        <f>IF(OR(ISNUMBER(SEARCH(Techniques!$G$3,Tabla7[[#This Row],[Mining techniques]])),ISNUMBER(SEARCH(Techniques!$G$4,Tabla7[[#This Row],[Mining techniques]]))),"X","")</f>
        <v/>
      </c>
      <c r="AR34" s="19" t="str">
        <f>IF(OR(ISNUMBER(SEARCH(Techniques!$F$3,Tabla7[[#This Row],[Mining techniques]])),ISNUMBER(SEARCH(Techniques!$F$4,Tabla7[[#This Row],[Mining techniques]]))),"X","")</f>
        <v/>
      </c>
      <c r="AS34" s="18" t="str">
        <f>IF(OR(ISNUMBER(SEARCH(Techniques!$D$3,Tabla7[[#This Row],[Mining techniques]])),ISNUMBER(SEARCH(Techniques!$D$4,Tabla7[[#This Row],[Mining techniques]]))),"X","")</f>
        <v/>
      </c>
      <c r="AT34" s="18" t="str">
        <f>IF(OR(ISNUMBER(SEARCH(Techniques!$E$3,Tabla7[[#This Row],[Mining techniques]])),ISNUMBER(SEARCH(Techniques!$E$4,Tabla7[[#This Row],[Mining techniques]]))),"X","")</f>
        <v>X</v>
      </c>
      <c r="AU34" s="27" t="str">
        <f>IF(OR(ISNUMBER(SEARCH('EA Concern'!$I$3,Tabla7[[#This Row],[EA concern]]))),"X","")</f>
        <v/>
      </c>
      <c r="AV34" s="26" t="str">
        <f>IF(OR(ISNUMBER(SEARCH('EA Concern'!$G$3,Tabla7[[#This Row],[EA concern]])),ISNUMBER(SEARCH('EA Concern'!$G$4,Tabla7[[#This Row],[EA concern]]))),"X","")</f>
        <v>X</v>
      </c>
      <c r="AW34" s="26" t="str">
        <f>IF(OR(ISNUMBER(SEARCH('EA Concern'!$E$3,Tabla7[[#This Row],[EA concern]]))),"X","")</f>
        <v/>
      </c>
      <c r="AX34" s="26" t="str">
        <f>IF(OR(ISNUMBER(SEARCH('EA Concern'!$H$3,Tabla7[[#This Row],[EA concern]])),ISNUMBER(SEARCH('EA Concern'!$H$4,Tabla7[[#This Row],[EA concern]]))),"X","")</f>
        <v>X</v>
      </c>
      <c r="AY34" s="26" t="str">
        <f>IF(OR(ISNUMBER(SEARCH('EA Concern'!$F$3,Tabla7[[#This Row],[EA concern]])),ISNUMBER(SEARCH('EA Concern'!$F$4,Tabla7[[#This Row],[EA concern]]))),"X","")</f>
        <v>X</v>
      </c>
      <c r="AZ34" s="26" t="str">
        <f>IF(OR(ISNUMBER(SEARCH('EA Concern'!$D$3,Tabla7[[#This Row],[EA concern]])),ISNUMBER(SEARCH('EA Concern'!$D$4,Tabla7[[#This Row],[EA concern]]))),"X","")</f>
        <v/>
      </c>
      <c r="BA34" s="23" t="str">
        <f>IF(OR(ISNUMBER(SEARCH('EA Framework'!$J$3,Tabla7[[#This Row],[Framework/Methodology]])),ISNUMBER(SEARCH('EA Framework'!$J$4,Tabla7[[#This Row],[Framework/Methodology]]))),"X","")</f>
        <v>X</v>
      </c>
      <c r="BB34" s="18" t="str">
        <f>IF(OR(ISNUMBER(SEARCH('EA Framework'!$I$3,Tabla7[[#This Row],[Framework/Methodology]]))),"X","")</f>
        <v/>
      </c>
      <c r="BC34" s="18" t="str">
        <f>IF(OR(ISNUMBER(SEARCH('EA Framework'!$F$3,Tabla7[[#This Row],[Framework/Methodology]]))),"X","")</f>
        <v/>
      </c>
      <c r="BD34" s="18" t="str">
        <f>IF(OR(ISNUMBER(SEARCH('EA Framework'!$H$3,Tabla7[[#This Row],[Framework/Methodology]]))),"X","")</f>
        <v/>
      </c>
      <c r="BE34" s="18" t="str">
        <f>IF(OR(ISNUMBER(SEARCH('EA Framework'!$E$3,Tabla7[[#This Row],[Framework/Methodology]]))),"X","")</f>
        <v/>
      </c>
      <c r="BF34" s="18" t="str">
        <f>IF(OR(ISNUMBER(SEARCH('EA Framework'!$G$3,Tabla7[[#This Row],[Framework/Methodology]]))),"X","")</f>
        <v/>
      </c>
      <c r="BG34" s="18" t="str">
        <f>IF(OR(ISNUMBER(SEARCH('EA Framework'!$D$3,Tabla7[[#This Row],[Framework/Methodology]]))),"X","")</f>
        <v/>
      </c>
      <c r="BH34" s="22" t="str">
        <f>IF(OR(ISNUMBER(SEARCH('Modelling Language'!$M$3,Tabla7[[#This Row],[Language]])),ISNUMBER(SEARCH('Modelling Language'!$M$4,Tabla7[[#This Row],[Language]])),ISNUMBER(SEARCH('Modelling Language'!$M$5,Tabla7[[#This Row],[Language]]))),"X","")</f>
        <v/>
      </c>
      <c r="BI34" s="18" t="str">
        <f>IF(OR(ISNUMBER(SEARCH('Modelling Language'!$J$3,Tabla7[[#This Row],[Language]])),ISNUMBER(SEARCH('Modelling Language'!$J$4,Tabla7[[#This Row],[Language]]))),"X","")</f>
        <v/>
      </c>
      <c r="BJ34" s="18" t="str">
        <f>IF(OR(ISNUMBER(SEARCH('Modelling Language'!$L$3,Tabla7[[#This Row],[Language]])),ISNUMBER(SEARCH('Modelling Language'!$L$4,Tabla7[[#This Row],[Language]]))),"X","")</f>
        <v/>
      </c>
      <c r="BK34" s="18" t="str">
        <f>IF(OR(ISNUMBER(SEARCH('Modelling Language'!$K$3,Tabla7[[#This Row],[Language]])),ISNUMBER(SEARCH('Modelling Language'!$K$4,Tabla7[[#This Row],[Language]]))),"X","")</f>
        <v/>
      </c>
      <c r="BL34" s="18" t="str">
        <f>IF(OR(ISNUMBER(SEARCH('Modelling Language'!$D$3,Tabla7[[#This Row],[Language]]))),"X","")</f>
        <v/>
      </c>
      <c r="BM34" s="18" t="str">
        <f>IF(OR(ISNUMBER(SEARCH('Modelling Language'!$I$3,Tabla7[[#This Row],[Language]]))),"X","")</f>
        <v/>
      </c>
      <c r="BN34" s="18" t="str">
        <f>IF(OR(ISNUMBER(SEARCH('Modelling Language'!$G$3,Tabla7[[#This Row],[Language]]))),"X","")</f>
        <v/>
      </c>
      <c r="BO34" s="18" t="str">
        <f>IF(OR(ISNUMBER(SEARCH('Modelling Language'!$F$3,Tabla7[[#This Row],[Language]]))),"X","")</f>
        <v/>
      </c>
      <c r="BP34" s="18" t="str">
        <f>IF(OR(ISNUMBER(SEARCH('Modelling Language'!$E$3,Tabla7[[#This Row],[Language]]))),"X","")</f>
        <v/>
      </c>
      <c r="BQ34" s="18" t="str">
        <f>IF(OR(ISNUMBER(SEARCH('Modelling Language'!$H$3,Tabla7[[#This Row],[Language]]))),"X","")</f>
        <v/>
      </c>
      <c r="BR34" s="18"/>
      <c r="BS34" s="22" t="str">
        <f>IF(OR(ISNUMBER(SEARCH(applicability!$D$3,Tabla7[[#This Row],[Application]])),ISNUMBER(SEARCH(applicability!$D$4,Tabla7[[#This Row],[Application]]))),"X","")</f>
        <v/>
      </c>
      <c r="BT34" s="18" t="str">
        <f>IF(OR(ISNUMBER(SEARCH(applicability!$E$3,Tabla7[[#This Row],[Application]]))),"X","")</f>
        <v>X</v>
      </c>
      <c r="BU34" s="18" t="str">
        <f>IF(OR(ISNUMBER(SEARCH(applicability!$F$3,Tabla7[[#This Row],[Application]])),ISNUMBER(SEARCH(applicability!$F$4,Tabla7[[#This Row],[Application]]))),"X","")</f>
        <v/>
      </c>
      <c r="BV34" s="18" t="str">
        <f>IF(OR(ISNUMBER(SEARCH(applicability!$G$3,Tabla7[[#This Row],[Application]]))),"X","")</f>
        <v/>
      </c>
      <c r="BW34" s="19" t="str">
        <f>IF(OR(ISNUMBER(SEARCH(applicability!$H$3,Tabla7[[#This Row],[Application]]))),"X","")</f>
        <v/>
      </c>
    </row>
    <row r="35" spans="1:75" x14ac:dyDescent="0.25">
      <c r="A35" s="13">
        <v>347</v>
      </c>
      <c r="B35" s="14">
        <v>22</v>
      </c>
      <c r="C35" s="14" t="s">
        <v>532</v>
      </c>
      <c r="D35" s="14" t="s">
        <v>217</v>
      </c>
      <c r="E35" s="15">
        <v>2011</v>
      </c>
      <c r="F35" s="15" t="s">
        <v>5295</v>
      </c>
      <c r="G35" s="15" t="s">
        <v>5295</v>
      </c>
      <c r="H35" s="15" t="s">
        <v>5296</v>
      </c>
      <c r="I35" s="15" t="s">
        <v>5296</v>
      </c>
      <c r="J35" s="14" t="s">
        <v>0</v>
      </c>
      <c r="K35" s="14" t="s">
        <v>4231</v>
      </c>
      <c r="L35" s="14" t="s">
        <v>536</v>
      </c>
      <c r="M35" s="14">
        <v>7</v>
      </c>
      <c r="N35" s="14">
        <v>0</v>
      </c>
      <c r="O35" s="14" t="s">
        <v>5257</v>
      </c>
      <c r="P35" s="14" t="s">
        <v>5015</v>
      </c>
      <c r="Q35" s="14" t="s">
        <v>5277</v>
      </c>
      <c r="R35" s="14" t="s">
        <v>4974</v>
      </c>
      <c r="S35" s="14" t="s">
        <v>658</v>
      </c>
      <c r="T35" s="14" t="s">
        <v>834</v>
      </c>
      <c r="U35" s="14" t="s">
        <v>5047</v>
      </c>
      <c r="V35" s="14"/>
      <c r="W35" s="14">
        <v>4</v>
      </c>
      <c r="X35" s="14">
        <v>4</v>
      </c>
      <c r="Y35" s="14">
        <v>3</v>
      </c>
      <c r="Z35" s="14">
        <v>4</v>
      </c>
      <c r="AA35"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1</v>
      </c>
      <c r="AB35" s="14">
        <v>1</v>
      </c>
      <c r="AC35" s="43" t="s">
        <v>5221</v>
      </c>
      <c r="AD35" s="22" t="str">
        <f>IF(OR(ISNUMBER(SEARCH('Source Artifacts'!$F$3,Tabla7[[#This Row],[Source IS artifacts]])),ISNUMBER(SEARCH('Source Artifacts'!$F$4,Tabla7[[#This Row],[Source IS artifacts]]))),"X","")</f>
        <v>X</v>
      </c>
      <c r="AE35" s="19" t="str">
        <f>IF(OR(ISNUMBER(SEARCH('Source Artifacts'!$L$3,Tabla7[[#This Row],[Source IS artifacts]])),ISNUMBER(SEARCH('Source Artifacts'!$L$4,Tabla7[[#This Row],[Source IS artifacts]])),ISNUMBER(SEARCH('Source Artifacts'!$L$5,Tabla7[[#This Row],[Source IS artifacts]]))),"X","")</f>
        <v/>
      </c>
      <c r="AF35" s="19" t="str">
        <f>IF(OR(ISNUMBER(SEARCH('Source Artifacts'!$I$3,Tabla7[[#This Row],[Source IS artifacts]])),ISNUMBER(SEARCH('Source Artifacts'!$I$4,Tabla7[[#This Row],[Source IS artifacts]])),ISNUMBER(SEARCH('Source Artifacts'!$I$5,Tabla7[[#This Row],[Source IS artifacts]]))),"X","")</f>
        <v/>
      </c>
      <c r="AG35"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35"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35"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35"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35"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35" s="19" t="str">
        <f>IF(OR(ISNUMBER(SEARCH('Source Artifacts'!$D$3,Tabla7[[#This Row],[Source IS artifacts]]))),"X","")</f>
        <v/>
      </c>
      <c r="AM35"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35"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X</v>
      </c>
      <c r="AO35" s="18" t="str">
        <f>IF(OR(ISNUMBER(SEARCH(Techniques!$H$3,Tabla7[[#This Row],[Mining techniques]])),ISNUMBER(SEARCH(Techniques!$H$4,Tabla7[[#This Row],[Mining techniques]]))),"X","")</f>
        <v/>
      </c>
      <c r="AP35" s="18" t="str">
        <f>IF(OR(ISNUMBER(SEARCH(Techniques!$J$3,Tabla7[[#This Row],[Mining techniques]]))),"X","")</f>
        <v/>
      </c>
      <c r="AQ35" s="19" t="str">
        <f>IF(OR(ISNUMBER(SEARCH(Techniques!$G$3,Tabla7[[#This Row],[Mining techniques]])),ISNUMBER(SEARCH(Techniques!$G$4,Tabla7[[#This Row],[Mining techniques]]))),"X","")</f>
        <v/>
      </c>
      <c r="AR35" s="19" t="str">
        <f>IF(OR(ISNUMBER(SEARCH(Techniques!$F$3,Tabla7[[#This Row],[Mining techniques]])),ISNUMBER(SEARCH(Techniques!$F$4,Tabla7[[#This Row],[Mining techniques]]))),"X","")</f>
        <v/>
      </c>
      <c r="AS35" s="18" t="str">
        <f>IF(OR(ISNUMBER(SEARCH(Techniques!$D$3,Tabla7[[#This Row],[Mining techniques]])),ISNUMBER(SEARCH(Techniques!$D$4,Tabla7[[#This Row],[Mining techniques]]))),"X","")</f>
        <v/>
      </c>
      <c r="AT35" s="18" t="str">
        <f>IF(OR(ISNUMBER(SEARCH(Techniques!$E$3,Tabla7[[#This Row],[Mining techniques]])),ISNUMBER(SEARCH(Techniques!$E$4,Tabla7[[#This Row],[Mining techniques]]))),"X","")</f>
        <v/>
      </c>
      <c r="AU35" s="27" t="str">
        <f>IF(OR(ISNUMBER(SEARCH('EA Concern'!$I$3,Tabla7[[#This Row],[EA concern]]))),"X","")</f>
        <v>X</v>
      </c>
      <c r="AV35" s="26" t="str">
        <f>IF(OR(ISNUMBER(SEARCH('EA Concern'!$G$3,Tabla7[[#This Row],[EA concern]])),ISNUMBER(SEARCH('EA Concern'!$G$4,Tabla7[[#This Row],[EA concern]]))),"X","")</f>
        <v/>
      </c>
      <c r="AW35" s="26" t="str">
        <f>IF(OR(ISNUMBER(SEARCH('EA Concern'!$E$3,Tabla7[[#This Row],[EA concern]]))),"X","")</f>
        <v/>
      </c>
      <c r="AX35" s="26" t="str">
        <f>IF(OR(ISNUMBER(SEARCH('EA Concern'!$H$3,Tabla7[[#This Row],[EA concern]])),ISNUMBER(SEARCH('EA Concern'!$H$4,Tabla7[[#This Row],[EA concern]]))),"X","")</f>
        <v/>
      </c>
      <c r="AY35" s="26" t="str">
        <f>IF(OR(ISNUMBER(SEARCH('EA Concern'!$F$3,Tabla7[[#This Row],[EA concern]])),ISNUMBER(SEARCH('EA Concern'!$F$4,Tabla7[[#This Row],[EA concern]]))),"X","")</f>
        <v/>
      </c>
      <c r="AZ35" s="26" t="str">
        <f>IF(OR(ISNUMBER(SEARCH('EA Concern'!$D$3,Tabla7[[#This Row],[EA concern]])),ISNUMBER(SEARCH('EA Concern'!$D$4,Tabla7[[#This Row],[EA concern]]))),"X","")</f>
        <v/>
      </c>
      <c r="BA35" s="23" t="str">
        <f>IF(OR(ISNUMBER(SEARCH('EA Framework'!$J$3,Tabla7[[#This Row],[Framework/Methodology]])),ISNUMBER(SEARCH('EA Framework'!$J$4,Tabla7[[#This Row],[Framework/Methodology]]))),"X","")</f>
        <v/>
      </c>
      <c r="BB35" s="18" t="str">
        <f>IF(OR(ISNUMBER(SEARCH('EA Framework'!$I$3,Tabla7[[#This Row],[Framework/Methodology]]))),"X","")</f>
        <v>X</v>
      </c>
      <c r="BC35" s="18" t="str">
        <f>IF(OR(ISNUMBER(SEARCH('EA Framework'!$F$3,Tabla7[[#This Row],[Framework/Methodology]]))),"X","")</f>
        <v/>
      </c>
      <c r="BD35" s="18" t="str">
        <f>IF(OR(ISNUMBER(SEARCH('EA Framework'!$H$3,Tabla7[[#This Row],[Framework/Methodology]]))),"X","")</f>
        <v/>
      </c>
      <c r="BE35" s="18" t="str">
        <f>IF(OR(ISNUMBER(SEARCH('EA Framework'!$E$3,Tabla7[[#This Row],[Framework/Methodology]]))),"X","")</f>
        <v/>
      </c>
      <c r="BF35" s="18" t="str">
        <f>IF(OR(ISNUMBER(SEARCH('EA Framework'!$G$3,Tabla7[[#This Row],[Framework/Methodology]]))),"X","")</f>
        <v/>
      </c>
      <c r="BG35" s="18" t="str">
        <f>IF(OR(ISNUMBER(SEARCH('EA Framework'!$D$3,Tabla7[[#This Row],[Framework/Methodology]]))),"X","")</f>
        <v/>
      </c>
      <c r="BH35" s="22" t="str">
        <f>IF(OR(ISNUMBER(SEARCH('Modelling Language'!$M$3,Tabla7[[#This Row],[Language]])),ISNUMBER(SEARCH('Modelling Language'!$M$4,Tabla7[[#This Row],[Language]])),ISNUMBER(SEARCH('Modelling Language'!$M$5,Tabla7[[#This Row],[Language]]))),"X","")</f>
        <v/>
      </c>
      <c r="BI35" s="18" t="str">
        <f>IF(OR(ISNUMBER(SEARCH('Modelling Language'!$J$3,Tabla7[[#This Row],[Language]])),ISNUMBER(SEARCH('Modelling Language'!$J$4,Tabla7[[#This Row],[Language]]))),"X","")</f>
        <v>X</v>
      </c>
      <c r="BJ35" s="18" t="str">
        <f>IF(OR(ISNUMBER(SEARCH('Modelling Language'!$L$3,Tabla7[[#This Row],[Language]])),ISNUMBER(SEARCH('Modelling Language'!$L$4,Tabla7[[#This Row],[Language]]))),"X","")</f>
        <v/>
      </c>
      <c r="BK35" s="18" t="str">
        <f>IF(OR(ISNUMBER(SEARCH('Modelling Language'!$K$3,Tabla7[[#This Row],[Language]])),ISNUMBER(SEARCH('Modelling Language'!$K$4,Tabla7[[#This Row],[Language]]))),"X","")</f>
        <v/>
      </c>
      <c r="BL35" s="18" t="str">
        <f>IF(OR(ISNUMBER(SEARCH('Modelling Language'!$D$3,Tabla7[[#This Row],[Language]]))),"X","")</f>
        <v/>
      </c>
      <c r="BM35" s="18" t="str">
        <f>IF(OR(ISNUMBER(SEARCH('Modelling Language'!$I$3,Tabla7[[#This Row],[Language]]))),"X","")</f>
        <v/>
      </c>
      <c r="BN35" s="18" t="str">
        <f>IF(OR(ISNUMBER(SEARCH('Modelling Language'!$G$3,Tabla7[[#This Row],[Language]]))),"X","")</f>
        <v/>
      </c>
      <c r="BO35" s="18" t="str">
        <f>IF(OR(ISNUMBER(SEARCH('Modelling Language'!$F$3,Tabla7[[#This Row],[Language]]))),"X","")</f>
        <v/>
      </c>
      <c r="BP35" s="18" t="str">
        <f>IF(OR(ISNUMBER(SEARCH('Modelling Language'!$E$3,Tabla7[[#This Row],[Language]]))),"X","")</f>
        <v/>
      </c>
      <c r="BQ35" s="18" t="str">
        <f>IF(OR(ISNUMBER(SEARCH('Modelling Language'!$H$3,Tabla7[[#This Row],[Language]]))),"X","")</f>
        <v/>
      </c>
      <c r="BR35" s="18"/>
      <c r="BS35" s="22" t="str">
        <f>IF(OR(ISNUMBER(SEARCH(applicability!$D$3,Tabla7[[#This Row],[Application]])),ISNUMBER(SEARCH(applicability!$D$4,Tabla7[[#This Row],[Application]]))),"X","")</f>
        <v/>
      </c>
      <c r="BT35" s="18" t="str">
        <f>IF(OR(ISNUMBER(SEARCH(applicability!$E$3,Tabla7[[#This Row],[Application]]))),"X","")</f>
        <v/>
      </c>
      <c r="BU35" s="18" t="str">
        <f>IF(OR(ISNUMBER(SEARCH(applicability!$F$3,Tabla7[[#This Row],[Application]])),ISNUMBER(SEARCH(applicability!$F$4,Tabla7[[#This Row],[Application]]))),"X","")</f>
        <v/>
      </c>
      <c r="BV35" s="18" t="str">
        <f>IF(OR(ISNUMBER(SEARCH(applicability!$G$3,Tabla7[[#This Row],[Application]]))),"X","")</f>
        <v/>
      </c>
      <c r="BW35" s="19" t="str">
        <f>IF(OR(ISNUMBER(SEARCH(applicability!$H$3,Tabla7[[#This Row],[Application]]))),"X","")</f>
        <v/>
      </c>
    </row>
    <row r="36" spans="1:75" x14ac:dyDescent="0.25">
      <c r="A36" s="13">
        <v>209</v>
      </c>
      <c r="B36" s="14">
        <v>24</v>
      </c>
      <c r="C36" s="14" t="s">
        <v>70</v>
      </c>
      <c r="D36" s="14" t="s">
        <v>69</v>
      </c>
      <c r="E36" s="15">
        <v>2015</v>
      </c>
      <c r="F36" s="15" t="s">
        <v>5295</v>
      </c>
      <c r="G36" s="15" t="s">
        <v>5295</v>
      </c>
      <c r="H36" s="15" t="s">
        <v>5296</v>
      </c>
      <c r="I36" s="15" t="s">
        <v>5296</v>
      </c>
      <c r="J36" s="14" t="s">
        <v>0</v>
      </c>
      <c r="K36" s="14" t="s">
        <v>4388</v>
      </c>
      <c r="L36" s="14" t="s">
        <v>170</v>
      </c>
      <c r="M36" s="14">
        <v>5</v>
      </c>
      <c r="N36" s="14">
        <v>0</v>
      </c>
      <c r="O36" s="14" t="s">
        <v>4995</v>
      </c>
      <c r="P36" s="14" t="s">
        <v>5031</v>
      </c>
      <c r="Q36" s="14" t="s">
        <v>5277</v>
      </c>
      <c r="R36" s="14" t="s">
        <v>4974</v>
      </c>
      <c r="S36" s="14" t="s">
        <v>658</v>
      </c>
      <c r="T36" s="14" t="s">
        <v>834</v>
      </c>
      <c r="U36" s="14"/>
      <c r="V36" s="14"/>
      <c r="W36" s="14">
        <v>4</v>
      </c>
      <c r="X36" s="14">
        <v>1</v>
      </c>
      <c r="Y36" s="14">
        <v>3</v>
      </c>
      <c r="Z36" s="14">
        <v>4</v>
      </c>
      <c r="AA36"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1</v>
      </c>
      <c r="AB36" s="14">
        <v>1</v>
      </c>
      <c r="AC36" s="43" t="s">
        <v>5222</v>
      </c>
      <c r="AD36" s="22" t="str">
        <f>IF(OR(ISNUMBER(SEARCH('Source Artifacts'!$F$3,Tabla7[[#This Row],[Source IS artifacts]])),ISNUMBER(SEARCH('Source Artifacts'!$F$4,Tabla7[[#This Row],[Source IS artifacts]]))),"X","")</f>
        <v/>
      </c>
      <c r="AE36" s="19" t="str">
        <f>IF(OR(ISNUMBER(SEARCH('Source Artifacts'!$L$3,Tabla7[[#This Row],[Source IS artifacts]])),ISNUMBER(SEARCH('Source Artifacts'!$L$4,Tabla7[[#This Row],[Source IS artifacts]])),ISNUMBER(SEARCH('Source Artifacts'!$L$5,Tabla7[[#This Row],[Source IS artifacts]]))),"X","")</f>
        <v>X</v>
      </c>
      <c r="AF36" s="19" t="str">
        <f>IF(OR(ISNUMBER(SEARCH('Source Artifacts'!$I$3,Tabla7[[#This Row],[Source IS artifacts]])),ISNUMBER(SEARCH('Source Artifacts'!$I$4,Tabla7[[#This Row],[Source IS artifacts]])),ISNUMBER(SEARCH('Source Artifacts'!$I$5,Tabla7[[#This Row],[Source IS artifacts]]))),"X","")</f>
        <v/>
      </c>
      <c r="AG36"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36"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36"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36"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36"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36" s="19" t="str">
        <f>IF(OR(ISNUMBER(SEARCH('Source Artifacts'!$D$3,Tabla7[[#This Row],[Source IS artifacts]]))),"X","")</f>
        <v/>
      </c>
      <c r="AM36"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X</v>
      </c>
      <c r="AN36"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
      </c>
      <c r="AO36" s="18" t="str">
        <f>IF(OR(ISNUMBER(SEARCH(Techniques!$H$3,Tabla7[[#This Row],[Mining techniques]])),ISNUMBER(SEARCH(Techniques!$H$4,Tabla7[[#This Row],[Mining techniques]]))),"X","")</f>
        <v/>
      </c>
      <c r="AP36" s="18" t="str">
        <f>IF(OR(ISNUMBER(SEARCH(Techniques!$J$3,Tabla7[[#This Row],[Mining techniques]]))),"X","")</f>
        <v/>
      </c>
      <c r="AQ36" s="19" t="str">
        <f>IF(OR(ISNUMBER(SEARCH(Techniques!$G$3,Tabla7[[#This Row],[Mining techniques]])),ISNUMBER(SEARCH(Techniques!$G$4,Tabla7[[#This Row],[Mining techniques]]))),"X","")</f>
        <v/>
      </c>
      <c r="AR36" s="19" t="str">
        <f>IF(OR(ISNUMBER(SEARCH(Techniques!$F$3,Tabla7[[#This Row],[Mining techniques]])),ISNUMBER(SEARCH(Techniques!$F$4,Tabla7[[#This Row],[Mining techniques]]))),"X","")</f>
        <v/>
      </c>
      <c r="AS36" s="18" t="str">
        <f>IF(OR(ISNUMBER(SEARCH(Techniques!$D$3,Tabla7[[#This Row],[Mining techniques]])),ISNUMBER(SEARCH(Techniques!$D$4,Tabla7[[#This Row],[Mining techniques]]))),"X","")</f>
        <v/>
      </c>
      <c r="AT36" s="18" t="str">
        <f>IF(OR(ISNUMBER(SEARCH(Techniques!$E$3,Tabla7[[#This Row],[Mining techniques]])),ISNUMBER(SEARCH(Techniques!$E$4,Tabla7[[#This Row],[Mining techniques]]))),"X","")</f>
        <v/>
      </c>
      <c r="AU36" s="27" t="str">
        <f>IF(OR(ISNUMBER(SEARCH('EA Concern'!$I$3,Tabla7[[#This Row],[EA concern]]))),"X","")</f>
        <v>X</v>
      </c>
      <c r="AV36" s="26" t="str">
        <f>IF(OR(ISNUMBER(SEARCH('EA Concern'!$G$3,Tabla7[[#This Row],[EA concern]])),ISNUMBER(SEARCH('EA Concern'!$G$4,Tabla7[[#This Row],[EA concern]]))),"X","")</f>
        <v/>
      </c>
      <c r="AW36" s="26" t="str">
        <f>IF(OR(ISNUMBER(SEARCH('EA Concern'!$E$3,Tabla7[[#This Row],[EA concern]]))),"X","")</f>
        <v/>
      </c>
      <c r="AX36" s="26" t="str">
        <f>IF(OR(ISNUMBER(SEARCH('EA Concern'!$H$3,Tabla7[[#This Row],[EA concern]])),ISNUMBER(SEARCH('EA Concern'!$H$4,Tabla7[[#This Row],[EA concern]]))),"X","")</f>
        <v/>
      </c>
      <c r="AY36" s="26" t="str">
        <f>IF(OR(ISNUMBER(SEARCH('EA Concern'!$F$3,Tabla7[[#This Row],[EA concern]])),ISNUMBER(SEARCH('EA Concern'!$F$4,Tabla7[[#This Row],[EA concern]]))),"X","")</f>
        <v/>
      </c>
      <c r="AZ36" s="26" t="str">
        <f>IF(OR(ISNUMBER(SEARCH('EA Concern'!$D$3,Tabla7[[#This Row],[EA concern]])),ISNUMBER(SEARCH('EA Concern'!$D$4,Tabla7[[#This Row],[EA concern]]))),"X","")</f>
        <v/>
      </c>
      <c r="BA36" s="23" t="str">
        <f>IF(OR(ISNUMBER(SEARCH('EA Framework'!$J$3,Tabla7[[#This Row],[Framework/Methodology]])),ISNUMBER(SEARCH('EA Framework'!$J$4,Tabla7[[#This Row],[Framework/Methodology]]))),"X","")</f>
        <v/>
      </c>
      <c r="BB36" s="18" t="str">
        <f>IF(OR(ISNUMBER(SEARCH('EA Framework'!$I$3,Tabla7[[#This Row],[Framework/Methodology]]))),"X","")</f>
        <v>X</v>
      </c>
      <c r="BC36" s="18" t="str">
        <f>IF(OR(ISNUMBER(SEARCH('EA Framework'!$F$3,Tabla7[[#This Row],[Framework/Methodology]]))),"X","")</f>
        <v/>
      </c>
      <c r="BD36" s="18" t="str">
        <f>IF(OR(ISNUMBER(SEARCH('EA Framework'!$H$3,Tabla7[[#This Row],[Framework/Methodology]]))),"X","")</f>
        <v/>
      </c>
      <c r="BE36" s="18" t="str">
        <f>IF(OR(ISNUMBER(SEARCH('EA Framework'!$E$3,Tabla7[[#This Row],[Framework/Methodology]]))),"X","")</f>
        <v/>
      </c>
      <c r="BF36" s="18" t="str">
        <f>IF(OR(ISNUMBER(SEARCH('EA Framework'!$G$3,Tabla7[[#This Row],[Framework/Methodology]]))),"X","")</f>
        <v/>
      </c>
      <c r="BG36" s="18" t="str">
        <f>IF(OR(ISNUMBER(SEARCH('EA Framework'!$D$3,Tabla7[[#This Row],[Framework/Methodology]]))),"X","")</f>
        <v/>
      </c>
      <c r="BH36" s="22" t="str">
        <f>IF(OR(ISNUMBER(SEARCH('Modelling Language'!$M$3,Tabla7[[#This Row],[Language]])),ISNUMBER(SEARCH('Modelling Language'!$M$4,Tabla7[[#This Row],[Language]])),ISNUMBER(SEARCH('Modelling Language'!$M$5,Tabla7[[#This Row],[Language]]))),"X","")</f>
        <v/>
      </c>
      <c r="BI36" s="18" t="str">
        <f>IF(OR(ISNUMBER(SEARCH('Modelling Language'!$J$3,Tabla7[[#This Row],[Language]])),ISNUMBER(SEARCH('Modelling Language'!$J$4,Tabla7[[#This Row],[Language]]))),"X","")</f>
        <v/>
      </c>
      <c r="BJ36" s="18" t="str">
        <f>IF(OR(ISNUMBER(SEARCH('Modelling Language'!$L$3,Tabla7[[#This Row],[Language]])),ISNUMBER(SEARCH('Modelling Language'!$L$4,Tabla7[[#This Row],[Language]]))),"X","")</f>
        <v/>
      </c>
      <c r="BK36" s="18" t="str">
        <f>IF(OR(ISNUMBER(SEARCH('Modelling Language'!$K$3,Tabla7[[#This Row],[Language]])),ISNUMBER(SEARCH('Modelling Language'!$K$4,Tabla7[[#This Row],[Language]]))),"X","")</f>
        <v/>
      </c>
      <c r="BL36" s="18" t="str">
        <f>IF(OR(ISNUMBER(SEARCH('Modelling Language'!$D$3,Tabla7[[#This Row],[Language]]))),"X","")</f>
        <v/>
      </c>
      <c r="BM36" s="18" t="str">
        <f>IF(OR(ISNUMBER(SEARCH('Modelling Language'!$I$3,Tabla7[[#This Row],[Language]]))),"X","")</f>
        <v/>
      </c>
      <c r="BN36" s="18" t="str">
        <f>IF(OR(ISNUMBER(SEARCH('Modelling Language'!$G$3,Tabla7[[#This Row],[Language]]))),"X","")</f>
        <v/>
      </c>
      <c r="BO36" s="18" t="str">
        <f>IF(OR(ISNUMBER(SEARCH('Modelling Language'!$F$3,Tabla7[[#This Row],[Language]]))),"X","")</f>
        <v/>
      </c>
      <c r="BP36" s="18" t="str">
        <f>IF(OR(ISNUMBER(SEARCH('Modelling Language'!$E$3,Tabla7[[#This Row],[Language]]))),"X","")</f>
        <v/>
      </c>
      <c r="BQ36" s="18" t="str">
        <f>IF(OR(ISNUMBER(SEARCH('Modelling Language'!$H$3,Tabla7[[#This Row],[Language]]))),"X","")</f>
        <v/>
      </c>
      <c r="BR36" s="18"/>
      <c r="BS36" s="22" t="str">
        <f>IF(OR(ISNUMBER(SEARCH(applicability!$D$3,Tabla7[[#This Row],[Application]])),ISNUMBER(SEARCH(applicability!$D$4,Tabla7[[#This Row],[Application]]))),"X","")</f>
        <v/>
      </c>
      <c r="BT36" s="18" t="str">
        <f>IF(OR(ISNUMBER(SEARCH(applicability!$E$3,Tabla7[[#This Row],[Application]]))),"X","")</f>
        <v/>
      </c>
      <c r="BU36" s="18" t="str">
        <f>IF(OR(ISNUMBER(SEARCH(applicability!$F$3,Tabla7[[#This Row],[Application]])),ISNUMBER(SEARCH(applicability!$F$4,Tabla7[[#This Row],[Application]]))),"X","")</f>
        <v/>
      </c>
      <c r="BV36" s="18" t="str">
        <f>IF(OR(ISNUMBER(SEARCH(applicability!$G$3,Tabla7[[#This Row],[Application]]))),"X","")</f>
        <v/>
      </c>
      <c r="BW36" s="19" t="str">
        <f>IF(OR(ISNUMBER(SEARCH(applicability!$H$3,Tabla7[[#This Row],[Application]]))),"X","")</f>
        <v/>
      </c>
    </row>
    <row r="37" spans="1:75" x14ac:dyDescent="0.25">
      <c r="A37" s="13">
        <v>156</v>
      </c>
      <c r="B37" s="14">
        <v>25</v>
      </c>
      <c r="C37" s="14" t="s">
        <v>2499</v>
      </c>
      <c r="D37" s="14" t="s">
        <v>4445</v>
      </c>
      <c r="E37" s="15">
        <v>2015</v>
      </c>
      <c r="F37" s="15" t="s">
        <v>5295</v>
      </c>
      <c r="G37" s="15" t="s">
        <v>5295</v>
      </c>
      <c r="H37" s="15" t="s">
        <v>5296</v>
      </c>
      <c r="I37" s="15" t="s">
        <v>5296</v>
      </c>
      <c r="J37" s="14" t="s">
        <v>0</v>
      </c>
      <c r="K37" s="14" t="s">
        <v>4446</v>
      </c>
      <c r="L37" s="14" t="s">
        <v>2502</v>
      </c>
      <c r="M37" s="14">
        <v>6</v>
      </c>
      <c r="N37" s="14">
        <v>0</v>
      </c>
      <c r="O37" s="14" t="s">
        <v>5023</v>
      </c>
      <c r="P37" s="14" t="s">
        <v>5022</v>
      </c>
      <c r="Q37" s="14" t="s">
        <v>4999</v>
      </c>
      <c r="R37" s="14" t="s">
        <v>4974</v>
      </c>
      <c r="S37" s="14" t="s">
        <v>658</v>
      </c>
      <c r="T37" s="14" t="s">
        <v>5003</v>
      </c>
      <c r="U37" s="14" t="s">
        <v>5024</v>
      </c>
      <c r="V37" s="14" t="s">
        <v>5025</v>
      </c>
      <c r="W37" s="14">
        <v>3</v>
      </c>
      <c r="X37" s="14">
        <v>2</v>
      </c>
      <c r="Y37" s="14">
        <v>2</v>
      </c>
      <c r="Z37" s="14">
        <v>2</v>
      </c>
      <c r="AA37"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1</v>
      </c>
      <c r="AB37" s="14">
        <v>1</v>
      </c>
      <c r="AC37" s="43" t="s">
        <v>5221</v>
      </c>
      <c r="AD37" s="22" t="str">
        <f>IF(OR(ISNUMBER(SEARCH('Source Artifacts'!$F$3,Tabla7[[#This Row],[Source IS artifacts]])),ISNUMBER(SEARCH('Source Artifacts'!$F$4,Tabla7[[#This Row],[Source IS artifacts]]))),"X","")</f>
        <v/>
      </c>
      <c r="AE37" s="19" t="str">
        <f>IF(OR(ISNUMBER(SEARCH('Source Artifacts'!$L$3,Tabla7[[#This Row],[Source IS artifacts]])),ISNUMBER(SEARCH('Source Artifacts'!$L$4,Tabla7[[#This Row],[Source IS artifacts]])),ISNUMBER(SEARCH('Source Artifacts'!$L$5,Tabla7[[#This Row],[Source IS artifacts]]))),"X","")</f>
        <v/>
      </c>
      <c r="AF37" s="19" t="str">
        <f>IF(OR(ISNUMBER(SEARCH('Source Artifacts'!$I$3,Tabla7[[#This Row],[Source IS artifacts]])),ISNUMBER(SEARCH('Source Artifacts'!$I$4,Tabla7[[#This Row],[Source IS artifacts]])),ISNUMBER(SEARCH('Source Artifacts'!$I$5,Tabla7[[#This Row],[Source IS artifacts]]))),"X","")</f>
        <v/>
      </c>
      <c r="AG37"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37"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37"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37"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37"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X</v>
      </c>
      <c r="AL37" s="19" t="str">
        <f>IF(OR(ISNUMBER(SEARCH('Source Artifacts'!$D$3,Tabla7[[#This Row],[Source IS artifacts]]))),"X","")</f>
        <v/>
      </c>
      <c r="AM37"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37"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
      </c>
      <c r="AO37" s="18" t="str">
        <f>IF(OR(ISNUMBER(SEARCH(Techniques!$H$3,Tabla7[[#This Row],[Mining techniques]])),ISNUMBER(SEARCH(Techniques!$H$4,Tabla7[[#This Row],[Mining techniques]]))),"X","")</f>
        <v>X</v>
      </c>
      <c r="AP37" s="18" t="str">
        <f>IF(OR(ISNUMBER(SEARCH(Techniques!$J$3,Tabla7[[#This Row],[Mining techniques]]))),"X","")</f>
        <v/>
      </c>
      <c r="AQ37" s="19" t="str">
        <f>IF(OR(ISNUMBER(SEARCH(Techniques!$G$3,Tabla7[[#This Row],[Mining techniques]])),ISNUMBER(SEARCH(Techniques!$G$4,Tabla7[[#This Row],[Mining techniques]]))),"X","")</f>
        <v/>
      </c>
      <c r="AR37" s="19" t="str">
        <f>IF(OR(ISNUMBER(SEARCH(Techniques!$F$3,Tabla7[[#This Row],[Mining techniques]])),ISNUMBER(SEARCH(Techniques!$F$4,Tabla7[[#This Row],[Mining techniques]]))),"X","")</f>
        <v/>
      </c>
      <c r="AS37" s="18" t="str">
        <f>IF(OR(ISNUMBER(SEARCH(Techniques!$D$3,Tabla7[[#This Row],[Mining techniques]])),ISNUMBER(SEARCH(Techniques!$D$4,Tabla7[[#This Row],[Mining techniques]]))),"X","")</f>
        <v/>
      </c>
      <c r="AT37" s="18" t="str">
        <f>IF(OR(ISNUMBER(SEARCH(Techniques!$E$3,Tabla7[[#This Row],[Mining techniques]])),ISNUMBER(SEARCH(Techniques!$E$4,Tabla7[[#This Row],[Mining techniques]]))),"X","")</f>
        <v/>
      </c>
      <c r="AU37" s="27" t="str">
        <f>IF(OR(ISNUMBER(SEARCH('EA Concern'!$I$3,Tabla7[[#This Row],[EA concern]]))),"X","")</f>
        <v/>
      </c>
      <c r="AV37" s="26" t="str">
        <f>IF(OR(ISNUMBER(SEARCH('EA Concern'!$G$3,Tabla7[[#This Row],[EA concern]])),ISNUMBER(SEARCH('EA Concern'!$G$4,Tabla7[[#This Row],[EA concern]]))),"X","")</f>
        <v>X</v>
      </c>
      <c r="AW37" s="26" t="str">
        <f>IF(OR(ISNUMBER(SEARCH('EA Concern'!$E$3,Tabla7[[#This Row],[EA concern]]))),"X","")</f>
        <v/>
      </c>
      <c r="AX37" s="26" t="str">
        <f>IF(OR(ISNUMBER(SEARCH('EA Concern'!$H$3,Tabla7[[#This Row],[EA concern]])),ISNUMBER(SEARCH('EA Concern'!$H$4,Tabla7[[#This Row],[EA concern]]))),"X","")</f>
        <v/>
      </c>
      <c r="AY37" s="26" t="str">
        <f>IF(OR(ISNUMBER(SEARCH('EA Concern'!$F$3,Tabla7[[#This Row],[EA concern]])),ISNUMBER(SEARCH('EA Concern'!$F$4,Tabla7[[#This Row],[EA concern]]))),"X","")</f>
        <v/>
      </c>
      <c r="AZ37" s="26" t="str">
        <f>IF(OR(ISNUMBER(SEARCH('EA Concern'!$D$3,Tabla7[[#This Row],[EA concern]])),ISNUMBER(SEARCH('EA Concern'!$D$4,Tabla7[[#This Row],[EA concern]]))),"X","")</f>
        <v/>
      </c>
      <c r="BA37" s="23" t="str">
        <f>IF(OR(ISNUMBER(SEARCH('EA Framework'!$J$3,Tabla7[[#This Row],[Framework/Methodology]])),ISNUMBER(SEARCH('EA Framework'!$J$4,Tabla7[[#This Row],[Framework/Methodology]]))),"X","")</f>
        <v>X</v>
      </c>
      <c r="BB37" s="18" t="str">
        <f>IF(OR(ISNUMBER(SEARCH('EA Framework'!$I$3,Tabla7[[#This Row],[Framework/Methodology]]))),"X","")</f>
        <v/>
      </c>
      <c r="BC37" s="18" t="str">
        <f>IF(OR(ISNUMBER(SEARCH('EA Framework'!$F$3,Tabla7[[#This Row],[Framework/Methodology]]))),"X","")</f>
        <v/>
      </c>
      <c r="BD37" s="18" t="str">
        <f>IF(OR(ISNUMBER(SEARCH('EA Framework'!$H$3,Tabla7[[#This Row],[Framework/Methodology]]))),"X","")</f>
        <v/>
      </c>
      <c r="BE37" s="18" t="str">
        <f>IF(OR(ISNUMBER(SEARCH('EA Framework'!$E$3,Tabla7[[#This Row],[Framework/Methodology]]))),"X","")</f>
        <v/>
      </c>
      <c r="BF37" s="18" t="str">
        <f>IF(OR(ISNUMBER(SEARCH('EA Framework'!$G$3,Tabla7[[#This Row],[Framework/Methodology]]))),"X","")</f>
        <v/>
      </c>
      <c r="BG37" s="18" t="str">
        <f>IF(OR(ISNUMBER(SEARCH('EA Framework'!$D$3,Tabla7[[#This Row],[Framework/Methodology]]))),"X","")</f>
        <v/>
      </c>
      <c r="BH37" s="22" t="str">
        <f>IF(OR(ISNUMBER(SEARCH('Modelling Language'!$M$3,Tabla7[[#This Row],[Language]])),ISNUMBER(SEARCH('Modelling Language'!$M$4,Tabla7[[#This Row],[Language]])),ISNUMBER(SEARCH('Modelling Language'!$M$5,Tabla7[[#This Row],[Language]]))),"X","")</f>
        <v/>
      </c>
      <c r="BI37" s="18" t="str">
        <f>IF(OR(ISNUMBER(SEARCH('Modelling Language'!$J$3,Tabla7[[#This Row],[Language]])),ISNUMBER(SEARCH('Modelling Language'!$J$4,Tabla7[[#This Row],[Language]]))),"X","")</f>
        <v/>
      </c>
      <c r="BJ37" s="18" t="str">
        <f>IF(OR(ISNUMBER(SEARCH('Modelling Language'!$L$3,Tabla7[[#This Row],[Language]])),ISNUMBER(SEARCH('Modelling Language'!$L$4,Tabla7[[#This Row],[Language]]))),"X","")</f>
        <v/>
      </c>
      <c r="BK37" s="18" t="str">
        <f>IF(OR(ISNUMBER(SEARCH('Modelling Language'!$K$3,Tabla7[[#This Row],[Language]])),ISNUMBER(SEARCH('Modelling Language'!$K$4,Tabla7[[#This Row],[Language]]))),"X","")</f>
        <v/>
      </c>
      <c r="BL37" s="18" t="str">
        <f>IF(OR(ISNUMBER(SEARCH('Modelling Language'!$D$3,Tabla7[[#This Row],[Language]]))),"X","")</f>
        <v>X</v>
      </c>
      <c r="BM37" s="18" t="str">
        <f>IF(OR(ISNUMBER(SEARCH('Modelling Language'!$I$3,Tabla7[[#This Row],[Language]]))),"X","")</f>
        <v/>
      </c>
      <c r="BN37" s="18" t="str">
        <f>IF(OR(ISNUMBER(SEARCH('Modelling Language'!$G$3,Tabla7[[#This Row],[Language]]))),"X","")</f>
        <v/>
      </c>
      <c r="BO37" s="18" t="str">
        <f>IF(OR(ISNUMBER(SEARCH('Modelling Language'!$F$3,Tabla7[[#This Row],[Language]]))),"X","")</f>
        <v/>
      </c>
      <c r="BP37" s="18" t="str">
        <f>IF(OR(ISNUMBER(SEARCH('Modelling Language'!$E$3,Tabla7[[#This Row],[Language]]))),"X","")</f>
        <v/>
      </c>
      <c r="BQ37" s="18" t="str">
        <f>IF(OR(ISNUMBER(SEARCH('Modelling Language'!$H$3,Tabla7[[#This Row],[Language]]))),"X","")</f>
        <v/>
      </c>
      <c r="BR37" s="18"/>
      <c r="BS37" s="22" t="str">
        <f>IF(OR(ISNUMBER(SEARCH(applicability!$D$3,Tabla7[[#This Row],[Application]])),ISNUMBER(SEARCH(applicability!$D$4,Tabla7[[#This Row],[Application]]))),"X","")</f>
        <v/>
      </c>
      <c r="BT37" s="18" t="str">
        <f>IF(OR(ISNUMBER(SEARCH(applicability!$E$3,Tabla7[[#This Row],[Application]]))),"X","")</f>
        <v/>
      </c>
      <c r="BU37" s="18" t="str">
        <f>IF(OR(ISNUMBER(SEARCH(applicability!$F$3,Tabla7[[#This Row],[Application]])),ISNUMBER(SEARCH(applicability!$F$4,Tabla7[[#This Row],[Application]]))),"X","")</f>
        <v/>
      </c>
      <c r="BV37" s="18" t="str">
        <f>IF(OR(ISNUMBER(SEARCH(applicability!$G$3,Tabla7[[#This Row],[Application]]))),"X","")</f>
        <v>X</v>
      </c>
      <c r="BW37" s="19" t="str">
        <f>IF(OR(ISNUMBER(SEARCH(applicability!$H$3,Tabla7[[#This Row],[Application]]))),"X","")</f>
        <v/>
      </c>
    </row>
    <row r="38" spans="1:75" x14ac:dyDescent="0.25">
      <c r="A38" s="13">
        <v>8</v>
      </c>
      <c r="B38" s="14">
        <v>26</v>
      </c>
      <c r="C38" s="14" t="s">
        <v>599</v>
      </c>
      <c r="D38" s="14" t="s">
        <v>79</v>
      </c>
      <c r="E38" s="15">
        <v>2015</v>
      </c>
      <c r="F38" s="15" t="s">
        <v>5298</v>
      </c>
      <c r="G38" s="15" t="s">
        <v>5299</v>
      </c>
      <c r="H38" s="15" t="s">
        <v>5296</v>
      </c>
      <c r="I38" s="15" t="s">
        <v>5296</v>
      </c>
      <c r="J38" s="14" t="s">
        <v>244</v>
      </c>
      <c r="K38" s="14" t="s">
        <v>4472</v>
      </c>
      <c r="L38" s="14" t="s">
        <v>602</v>
      </c>
      <c r="M38" s="14">
        <v>5.5</v>
      </c>
      <c r="N38" s="14">
        <v>0</v>
      </c>
      <c r="O38" s="14" t="s">
        <v>4995</v>
      </c>
      <c r="P38" s="14" t="s">
        <v>5031</v>
      </c>
      <c r="Q38" s="14" t="s">
        <v>4997</v>
      </c>
      <c r="R38" s="14" t="s">
        <v>4975</v>
      </c>
      <c r="S38" s="14" t="s">
        <v>116</v>
      </c>
      <c r="T38" s="14" t="s">
        <v>1042</v>
      </c>
      <c r="U38" s="14"/>
      <c r="V38" s="14"/>
      <c r="W38" s="14">
        <v>3</v>
      </c>
      <c r="X38" s="14">
        <v>1</v>
      </c>
      <c r="Y38" s="14">
        <v>3</v>
      </c>
      <c r="Z38" s="14">
        <v>4</v>
      </c>
      <c r="AA38"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3</v>
      </c>
      <c r="AB38" s="14">
        <v>1</v>
      </c>
      <c r="AC38" s="43" t="s">
        <v>5221</v>
      </c>
      <c r="AD38" s="22" t="str">
        <f>IF(OR(ISNUMBER(SEARCH('Source Artifacts'!$F$3,Tabla7[[#This Row],[Source IS artifacts]])),ISNUMBER(SEARCH('Source Artifacts'!$F$4,Tabla7[[#This Row],[Source IS artifacts]]))),"X","")</f>
        <v/>
      </c>
      <c r="AE38" s="19" t="str">
        <f>IF(OR(ISNUMBER(SEARCH('Source Artifacts'!$L$3,Tabla7[[#This Row],[Source IS artifacts]])),ISNUMBER(SEARCH('Source Artifacts'!$L$4,Tabla7[[#This Row],[Source IS artifacts]])),ISNUMBER(SEARCH('Source Artifacts'!$L$5,Tabla7[[#This Row],[Source IS artifacts]]))),"X","")</f>
        <v>X</v>
      </c>
      <c r="AF38" s="19" t="str">
        <f>IF(OR(ISNUMBER(SEARCH('Source Artifacts'!$I$3,Tabla7[[#This Row],[Source IS artifacts]])),ISNUMBER(SEARCH('Source Artifacts'!$I$4,Tabla7[[#This Row],[Source IS artifacts]])),ISNUMBER(SEARCH('Source Artifacts'!$I$5,Tabla7[[#This Row],[Source IS artifacts]]))),"X","")</f>
        <v/>
      </c>
      <c r="AG38"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38"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38"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38"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38"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38" s="19" t="str">
        <f>IF(OR(ISNUMBER(SEARCH('Source Artifacts'!$D$3,Tabla7[[#This Row],[Source IS artifacts]]))),"X","")</f>
        <v/>
      </c>
      <c r="AM38"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X</v>
      </c>
      <c r="AN38"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
      </c>
      <c r="AO38" s="18" t="str">
        <f>IF(OR(ISNUMBER(SEARCH(Techniques!$H$3,Tabla7[[#This Row],[Mining techniques]])),ISNUMBER(SEARCH(Techniques!$H$4,Tabla7[[#This Row],[Mining techniques]]))),"X","")</f>
        <v/>
      </c>
      <c r="AP38" s="18" t="str">
        <f>IF(OR(ISNUMBER(SEARCH(Techniques!$J$3,Tabla7[[#This Row],[Mining techniques]]))),"X","")</f>
        <v/>
      </c>
      <c r="AQ38" s="19" t="str">
        <f>IF(OR(ISNUMBER(SEARCH(Techniques!$G$3,Tabla7[[#This Row],[Mining techniques]])),ISNUMBER(SEARCH(Techniques!$G$4,Tabla7[[#This Row],[Mining techniques]]))),"X","")</f>
        <v/>
      </c>
      <c r="AR38" s="19" t="str">
        <f>IF(OR(ISNUMBER(SEARCH(Techniques!$F$3,Tabla7[[#This Row],[Mining techniques]])),ISNUMBER(SEARCH(Techniques!$F$4,Tabla7[[#This Row],[Mining techniques]]))),"X","")</f>
        <v/>
      </c>
      <c r="AS38" s="18" t="str">
        <f>IF(OR(ISNUMBER(SEARCH(Techniques!$D$3,Tabla7[[#This Row],[Mining techniques]])),ISNUMBER(SEARCH(Techniques!$D$4,Tabla7[[#This Row],[Mining techniques]]))),"X","")</f>
        <v/>
      </c>
      <c r="AT38" s="18" t="str">
        <f>IF(OR(ISNUMBER(SEARCH(Techniques!$E$3,Tabla7[[#This Row],[Mining techniques]])),ISNUMBER(SEARCH(Techniques!$E$4,Tabla7[[#This Row],[Mining techniques]]))),"X","")</f>
        <v/>
      </c>
      <c r="AU38" s="27" t="str">
        <f>IF(OR(ISNUMBER(SEARCH('EA Concern'!$I$3,Tabla7[[#This Row],[EA concern]]))),"X","")</f>
        <v/>
      </c>
      <c r="AV38" s="26" t="str">
        <f>IF(OR(ISNUMBER(SEARCH('EA Concern'!$G$3,Tabla7[[#This Row],[EA concern]])),ISNUMBER(SEARCH('EA Concern'!$G$4,Tabla7[[#This Row],[EA concern]]))),"X","")</f>
        <v/>
      </c>
      <c r="AW38" s="26" t="str">
        <f>IF(OR(ISNUMBER(SEARCH('EA Concern'!$E$3,Tabla7[[#This Row],[EA concern]]))),"X","")</f>
        <v/>
      </c>
      <c r="AX38" s="26" t="str">
        <f>IF(OR(ISNUMBER(SEARCH('EA Concern'!$H$3,Tabla7[[#This Row],[EA concern]])),ISNUMBER(SEARCH('EA Concern'!$H$4,Tabla7[[#This Row],[EA concern]]))),"X","")</f>
        <v/>
      </c>
      <c r="AY38" s="26" t="str">
        <f>IF(OR(ISNUMBER(SEARCH('EA Concern'!$F$3,Tabla7[[#This Row],[EA concern]])),ISNUMBER(SEARCH('EA Concern'!$F$4,Tabla7[[#This Row],[EA concern]]))),"X","")</f>
        <v/>
      </c>
      <c r="AZ38" s="26" t="str">
        <f>IF(OR(ISNUMBER(SEARCH('EA Concern'!$D$3,Tabla7[[#This Row],[EA concern]])),ISNUMBER(SEARCH('EA Concern'!$D$4,Tabla7[[#This Row],[EA concern]]))),"X","")</f>
        <v>X</v>
      </c>
      <c r="BA38" s="23" t="str">
        <f>IF(OR(ISNUMBER(SEARCH('EA Framework'!$J$3,Tabla7[[#This Row],[Framework/Methodology]])),ISNUMBER(SEARCH('EA Framework'!$J$4,Tabla7[[#This Row],[Framework/Methodology]]))),"X","")</f>
        <v/>
      </c>
      <c r="BB38" s="18" t="str">
        <f>IF(OR(ISNUMBER(SEARCH('EA Framework'!$I$3,Tabla7[[#This Row],[Framework/Methodology]]))),"X","")</f>
        <v/>
      </c>
      <c r="BC38" s="18" t="str">
        <f>IF(OR(ISNUMBER(SEARCH('EA Framework'!$F$3,Tabla7[[#This Row],[Framework/Methodology]]))),"X","")</f>
        <v>X</v>
      </c>
      <c r="BD38" s="18" t="str">
        <f>IF(OR(ISNUMBER(SEARCH('EA Framework'!$H$3,Tabla7[[#This Row],[Framework/Methodology]]))),"X","")</f>
        <v/>
      </c>
      <c r="BE38" s="18" t="str">
        <f>IF(OR(ISNUMBER(SEARCH('EA Framework'!$E$3,Tabla7[[#This Row],[Framework/Methodology]]))),"X","")</f>
        <v/>
      </c>
      <c r="BF38" s="18" t="str">
        <f>IF(OR(ISNUMBER(SEARCH('EA Framework'!$G$3,Tabla7[[#This Row],[Framework/Methodology]]))),"X","")</f>
        <v/>
      </c>
      <c r="BG38" s="18" t="str">
        <f>IF(OR(ISNUMBER(SEARCH('EA Framework'!$D$3,Tabla7[[#This Row],[Framework/Methodology]]))),"X","")</f>
        <v/>
      </c>
      <c r="BH38" s="22" t="str">
        <f>IF(OR(ISNUMBER(SEARCH('Modelling Language'!$M$3,Tabla7[[#This Row],[Language]])),ISNUMBER(SEARCH('Modelling Language'!$M$4,Tabla7[[#This Row],[Language]])),ISNUMBER(SEARCH('Modelling Language'!$M$5,Tabla7[[#This Row],[Language]]))),"X","")</f>
        <v/>
      </c>
      <c r="BI38" s="18" t="str">
        <f>IF(OR(ISNUMBER(SEARCH('Modelling Language'!$J$3,Tabla7[[#This Row],[Language]])),ISNUMBER(SEARCH('Modelling Language'!$J$4,Tabla7[[#This Row],[Language]]))),"X","")</f>
        <v/>
      </c>
      <c r="BJ38" s="18" t="str">
        <f>IF(OR(ISNUMBER(SEARCH('Modelling Language'!$L$3,Tabla7[[#This Row],[Language]])),ISNUMBER(SEARCH('Modelling Language'!$L$4,Tabla7[[#This Row],[Language]]))),"X","")</f>
        <v/>
      </c>
      <c r="BK38" s="18" t="str">
        <f>IF(OR(ISNUMBER(SEARCH('Modelling Language'!$K$3,Tabla7[[#This Row],[Language]])),ISNUMBER(SEARCH('Modelling Language'!$K$4,Tabla7[[#This Row],[Language]]))),"X","")</f>
        <v/>
      </c>
      <c r="BL38" s="18" t="str">
        <f>IF(OR(ISNUMBER(SEARCH('Modelling Language'!$D$3,Tabla7[[#This Row],[Language]]))),"X","")</f>
        <v/>
      </c>
      <c r="BM38" s="18" t="str">
        <f>IF(OR(ISNUMBER(SEARCH('Modelling Language'!$I$3,Tabla7[[#This Row],[Language]]))),"X","")</f>
        <v/>
      </c>
      <c r="BN38" s="18" t="str">
        <f>IF(OR(ISNUMBER(SEARCH('Modelling Language'!$G$3,Tabla7[[#This Row],[Language]]))),"X","")</f>
        <v/>
      </c>
      <c r="BO38" s="18" t="str">
        <f>IF(OR(ISNUMBER(SEARCH('Modelling Language'!$F$3,Tabla7[[#This Row],[Language]]))),"X","")</f>
        <v/>
      </c>
      <c r="BP38" s="18" t="str">
        <f>IF(OR(ISNUMBER(SEARCH('Modelling Language'!$E$3,Tabla7[[#This Row],[Language]]))),"X","")</f>
        <v/>
      </c>
      <c r="BQ38" s="18" t="str">
        <f>IF(OR(ISNUMBER(SEARCH('Modelling Language'!$H$3,Tabla7[[#This Row],[Language]]))),"X","")</f>
        <v/>
      </c>
      <c r="BR38" s="18"/>
      <c r="BS38" s="22" t="str">
        <f>IF(OR(ISNUMBER(SEARCH(applicability!$D$3,Tabla7[[#This Row],[Application]])),ISNUMBER(SEARCH(applicability!$D$4,Tabla7[[#This Row],[Application]]))),"X","")</f>
        <v/>
      </c>
      <c r="BT38" s="18" t="str">
        <f>IF(OR(ISNUMBER(SEARCH(applicability!$E$3,Tabla7[[#This Row],[Application]]))),"X","")</f>
        <v/>
      </c>
      <c r="BU38" s="18" t="str">
        <f>IF(OR(ISNUMBER(SEARCH(applicability!$F$3,Tabla7[[#This Row],[Application]])),ISNUMBER(SEARCH(applicability!$F$4,Tabla7[[#This Row],[Application]]))),"X","")</f>
        <v/>
      </c>
      <c r="BV38" s="18" t="str">
        <f>IF(OR(ISNUMBER(SEARCH(applicability!$G$3,Tabla7[[#This Row],[Application]]))),"X","")</f>
        <v/>
      </c>
      <c r="BW38" s="19" t="str">
        <f>IF(OR(ISNUMBER(SEARCH(applicability!$H$3,Tabla7[[#This Row],[Application]]))),"X","")</f>
        <v/>
      </c>
    </row>
    <row r="39" spans="1:75" x14ac:dyDescent="0.25">
      <c r="A39" s="13">
        <v>342</v>
      </c>
      <c r="B39" s="14">
        <v>28</v>
      </c>
      <c r="C39" s="14" t="s">
        <v>2567</v>
      </c>
      <c r="D39" s="14" t="s">
        <v>4498</v>
      </c>
      <c r="E39" s="15">
        <v>2014</v>
      </c>
      <c r="F39" s="15" t="s">
        <v>5300</v>
      </c>
      <c r="G39" s="15" t="s">
        <v>5295</v>
      </c>
      <c r="H39" s="15" t="s">
        <v>5296</v>
      </c>
      <c r="I39" s="15" t="s">
        <v>5296</v>
      </c>
      <c r="J39" s="14" t="s">
        <v>244</v>
      </c>
      <c r="K39" s="14" t="s">
        <v>4501</v>
      </c>
      <c r="L39" s="14" t="s">
        <v>2568</v>
      </c>
      <c r="M39" s="14">
        <v>8</v>
      </c>
      <c r="N39" s="14">
        <v>0</v>
      </c>
      <c r="O39" s="14" t="s">
        <v>5045</v>
      </c>
      <c r="P39" s="14" t="s">
        <v>5044</v>
      </c>
      <c r="Q39" s="14" t="s">
        <v>5277</v>
      </c>
      <c r="R39" s="14" t="s">
        <v>4974</v>
      </c>
      <c r="S39" s="14" t="s">
        <v>5012</v>
      </c>
      <c r="T39" s="14" t="s">
        <v>5003</v>
      </c>
      <c r="U39" s="14" t="s">
        <v>5043</v>
      </c>
      <c r="V39" s="14"/>
      <c r="W39" s="14">
        <v>4</v>
      </c>
      <c r="X39" s="14">
        <v>4</v>
      </c>
      <c r="Y39" s="14">
        <v>2</v>
      </c>
      <c r="Z39" s="14">
        <v>4</v>
      </c>
      <c r="AA39"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2</v>
      </c>
      <c r="AB39" s="14">
        <v>1</v>
      </c>
      <c r="AC39" s="43" t="s">
        <v>5221</v>
      </c>
      <c r="AD39" s="22" t="str">
        <f>IF(OR(ISNUMBER(SEARCH('Source Artifacts'!$F$3,Tabla7[[#This Row],[Source IS artifacts]])),ISNUMBER(SEARCH('Source Artifacts'!$F$4,Tabla7[[#This Row],[Source IS artifacts]]))),"X","")</f>
        <v>X</v>
      </c>
      <c r="AE39" s="19" t="str">
        <f>IF(OR(ISNUMBER(SEARCH('Source Artifacts'!$L$3,Tabla7[[#This Row],[Source IS artifacts]])),ISNUMBER(SEARCH('Source Artifacts'!$L$4,Tabla7[[#This Row],[Source IS artifacts]])),ISNUMBER(SEARCH('Source Artifacts'!$L$5,Tabla7[[#This Row],[Source IS artifacts]]))),"X","")</f>
        <v>X</v>
      </c>
      <c r="AF39" s="19" t="str">
        <f>IF(OR(ISNUMBER(SEARCH('Source Artifacts'!$I$3,Tabla7[[#This Row],[Source IS artifacts]])),ISNUMBER(SEARCH('Source Artifacts'!$I$4,Tabla7[[#This Row],[Source IS artifacts]])),ISNUMBER(SEARCH('Source Artifacts'!$I$5,Tabla7[[#This Row],[Source IS artifacts]]))),"X","")</f>
        <v>X</v>
      </c>
      <c r="AG39" s="19" t="str">
        <f>IF(OR(ISNUMBER(SEARCH('Source Artifacts'!$E$3,Tabla7[[#This Row],[Source IS artifacts]])),ISNUMBER(SEARCH('Source Artifacts'!$E$4,Tabla7[[#This Row],[Source IS artifacts]])),ISNUMBER(SEARCH('Source Artifacts'!$E$5,Tabla7[[#This Row],[Source IS artifacts]])),ISNUMBER(SEARCH('Source Artifacts'!$E$6,Tabla7[[#This Row],[Source IS artifacts]]))),"X","")</f>
        <v>X</v>
      </c>
      <c r="AH39"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39"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39"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39"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X</v>
      </c>
      <c r="AL39" s="19" t="str">
        <f>IF(OR(ISNUMBER(SEARCH('Source Artifacts'!$D$3,Tabla7[[#This Row],[Source IS artifacts]]))),"X","")</f>
        <v/>
      </c>
      <c r="AM39"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39"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X</v>
      </c>
      <c r="AO39" s="18" t="str">
        <f>IF(OR(ISNUMBER(SEARCH(Techniques!$H$3,Tabla7[[#This Row],[Mining techniques]])),ISNUMBER(SEARCH(Techniques!$H$4,Tabla7[[#This Row],[Mining techniques]]))),"X","")</f>
        <v/>
      </c>
      <c r="AP39" s="18" t="str">
        <f>IF(OR(ISNUMBER(SEARCH(Techniques!$J$3,Tabla7[[#This Row],[Mining techniques]]))),"X","")</f>
        <v>X</v>
      </c>
      <c r="AQ39" s="19" t="str">
        <f>IF(OR(ISNUMBER(SEARCH(Techniques!$G$3,Tabla7[[#This Row],[Mining techniques]])),ISNUMBER(SEARCH(Techniques!$G$4,Tabla7[[#This Row],[Mining techniques]]))),"X","")</f>
        <v/>
      </c>
      <c r="AR39" s="19" t="str">
        <f>IF(OR(ISNUMBER(SEARCH(Techniques!$F$3,Tabla7[[#This Row],[Mining techniques]])),ISNUMBER(SEARCH(Techniques!$F$4,Tabla7[[#This Row],[Mining techniques]]))),"X","")</f>
        <v/>
      </c>
      <c r="AS39" s="18" t="str">
        <f>IF(OR(ISNUMBER(SEARCH(Techniques!$D$3,Tabla7[[#This Row],[Mining techniques]])),ISNUMBER(SEARCH(Techniques!$D$4,Tabla7[[#This Row],[Mining techniques]]))),"X","")</f>
        <v/>
      </c>
      <c r="AT39" s="18" t="str">
        <f>IF(OR(ISNUMBER(SEARCH(Techniques!$E$3,Tabla7[[#This Row],[Mining techniques]])),ISNUMBER(SEARCH(Techniques!$E$4,Tabla7[[#This Row],[Mining techniques]]))),"X","")</f>
        <v/>
      </c>
      <c r="AU39" s="27" t="str">
        <f>IF(OR(ISNUMBER(SEARCH('EA Concern'!$I$3,Tabla7[[#This Row],[EA concern]]))),"X","")</f>
        <v>X</v>
      </c>
      <c r="AV39" s="26" t="str">
        <f>IF(OR(ISNUMBER(SEARCH('EA Concern'!$G$3,Tabla7[[#This Row],[EA concern]])),ISNUMBER(SEARCH('EA Concern'!$G$4,Tabla7[[#This Row],[EA concern]]))),"X","")</f>
        <v/>
      </c>
      <c r="AW39" s="26" t="str">
        <f>IF(OR(ISNUMBER(SEARCH('EA Concern'!$E$3,Tabla7[[#This Row],[EA concern]]))),"X","")</f>
        <v/>
      </c>
      <c r="AX39" s="26" t="str">
        <f>IF(OR(ISNUMBER(SEARCH('EA Concern'!$H$3,Tabla7[[#This Row],[EA concern]])),ISNUMBER(SEARCH('EA Concern'!$H$4,Tabla7[[#This Row],[EA concern]]))),"X","")</f>
        <v/>
      </c>
      <c r="AY39" s="26" t="str">
        <f>IF(OR(ISNUMBER(SEARCH('EA Concern'!$F$3,Tabla7[[#This Row],[EA concern]])),ISNUMBER(SEARCH('EA Concern'!$F$4,Tabla7[[#This Row],[EA concern]]))),"X","")</f>
        <v/>
      </c>
      <c r="AZ39" s="26" t="str">
        <f>IF(OR(ISNUMBER(SEARCH('EA Concern'!$D$3,Tabla7[[#This Row],[EA concern]])),ISNUMBER(SEARCH('EA Concern'!$D$4,Tabla7[[#This Row],[EA concern]]))),"X","")</f>
        <v/>
      </c>
      <c r="BA39" s="23" t="str">
        <f>IF(OR(ISNUMBER(SEARCH('EA Framework'!$J$3,Tabla7[[#This Row],[Framework/Methodology]])),ISNUMBER(SEARCH('EA Framework'!$J$4,Tabla7[[#This Row],[Framework/Methodology]]))),"X","")</f>
        <v>X</v>
      </c>
      <c r="BB39" s="18" t="str">
        <f>IF(OR(ISNUMBER(SEARCH('EA Framework'!$I$3,Tabla7[[#This Row],[Framework/Methodology]]))),"X","")</f>
        <v/>
      </c>
      <c r="BC39" s="18" t="str">
        <f>IF(OR(ISNUMBER(SEARCH('EA Framework'!$F$3,Tabla7[[#This Row],[Framework/Methodology]]))),"X","")</f>
        <v/>
      </c>
      <c r="BD39" s="18" t="str">
        <f>IF(OR(ISNUMBER(SEARCH('EA Framework'!$H$3,Tabla7[[#This Row],[Framework/Methodology]]))),"X","")</f>
        <v/>
      </c>
      <c r="BE39" s="18" t="str">
        <f>IF(OR(ISNUMBER(SEARCH('EA Framework'!$E$3,Tabla7[[#This Row],[Framework/Methodology]]))),"X","")</f>
        <v/>
      </c>
      <c r="BF39" s="18" t="str">
        <f>IF(OR(ISNUMBER(SEARCH('EA Framework'!$G$3,Tabla7[[#This Row],[Framework/Methodology]]))),"X","")</f>
        <v/>
      </c>
      <c r="BG39" s="18" t="str">
        <f>IF(OR(ISNUMBER(SEARCH('EA Framework'!$D$3,Tabla7[[#This Row],[Framework/Methodology]]))),"X","")</f>
        <v/>
      </c>
      <c r="BH39" s="22" t="str">
        <f>IF(OR(ISNUMBER(SEARCH('Modelling Language'!$M$3,Tabla7[[#This Row],[Language]])),ISNUMBER(SEARCH('Modelling Language'!$M$4,Tabla7[[#This Row],[Language]])),ISNUMBER(SEARCH('Modelling Language'!$M$5,Tabla7[[#This Row],[Language]]))),"X","")</f>
        <v/>
      </c>
      <c r="BI39" s="18" t="str">
        <f>IF(OR(ISNUMBER(SEARCH('Modelling Language'!$J$3,Tabla7[[#This Row],[Language]])),ISNUMBER(SEARCH('Modelling Language'!$J$4,Tabla7[[#This Row],[Language]]))),"X","")</f>
        <v>X</v>
      </c>
      <c r="BJ39" s="18" t="str">
        <f>IF(OR(ISNUMBER(SEARCH('Modelling Language'!$L$3,Tabla7[[#This Row],[Language]])),ISNUMBER(SEARCH('Modelling Language'!$L$4,Tabla7[[#This Row],[Language]]))),"X","")</f>
        <v/>
      </c>
      <c r="BK39" s="18" t="str">
        <f>IF(OR(ISNUMBER(SEARCH('Modelling Language'!$K$3,Tabla7[[#This Row],[Language]])),ISNUMBER(SEARCH('Modelling Language'!$K$4,Tabla7[[#This Row],[Language]]))),"X","")</f>
        <v/>
      </c>
      <c r="BL39" s="18" t="str">
        <f>IF(OR(ISNUMBER(SEARCH('Modelling Language'!$D$3,Tabla7[[#This Row],[Language]]))),"X","")</f>
        <v/>
      </c>
      <c r="BM39" s="18" t="str">
        <f>IF(OR(ISNUMBER(SEARCH('Modelling Language'!$I$3,Tabla7[[#This Row],[Language]]))),"X","")</f>
        <v/>
      </c>
      <c r="BN39" s="18" t="str">
        <f>IF(OR(ISNUMBER(SEARCH('Modelling Language'!$G$3,Tabla7[[#This Row],[Language]]))),"X","")</f>
        <v/>
      </c>
      <c r="BO39" s="18" t="str">
        <f>IF(OR(ISNUMBER(SEARCH('Modelling Language'!$F$3,Tabla7[[#This Row],[Language]]))),"X","")</f>
        <v/>
      </c>
      <c r="BP39" s="18" t="str">
        <f>IF(OR(ISNUMBER(SEARCH('Modelling Language'!$E$3,Tabla7[[#This Row],[Language]]))),"X","")</f>
        <v/>
      </c>
      <c r="BQ39" s="18" t="str">
        <f>IF(OR(ISNUMBER(SEARCH('Modelling Language'!$H$3,Tabla7[[#This Row],[Language]]))),"X","")</f>
        <v/>
      </c>
      <c r="BR39" s="18"/>
      <c r="BS39" s="22" t="str">
        <f>IF(OR(ISNUMBER(SEARCH(applicability!$D$3,Tabla7[[#This Row],[Application]])),ISNUMBER(SEARCH(applicability!$D$4,Tabla7[[#This Row],[Application]]))),"X","")</f>
        <v/>
      </c>
      <c r="BT39" s="18" t="str">
        <f>IF(OR(ISNUMBER(SEARCH(applicability!$E$3,Tabla7[[#This Row],[Application]]))),"X","")</f>
        <v/>
      </c>
      <c r="BU39" s="18" t="str">
        <f>IF(OR(ISNUMBER(SEARCH(applicability!$F$3,Tabla7[[#This Row],[Application]])),ISNUMBER(SEARCH(applicability!$F$4,Tabla7[[#This Row],[Application]]))),"X","")</f>
        <v/>
      </c>
      <c r="BV39" s="18" t="str">
        <f>IF(OR(ISNUMBER(SEARCH(applicability!$G$3,Tabla7[[#This Row],[Application]]))),"X","")</f>
        <v/>
      </c>
      <c r="BW39" s="19" t="str">
        <f>IF(OR(ISNUMBER(SEARCH(applicability!$H$3,Tabla7[[#This Row],[Application]]))),"X","")</f>
        <v/>
      </c>
    </row>
    <row r="40" spans="1:75" x14ac:dyDescent="0.25">
      <c r="A40" s="13">
        <v>496</v>
      </c>
      <c r="B40" s="14">
        <v>33</v>
      </c>
      <c r="C40" s="14" t="s">
        <v>96</v>
      </c>
      <c r="D40" s="14" t="s">
        <v>95</v>
      </c>
      <c r="E40" s="15">
        <v>2017</v>
      </c>
      <c r="F40" s="15" t="s">
        <v>5298</v>
      </c>
      <c r="G40" s="15" t="s">
        <v>5301</v>
      </c>
      <c r="H40" s="15" t="s">
        <v>5296</v>
      </c>
      <c r="I40" s="15" t="s">
        <v>5296</v>
      </c>
      <c r="J40" s="14" t="s">
        <v>0</v>
      </c>
      <c r="K40" s="14" t="s">
        <v>4732</v>
      </c>
      <c r="L40" s="14" t="s">
        <v>100</v>
      </c>
      <c r="M40" s="14">
        <v>5</v>
      </c>
      <c r="N40" s="14">
        <v>0</v>
      </c>
      <c r="O40" s="14" t="s">
        <v>5056</v>
      </c>
      <c r="P40" s="14" t="s">
        <v>5058</v>
      </c>
      <c r="Q40" s="14" t="s">
        <v>4999</v>
      </c>
      <c r="R40" s="14" t="s">
        <v>4974</v>
      </c>
      <c r="S40" s="14" t="s">
        <v>658</v>
      </c>
      <c r="T40" s="14" t="s">
        <v>834</v>
      </c>
      <c r="U40" s="14" t="s">
        <v>5057</v>
      </c>
      <c r="V40" s="14" t="s">
        <v>5006</v>
      </c>
      <c r="W40" s="14">
        <v>4</v>
      </c>
      <c r="X40" s="14">
        <v>2</v>
      </c>
      <c r="Y40" s="14">
        <v>3</v>
      </c>
      <c r="Z40" s="14">
        <v>4</v>
      </c>
      <c r="AA40"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4</v>
      </c>
      <c r="AB40" s="14">
        <v>1</v>
      </c>
      <c r="AC40" s="43" t="s">
        <v>5221</v>
      </c>
      <c r="AD40" s="22" t="str">
        <f>IF(OR(ISNUMBER(SEARCH('Source Artifacts'!$F$3,Tabla7[[#This Row],[Source IS artifacts]])),ISNUMBER(SEARCH('Source Artifacts'!$F$4,Tabla7[[#This Row],[Source IS artifacts]]))),"X","")</f>
        <v/>
      </c>
      <c r="AE40" s="19" t="str">
        <f>IF(OR(ISNUMBER(SEARCH('Source Artifacts'!$L$3,Tabla7[[#This Row],[Source IS artifacts]])),ISNUMBER(SEARCH('Source Artifacts'!$L$4,Tabla7[[#This Row],[Source IS artifacts]])),ISNUMBER(SEARCH('Source Artifacts'!$L$5,Tabla7[[#This Row],[Source IS artifacts]]))),"X","")</f>
        <v>X</v>
      </c>
      <c r="AF40" s="19" t="str">
        <f>IF(OR(ISNUMBER(SEARCH('Source Artifacts'!$I$3,Tabla7[[#This Row],[Source IS artifacts]])),ISNUMBER(SEARCH('Source Artifacts'!$I$4,Tabla7[[#This Row],[Source IS artifacts]])),ISNUMBER(SEARCH('Source Artifacts'!$I$5,Tabla7[[#This Row],[Source IS artifacts]]))),"X","")</f>
        <v/>
      </c>
      <c r="AG40" s="19"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40"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40"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40"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40"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X</v>
      </c>
      <c r="AL40" s="19" t="str">
        <f>IF(OR(ISNUMBER(SEARCH('Source Artifacts'!$D$3,Tabla7[[#This Row],[Source IS artifacts]]))),"X","")</f>
        <v/>
      </c>
      <c r="AM40"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40"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
      </c>
      <c r="AO40" s="18" t="str">
        <f>IF(OR(ISNUMBER(SEARCH(Techniques!$H$3,Tabla7[[#This Row],[Mining techniques]])),ISNUMBER(SEARCH(Techniques!$H$4,Tabla7[[#This Row],[Mining techniques]]))),"X","")</f>
        <v>X</v>
      </c>
      <c r="AP40" s="18" t="str">
        <f>IF(OR(ISNUMBER(SEARCH(Techniques!$J$3,Tabla7[[#This Row],[Mining techniques]]))),"X","")</f>
        <v/>
      </c>
      <c r="AQ40" s="19" t="str">
        <f>IF(OR(ISNUMBER(SEARCH(Techniques!$G$3,Tabla7[[#This Row],[Mining techniques]])),ISNUMBER(SEARCH(Techniques!$G$4,Tabla7[[#This Row],[Mining techniques]]))),"X","")</f>
        <v/>
      </c>
      <c r="AR40" s="19" t="str">
        <f>IF(OR(ISNUMBER(SEARCH(Techniques!$F$3,Tabla7[[#This Row],[Mining techniques]])),ISNUMBER(SEARCH(Techniques!$F$4,Tabla7[[#This Row],[Mining techniques]]))),"X","")</f>
        <v/>
      </c>
      <c r="AS40" s="18" t="str">
        <f>IF(OR(ISNUMBER(SEARCH(Techniques!$D$3,Tabla7[[#This Row],[Mining techniques]])),ISNUMBER(SEARCH(Techniques!$D$4,Tabla7[[#This Row],[Mining techniques]]))),"X","")</f>
        <v/>
      </c>
      <c r="AT40" s="18" t="str">
        <f>IF(OR(ISNUMBER(SEARCH(Techniques!$E$3,Tabla7[[#This Row],[Mining techniques]])),ISNUMBER(SEARCH(Techniques!$E$4,Tabla7[[#This Row],[Mining techniques]]))),"X","")</f>
        <v/>
      </c>
      <c r="AU40" s="27" t="str">
        <f>IF(OR(ISNUMBER(SEARCH('EA Concern'!$I$3,Tabla7[[#This Row],[EA concern]]))),"X","")</f>
        <v/>
      </c>
      <c r="AV40" s="26" t="str">
        <f>IF(OR(ISNUMBER(SEARCH('EA Concern'!$G$3,Tabla7[[#This Row],[EA concern]])),ISNUMBER(SEARCH('EA Concern'!$G$4,Tabla7[[#This Row],[EA concern]]))),"X","")</f>
        <v>X</v>
      </c>
      <c r="AW40" s="26" t="str">
        <f>IF(OR(ISNUMBER(SEARCH('EA Concern'!$E$3,Tabla7[[#This Row],[EA concern]]))),"X","")</f>
        <v/>
      </c>
      <c r="AX40" s="26" t="str">
        <f>IF(OR(ISNUMBER(SEARCH('EA Concern'!$H$3,Tabla7[[#This Row],[EA concern]])),ISNUMBER(SEARCH('EA Concern'!$H$4,Tabla7[[#This Row],[EA concern]]))),"X","")</f>
        <v/>
      </c>
      <c r="AY40" s="26" t="str">
        <f>IF(OR(ISNUMBER(SEARCH('EA Concern'!$F$3,Tabla7[[#This Row],[EA concern]])),ISNUMBER(SEARCH('EA Concern'!$F$4,Tabla7[[#This Row],[EA concern]]))),"X","")</f>
        <v/>
      </c>
      <c r="AZ40" s="26" t="str">
        <f>IF(OR(ISNUMBER(SEARCH('EA Concern'!$D$3,Tabla7[[#This Row],[EA concern]])),ISNUMBER(SEARCH('EA Concern'!$D$4,Tabla7[[#This Row],[EA concern]]))),"X","")</f>
        <v/>
      </c>
      <c r="BA40" s="23" t="str">
        <f>IF(OR(ISNUMBER(SEARCH('EA Framework'!$J$3,Tabla7[[#This Row],[Framework/Methodology]])),ISNUMBER(SEARCH('EA Framework'!$J$4,Tabla7[[#This Row],[Framework/Methodology]]))),"X","")</f>
        <v/>
      </c>
      <c r="BB40" s="18" t="str">
        <f>IF(OR(ISNUMBER(SEARCH('EA Framework'!$I$3,Tabla7[[#This Row],[Framework/Methodology]]))),"X","")</f>
        <v>X</v>
      </c>
      <c r="BC40" s="18" t="str">
        <f>IF(OR(ISNUMBER(SEARCH('EA Framework'!$F$3,Tabla7[[#This Row],[Framework/Methodology]]))),"X","")</f>
        <v/>
      </c>
      <c r="BD40" s="18" t="str">
        <f>IF(OR(ISNUMBER(SEARCH('EA Framework'!$H$3,Tabla7[[#This Row],[Framework/Methodology]]))),"X","")</f>
        <v/>
      </c>
      <c r="BE40" s="18" t="str">
        <f>IF(OR(ISNUMBER(SEARCH('EA Framework'!$E$3,Tabla7[[#This Row],[Framework/Methodology]]))),"X","")</f>
        <v/>
      </c>
      <c r="BF40" s="18" t="str">
        <f>IF(OR(ISNUMBER(SEARCH('EA Framework'!$G$3,Tabla7[[#This Row],[Framework/Methodology]]))),"X","")</f>
        <v/>
      </c>
      <c r="BG40" s="18" t="str">
        <f>IF(OR(ISNUMBER(SEARCH('EA Framework'!$D$3,Tabla7[[#This Row],[Framework/Methodology]]))),"X","")</f>
        <v/>
      </c>
      <c r="BH40" s="22" t="str">
        <f>IF(OR(ISNUMBER(SEARCH('Modelling Language'!$M$3,Tabla7[[#This Row],[Language]])),ISNUMBER(SEARCH('Modelling Language'!$M$4,Tabla7[[#This Row],[Language]])),ISNUMBER(SEARCH('Modelling Language'!$M$5,Tabla7[[#This Row],[Language]]))),"X","")</f>
        <v/>
      </c>
      <c r="BI40" s="18" t="str">
        <f>IF(OR(ISNUMBER(SEARCH('Modelling Language'!$J$3,Tabla7[[#This Row],[Language]])),ISNUMBER(SEARCH('Modelling Language'!$J$4,Tabla7[[#This Row],[Language]]))),"X","")</f>
        <v/>
      </c>
      <c r="BJ40" s="18" t="str">
        <f>IF(OR(ISNUMBER(SEARCH('Modelling Language'!$L$3,Tabla7[[#This Row],[Language]])),ISNUMBER(SEARCH('Modelling Language'!$L$4,Tabla7[[#This Row],[Language]]))),"X","")</f>
        <v/>
      </c>
      <c r="BK40" s="18" t="str">
        <f>IF(OR(ISNUMBER(SEARCH('Modelling Language'!$K$3,Tabla7[[#This Row],[Language]])),ISNUMBER(SEARCH('Modelling Language'!$K$4,Tabla7[[#This Row],[Language]]))),"X","")</f>
        <v/>
      </c>
      <c r="BL40" s="18" t="str">
        <f>IF(OR(ISNUMBER(SEARCH('Modelling Language'!$D$3,Tabla7[[#This Row],[Language]]))),"X","")</f>
        <v/>
      </c>
      <c r="BM40" s="18" t="str">
        <f>IF(OR(ISNUMBER(SEARCH('Modelling Language'!$I$3,Tabla7[[#This Row],[Language]]))),"X","")</f>
        <v>X</v>
      </c>
      <c r="BN40" s="18" t="str">
        <f>IF(OR(ISNUMBER(SEARCH('Modelling Language'!$G$3,Tabla7[[#This Row],[Language]]))),"X","")</f>
        <v/>
      </c>
      <c r="BO40" s="18" t="str">
        <f>IF(OR(ISNUMBER(SEARCH('Modelling Language'!$F$3,Tabla7[[#This Row],[Language]]))),"X","")</f>
        <v/>
      </c>
      <c r="BP40" s="18" t="str">
        <f>IF(OR(ISNUMBER(SEARCH('Modelling Language'!$E$3,Tabla7[[#This Row],[Language]]))),"X","")</f>
        <v/>
      </c>
      <c r="BQ40" s="18" t="str">
        <f>IF(OR(ISNUMBER(SEARCH('Modelling Language'!$H$3,Tabla7[[#This Row],[Language]]))),"X","")</f>
        <v/>
      </c>
      <c r="BR40" s="18"/>
      <c r="BS40" s="22" t="str">
        <f>IF(OR(ISNUMBER(SEARCH(applicability!$D$3,Tabla7[[#This Row],[Application]])),ISNUMBER(SEARCH(applicability!$D$4,Tabla7[[#This Row],[Application]]))),"X","")</f>
        <v>X</v>
      </c>
      <c r="BT40" s="18" t="str">
        <f>IF(OR(ISNUMBER(SEARCH(applicability!$E$3,Tabla7[[#This Row],[Application]]))),"X","")</f>
        <v/>
      </c>
      <c r="BU40" s="18" t="str">
        <f>IF(OR(ISNUMBER(SEARCH(applicability!$F$3,Tabla7[[#This Row],[Application]])),ISNUMBER(SEARCH(applicability!$F$4,Tabla7[[#This Row],[Application]]))),"X","")</f>
        <v/>
      </c>
      <c r="BV40" s="18" t="str">
        <f>IF(OR(ISNUMBER(SEARCH(applicability!$G$3,Tabla7[[#This Row],[Application]]))),"X","")</f>
        <v/>
      </c>
      <c r="BW40" s="19" t="str">
        <f>IF(OR(ISNUMBER(SEARCH(applicability!$H$3,Tabla7[[#This Row],[Application]]))),"X","")</f>
        <v/>
      </c>
    </row>
    <row r="41" spans="1:75" x14ac:dyDescent="0.25">
      <c r="A41" s="13">
        <v>495</v>
      </c>
      <c r="B41" s="14">
        <v>34</v>
      </c>
      <c r="C41" s="14" t="s">
        <v>2885</v>
      </c>
      <c r="D41" s="14" t="s">
        <v>4758</v>
      </c>
      <c r="E41" s="15">
        <v>2017</v>
      </c>
      <c r="F41" s="15" t="s">
        <v>5295</v>
      </c>
      <c r="G41" s="15" t="s">
        <v>5305</v>
      </c>
      <c r="H41" s="15" t="s">
        <v>5296</v>
      </c>
      <c r="I41" s="15" t="s">
        <v>5296</v>
      </c>
      <c r="J41" s="14" t="s">
        <v>0</v>
      </c>
      <c r="K41" s="14" t="s">
        <v>4759</v>
      </c>
      <c r="L41" s="14" t="s">
        <v>2887</v>
      </c>
      <c r="M41" s="14">
        <v>5.5</v>
      </c>
      <c r="N41" s="14">
        <v>0</v>
      </c>
      <c r="O41" s="14" t="s">
        <v>5045</v>
      </c>
      <c r="P41" s="14" t="s">
        <v>5015</v>
      </c>
      <c r="Q41" s="14" t="s">
        <v>5277</v>
      </c>
      <c r="R41" s="14" t="s">
        <v>4976</v>
      </c>
      <c r="S41" s="14" t="s">
        <v>658</v>
      </c>
      <c r="T41" s="14" t="s">
        <v>834</v>
      </c>
      <c r="U41" s="14" t="s">
        <v>726</v>
      </c>
      <c r="V41" s="14" t="s">
        <v>5006</v>
      </c>
      <c r="W41" s="14">
        <v>2</v>
      </c>
      <c r="X41" s="14">
        <v>1</v>
      </c>
      <c r="Y41" s="14">
        <v>1</v>
      </c>
      <c r="Z41" s="14">
        <v>2</v>
      </c>
      <c r="AA41" s="28">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1</v>
      </c>
      <c r="AB41" s="14">
        <v>1</v>
      </c>
      <c r="AC41" s="43" t="s">
        <v>5221</v>
      </c>
      <c r="AD41" s="22" t="str">
        <f>IF(OR(ISNUMBER(SEARCH('Source Artifacts'!$F$3,Tabla7[[#This Row],[Source IS artifacts]])),ISNUMBER(SEARCH('Source Artifacts'!$F$4,Tabla7[[#This Row],[Source IS artifacts]]))),"X","")</f>
        <v>X</v>
      </c>
      <c r="AE41" s="19" t="str">
        <f>IF(OR(ISNUMBER(SEARCH('Source Artifacts'!$L$3,Tabla7[[#This Row],[Source IS artifacts]])),ISNUMBER(SEARCH('Source Artifacts'!$L$4,Tabla7[[#This Row],[Source IS artifacts]])),ISNUMBER(SEARCH('Source Artifacts'!$L$5,Tabla7[[#This Row],[Source IS artifacts]]))),"X","")</f>
        <v>X</v>
      </c>
      <c r="AF41" s="19" t="str">
        <f>IF(OR(ISNUMBER(SEARCH('Source Artifacts'!$I$3,Tabla7[[#This Row],[Source IS artifacts]])),ISNUMBER(SEARCH('Source Artifacts'!$I$4,Tabla7[[#This Row],[Source IS artifacts]])),ISNUMBER(SEARCH('Source Artifacts'!$I$5,Tabla7[[#This Row],[Source IS artifacts]]))),"X","")</f>
        <v>X</v>
      </c>
      <c r="AG41" s="19" t="str">
        <f>IF(OR(ISNUMBER(SEARCH('Source Artifacts'!$E$3,Tabla7[[#This Row],[Source IS artifacts]])),ISNUMBER(SEARCH('Source Artifacts'!$E$4,Tabla7[[#This Row],[Source IS artifacts]])),ISNUMBER(SEARCH('Source Artifacts'!$E$5,Tabla7[[#This Row],[Source IS artifacts]])),ISNUMBER(SEARCH('Source Artifacts'!$E$6,Tabla7[[#This Row],[Source IS artifacts]]))),"X","")</f>
        <v>X</v>
      </c>
      <c r="AH41" s="19"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41" s="19"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41" s="19"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41" s="18"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X</v>
      </c>
      <c r="AL41" s="19" t="str">
        <f>IF(OR(ISNUMBER(SEARCH('Source Artifacts'!$D$3,Tabla7[[#This Row],[Source IS artifacts]]))),"X","")</f>
        <v/>
      </c>
      <c r="AM41" s="22"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41" s="18"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X</v>
      </c>
      <c r="AO41" s="18" t="str">
        <f>IF(OR(ISNUMBER(SEARCH(Techniques!$H$3,Tabla7[[#This Row],[Mining techniques]])),ISNUMBER(SEARCH(Techniques!$H$4,Tabla7[[#This Row],[Mining techniques]]))),"X","")</f>
        <v/>
      </c>
      <c r="AP41" s="18" t="str">
        <f>IF(OR(ISNUMBER(SEARCH(Techniques!$J$3,Tabla7[[#This Row],[Mining techniques]]))),"X","")</f>
        <v/>
      </c>
      <c r="AQ41" s="19" t="str">
        <f>IF(OR(ISNUMBER(SEARCH(Techniques!$G$3,Tabla7[[#This Row],[Mining techniques]])),ISNUMBER(SEARCH(Techniques!$G$4,Tabla7[[#This Row],[Mining techniques]]))),"X","")</f>
        <v/>
      </c>
      <c r="AR41" s="19" t="str">
        <f>IF(OR(ISNUMBER(SEARCH(Techniques!$F$3,Tabla7[[#This Row],[Mining techniques]])),ISNUMBER(SEARCH(Techniques!$F$4,Tabla7[[#This Row],[Mining techniques]]))),"X","")</f>
        <v/>
      </c>
      <c r="AS41" s="18" t="str">
        <f>IF(OR(ISNUMBER(SEARCH(Techniques!$D$3,Tabla7[[#This Row],[Mining techniques]])),ISNUMBER(SEARCH(Techniques!$D$4,Tabla7[[#This Row],[Mining techniques]]))),"X","")</f>
        <v/>
      </c>
      <c r="AT41" s="18" t="str">
        <f>IF(OR(ISNUMBER(SEARCH(Techniques!$E$3,Tabla7[[#This Row],[Mining techniques]])),ISNUMBER(SEARCH(Techniques!$E$4,Tabla7[[#This Row],[Mining techniques]]))),"X","")</f>
        <v/>
      </c>
      <c r="AU41" s="27" t="str">
        <f>IF(OR(ISNUMBER(SEARCH('EA Concern'!$I$3,Tabla7[[#This Row],[EA concern]]))),"X","")</f>
        <v>X</v>
      </c>
      <c r="AV41" s="26" t="str">
        <f>IF(OR(ISNUMBER(SEARCH('EA Concern'!$G$3,Tabla7[[#This Row],[EA concern]])),ISNUMBER(SEARCH('EA Concern'!$G$4,Tabla7[[#This Row],[EA concern]]))),"X","")</f>
        <v/>
      </c>
      <c r="AW41" s="26" t="str">
        <f>IF(OR(ISNUMBER(SEARCH('EA Concern'!$E$3,Tabla7[[#This Row],[EA concern]]))),"X","")</f>
        <v/>
      </c>
      <c r="AX41" s="26" t="str">
        <f>IF(OR(ISNUMBER(SEARCH('EA Concern'!$H$3,Tabla7[[#This Row],[EA concern]])),ISNUMBER(SEARCH('EA Concern'!$H$4,Tabla7[[#This Row],[EA concern]]))),"X","")</f>
        <v/>
      </c>
      <c r="AY41" s="26" t="str">
        <f>IF(OR(ISNUMBER(SEARCH('EA Concern'!$F$3,Tabla7[[#This Row],[EA concern]])),ISNUMBER(SEARCH('EA Concern'!$F$4,Tabla7[[#This Row],[EA concern]]))),"X","")</f>
        <v/>
      </c>
      <c r="AZ41" s="26" t="str">
        <f>IF(OR(ISNUMBER(SEARCH('EA Concern'!$D$3,Tabla7[[#This Row],[EA concern]])),ISNUMBER(SEARCH('EA Concern'!$D$4,Tabla7[[#This Row],[EA concern]]))),"X","")</f>
        <v/>
      </c>
      <c r="BA41" s="23" t="str">
        <f>IF(OR(ISNUMBER(SEARCH('EA Framework'!$J$3,Tabla7[[#This Row],[Framework/Methodology]])),ISNUMBER(SEARCH('EA Framework'!$J$4,Tabla7[[#This Row],[Framework/Methodology]]))),"X","")</f>
        <v/>
      </c>
      <c r="BB41" s="18" t="str">
        <f>IF(OR(ISNUMBER(SEARCH('EA Framework'!$I$3,Tabla7[[#This Row],[Framework/Methodology]]))),"X","")</f>
        <v>X</v>
      </c>
      <c r="BC41" s="18" t="str">
        <f>IF(OR(ISNUMBER(SEARCH('EA Framework'!$F$3,Tabla7[[#This Row],[Framework/Methodology]]))),"X","")</f>
        <v/>
      </c>
      <c r="BD41" s="18" t="str">
        <f>IF(OR(ISNUMBER(SEARCH('EA Framework'!$H$3,Tabla7[[#This Row],[Framework/Methodology]]))),"X","")</f>
        <v/>
      </c>
      <c r="BE41" s="18" t="str">
        <f>IF(OR(ISNUMBER(SEARCH('EA Framework'!$E$3,Tabla7[[#This Row],[Framework/Methodology]]))),"X","")</f>
        <v/>
      </c>
      <c r="BF41" s="18" t="str">
        <f>IF(OR(ISNUMBER(SEARCH('EA Framework'!$G$3,Tabla7[[#This Row],[Framework/Methodology]]))),"X","")</f>
        <v/>
      </c>
      <c r="BG41" s="18" t="str">
        <f>IF(OR(ISNUMBER(SEARCH('EA Framework'!$D$3,Tabla7[[#This Row],[Framework/Methodology]]))),"X","")</f>
        <v/>
      </c>
      <c r="BH41" s="22" t="str">
        <f>IF(OR(ISNUMBER(SEARCH('Modelling Language'!$M$3,Tabla7[[#This Row],[Language]])),ISNUMBER(SEARCH('Modelling Language'!$M$4,Tabla7[[#This Row],[Language]])),ISNUMBER(SEARCH('Modelling Language'!$M$5,Tabla7[[#This Row],[Language]]))),"X","")</f>
        <v>X</v>
      </c>
      <c r="BI41" s="18" t="str">
        <f>IF(OR(ISNUMBER(SEARCH('Modelling Language'!$J$3,Tabla7[[#This Row],[Language]])),ISNUMBER(SEARCH('Modelling Language'!$J$4,Tabla7[[#This Row],[Language]]))),"X","")</f>
        <v/>
      </c>
      <c r="BJ41" s="18" t="str">
        <f>IF(OR(ISNUMBER(SEARCH('Modelling Language'!$L$3,Tabla7[[#This Row],[Language]])),ISNUMBER(SEARCH('Modelling Language'!$L$4,Tabla7[[#This Row],[Language]]))),"X","")</f>
        <v/>
      </c>
      <c r="BK41" s="18" t="str">
        <f>IF(OR(ISNUMBER(SEARCH('Modelling Language'!$K$3,Tabla7[[#This Row],[Language]])),ISNUMBER(SEARCH('Modelling Language'!$K$4,Tabla7[[#This Row],[Language]]))),"X","")</f>
        <v/>
      </c>
      <c r="BL41" s="18" t="str">
        <f>IF(OR(ISNUMBER(SEARCH('Modelling Language'!$D$3,Tabla7[[#This Row],[Language]]))),"X","")</f>
        <v/>
      </c>
      <c r="BM41" s="18" t="str">
        <f>IF(OR(ISNUMBER(SEARCH('Modelling Language'!$I$3,Tabla7[[#This Row],[Language]]))),"X","")</f>
        <v/>
      </c>
      <c r="BN41" s="18" t="str">
        <f>IF(OR(ISNUMBER(SEARCH('Modelling Language'!$G$3,Tabla7[[#This Row],[Language]]))),"X","")</f>
        <v/>
      </c>
      <c r="BO41" s="18" t="str">
        <f>IF(OR(ISNUMBER(SEARCH('Modelling Language'!$F$3,Tabla7[[#This Row],[Language]]))),"X","")</f>
        <v/>
      </c>
      <c r="BP41" s="18" t="str">
        <f>IF(OR(ISNUMBER(SEARCH('Modelling Language'!$E$3,Tabla7[[#This Row],[Language]]))),"X","")</f>
        <v/>
      </c>
      <c r="BQ41" s="18" t="str">
        <f>IF(OR(ISNUMBER(SEARCH('Modelling Language'!$H$3,Tabla7[[#This Row],[Language]]))),"X","")</f>
        <v/>
      </c>
      <c r="BR41" s="18"/>
      <c r="BS41" s="22" t="str">
        <f>IF(OR(ISNUMBER(SEARCH(applicability!$D$3,Tabla7[[#This Row],[Application]])),ISNUMBER(SEARCH(applicability!$D$4,Tabla7[[#This Row],[Application]]))),"X","")</f>
        <v>X</v>
      </c>
      <c r="BT41" s="18" t="str">
        <f>IF(OR(ISNUMBER(SEARCH(applicability!$E$3,Tabla7[[#This Row],[Application]]))),"X","")</f>
        <v/>
      </c>
      <c r="BU41" s="18" t="str">
        <f>IF(OR(ISNUMBER(SEARCH(applicability!$F$3,Tabla7[[#This Row],[Application]])),ISNUMBER(SEARCH(applicability!$F$4,Tabla7[[#This Row],[Application]]))),"X","")</f>
        <v/>
      </c>
      <c r="BV41" s="18" t="str">
        <f>IF(OR(ISNUMBER(SEARCH(applicability!$G$3,Tabla7[[#This Row],[Application]]))),"X","")</f>
        <v/>
      </c>
      <c r="BW41" s="19" t="str">
        <f>IF(OR(ISNUMBER(SEARCH(applicability!$H$3,Tabla7[[#This Row],[Application]]))),"X","")</f>
        <v/>
      </c>
    </row>
    <row r="42" spans="1:75" x14ac:dyDescent="0.25">
      <c r="A42" s="13">
        <v>620</v>
      </c>
      <c r="B42" s="16">
        <v>36</v>
      </c>
      <c r="C42" s="16" t="s">
        <v>269</v>
      </c>
      <c r="D42" s="16" t="s">
        <v>268</v>
      </c>
      <c r="E42" s="17">
        <v>2017</v>
      </c>
      <c r="F42" s="17" t="s">
        <v>5221</v>
      </c>
      <c r="G42" s="17" t="s">
        <v>5301</v>
      </c>
      <c r="H42" s="15" t="s">
        <v>5296</v>
      </c>
      <c r="I42" s="15" t="s">
        <v>5296</v>
      </c>
      <c r="J42" s="16" t="s">
        <v>244</v>
      </c>
      <c r="K42" s="16" t="s">
        <v>4780</v>
      </c>
      <c r="L42" s="16" t="s">
        <v>272</v>
      </c>
      <c r="M42" s="16">
        <v>5.5</v>
      </c>
      <c r="N42" s="16">
        <v>0</v>
      </c>
      <c r="O42" s="16" t="s">
        <v>5076</v>
      </c>
      <c r="P42" s="16" t="s">
        <v>5022</v>
      </c>
      <c r="Q42" s="16" t="s">
        <v>4999</v>
      </c>
      <c r="R42" s="16" t="s">
        <v>4974</v>
      </c>
      <c r="S42" s="16" t="s">
        <v>658</v>
      </c>
      <c r="T42" s="16" t="s">
        <v>5003</v>
      </c>
      <c r="U42" s="16"/>
      <c r="V42" s="16"/>
      <c r="W42" s="16">
        <v>3</v>
      </c>
      <c r="X42" s="16">
        <v>3</v>
      </c>
      <c r="Y42" s="16">
        <v>3</v>
      </c>
      <c r="Z42" s="16">
        <v>4</v>
      </c>
      <c r="AA42" s="29">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5</v>
      </c>
      <c r="AB42" s="14">
        <v>1</v>
      </c>
      <c r="AC42" s="44" t="s">
        <v>5221</v>
      </c>
      <c r="AD42" s="27" t="str">
        <f>IF(OR(ISNUMBER(SEARCH('Source Artifacts'!$F$3,Tabla7[[#This Row],[Source IS artifacts]])),ISNUMBER(SEARCH('Source Artifacts'!$F$4,Tabla7[[#This Row],[Source IS artifacts]]))),"X","")</f>
        <v/>
      </c>
      <c r="AE42" s="20" t="str">
        <f>IF(OR(ISNUMBER(SEARCH('Source Artifacts'!$L$3,Tabla7[[#This Row],[Source IS artifacts]])),ISNUMBER(SEARCH('Source Artifacts'!$L$4,Tabla7[[#This Row],[Source IS artifacts]])),ISNUMBER(SEARCH('Source Artifacts'!$L$5,Tabla7[[#This Row],[Source IS artifacts]]))),"X","")</f>
        <v/>
      </c>
      <c r="AF42" s="20" t="str">
        <f>IF(OR(ISNUMBER(SEARCH('Source Artifacts'!$I$3,Tabla7[[#This Row],[Source IS artifacts]])),ISNUMBER(SEARCH('Source Artifacts'!$I$4,Tabla7[[#This Row],[Source IS artifacts]])),ISNUMBER(SEARCH('Source Artifacts'!$I$5,Tabla7[[#This Row],[Source IS artifacts]]))),"X","")</f>
        <v/>
      </c>
      <c r="AG42" s="20"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42" s="20"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42" s="20"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42" s="20"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42" s="26"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X</v>
      </c>
      <c r="AL42" s="20" t="str">
        <f>IF(OR(ISNUMBER(SEARCH('Source Artifacts'!$D$3,Tabla7[[#This Row],[Source IS artifacts]]))),"X","")</f>
        <v/>
      </c>
      <c r="AM42" s="27"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42" s="26"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
      </c>
      <c r="AO42" s="26" t="str">
        <f>IF(OR(ISNUMBER(SEARCH(Techniques!$H$3,Tabla7[[#This Row],[Mining techniques]])),ISNUMBER(SEARCH(Techniques!$H$4,Tabla7[[#This Row],[Mining techniques]]))),"X","")</f>
        <v>X</v>
      </c>
      <c r="AP42" s="26" t="str">
        <f>IF(OR(ISNUMBER(SEARCH(Techniques!$J$3,Tabla7[[#This Row],[Mining techniques]]))),"X","")</f>
        <v/>
      </c>
      <c r="AQ42" s="20" t="str">
        <f>IF(OR(ISNUMBER(SEARCH(Techniques!$G$3,Tabla7[[#This Row],[Mining techniques]])),ISNUMBER(SEARCH(Techniques!$G$4,Tabla7[[#This Row],[Mining techniques]]))),"X","")</f>
        <v/>
      </c>
      <c r="AR42" s="20" t="str">
        <f>IF(OR(ISNUMBER(SEARCH(Techniques!$F$3,Tabla7[[#This Row],[Mining techniques]])),ISNUMBER(SEARCH(Techniques!$F$4,Tabla7[[#This Row],[Mining techniques]]))),"X","")</f>
        <v/>
      </c>
      <c r="AS42" s="26" t="str">
        <f>IF(OR(ISNUMBER(SEARCH(Techniques!$D$3,Tabla7[[#This Row],[Mining techniques]])),ISNUMBER(SEARCH(Techniques!$D$4,Tabla7[[#This Row],[Mining techniques]]))),"X","")</f>
        <v/>
      </c>
      <c r="AT42" s="26" t="str">
        <f>IF(OR(ISNUMBER(SEARCH(Techniques!$E$3,Tabla7[[#This Row],[Mining techniques]])),ISNUMBER(SEARCH(Techniques!$E$4,Tabla7[[#This Row],[Mining techniques]]))),"X","")</f>
        <v/>
      </c>
      <c r="AU42" s="27" t="str">
        <f>IF(OR(ISNUMBER(SEARCH('EA Concern'!$I$3,Tabla7[[#This Row],[EA concern]]))),"X","")</f>
        <v/>
      </c>
      <c r="AV42" s="26" t="str">
        <f>IF(OR(ISNUMBER(SEARCH('EA Concern'!$G$3,Tabla7[[#This Row],[EA concern]])),ISNUMBER(SEARCH('EA Concern'!$G$4,Tabla7[[#This Row],[EA concern]]))),"X","")</f>
        <v>X</v>
      </c>
      <c r="AW42" s="26" t="str">
        <f>IF(OR(ISNUMBER(SEARCH('EA Concern'!$E$3,Tabla7[[#This Row],[EA concern]]))),"X","")</f>
        <v/>
      </c>
      <c r="AX42" s="26" t="str">
        <f>IF(OR(ISNUMBER(SEARCH('EA Concern'!$H$3,Tabla7[[#This Row],[EA concern]])),ISNUMBER(SEARCH('EA Concern'!$H$4,Tabla7[[#This Row],[EA concern]]))),"X","")</f>
        <v/>
      </c>
      <c r="AY42" s="26" t="str">
        <f>IF(OR(ISNUMBER(SEARCH('EA Concern'!$F$3,Tabla7[[#This Row],[EA concern]])),ISNUMBER(SEARCH('EA Concern'!$F$4,Tabla7[[#This Row],[EA concern]]))),"X","")</f>
        <v/>
      </c>
      <c r="AZ42" s="26" t="str">
        <f>IF(OR(ISNUMBER(SEARCH('EA Concern'!$D$3,Tabla7[[#This Row],[EA concern]])),ISNUMBER(SEARCH('EA Concern'!$D$4,Tabla7[[#This Row],[EA concern]]))),"X","")</f>
        <v/>
      </c>
      <c r="BA42" s="24" t="str">
        <f>IF(OR(ISNUMBER(SEARCH('EA Framework'!$J$3,Tabla7[[#This Row],[Framework/Methodology]])),ISNUMBER(SEARCH('EA Framework'!$J$4,Tabla7[[#This Row],[Framework/Methodology]]))),"X","")</f>
        <v>X</v>
      </c>
      <c r="BB42" s="26" t="str">
        <f>IF(OR(ISNUMBER(SEARCH('EA Framework'!$I$3,Tabla7[[#This Row],[Framework/Methodology]]))),"X","")</f>
        <v/>
      </c>
      <c r="BC42" s="26" t="str">
        <f>IF(OR(ISNUMBER(SEARCH('EA Framework'!$F$3,Tabla7[[#This Row],[Framework/Methodology]]))),"X","")</f>
        <v/>
      </c>
      <c r="BD42" s="26" t="str">
        <f>IF(OR(ISNUMBER(SEARCH('EA Framework'!$H$3,Tabla7[[#This Row],[Framework/Methodology]]))),"X","")</f>
        <v/>
      </c>
      <c r="BE42" s="26" t="str">
        <f>IF(OR(ISNUMBER(SEARCH('EA Framework'!$E$3,Tabla7[[#This Row],[Framework/Methodology]]))),"X","")</f>
        <v/>
      </c>
      <c r="BF42" s="26" t="str">
        <f>IF(OR(ISNUMBER(SEARCH('EA Framework'!$G$3,Tabla7[[#This Row],[Framework/Methodology]]))),"X","")</f>
        <v/>
      </c>
      <c r="BG42" s="26" t="str">
        <f>IF(OR(ISNUMBER(SEARCH('EA Framework'!$D$3,Tabla7[[#This Row],[Framework/Methodology]]))),"X","")</f>
        <v/>
      </c>
      <c r="BH42" s="27" t="str">
        <f>IF(OR(ISNUMBER(SEARCH('Modelling Language'!$M$3,Tabla7[[#This Row],[Language]])),ISNUMBER(SEARCH('Modelling Language'!$M$4,Tabla7[[#This Row],[Language]])),ISNUMBER(SEARCH('Modelling Language'!$M$5,Tabla7[[#This Row],[Language]]))),"X","")</f>
        <v/>
      </c>
      <c r="BI42" s="26" t="str">
        <f>IF(OR(ISNUMBER(SEARCH('Modelling Language'!$J$3,Tabla7[[#This Row],[Language]])),ISNUMBER(SEARCH('Modelling Language'!$J$4,Tabla7[[#This Row],[Language]]))),"X","")</f>
        <v/>
      </c>
      <c r="BJ42" s="26" t="str">
        <f>IF(OR(ISNUMBER(SEARCH('Modelling Language'!$L$3,Tabla7[[#This Row],[Language]])),ISNUMBER(SEARCH('Modelling Language'!$L$4,Tabla7[[#This Row],[Language]]))),"X","")</f>
        <v/>
      </c>
      <c r="BK42" s="26" t="str">
        <f>IF(OR(ISNUMBER(SEARCH('Modelling Language'!$K$3,Tabla7[[#This Row],[Language]])),ISNUMBER(SEARCH('Modelling Language'!$K$4,Tabla7[[#This Row],[Language]]))),"X","")</f>
        <v/>
      </c>
      <c r="BL42" s="26" t="str">
        <f>IF(OR(ISNUMBER(SEARCH('Modelling Language'!$D$3,Tabla7[[#This Row],[Language]]))),"X","")</f>
        <v/>
      </c>
      <c r="BM42" s="26" t="str">
        <f>IF(OR(ISNUMBER(SEARCH('Modelling Language'!$I$3,Tabla7[[#This Row],[Language]]))),"X","")</f>
        <v/>
      </c>
      <c r="BN42" s="26" t="str">
        <f>IF(OR(ISNUMBER(SEARCH('Modelling Language'!$G$3,Tabla7[[#This Row],[Language]]))),"X","")</f>
        <v/>
      </c>
      <c r="BO42" s="26" t="str">
        <f>IF(OR(ISNUMBER(SEARCH('Modelling Language'!$F$3,Tabla7[[#This Row],[Language]]))),"X","")</f>
        <v/>
      </c>
      <c r="BP42" s="26" t="str">
        <f>IF(OR(ISNUMBER(SEARCH('Modelling Language'!$E$3,Tabla7[[#This Row],[Language]]))),"X","")</f>
        <v/>
      </c>
      <c r="BQ42" s="26" t="str">
        <f>IF(OR(ISNUMBER(SEARCH('Modelling Language'!$H$3,Tabla7[[#This Row],[Language]]))),"X","")</f>
        <v/>
      </c>
      <c r="BR42" s="26"/>
      <c r="BS42" s="27" t="str">
        <f>IF(OR(ISNUMBER(SEARCH(applicability!$D$3,Tabla7[[#This Row],[Application]])),ISNUMBER(SEARCH(applicability!$D$4,Tabla7[[#This Row],[Application]]))),"X","")</f>
        <v/>
      </c>
      <c r="BT42" s="26" t="str">
        <f>IF(OR(ISNUMBER(SEARCH(applicability!$E$3,Tabla7[[#This Row],[Application]]))),"X","")</f>
        <v/>
      </c>
      <c r="BU42" s="26" t="str">
        <f>IF(OR(ISNUMBER(SEARCH(applicability!$F$3,Tabla7[[#This Row],[Application]])),ISNUMBER(SEARCH(applicability!$F$4,Tabla7[[#This Row],[Application]]))),"X","")</f>
        <v/>
      </c>
      <c r="BV42" s="26" t="str">
        <f>IF(OR(ISNUMBER(SEARCH(applicability!$G$3,Tabla7[[#This Row],[Application]]))),"X","")</f>
        <v/>
      </c>
      <c r="BW42" s="20" t="str">
        <f>IF(OR(ISNUMBER(SEARCH(applicability!$H$3,Tabla7[[#This Row],[Application]]))),"X","")</f>
        <v/>
      </c>
    </row>
    <row r="43" spans="1:75" x14ac:dyDescent="0.25">
      <c r="A43" s="48">
        <v>655</v>
      </c>
      <c r="B43" s="49">
        <v>41</v>
      </c>
      <c r="C43" s="49" t="s">
        <v>5653</v>
      </c>
      <c r="D43" s="49" t="s">
        <v>5654</v>
      </c>
      <c r="E43" s="49">
        <v>2018</v>
      </c>
      <c r="F43" s="17" t="s">
        <v>5298</v>
      </c>
      <c r="G43" s="17" t="s">
        <v>5301</v>
      </c>
      <c r="H43" s="17" t="s">
        <v>5296</v>
      </c>
      <c r="I43" s="17" t="s">
        <v>5296</v>
      </c>
      <c r="J43" s="16" t="s">
        <v>658</v>
      </c>
      <c r="K43" s="49"/>
      <c r="L43" s="57" t="s">
        <v>5656</v>
      </c>
      <c r="M43" s="49">
        <v>6</v>
      </c>
      <c r="N43" s="49">
        <v>0</v>
      </c>
      <c r="O43" s="16" t="s">
        <v>728</v>
      </c>
      <c r="P43" s="16" t="s">
        <v>5062</v>
      </c>
      <c r="Q43" s="16" t="s">
        <v>5277</v>
      </c>
      <c r="R43" s="16" t="s">
        <v>4974</v>
      </c>
      <c r="S43" s="16" t="s">
        <v>658</v>
      </c>
      <c r="T43" s="16" t="s">
        <v>5003</v>
      </c>
      <c r="U43" s="16" t="s">
        <v>5013</v>
      </c>
      <c r="V43" s="16" t="s">
        <v>5006</v>
      </c>
      <c r="W43" s="16">
        <v>5</v>
      </c>
      <c r="X43" s="16">
        <v>4</v>
      </c>
      <c r="Y43" s="16">
        <v>1</v>
      </c>
      <c r="Z43" s="16">
        <v>4</v>
      </c>
      <c r="AA43" s="29">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4</v>
      </c>
      <c r="AB43" s="49">
        <v>1</v>
      </c>
      <c r="AC43" s="44" t="s">
        <v>5221</v>
      </c>
      <c r="AD43" s="52" t="str">
        <f>IF(OR(ISNUMBER(SEARCH('Source Artifacts'!$F$3,Tabla7[[#This Row],[Source IS artifacts]])),ISNUMBER(SEARCH('Source Artifacts'!$F$4,Tabla7[[#This Row],[Source IS artifacts]]))),"X","")</f>
        <v/>
      </c>
      <c r="AE43" s="52" t="str">
        <f>IF(OR(ISNUMBER(SEARCH('Source Artifacts'!$L$3,Tabla7[[#This Row],[Source IS artifacts]])),ISNUMBER(SEARCH('Source Artifacts'!$L$4,Tabla7[[#This Row],[Source IS artifacts]])),ISNUMBER(SEARCH('Source Artifacts'!$L$5,Tabla7[[#This Row],[Source IS artifacts]]))),"X","")</f>
        <v/>
      </c>
      <c r="AF43" s="52" t="str">
        <f>IF(OR(ISNUMBER(SEARCH('Source Artifacts'!$I$3,Tabla7[[#This Row],[Source IS artifacts]])),ISNUMBER(SEARCH('Source Artifacts'!$I$4,Tabla7[[#This Row],[Source IS artifacts]])),ISNUMBER(SEARCH('Source Artifacts'!$I$5,Tabla7[[#This Row],[Source IS artifacts]]))),"X","")</f>
        <v>X</v>
      </c>
      <c r="AG43" s="52"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43" s="52"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43" s="52"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43" s="52"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43" s="52"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43" s="52" t="str">
        <f>IF(OR(ISNUMBER(SEARCH('Source Artifacts'!$D$3,Tabla7[[#This Row],[Source IS artifacts]]))),"X","")</f>
        <v/>
      </c>
      <c r="AM43" s="53"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43" s="52"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
      </c>
      <c r="AO43" s="52" t="str">
        <f>IF(OR(ISNUMBER(SEARCH(Techniques!$H$3,Tabla7[[#This Row],[Mining techniques]])),ISNUMBER(SEARCH(Techniques!$H$4,Tabla7[[#This Row],[Mining techniques]]))),"X","")</f>
        <v/>
      </c>
      <c r="AP43" s="52" t="str">
        <f>IF(OR(ISNUMBER(SEARCH(Techniques!$J$3,Tabla7[[#This Row],[Mining techniques]]))),"X","")</f>
        <v/>
      </c>
      <c r="AQ43" s="52" t="str">
        <f>IF(OR(ISNUMBER(SEARCH(Techniques!$G$3,Tabla7[[#This Row],[Mining techniques]])),ISNUMBER(SEARCH(Techniques!$G$4,Tabla7[[#This Row],[Mining techniques]]))),"X","")</f>
        <v>X</v>
      </c>
      <c r="AR43" s="52" t="str">
        <f>IF(OR(ISNUMBER(SEARCH(Techniques!$F$3,Tabla7[[#This Row],[Mining techniques]])),ISNUMBER(SEARCH(Techniques!$F$4,Tabla7[[#This Row],[Mining techniques]]))),"X","")</f>
        <v/>
      </c>
      <c r="AS43" s="52" t="str">
        <f>IF(OR(ISNUMBER(SEARCH(Techniques!$D$3,Tabla7[[#This Row],[Mining techniques]])),ISNUMBER(SEARCH(Techniques!$D$4,Tabla7[[#This Row],[Mining techniques]]))),"X","")</f>
        <v/>
      </c>
      <c r="AT43" s="52" t="str">
        <f>IF(OR(ISNUMBER(SEARCH(Techniques!$E$3,Tabla7[[#This Row],[Mining techniques]])),ISNUMBER(SEARCH(Techniques!$E$4,Tabla7[[#This Row],[Mining techniques]]))),"X","")</f>
        <v/>
      </c>
      <c r="AU43" s="53" t="str">
        <f>IF(OR(ISNUMBER(SEARCH('EA Concern'!$I$3,Tabla7[[#This Row],[EA concern]]))),"X","")</f>
        <v>X</v>
      </c>
      <c r="AV43" s="52" t="str">
        <f>IF(OR(ISNUMBER(SEARCH('EA Concern'!$G$3,Tabla7[[#This Row],[EA concern]])),ISNUMBER(SEARCH('EA Concern'!$G$4,Tabla7[[#This Row],[EA concern]]))),"X","")</f>
        <v/>
      </c>
      <c r="AW43" s="52" t="str">
        <f>IF(OR(ISNUMBER(SEARCH('EA Concern'!$E$3,Tabla7[[#This Row],[EA concern]]))),"X","")</f>
        <v/>
      </c>
      <c r="AX43" s="52" t="str">
        <f>IF(OR(ISNUMBER(SEARCH('EA Concern'!$H$3,Tabla7[[#This Row],[EA concern]])),ISNUMBER(SEARCH('EA Concern'!$H$4,Tabla7[[#This Row],[EA concern]]))),"X","")</f>
        <v/>
      </c>
      <c r="AY43" s="52" t="str">
        <f>IF(OR(ISNUMBER(SEARCH('EA Concern'!$F$3,Tabla7[[#This Row],[EA concern]])),ISNUMBER(SEARCH('EA Concern'!$F$4,Tabla7[[#This Row],[EA concern]]))),"X","")</f>
        <v/>
      </c>
      <c r="AZ43" s="52" t="str">
        <f>IF(OR(ISNUMBER(SEARCH('EA Concern'!$D$3,Tabla7[[#This Row],[EA concern]])),ISNUMBER(SEARCH('EA Concern'!$D$4,Tabla7[[#This Row],[EA concern]]))),"X","")</f>
        <v/>
      </c>
      <c r="BA43" s="53" t="str">
        <f>IF(OR(ISNUMBER(SEARCH('EA Framework'!$J$3,Tabla7[[#This Row],[Framework/Methodology]])),ISNUMBER(SEARCH('EA Framework'!$J$4,Tabla7[[#This Row],[Framework/Methodology]]))),"X","")</f>
        <v>X</v>
      </c>
      <c r="BB43" s="52" t="str">
        <f>IF(OR(ISNUMBER(SEARCH('EA Framework'!$I$3,Tabla7[[#This Row],[Framework/Methodology]]))),"X","")</f>
        <v/>
      </c>
      <c r="BC43" s="52" t="str">
        <f>IF(OR(ISNUMBER(SEARCH('EA Framework'!$F$3,Tabla7[[#This Row],[Framework/Methodology]]))),"X","")</f>
        <v/>
      </c>
      <c r="BD43" s="52" t="str">
        <f>IF(OR(ISNUMBER(SEARCH('EA Framework'!$H$3,Tabla7[[#This Row],[Framework/Methodology]]))),"X","")</f>
        <v/>
      </c>
      <c r="BE43" s="52" t="str">
        <f>IF(OR(ISNUMBER(SEARCH('EA Framework'!$E$3,Tabla7[[#This Row],[Framework/Methodology]]))),"X","")</f>
        <v/>
      </c>
      <c r="BF43" s="52" t="str">
        <f>IF(OR(ISNUMBER(SEARCH('EA Framework'!$G$3,Tabla7[[#This Row],[Framework/Methodology]]))),"X","")</f>
        <v/>
      </c>
      <c r="BG43" s="52" t="str">
        <f>IF(OR(ISNUMBER(SEARCH('EA Framework'!$D$3,Tabla7[[#This Row],[Framework/Methodology]]))),"X","")</f>
        <v/>
      </c>
      <c r="BH43" s="53" t="str">
        <f>IF(OR(ISNUMBER(SEARCH('Modelling Language'!$M$3,Tabla7[[#This Row],[Language]])),ISNUMBER(SEARCH('Modelling Language'!$M$4,Tabla7[[#This Row],[Language]])),ISNUMBER(SEARCH('Modelling Language'!$M$5,Tabla7[[#This Row],[Language]]))),"X","")</f>
        <v/>
      </c>
      <c r="BI43" s="52" t="str">
        <f>IF(OR(ISNUMBER(SEARCH('Modelling Language'!$J$3,Tabla7[[#This Row],[Language]])),ISNUMBER(SEARCH('Modelling Language'!$J$4,Tabla7[[#This Row],[Language]]))),"X","")</f>
        <v/>
      </c>
      <c r="BJ43" s="52" t="str">
        <f>IF(OR(ISNUMBER(SEARCH('Modelling Language'!$L$3,Tabla7[[#This Row],[Language]])),ISNUMBER(SEARCH('Modelling Language'!$L$4,Tabla7[[#This Row],[Language]]))),"X","")</f>
        <v>X</v>
      </c>
      <c r="BK43" s="52" t="str">
        <f>IF(OR(ISNUMBER(SEARCH('Modelling Language'!$K$3,Tabla7[[#This Row],[Language]])),ISNUMBER(SEARCH('Modelling Language'!$K$4,Tabla7[[#This Row],[Language]]))),"X","")</f>
        <v/>
      </c>
      <c r="BL43" s="52" t="str">
        <f>IF(OR(ISNUMBER(SEARCH('Modelling Language'!$D$3,Tabla7[[#This Row],[Language]]))),"X","")</f>
        <v/>
      </c>
      <c r="BM43" s="52" t="str">
        <f>IF(OR(ISNUMBER(SEARCH('Modelling Language'!$I$3,Tabla7[[#This Row],[Language]]))),"X","")</f>
        <v/>
      </c>
      <c r="BN43" s="52" t="str">
        <f>IF(OR(ISNUMBER(SEARCH('Modelling Language'!$G$3,Tabla7[[#This Row],[Language]]))),"X","")</f>
        <v/>
      </c>
      <c r="BO43" s="52" t="str">
        <f>IF(OR(ISNUMBER(SEARCH('Modelling Language'!$F$3,Tabla7[[#This Row],[Language]]))),"X","")</f>
        <v/>
      </c>
      <c r="BP43" s="52" t="str">
        <f>IF(OR(ISNUMBER(SEARCH('Modelling Language'!$E$3,Tabla7[[#This Row],[Language]]))),"X","")</f>
        <v/>
      </c>
      <c r="BQ43" s="52" t="str">
        <f>IF(OR(ISNUMBER(SEARCH('Modelling Language'!$H$3,Tabla7[[#This Row],[Language]]))),"X","")</f>
        <v/>
      </c>
      <c r="BR43" s="52"/>
      <c r="BS43" s="53" t="str">
        <f>IF(OR(ISNUMBER(SEARCH(applicability!$D$3,Tabla7[[#This Row],[Application]])),ISNUMBER(SEARCH(applicability!$D$4,Tabla7[[#This Row],[Application]]))),"X","")</f>
        <v>X</v>
      </c>
      <c r="BT43" s="52" t="str">
        <f>IF(OR(ISNUMBER(SEARCH(applicability!$E$3,Tabla7[[#This Row],[Application]]))),"X","")</f>
        <v/>
      </c>
      <c r="BU43" s="52" t="str">
        <f>IF(OR(ISNUMBER(SEARCH(applicability!$F$3,Tabla7[[#This Row],[Application]])),ISNUMBER(SEARCH(applicability!$F$4,Tabla7[[#This Row],[Application]]))),"X","")</f>
        <v/>
      </c>
      <c r="BV43" s="52" t="str">
        <f>IF(OR(ISNUMBER(SEARCH(applicability!$G$3,Tabla7[[#This Row],[Application]]))),"X","")</f>
        <v/>
      </c>
      <c r="BW43" s="52" t="str">
        <f>IF(OR(ISNUMBER(SEARCH(applicability!$H$3,Tabla7[[#This Row],[Application]]))),"X","")</f>
        <v/>
      </c>
    </row>
    <row r="44" spans="1:75" x14ac:dyDescent="0.25">
      <c r="A44" s="48">
        <v>670</v>
      </c>
      <c r="B44" s="49">
        <v>42</v>
      </c>
      <c r="C44" s="56" t="s">
        <v>5542</v>
      </c>
      <c r="D44" s="56" t="s">
        <v>5543</v>
      </c>
      <c r="E44" s="56">
        <v>2018</v>
      </c>
      <c r="F44" s="17" t="s">
        <v>5295</v>
      </c>
      <c r="G44" s="17" t="s">
        <v>5295</v>
      </c>
      <c r="H44" s="17" t="s">
        <v>5296</v>
      </c>
      <c r="I44" s="17" t="s">
        <v>5296</v>
      </c>
      <c r="J44" s="16" t="s">
        <v>658</v>
      </c>
      <c r="K44" s="57" t="s">
        <v>5036</v>
      </c>
      <c r="L44" s="57" t="s">
        <v>5546</v>
      </c>
      <c r="M44" s="49">
        <v>5</v>
      </c>
      <c r="N44" s="49">
        <v>0</v>
      </c>
      <c r="O44" s="16" t="s">
        <v>728</v>
      </c>
      <c r="P44" s="16" t="s">
        <v>5032</v>
      </c>
      <c r="Q44" s="16" t="s">
        <v>4999</v>
      </c>
      <c r="R44" s="16" t="s">
        <v>4974</v>
      </c>
      <c r="S44" s="16" t="s">
        <v>658</v>
      </c>
      <c r="T44" s="16" t="s">
        <v>5003</v>
      </c>
      <c r="U44" s="16"/>
      <c r="V44" s="16" t="s">
        <v>1464</v>
      </c>
      <c r="W44" s="16">
        <v>5</v>
      </c>
      <c r="X44" s="16">
        <v>3</v>
      </c>
      <c r="Y44" s="16">
        <v>5</v>
      </c>
      <c r="Z44" s="16">
        <v>4</v>
      </c>
      <c r="AA44" s="29">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1</v>
      </c>
      <c r="AB44" s="49">
        <v>1</v>
      </c>
      <c r="AC44" s="44" t="s">
        <v>5221</v>
      </c>
      <c r="AD44" s="52" t="str">
        <f>IF(OR(ISNUMBER(SEARCH('Source Artifacts'!$F$3,Tabla7[[#This Row],[Source IS artifacts]])),ISNUMBER(SEARCH('Source Artifacts'!$F$4,Tabla7[[#This Row],[Source IS artifacts]]))),"X","")</f>
        <v/>
      </c>
      <c r="AE44" s="52" t="str">
        <f>IF(OR(ISNUMBER(SEARCH('Source Artifacts'!$L$3,Tabla7[[#This Row],[Source IS artifacts]])),ISNUMBER(SEARCH('Source Artifacts'!$L$4,Tabla7[[#This Row],[Source IS artifacts]])),ISNUMBER(SEARCH('Source Artifacts'!$L$5,Tabla7[[#This Row],[Source IS artifacts]]))),"X","")</f>
        <v/>
      </c>
      <c r="AF44" s="52" t="str">
        <f>IF(OR(ISNUMBER(SEARCH('Source Artifacts'!$I$3,Tabla7[[#This Row],[Source IS artifacts]])),ISNUMBER(SEARCH('Source Artifacts'!$I$4,Tabla7[[#This Row],[Source IS artifacts]])),ISNUMBER(SEARCH('Source Artifacts'!$I$5,Tabla7[[#This Row],[Source IS artifacts]]))),"X","")</f>
        <v>X</v>
      </c>
      <c r="AG44" s="52"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44" s="52"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44" s="52"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44" s="52"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44" s="52"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44" s="52" t="str">
        <f>IF(OR(ISNUMBER(SEARCH('Source Artifacts'!$D$3,Tabla7[[#This Row],[Source IS artifacts]]))),"X","")</f>
        <v/>
      </c>
      <c r="AM44" s="53"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44" s="52"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X</v>
      </c>
      <c r="AO44" s="52" t="str">
        <f>IF(OR(ISNUMBER(SEARCH(Techniques!$H$3,Tabla7[[#This Row],[Mining techniques]])),ISNUMBER(SEARCH(Techniques!$H$4,Tabla7[[#This Row],[Mining techniques]]))),"X","")</f>
        <v/>
      </c>
      <c r="AP44" s="52" t="str">
        <f>IF(OR(ISNUMBER(SEARCH(Techniques!$J$3,Tabla7[[#This Row],[Mining techniques]]))),"X","")</f>
        <v/>
      </c>
      <c r="AQ44" s="52" t="str">
        <f>IF(OR(ISNUMBER(SEARCH(Techniques!$G$3,Tabla7[[#This Row],[Mining techniques]])),ISNUMBER(SEARCH(Techniques!$G$4,Tabla7[[#This Row],[Mining techniques]]))),"X","")</f>
        <v/>
      </c>
      <c r="AR44" s="52" t="str">
        <f>IF(OR(ISNUMBER(SEARCH(Techniques!$F$3,Tabla7[[#This Row],[Mining techniques]])),ISNUMBER(SEARCH(Techniques!$F$4,Tabla7[[#This Row],[Mining techniques]]))),"X","")</f>
        <v/>
      </c>
      <c r="AS44" s="52" t="str">
        <f>IF(OR(ISNUMBER(SEARCH(Techniques!$D$3,Tabla7[[#This Row],[Mining techniques]])),ISNUMBER(SEARCH(Techniques!$D$4,Tabla7[[#This Row],[Mining techniques]]))),"X","")</f>
        <v/>
      </c>
      <c r="AT44" s="52" t="str">
        <f>IF(OR(ISNUMBER(SEARCH(Techniques!$E$3,Tabla7[[#This Row],[Mining techniques]])),ISNUMBER(SEARCH(Techniques!$E$4,Tabla7[[#This Row],[Mining techniques]]))),"X","")</f>
        <v/>
      </c>
      <c r="AU44" s="53" t="str">
        <f>IF(OR(ISNUMBER(SEARCH('EA Concern'!$I$3,Tabla7[[#This Row],[EA concern]]))),"X","")</f>
        <v/>
      </c>
      <c r="AV44" s="52" t="str">
        <f>IF(OR(ISNUMBER(SEARCH('EA Concern'!$G$3,Tabla7[[#This Row],[EA concern]])),ISNUMBER(SEARCH('EA Concern'!$G$4,Tabla7[[#This Row],[EA concern]]))),"X","")</f>
        <v>X</v>
      </c>
      <c r="AW44" s="52" t="str">
        <f>IF(OR(ISNUMBER(SEARCH('EA Concern'!$E$3,Tabla7[[#This Row],[EA concern]]))),"X","")</f>
        <v/>
      </c>
      <c r="AX44" s="52" t="str">
        <f>IF(OR(ISNUMBER(SEARCH('EA Concern'!$H$3,Tabla7[[#This Row],[EA concern]])),ISNUMBER(SEARCH('EA Concern'!$H$4,Tabla7[[#This Row],[EA concern]]))),"X","")</f>
        <v/>
      </c>
      <c r="AY44" s="52" t="str">
        <f>IF(OR(ISNUMBER(SEARCH('EA Concern'!$F$3,Tabla7[[#This Row],[EA concern]])),ISNUMBER(SEARCH('EA Concern'!$F$4,Tabla7[[#This Row],[EA concern]]))),"X","")</f>
        <v/>
      </c>
      <c r="AZ44" s="52" t="str">
        <f>IF(OR(ISNUMBER(SEARCH('EA Concern'!$D$3,Tabla7[[#This Row],[EA concern]])),ISNUMBER(SEARCH('EA Concern'!$D$4,Tabla7[[#This Row],[EA concern]]))),"X","")</f>
        <v/>
      </c>
      <c r="BA44" s="53" t="str">
        <f>IF(OR(ISNUMBER(SEARCH('EA Framework'!$J$3,Tabla7[[#This Row],[Framework/Methodology]])),ISNUMBER(SEARCH('EA Framework'!$J$4,Tabla7[[#This Row],[Framework/Methodology]]))),"X","")</f>
        <v>X</v>
      </c>
      <c r="BB44" s="52" t="str">
        <f>IF(OR(ISNUMBER(SEARCH('EA Framework'!$I$3,Tabla7[[#This Row],[Framework/Methodology]]))),"X","")</f>
        <v/>
      </c>
      <c r="BC44" s="52" t="str">
        <f>IF(OR(ISNUMBER(SEARCH('EA Framework'!$F$3,Tabla7[[#This Row],[Framework/Methodology]]))),"X","")</f>
        <v/>
      </c>
      <c r="BD44" s="52" t="str">
        <f>IF(OR(ISNUMBER(SEARCH('EA Framework'!$H$3,Tabla7[[#This Row],[Framework/Methodology]]))),"X","")</f>
        <v/>
      </c>
      <c r="BE44" s="52" t="str">
        <f>IF(OR(ISNUMBER(SEARCH('EA Framework'!$E$3,Tabla7[[#This Row],[Framework/Methodology]]))),"X","")</f>
        <v/>
      </c>
      <c r="BF44" s="52" t="str">
        <f>IF(OR(ISNUMBER(SEARCH('EA Framework'!$G$3,Tabla7[[#This Row],[Framework/Methodology]]))),"X","")</f>
        <v/>
      </c>
      <c r="BG44" s="52" t="str">
        <f>IF(OR(ISNUMBER(SEARCH('EA Framework'!$D$3,Tabla7[[#This Row],[Framework/Methodology]]))),"X","")</f>
        <v/>
      </c>
      <c r="BH44" s="53" t="str">
        <f>IF(OR(ISNUMBER(SEARCH('Modelling Language'!$M$3,Tabla7[[#This Row],[Language]])),ISNUMBER(SEARCH('Modelling Language'!$M$4,Tabla7[[#This Row],[Language]])),ISNUMBER(SEARCH('Modelling Language'!$M$5,Tabla7[[#This Row],[Language]]))),"X","")</f>
        <v/>
      </c>
      <c r="BI44" s="52" t="str">
        <f>IF(OR(ISNUMBER(SEARCH('Modelling Language'!$J$3,Tabla7[[#This Row],[Language]])),ISNUMBER(SEARCH('Modelling Language'!$J$4,Tabla7[[#This Row],[Language]]))),"X","")</f>
        <v/>
      </c>
      <c r="BJ44" s="52" t="str">
        <f>IF(OR(ISNUMBER(SEARCH('Modelling Language'!$L$3,Tabla7[[#This Row],[Language]])),ISNUMBER(SEARCH('Modelling Language'!$L$4,Tabla7[[#This Row],[Language]]))),"X","")</f>
        <v/>
      </c>
      <c r="BK44" s="52" t="str">
        <f>IF(OR(ISNUMBER(SEARCH('Modelling Language'!$K$3,Tabla7[[#This Row],[Language]])),ISNUMBER(SEARCH('Modelling Language'!$K$4,Tabla7[[#This Row],[Language]]))),"X","")</f>
        <v/>
      </c>
      <c r="BL44" s="52" t="str">
        <f>IF(OR(ISNUMBER(SEARCH('Modelling Language'!$D$3,Tabla7[[#This Row],[Language]]))),"X","")</f>
        <v/>
      </c>
      <c r="BM44" s="52" t="str">
        <f>IF(OR(ISNUMBER(SEARCH('Modelling Language'!$I$3,Tabla7[[#This Row],[Language]]))),"X","")</f>
        <v/>
      </c>
      <c r="BN44" s="52" t="str">
        <f>IF(OR(ISNUMBER(SEARCH('Modelling Language'!$G$3,Tabla7[[#This Row],[Language]]))),"X","")</f>
        <v/>
      </c>
      <c r="BO44" s="52" t="str">
        <f>IF(OR(ISNUMBER(SEARCH('Modelling Language'!$F$3,Tabla7[[#This Row],[Language]]))),"X","")</f>
        <v/>
      </c>
      <c r="BP44" s="52" t="str">
        <f>IF(OR(ISNUMBER(SEARCH('Modelling Language'!$E$3,Tabla7[[#This Row],[Language]]))),"X","")</f>
        <v/>
      </c>
      <c r="BQ44" s="52" t="str">
        <f>IF(OR(ISNUMBER(SEARCH('Modelling Language'!$H$3,Tabla7[[#This Row],[Language]]))),"X","")</f>
        <v/>
      </c>
      <c r="BR44" s="20" t="s">
        <v>5729</v>
      </c>
      <c r="BS44" s="24" t="s">
        <v>5729</v>
      </c>
      <c r="BT44" s="52" t="str">
        <f>IF(OR(ISNUMBER(SEARCH(applicability!$E$3,Tabla7[[#This Row],[Application]]))),"X","")</f>
        <v/>
      </c>
      <c r="BU44" s="52" t="str">
        <f>IF(OR(ISNUMBER(SEARCH(applicability!$F$3,Tabla7[[#This Row],[Application]])),ISNUMBER(SEARCH(applicability!$F$4,Tabla7[[#This Row],[Application]]))),"X","")</f>
        <v/>
      </c>
      <c r="BV44" s="52" t="str">
        <f>IF(OR(ISNUMBER(SEARCH(applicability!$G$3,Tabla7[[#This Row],[Application]]))),"X","")</f>
        <v/>
      </c>
      <c r="BW44" s="52" t="str">
        <f>IF(OR(ISNUMBER(SEARCH(applicability!$H$3,Tabla7[[#This Row],[Application]]))),"X","")</f>
        <v/>
      </c>
    </row>
    <row r="45" spans="1:75" x14ac:dyDescent="0.25">
      <c r="A45" s="48">
        <v>674</v>
      </c>
      <c r="B45" s="49">
        <v>43</v>
      </c>
      <c r="C45" s="56" t="s">
        <v>5618</v>
      </c>
      <c r="D45" s="56" t="s">
        <v>5619</v>
      </c>
      <c r="E45" s="56">
        <v>2018</v>
      </c>
      <c r="F45" s="17" t="s">
        <v>5298</v>
      </c>
      <c r="G45" s="17" t="s">
        <v>5732</v>
      </c>
      <c r="H45" s="17" t="s">
        <v>5296</v>
      </c>
      <c r="I45" s="17" t="s">
        <v>5296</v>
      </c>
      <c r="J45" s="16" t="s">
        <v>658</v>
      </c>
      <c r="K45" s="49"/>
      <c r="L45" s="57" t="s">
        <v>5621</v>
      </c>
      <c r="M45" s="49">
        <v>5.5</v>
      </c>
      <c r="N45" s="49">
        <v>0</v>
      </c>
      <c r="O45" s="16" t="s">
        <v>5728</v>
      </c>
      <c r="P45" s="16" t="s">
        <v>5015</v>
      </c>
      <c r="Q45" s="16" t="s">
        <v>4996</v>
      </c>
      <c r="R45" s="16" t="s">
        <v>4976</v>
      </c>
      <c r="S45" s="16" t="s">
        <v>658</v>
      </c>
      <c r="T45" s="16" t="s">
        <v>5003</v>
      </c>
      <c r="U45" s="16"/>
      <c r="V45" s="16" t="s">
        <v>5035</v>
      </c>
      <c r="W45" s="16">
        <v>1</v>
      </c>
      <c r="X45" s="16">
        <v>1</v>
      </c>
      <c r="Y45" s="16">
        <v>1</v>
      </c>
      <c r="Z45" s="16">
        <v>1</v>
      </c>
      <c r="AA45" s="29">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3</v>
      </c>
      <c r="AB45" s="49">
        <v>1</v>
      </c>
      <c r="AC45" s="44" t="s">
        <v>5222</v>
      </c>
      <c r="AD45" s="52" t="str">
        <f>IF(OR(ISNUMBER(SEARCH('Source Artifacts'!$F$3,Tabla7[[#This Row],[Source IS artifacts]])),ISNUMBER(SEARCH('Source Artifacts'!$F$4,Tabla7[[#This Row],[Source IS artifacts]]))),"X","")</f>
        <v/>
      </c>
      <c r="AE45" s="52" t="str">
        <f>IF(OR(ISNUMBER(SEARCH('Source Artifacts'!$L$3,Tabla7[[#This Row],[Source IS artifacts]])),ISNUMBER(SEARCH('Source Artifacts'!$L$4,Tabla7[[#This Row],[Source IS artifacts]])),ISNUMBER(SEARCH('Source Artifacts'!$L$5,Tabla7[[#This Row],[Source IS artifacts]]))),"X","")</f>
        <v/>
      </c>
      <c r="AF45" s="52" t="str">
        <f>IF(OR(ISNUMBER(SEARCH('Source Artifacts'!$I$3,Tabla7[[#This Row],[Source IS artifacts]])),ISNUMBER(SEARCH('Source Artifacts'!$I$4,Tabla7[[#This Row],[Source IS artifacts]])),ISNUMBER(SEARCH('Source Artifacts'!$I$5,Tabla7[[#This Row],[Source IS artifacts]]))),"X","")</f>
        <v/>
      </c>
      <c r="AG45" s="52"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45" s="20" t="s">
        <v>5729</v>
      </c>
      <c r="AI45" s="52"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45" s="52"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45" s="52"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45" s="52" t="str">
        <f>IF(OR(ISNUMBER(SEARCH('Source Artifacts'!$D$3,Tabla7[[#This Row],[Source IS artifacts]]))),"X","")</f>
        <v/>
      </c>
      <c r="AM45" s="53"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45" s="52"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X</v>
      </c>
      <c r="AO45" s="52" t="str">
        <f>IF(OR(ISNUMBER(SEARCH(Techniques!$H$3,Tabla7[[#This Row],[Mining techniques]])),ISNUMBER(SEARCH(Techniques!$H$4,Tabla7[[#This Row],[Mining techniques]]))),"X","")</f>
        <v/>
      </c>
      <c r="AP45" s="52" t="str">
        <f>IF(OR(ISNUMBER(SEARCH(Techniques!$J$3,Tabla7[[#This Row],[Mining techniques]]))),"X","")</f>
        <v/>
      </c>
      <c r="AQ45" s="52" t="str">
        <f>IF(OR(ISNUMBER(SEARCH(Techniques!$G$3,Tabla7[[#This Row],[Mining techniques]])),ISNUMBER(SEARCH(Techniques!$G$4,Tabla7[[#This Row],[Mining techniques]]))),"X","")</f>
        <v/>
      </c>
      <c r="AR45" s="52" t="str">
        <f>IF(OR(ISNUMBER(SEARCH(Techniques!$F$3,Tabla7[[#This Row],[Mining techniques]])),ISNUMBER(SEARCH(Techniques!$F$4,Tabla7[[#This Row],[Mining techniques]]))),"X","")</f>
        <v/>
      </c>
      <c r="AS45" s="52" t="str">
        <f>IF(OR(ISNUMBER(SEARCH(Techniques!$D$3,Tabla7[[#This Row],[Mining techniques]])),ISNUMBER(SEARCH(Techniques!$D$4,Tabla7[[#This Row],[Mining techniques]]))),"X","")</f>
        <v/>
      </c>
      <c r="AT45" s="52" t="str">
        <f>IF(OR(ISNUMBER(SEARCH(Techniques!$E$3,Tabla7[[#This Row],[Mining techniques]])),ISNUMBER(SEARCH(Techniques!$E$4,Tabla7[[#This Row],[Mining techniques]]))),"X","")</f>
        <v/>
      </c>
      <c r="AU45" s="53" t="str">
        <f>IF(OR(ISNUMBER(SEARCH('EA Concern'!$I$3,Tabla7[[#This Row],[EA concern]]))),"X","")</f>
        <v/>
      </c>
      <c r="AV45" s="52" t="str">
        <f>IF(OR(ISNUMBER(SEARCH('EA Concern'!$G$3,Tabla7[[#This Row],[EA concern]])),ISNUMBER(SEARCH('EA Concern'!$G$4,Tabla7[[#This Row],[EA concern]]))),"X","")</f>
        <v/>
      </c>
      <c r="AW45" s="52" t="str">
        <f>IF(OR(ISNUMBER(SEARCH('EA Concern'!$E$3,Tabla7[[#This Row],[EA concern]]))),"X","")</f>
        <v/>
      </c>
      <c r="AX45" s="52" t="str">
        <f>IF(OR(ISNUMBER(SEARCH('EA Concern'!$H$3,Tabla7[[#This Row],[EA concern]])),ISNUMBER(SEARCH('EA Concern'!$H$4,Tabla7[[#This Row],[EA concern]]))),"X","")</f>
        <v>X</v>
      </c>
      <c r="AY45" s="52" t="str">
        <f>IF(OR(ISNUMBER(SEARCH('EA Concern'!$F$3,Tabla7[[#This Row],[EA concern]])),ISNUMBER(SEARCH('EA Concern'!$F$4,Tabla7[[#This Row],[EA concern]]))),"X","")</f>
        <v/>
      </c>
      <c r="AZ45" s="52" t="str">
        <f>IF(OR(ISNUMBER(SEARCH('EA Concern'!$D$3,Tabla7[[#This Row],[EA concern]])),ISNUMBER(SEARCH('EA Concern'!$D$4,Tabla7[[#This Row],[EA concern]]))),"X","")</f>
        <v/>
      </c>
      <c r="BA45" s="53" t="str">
        <f>IF(OR(ISNUMBER(SEARCH('EA Framework'!$J$3,Tabla7[[#This Row],[Framework/Methodology]])),ISNUMBER(SEARCH('EA Framework'!$J$4,Tabla7[[#This Row],[Framework/Methodology]]))),"X","")</f>
        <v>X</v>
      </c>
      <c r="BB45" s="52" t="str">
        <f>IF(OR(ISNUMBER(SEARCH('EA Framework'!$I$3,Tabla7[[#This Row],[Framework/Methodology]]))),"X","")</f>
        <v/>
      </c>
      <c r="BC45" s="52" t="str">
        <f>IF(OR(ISNUMBER(SEARCH('EA Framework'!$F$3,Tabla7[[#This Row],[Framework/Methodology]]))),"X","")</f>
        <v/>
      </c>
      <c r="BD45" s="52" t="str">
        <f>IF(OR(ISNUMBER(SEARCH('EA Framework'!$H$3,Tabla7[[#This Row],[Framework/Methodology]]))),"X","")</f>
        <v/>
      </c>
      <c r="BE45" s="52" t="str">
        <f>IF(OR(ISNUMBER(SEARCH('EA Framework'!$E$3,Tabla7[[#This Row],[Framework/Methodology]]))),"X","")</f>
        <v/>
      </c>
      <c r="BF45" s="52" t="str">
        <f>IF(OR(ISNUMBER(SEARCH('EA Framework'!$G$3,Tabla7[[#This Row],[Framework/Methodology]]))),"X","")</f>
        <v/>
      </c>
      <c r="BG45" s="52" t="str">
        <f>IF(OR(ISNUMBER(SEARCH('EA Framework'!$D$3,Tabla7[[#This Row],[Framework/Methodology]]))),"X","")</f>
        <v/>
      </c>
      <c r="BH45" s="53" t="str">
        <f>IF(OR(ISNUMBER(SEARCH('Modelling Language'!$M$3,Tabla7[[#This Row],[Language]])),ISNUMBER(SEARCH('Modelling Language'!$M$4,Tabla7[[#This Row],[Language]])),ISNUMBER(SEARCH('Modelling Language'!$M$5,Tabla7[[#This Row],[Language]]))),"X","")</f>
        <v/>
      </c>
      <c r="BI45" s="52" t="str">
        <f>IF(OR(ISNUMBER(SEARCH('Modelling Language'!$J$3,Tabla7[[#This Row],[Language]])),ISNUMBER(SEARCH('Modelling Language'!$J$4,Tabla7[[#This Row],[Language]]))),"X","")</f>
        <v/>
      </c>
      <c r="BJ45" s="52" t="str">
        <f>IF(OR(ISNUMBER(SEARCH('Modelling Language'!$L$3,Tabla7[[#This Row],[Language]])),ISNUMBER(SEARCH('Modelling Language'!$L$4,Tabla7[[#This Row],[Language]]))),"X","")</f>
        <v/>
      </c>
      <c r="BK45" s="52" t="str">
        <f>IF(OR(ISNUMBER(SEARCH('Modelling Language'!$K$3,Tabla7[[#This Row],[Language]])),ISNUMBER(SEARCH('Modelling Language'!$K$4,Tabla7[[#This Row],[Language]]))),"X","")</f>
        <v/>
      </c>
      <c r="BL45" s="52" t="str">
        <f>IF(OR(ISNUMBER(SEARCH('Modelling Language'!$D$3,Tabla7[[#This Row],[Language]]))),"X","")</f>
        <v/>
      </c>
      <c r="BM45" s="52" t="str">
        <f>IF(OR(ISNUMBER(SEARCH('Modelling Language'!$I$3,Tabla7[[#This Row],[Language]]))),"X","")</f>
        <v/>
      </c>
      <c r="BN45" s="52" t="str">
        <f>IF(OR(ISNUMBER(SEARCH('Modelling Language'!$G$3,Tabla7[[#This Row],[Language]]))),"X","")</f>
        <v/>
      </c>
      <c r="BO45" s="52" t="str">
        <f>IF(OR(ISNUMBER(SEARCH('Modelling Language'!$F$3,Tabla7[[#This Row],[Language]]))),"X","")</f>
        <v/>
      </c>
      <c r="BP45" s="52" t="str">
        <f>IF(OR(ISNUMBER(SEARCH('Modelling Language'!$E$3,Tabla7[[#This Row],[Language]]))),"X","")</f>
        <v/>
      </c>
      <c r="BQ45" s="52" t="str">
        <f>IF(OR(ISNUMBER(SEARCH('Modelling Language'!$H$3,Tabla7[[#This Row],[Language]]))),"X","")</f>
        <v/>
      </c>
      <c r="BR45" s="20" t="s">
        <v>5729</v>
      </c>
      <c r="BS45" s="53" t="str">
        <f>IF(OR(ISNUMBER(SEARCH(applicability!$D$3,Tabla7[[#This Row],[Application]])),ISNUMBER(SEARCH(applicability!$D$4,Tabla7[[#This Row],[Application]]))),"X","")</f>
        <v>X</v>
      </c>
      <c r="BT45" s="52" t="str">
        <f>IF(OR(ISNUMBER(SEARCH(applicability!$E$3,Tabla7[[#This Row],[Application]]))),"X","")</f>
        <v/>
      </c>
      <c r="BU45" s="52" t="str">
        <f>IF(OR(ISNUMBER(SEARCH(applicability!$F$3,Tabla7[[#This Row],[Application]])),ISNUMBER(SEARCH(applicability!$F$4,Tabla7[[#This Row],[Application]]))),"X","")</f>
        <v/>
      </c>
      <c r="BV45" s="52" t="str">
        <f>IF(OR(ISNUMBER(SEARCH(applicability!$G$3,Tabla7[[#This Row],[Application]]))),"X","")</f>
        <v/>
      </c>
      <c r="BW45" s="52" t="str">
        <f>IF(OR(ISNUMBER(SEARCH(applicability!$H$3,Tabla7[[#This Row],[Application]]))),"X","")</f>
        <v/>
      </c>
    </row>
    <row r="46" spans="1:75" x14ac:dyDescent="0.25">
      <c r="A46" s="48">
        <v>686</v>
      </c>
      <c r="B46" s="49">
        <v>44</v>
      </c>
      <c r="C46" s="56" t="s">
        <v>5587</v>
      </c>
      <c r="D46" s="56" t="s">
        <v>5588</v>
      </c>
      <c r="E46" s="56">
        <v>2018</v>
      </c>
      <c r="F46" s="17" t="s">
        <v>5296</v>
      </c>
      <c r="G46" s="17" t="s">
        <v>5296</v>
      </c>
      <c r="H46" s="50">
        <v>3.5569999999999999</v>
      </c>
      <c r="I46" s="50">
        <v>1</v>
      </c>
      <c r="J46" s="16" t="s">
        <v>116</v>
      </c>
      <c r="K46" s="49"/>
      <c r="L46" s="57" t="s">
        <v>5590</v>
      </c>
      <c r="M46" s="49"/>
      <c r="N46" s="49">
        <v>0</v>
      </c>
      <c r="O46" s="49" t="s">
        <v>5731</v>
      </c>
      <c r="P46" s="49" t="s">
        <v>5015</v>
      </c>
      <c r="Q46" s="49" t="s">
        <v>4996</v>
      </c>
      <c r="R46" s="49" t="s">
        <v>4974</v>
      </c>
      <c r="S46" s="49" t="s">
        <v>116</v>
      </c>
      <c r="T46" s="49" t="s">
        <v>5003</v>
      </c>
      <c r="U46" s="49"/>
      <c r="V46" s="49" t="s">
        <v>5035</v>
      </c>
      <c r="W46" s="49">
        <v>4</v>
      </c>
      <c r="X46" s="49">
        <v>1</v>
      </c>
      <c r="Y46" s="49">
        <v>3</v>
      </c>
      <c r="Z46" s="49">
        <v>3</v>
      </c>
      <c r="AA46" s="51">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5</v>
      </c>
      <c r="AB46" s="49">
        <v>1</v>
      </c>
      <c r="AC46" s="44" t="s">
        <v>5221</v>
      </c>
      <c r="AD46" s="52" t="str">
        <f>IF(OR(ISNUMBER(SEARCH('Source Artifacts'!$F$3,Tabla7[[#This Row],[Source IS artifacts]])),ISNUMBER(SEARCH('Source Artifacts'!$F$4,Tabla7[[#This Row],[Source IS artifacts]]))),"X","")</f>
        <v/>
      </c>
      <c r="AE46" s="52" t="str">
        <f>IF(OR(ISNUMBER(SEARCH('Source Artifacts'!$L$3,Tabla7[[#This Row],[Source IS artifacts]])),ISNUMBER(SEARCH('Source Artifacts'!$L$4,Tabla7[[#This Row],[Source IS artifacts]])),ISNUMBER(SEARCH('Source Artifacts'!$L$5,Tabla7[[#This Row],[Source IS artifacts]]))),"X","")</f>
        <v/>
      </c>
      <c r="AF46" s="52" t="str">
        <f>IF(OR(ISNUMBER(SEARCH('Source Artifacts'!$I$3,Tabla7[[#This Row],[Source IS artifacts]])),ISNUMBER(SEARCH('Source Artifacts'!$I$4,Tabla7[[#This Row],[Source IS artifacts]])),ISNUMBER(SEARCH('Source Artifacts'!$I$5,Tabla7[[#This Row],[Source IS artifacts]]))),"X","")</f>
        <v/>
      </c>
      <c r="AG46" s="52" t="str">
        <f>IF(OR(ISNUMBER(SEARCH('Source Artifacts'!$E$3,Tabla7[[#This Row],[Source IS artifacts]])),ISNUMBER(SEARCH('Source Artifacts'!$E$4,Tabla7[[#This Row],[Source IS artifacts]])),ISNUMBER(SEARCH('Source Artifacts'!$E$5,Tabla7[[#This Row],[Source IS artifacts]])),ISNUMBER(SEARCH('Source Artifacts'!$E$6,Tabla7[[#This Row],[Source IS artifacts]]))),"X","")</f>
        <v/>
      </c>
      <c r="AH46" s="52"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46" s="52"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X</v>
      </c>
      <c r="AJ46" s="52"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46" s="52"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46" s="52" t="str">
        <f>IF(OR(ISNUMBER(SEARCH('Source Artifacts'!$D$3,Tabla7[[#This Row],[Source IS artifacts]]))),"X","")</f>
        <v/>
      </c>
      <c r="AM46" s="53"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46" s="52"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X</v>
      </c>
      <c r="AO46" s="52" t="str">
        <f>IF(OR(ISNUMBER(SEARCH(Techniques!$H$3,Tabla7[[#This Row],[Mining techniques]])),ISNUMBER(SEARCH(Techniques!$H$4,Tabla7[[#This Row],[Mining techniques]]))),"X","")</f>
        <v/>
      </c>
      <c r="AP46" s="52" t="str">
        <f>IF(OR(ISNUMBER(SEARCH(Techniques!$J$3,Tabla7[[#This Row],[Mining techniques]]))),"X","")</f>
        <v/>
      </c>
      <c r="AQ46" s="52" t="str">
        <f>IF(OR(ISNUMBER(SEARCH(Techniques!$G$3,Tabla7[[#This Row],[Mining techniques]])),ISNUMBER(SEARCH(Techniques!$G$4,Tabla7[[#This Row],[Mining techniques]]))),"X","")</f>
        <v/>
      </c>
      <c r="AR46" s="52" t="str">
        <f>IF(OR(ISNUMBER(SEARCH(Techniques!$F$3,Tabla7[[#This Row],[Mining techniques]])),ISNUMBER(SEARCH(Techniques!$F$4,Tabla7[[#This Row],[Mining techniques]]))),"X","")</f>
        <v/>
      </c>
      <c r="AS46" s="52" t="str">
        <f>IF(OR(ISNUMBER(SEARCH(Techniques!$D$3,Tabla7[[#This Row],[Mining techniques]])),ISNUMBER(SEARCH(Techniques!$D$4,Tabla7[[#This Row],[Mining techniques]]))),"X","")</f>
        <v/>
      </c>
      <c r="AT46" s="52" t="str">
        <f>IF(OR(ISNUMBER(SEARCH(Techniques!$E$3,Tabla7[[#This Row],[Mining techniques]])),ISNUMBER(SEARCH(Techniques!$E$4,Tabla7[[#This Row],[Mining techniques]]))),"X","")</f>
        <v/>
      </c>
      <c r="AU46" s="53" t="str">
        <f>IF(OR(ISNUMBER(SEARCH('EA Concern'!$I$3,Tabla7[[#This Row],[EA concern]]))),"X","")</f>
        <v/>
      </c>
      <c r="AV46" s="52" t="str">
        <f>IF(OR(ISNUMBER(SEARCH('EA Concern'!$G$3,Tabla7[[#This Row],[EA concern]])),ISNUMBER(SEARCH('EA Concern'!$G$4,Tabla7[[#This Row],[EA concern]]))),"X","")</f>
        <v/>
      </c>
      <c r="AW46" s="52" t="str">
        <f>IF(OR(ISNUMBER(SEARCH('EA Concern'!$E$3,Tabla7[[#This Row],[EA concern]]))),"X","")</f>
        <v/>
      </c>
      <c r="AX46" s="52" t="str">
        <f>IF(OR(ISNUMBER(SEARCH('EA Concern'!$H$3,Tabla7[[#This Row],[EA concern]])),ISNUMBER(SEARCH('EA Concern'!$H$4,Tabla7[[#This Row],[EA concern]]))),"X","")</f>
        <v>X</v>
      </c>
      <c r="AY46" s="52" t="str">
        <f>IF(OR(ISNUMBER(SEARCH('EA Concern'!$F$3,Tabla7[[#This Row],[EA concern]])),ISNUMBER(SEARCH('EA Concern'!$F$4,Tabla7[[#This Row],[EA concern]]))),"X","")</f>
        <v/>
      </c>
      <c r="AZ46" s="52" t="str">
        <f>IF(OR(ISNUMBER(SEARCH('EA Concern'!$D$3,Tabla7[[#This Row],[EA concern]])),ISNUMBER(SEARCH('EA Concern'!$D$4,Tabla7[[#This Row],[EA concern]]))),"X","")</f>
        <v/>
      </c>
      <c r="BA46" s="53" t="str">
        <f>IF(OR(ISNUMBER(SEARCH('EA Framework'!$J$3,Tabla7[[#This Row],[Framework/Methodology]])),ISNUMBER(SEARCH('EA Framework'!$J$4,Tabla7[[#This Row],[Framework/Methodology]]))),"X","")</f>
        <v>X</v>
      </c>
      <c r="BB46" s="52" t="str">
        <f>IF(OR(ISNUMBER(SEARCH('EA Framework'!$I$3,Tabla7[[#This Row],[Framework/Methodology]]))),"X","")</f>
        <v/>
      </c>
      <c r="BC46" s="52" t="str">
        <f>IF(OR(ISNUMBER(SEARCH('EA Framework'!$F$3,Tabla7[[#This Row],[Framework/Methodology]]))),"X","")</f>
        <v/>
      </c>
      <c r="BD46" s="52" t="str">
        <f>IF(OR(ISNUMBER(SEARCH('EA Framework'!$H$3,Tabla7[[#This Row],[Framework/Methodology]]))),"X","")</f>
        <v/>
      </c>
      <c r="BE46" s="52" t="str">
        <f>IF(OR(ISNUMBER(SEARCH('EA Framework'!$E$3,Tabla7[[#This Row],[Framework/Methodology]]))),"X","")</f>
        <v/>
      </c>
      <c r="BF46" s="52" t="str">
        <f>IF(OR(ISNUMBER(SEARCH('EA Framework'!$G$3,Tabla7[[#This Row],[Framework/Methodology]]))),"X","")</f>
        <v/>
      </c>
      <c r="BG46" s="52" t="str">
        <f>IF(OR(ISNUMBER(SEARCH('EA Framework'!$D$3,Tabla7[[#This Row],[Framework/Methodology]]))),"X","")</f>
        <v/>
      </c>
      <c r="BH46" s="53" t="str">
        <f>IF(OR(ISNUMBER(SEARCH('Modelling Language'!$M$3,Tabla7[[#This Row],[Language]])),ISNUMBER(SEARCH('Modelling Language'!$M$4,Tabla7[[#This Row],[Language]])),ISNUMBER(SEARCH('Modelling Language'!$M$5,Tabla7[[#This Row],[Language]]))),"X","")</f>
        <v/>
      </c>
      <c r="BI46" s="52" t="str">
        <f>IF(OR(ISNUMBER(SEARCH('Modelling Language'!$J$3,Tabla7[[#This Row],[Language]])),ISNUMBER(SEARCH('Modelling Language'!$J$4,Tabla7[[#This Row],[Language]]))),"X","")</f>
        <v/>
      </c>
      <c r="BJ46" s="52" t="str">
        <f>IF(OR(ISNUMBER(SEARCH('Modelling Language'!$L$3,Tabla7[[#This Row],[Language]])),ISNUMBER(SEARCH('Modelling Language'!$L$4,Tabla7[[#This Row],[Language]]))),"X","")</f>
        <v/>
      </c>
      <c r="BK46" s="52" t="str">
        <f>IF(OR(ISNUMBER(SEARCH('Modelling Language'!$K$3,Tabla7[[#This Row],[Language]])),ISNUMBER(SEARCH('Modelling Language'!$K$4,Tabla7[[#This Row],[Language]]))),"X","")</f>
        <v/>
      </c>
      <c r="BL46" s="52" t="str">
        <f>IF(OR(ISNUMBER(SEARCH('Modelling Language'!$D$3,Tabla7[[#This Row],[Language]]))),"X","")</f>
        <v/>
      </c>
      <c r="BM46" s="52" t="str">
        <f>IF(OR(ISNUMBER(SEARCH('Modelling Language'!$I$3,Tabla7[[#This Row],[Language]]))),"X","")</f>
        <v/>
      </c>
      <c r="BN46" s="52" t="str">
        <f>IF(OR(ISNUMBER(SEARCH('Modelling Language'!$G$3,Tabla7[[#This Row],[Language]]))),"X","")</f>
        <v/>
      </c>
      <c r="BO46" s="52" t="str">
        <f>IF(OR(ISNUMBER(SEARCH('Modelling Language'!$F$3,Tabla7[[#This Row],[Language]]))),"X","")</f>
        <v/>
      </c>
      <c r="BP46" s="52" t="str">
        <f>IF(OR(ISNUMBER(SEARCH('Modelling Language'!$E$3,Tabla7[[#This Row],[Language]]))),"X","")</f>
        <v/>
      </c>
      <c r="BQ46" s="52" t="str">
        <f>IF(OR(ISNUMBER(SEARCH('Modelling Language'!$H$3,Tabla7[[#This Row],[Language]]))),"X","")</f>
        <v/>
      </c>
      <c r="BR46" s="20" t="s">
        <v>5729</v>
      </c>
      <c r="BS46" s="53" t="str">
        <f>IF(OR(ISNUMBER(SEARCH(applicability!$D$3,Tabla7[[#This Row],[Application]])),ISNUMBER(SEARCH(applicability!$D$4,Tabla7[[#This Row],[Application]]))),"X","")</f>
        <v>X</v>
      </c>
      <c r="BT46" s="52" t="str">
        <f>IF(OR(ISNUMBER(SEARCH(applicability!$E$3,Tabla7[[#This Row],[Application]]))),"X","")</f>
        <v/>
      </c>
      <c r="BU46" s="52" t="str">
        <f>IF(OR(ISNUMBER(SEARCH(applicability!$F$3,Tabla7[[#This Row],[Application]])),ISNUMBER(SEARCH(applicability!$F$4,Tabla7[[#This Row],[Application]]))),"X","")</f>
        <v/>
      </c>
      <c r="BV46" s="52" t="str">
        <f>IF(OR(ISNUMBER(SEARCH(applicability!$G$3,Tabla7[[#This Row],[Application]]))),"X","")</f>
        <v/>
      </c>
      <c r="BW46" s="52" t="str">
        <f>IF(OR(ISNUMBER(SEARCH(applicability!$H$3,Tabla7[[#This Row],[Application]]))),"X","")</f>
        <v/>
      </c>
    </row>
    <row r="47" spans="1:75" x14ac:dyDescent="0.25">
      <c r="A47" s="48">
        <v>698</v>
      </c>
      <c r="B47" s="49">
        <v>45</v>
      </c>
      <c r="C47" s="49" t="s">
        <v>5566</v>
      </c>
      <c r="D47" s="49" t="s">
        <v>5567</v>
      </c>
      <c r="E47" s="51">
        <v>2018</v>
      </c>
      <c r="F47" s="17" t="s">
        <v>5221</v>
      </c>
      <c r="G47" s="17" t="s">
        <v>5301</v>
      </c>
      <c r="H47" s="17" t="s">
        <v>5296</v>
      </c>
      <c r="I47" s="17" t="s">
        <v>5296</v>
      </c>
      <c r="J47" s="16" t="s">
        <v>658</v>
      </c>
      <c r="K47" s="49"/>
      <c r="L47" s="57" t="s">
        <v>5570</v>
      </c>
      <c r="M47" s="49"/>
      <c r="N47" s="49">
        <v>0</v>
      </c>
      <c r="O47" s="49" t="s">
        <v>2135</v>
      </c>
      <c r="P47" s="49" t="s">
        <v>5067</v>
      </c>
      <c r="Q47" s="49" t="s">
        <v>5049</v>
      </c>
      <c r="R47" s="49" t="s">
        <v>4974</v>
      </c>
      <c r="S47" s="49" t="s">
        <v>127</v>
      </c>
      <c r="T47" s="49" t="s">
        <v>5003</v>
      </c>
      <c r="U47" s="49" t="s">
        <v>1090</v>
      </c>
      <c r="V47" s="49" t="s">
        <v>4988</v>
      </c>
      <c r="W47" s="49">
        <v>4</v>
      </c>
      <c r="X47" s="49">
        <v>4</v>
      </c>
      <c r="Y47" s="49">
        <v>4</v>
      </c>
      <c r="Z47" s="49">
        <v>4</v>
      </c>
      <c r="AA47" s="51">
        <f>IF(AND(Tabla7[[#This Row],[ERA]]="#",Tabla7[[#This Row],[QUALIS]]="#",Tabla7[[#This Row],[JCR]]="#",Tabla7[[#This Row],[Q-JCR]]="#"),2,IF(Tabla7[[#This Row],[JCR]]="#",ROUND((IF(Tabla7[[#This Row],[ERA]]="A",5,IF(Tabla7[[#This Row],[ERA]]="B",3.5,IF(Tabla7[[#This Row],[ERA]]="C",2,1))) + IF(Tabla7[[#This Row],[QUALIS]]="A2",5,IF(Tabla7[[#This Row],[QUALIS]]="B1",4,IF(Tabla7[[#This Row],[QUALIS]]="B2",3,IF(Tabla7[[#This Row],[QUALIS]]="B3",2,IF(Tabla7[[#This Row],[QUALIS]]="B4",2,1))))))/2,0),6-Tabla7[[#This Row],[Q-JCR]]))</f>
        <v>5</v>
      </c>
      <c r="AB47" s="49">
        <v>1</v>
      </c>
      <c r="AC47" s="44" t="s">
        <v>5221</v>
      </c>
      <c r="AD47" s="52" t="str">
        <f>IF(OR(ISNUMBER(SEARCH('Source Artifacts'!$F$3,Tabla7[[#This Row],[Source IS artifacts]])),ISNUMBER(SEARCH('Source Artifacts'!$F$4,Tabla7[[#This Row],[Source IS artifacts]]))),"X","")</f>
        <v/>
      </c>
      <c r="AE47" s="52" t="str">
        <f>IF(OR(ISNUMBER(SEARCH('Source Artifacts'!$L$3,Tabla7[[#This Row],[Source IS artifacts]])),ISNUMBER(SEARCH('Source Artifacts'!$L$4,Tabla7[[#This Row],[Source IS artifacts]])),ISNUMBER(SEARCH('Source Artifacts'!$L$5,Tabla7[[#This Row],[Source IS artifacts]]))),"X","")</f>
        <v/>
      </c>
      <c r="AF47" s="52" t="str">
        <f>IF(OR(ISNUMBER(SEARCH('Source Artifacts'!$I$3,Tabla7[[#This Row],[Source IS artifacts]])),ISNUMBER(SEARCH('Source Artifacts'!$I$4,Tabla7[[#This Row],[Source IS artifacts]])),ISNUMBER(SEARCH('Source Artifacts'!$I$5,Tabla7[[#This Row],[Source IS artifacts]]))),"X","")</f>
        <v/>
      </c>
      <c r="AG47" s="52" t="str">
        <f>IF(OR(ISNUMBER(SEARCH('Source Artifacts'!$E$3,Tabla7[[#This Row],[Source IS artifacts]])),ISNUMBER(SEARCH('Source Artifacts'!$E$4,Tabla7[[#This Row],[Source IS artifacts]])),ISNUMBER(SEARCH('Source Artifacts'!$E$5,Tabla7[[#This Row],[Source IS artifacts]])),ISNUMBER(SEARCH('Source Artifacts'!$E$6,Tabla7[[#This Row],[Source IS artifacts]]))),"X","")</f>
        <v>X</v>
      </c>
      <c r="AH47" s="52" t="str">
        <f>IF(OR(ISNUMBER(SEARCH('Source Artifacts'!$J$3,Tabla7[[#This Row],[Source IS artifacts]])),ISNUMBER(SEARCH('Source Artifacts'!$J$4,Tabla7[[#This Row],[Source IS artifacts]])),ISNUMBER(SEARCH('Source Artifacts'!$J$5,Tabla7[[#This Row],[Source IS artifacts]])),ISNUMBER(SEARCH('Source Artifacts'!$J$6,Tabla7[[#This Row],[Source IS artifacts]])),ISNUMBER(SEARCH('Source Artifacts'!$J$6,Tabla7[[#This Row],[Source IS artifacts]]))),"X","")</f>
        <v/>
      </c>
      <c r="AI47" s="52" t="str">
        <f>IF(OR(ISNUMBER(SEARCH('Source Artifacts'!$H$3,Tabla7[[#This Row],[Source IS artifacts]])),ISNUMBER(SEARCH('Source Artifacts'!$H$4,Tabla7[[#This Row],[Source IS artifacts]])),ISNUMBER(SEARCH('Source Artifacts'!$H$5,Tabla7[[#This Row],[Source IS artifacts]])),ISNUMBER(SEARCH('Source Artifacts'!$H$6,Tabla7[[#This Row],[Source IS artifacts]])),ISNUMBER(SEARCH('Source Artifacts'!$H$6,Tabla7[[#This Row],[Source IS artifacts]]))),"X","")</f>
        <v/>
      </c>
      <c r="AJ47" s="52" t="str">
        <f>IF(OR(ISNUMBER(SEARCH('Source Artifacts'!$G$3,Tabla7[[#This Row],[Source IS artifacts]])),ISNUMBER(SEARCH('Source Artifacts'!$G$4,Tabla7[[#This Row],[Source IS artifacts]])),ISNUMBER(SEARCH('Source Artifacts'!$G$5,Tabla7[[#This Row],[Source IS artifacts]])),ISNUMBER(SEARCH('Source Artifacts'!$G$6,Tabla7[[#This Row],[Source IS artifacts]])),ISNUMBER(SEARCH('Source Artifacts'!$G$6,Tabla7[[#This Row],[Source IS artifacts]]))),"X","")</f>
        <v/>
      </c>
      <c r="AK47" s="52" t="str">
        <f>IF(OR(ISNUMBER(SEARCH('Source Artifacts'!$K$3,Tabla7[[#This Row],[Source IS artifacts]])),ISNUMBER(SEARCH('Source Artifacts'!$K$4,Tabla7[[#This Row],[Source IS artifacts]])),ISNUMBER(SEARCH('Source Artifacts'!$K$5,Tabla7[[#This Row],[Source IS artifacts]])),ISNUMBER(SEARCH('Source Artifacts'!$K$6,Tabla7[[#This Row],[Source IS artifacts]])),ISNUMBER(SEARCH('Source Artifacts'!$K$6,Tabla7[[#This Row],[Source IS artifacts]])),ISNUMBER(SEARCH('Source Artifacts'!$K$7,Tabla7[[#This Row],[Source IS artifacts]]))),"X","")</f>
        <v/>
      </c>
      <c r="AL47" s="52" t="str">
        <f>IF(OR(ISNUMBER(SEARCH('Source Artifacts'!$D$3,Tabla7[[#This Row],[Source IS artifacts]]))),"X","")</f>
        <v/>
      </c>
      <c r="AM47" s="53" t="str">
        <f>IF(OR(ISNUMBER(SEARCH(Techniques!$I$3,Tabla7[[#This Row],[Mining techniques]])),ISNUMBER(SEARCH(Techniques!$I$4,Tabla7[[#This Row],[Mining techniques]])),ISNUMBER(SEARCH(Techniques!$I$5,Tabla7[[#This Row],[Mining techniques]])),ISNUMBER(SEARCH(Techniques!$I$6,Tabla7[[#This Row],[Mining techniques]])),ISNUMBER(SEARCH(Techniques!$I$7,Tabla7[[#This Row],[Mining techniques]]))),"X","")</f>
        <v/>
      </c>
      <c r="AN47" s="52" t="str">
        <f>IF(OR(ISNUMBER(SEARCH(Techniques!$K$3,Tabla7[[#This Row],[Mining techniques]])),ISNUMBER(SEARCH(Techniques!$K$4,Tabla7[[#This Row],[Mining techniques]])),ISNUMBER(SEARCH(Techniques!$K$5,Tabla7[[#This Row],[Mining techniques]])),ISNUMBER(SEARCH(Techniques!$K$6,Tabla7[[#This Row],[Mining techniques]])),ISNUMBER(SEARCH(Techniques!$K$7,Tabla7[[#This Row],[Mining techniques]]))),"X","")</f>
        <v/>
      </c>
      <c r="AO47" s="52" t="str">
        <f>IF(OR(ISNUMBER(SEARCH(Techniques!$H$3,Tabla7[[#This Row],[Mining techniques]])),ISNUMBER(SEARCH(Techniques!$H$4,Tabla7[[#This Row],[Mining techniques]]))),"X","")</f>
        <v/>
      </c>
      <c r="AP47" s="52" t="str">
        <f>IF(OR(ISNUMBER(SEARCH(Techniques!$J$3,Tabla7[[#This Row],[Mining techniques]]))),"X","")</f>
        <v/>
      </c>
      <c r="AQ47" s="52" t="str">
        <f>IF(OR(ISNUMBER(SEARCH(Techniques!$G$3,Tabla7[[#This Row],[Mining techniques]])),ISNUMBER(SEARCH(Techniques!$G$4,Tabla7[[#This Row],[Mining techniques]]))),"X","")</f>
        <v/>
      </c>
      <c r="AR47" s="52" t="str">
        <f>IF(OR(ISNUMBER(SEARCH(Techniques!$F$3,Tabla7[[#This Row],[Mining techniques]])),ISNUMBER(SEARCH(Techniques!$F$4,Tabla7[[#This Row],[Mining techniques]]))),"X","")</f>
        <v/>
      </c>
      <c r="AS47" s="52" t="str">
        <f>IF(OR(ISNUMBER(SEARCH(Techniques!$D$3,Tabla7[[#This Row],[Mining techniques]])),ISNUMBER(SEARCH(Techniques!$D$4,Tabla7[[#This Row],[Mining techniques]]))),"X","")</f>
        <v/>
      </c>
      <c r="AT47" s="52" t="str">
        <f>IF(OR(ISNUMBER(SEARCH(Techniques!$E$3,Tabla7[[#This Row],[Mining techniques]])),ISNUMBER(SEARCH(Techniques!$E$4,Tabla7[[#This Row],[Mining techniques]]))),"X","")</f>
        <v>X</v>
      </c>
      <c r="AU47" s="53" t="str">
        <f>IF(OR(ISNUMBER(SEARCH('EA Concern'!$I$3,Tabla7[[#This Row],[EA concern]]))),"X","")</f>
        <v/>
      </c>
      <c r="AV47" s="52" t="str">
        <f>IF(OR(ISNUMBER(SEARCH('EA Concern'!$G$3,Tabla7[[#This Row],[EA concern]])),ISNUMBER(SEARCH('EA Concern'!$G$4,Tabla7[[#This Row],[EA concern]]))),"X","")</f>
        <v/>
      </c>
      <c r="AW47" s="52" t="str">
        <f>IF(OR(ISNUMBER(SEARCH('EA Concern'!$E$3,Tabla7[[#This Row],[EA concern]]))),"X","")</f>
        <v/>
      </c>
      <c r="AX47" s="52" t="str">
        <f>IF(OR(ISNUMBER(SEARCH('EA Concern'!$H$3,Tabla7[[#This Row],[EA concern]])),ISNUMBER(SEARCH('EA Concern'!$H$4,Tabla7[[#This Row],[EA concern]]))),"X","")</f>
        <v>X</v>
      </c>
      <c r="AY47" s="52" t="str">
        <f>IF(OR(ISNUMBER(SEARCH('EA Concern'!$F$3,Tabla7[[#This Row],[EA concern]])),ISNUMBER(SEARCH('EA Concern'!$F$4,Tabla7[[#This Row],[EA concern]]))),"X","")</f>
        <v/>
      </c>
      <c r="AZ47" s="52" t="str">
        <f>IF(OR(ISNUMBER(SEARCH('EA Concern'!$D$3,Tabla7[[#This Row],[EA concern]])),ISNUMBER(SEARCH('EA Concern'!$D$4,Tabla7[[#This Row],[EA concern]]))),"X","")</f>
        <v>X</v>
      </c>
      <c r="BA47" s="53" t="str">
        <f>IF(OR(ISNUMBER(SEARCH('EA Framework'!$J$3,Tabla7[[#This Row],[Framework/Methodology]])),ISNUMBER(SEARCH('EA Framework'!$J$4,Tabla7[[#This Row],[Framework/Methodology]]))),"X","")</f>
        <v>X</v>
      </c>
      <c r="BB47" s="52" t="str">
        <f>IF(OR(ISNUMBER(SEARCH('EA Framework'!$I$3,Tabla7[[#This Row],[Framework/Methodology]]))),"X","")</f>
        <v/>
      </c>
      <c r="BC47" s="52" t="str">
        <f>IF(OR(ISNUMBER(SEARCH('EA Framework'!$F$3,Tabla7[[#This Row],[Framework/Methodology]]))),"X","")</f>
        <v/>
      </c>
      <c r="BD47" s="52" t="str">
        <f>IF(OR(ISNUMBER(SEARCH('EA Framework'!$H$3,Tabla7[[#This Row],[Framework/Methodology]]))),"X","")</f>
        <v/>
      </c>
      <c r="BE47" s="52" t="str">
        <f>IF(OR(ISNUMBER(SEARCH('EA Framework'!$E$3,Tabla7[[#This Row],[Framework/Methodology]]))),"X","")</f>
        <v/>
      </c>
      <c r="BF47" s="52" t="str">
        <f>IF(OR(ISNUMBER(SEARCH('EA Framework'!$G$3,Tabla7[[#This Row],[Framework/Methodology]]))),"X","")</f>
        <v/>
      </c>
      <c r="BG47" s="52" t="str">
        <f>IF(OR(ISNUMBER(SEARCH('EA Framework'!$D$3,Tabla7[[#This Row],[Framework/Methodology]]))),"X","")</f>
        <v/>
      </c>
      <c r="BH47" s="53" t="str">
        <f>IF(OR(ISNUMBER(SEARCH('Modelling Language'!$M$3,Tabla7[[#This Row],[Language]])),ISNUMBER(SEARCH('Modelling Language'!$M$4,Tabla7[[#This Row],[Language]])),ISNUMBER(SEARCH('Modelling Language'!$M$5,Tabla7[[#This Row],[Language]]))),"X","")</f>
        <v/>
      </c>
      <c r="BI47" s="52" t="str">
        <f>IF(OR(ISNUMBER(SEARCH('Modelling Language'!$J$3,Tabla7[[#This Row],[Language]])),ISNUMBER(SEARCH('Modelling Language'!$J$4,Tabla7[[#This Row],[Language]]))),"X","")</f>
        <v/>
      </c>
      <c r="BJ47" s="52" t="str">
        <f>IF(OR(ISNUMBER(SEARCH('Modelling Language'!$L$3,Tabla7[[#This Row],[Language]])),ISNUMBER(SEARCH('Modelling Language'!$L$4,Tabla7[[#This Row],[Language]]))),"X","")</f>
        <v/>
      </c>
      <c r="BK47" s="52" t="str">
        <f>IF(OR(ISNUMBER(SEARCH('Modelling Language'!$K$3,Tabla7[[#This Row],[Language]])),ISNUMBER(SEARCH('Modelling Language'!$K$4,Tabla7[[#This Row],[Language]]))),"X","")</f>
        <v/>
      </c>
      <c r="BL47" s="52" t="str">
        <f>IF(OR(ISNUMBER(SEARCH('Modelling Language'!$D$3,Tabla7[[#This Row],[Language]]))),"X","")</f>
        <v/>
      </c>
      <c r="BM47" s="52" t="str">
        <f>IF(OR(ISNUMBER(SEARCH('Modelling Language'!$I$3,Tabla7[[#This Row],[Language]]))),"X","")</f>
        <v/>
      </c>
      <c r="BN47" s="52" t="str">
        <f>IF(OR(ISNUMBER(SEARCH('Modelling Language'!$G$3,Tabla7[[#This Row],[Language]]))),"X","")</f>
        <v/>
      </c>
      <c r="BO47" s="52" t="str">
        <f>IF(OR(ISNUMBER(SEARCH('Modelling Language'!$F$3,Tabla7[[#This Row],[Language]]))),"X","")</f>
        <v/>
      </c>
      <c r="BP47" s="52" t="str">
        <f>IF(OR(ISNUMBER(SEARCH('Modelling Language'!$E$3,Tabla7[[#This Row],[Language]]))),"X","")</f>
        <v/>
      </c>
      <c r="BQ47" s="52" t="str">
        <f>IF(OR(ISNUMBER(SEARCH('Modelling Language'!$H$3,Tabla7[[#This Row],[Language]]))),"X","")</f>
        <v>X</v>
      </c>
      <c r="BR47" s="52"/>
      <c r="BS47" s="53" t="str">
        <f>IF(OR(ISNUMBER(SEARCH(applicability!$D$3,Tabla7[[#This Row],[Application]])),ISNUMBER(SEARCH(applicability!$D$4,Tabla7[[#This Row],[Application]]))),"X","")</f>
        <v/>
      </c>
      <c r="BT47" s="52" t="str">
        <f>IF(OR(ISNUMBER(SEARCH(applicability!$E$3,Tabla7[[#This Row],[Application]]))),"X","")</f>
        <v/>
      </c>
      <c r="BU47" s="52" t="str">
        <f>IF(OR(ISNUMBER(SEARCH(applicability!$F$3,Tabla7[[#This Row],[Application]])),ISNUMBER(SEARCH(applicability!$F$4,Tabla7[[#This Row],[Application]]))),"X","")</f>
        <v>X</v>
      </c>
      <c r="BV47" s="52" t="str">
        <f>IF(OR(ISNUMBER(SEARCH(applicability!$G$3,Tabla7[[#This Row],[Application]]))),"X","")</f>
        <v/>
      </c>
      <c r="BW47" s="52" t="str">
        <f>IF(OR(ISNUMBER(SEARCH(applicability!$H$3,Tabla7[[#This Row],[Application]]))),"X","")</f>
        <v/>
      </c>
    </row>
  </sheetData>
  <conditionalFormatting sqref="AB3:AC47">
    <cfRule type="iconSet" priority="3">
      <iconSet iconSet="5Rating">
        <cfvo type="percent" val="0"/>
        <cfvo type="percent" val="20"/>
        <cfvo type="percent" val="40"/>
        <cfvo type="percent" val="60"/>
        <cfvo type="percent" val="80"/>
      </iconSet>
    </cfRule>
  </conditionalFormatting>
  <conditionalFormatting sqref="AA3:AA47">
    <cfRule type="iconSet" priority="2">
      <iconSet iconSet="5Rating">
        <cfvo type="percent" val="0"/>
        <cfvo type="percent" val="20"/>
        <cfvo type="percent" val="40"/>
        <cfvo type="percent" val="60"/>
        <cfvo type="percent" val="80"/>
      </iconSet>
    </cfRule>
  </conditionalFormatting>
  <conditionalFormatting sqref="W3:Z47">
    <cfRule type="iconSet" priority="1">
      <iconSet iconSet="5Rating">
        <cfvo type="percent" val="0"/>
        <cfvo type="percent" val="20"/>
        <cfvo type="percent" val="40"/>
        <cfvo type="percent" val="60"/>
        <cfvo type="percent" val="80"/>
      </iconSet>
    </cfRule>
  </conditionalFormatting>
  <pageMargins left="0.7" right="0.7" top="0.75" bottom="0.75" header="0.3" footer="0.3"/>
  <legacyDrawing r:id="rId1"/>
  <tableParts count="1">
    <tablePart r:id="rId2"/>
  </tableParts>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200-000000000000}">
          <x14:formula1>
            <xm:f>param!$C$2:$C$30</xm:f>
          </x14:formula1>
          <xm:sqref>Q3:R45</xm:sqref>
        </x14:dataValidation>
        <x14:dataValidation type="list" allowBlank="1" showInputMessage="1" showErrorMessage="1" xr:uid="{00000000-0002-0000-0200-000001000000}">
          <x14:formula1>
            <xm:f>param!$B$2:$B$30</xm:f>
          </x14:formula1>
          <xm:sqref>P3:P45</xm:sqref>
        </x14:dataValidation>
        <x14:dataValidation type="list" allowBlank="1" showInputMessage="1" showErrorMessage="1" xr:uid="{00000000-0002-0000-0200-000002000000}">
          <x14:formula1>
            <xm:f>param!$H$2:$H$19</xm:f>
          </x14:formula1>
          <xm:sqref>U3:U36</xm:sqref>
        </x14:dataValidation>
        <x14:dataValidation type="list" allowBlank="1" showInputMessage="1" showErrorMessage="1" xr:uid="{00000000-0002-0000-0200-000003000000}">
          <x14:formula1>
            <xm:f>param!$G$2:$G$18</xm:f>
          </x14:formula1>
          <xm:sqref>T3:T47</xm:sqref>
        </x14:dataValidation>
        <x14:dataValidation type="list" allowBlank="1" showInputMessage="1" showErrorMessage="1" xr:uid="{00000000-0002-0000-0200-000004000000}">
          <x14:formula1>
            <xm:f>param!$F$2:$F$21</xm:f>
          </x14:formula1>
          <xm:sqref>V3:V47</xm:sqref>
        </x14:dataValidation>
        <x14:dataValidation type="list" allowBlank="1" showInputMessage="1" showErrorMessage="1" xr:uid="{00000000-0002-0000-0200-000005000000}">
          <x14:formula1>
            <xm:f>param!$J$2:$J$6</xm:f>
          </x14:formula1>
          <xm:sqref>W3:AB47</xm:sqref>
        </x14:dataValidation>
        <x14:dataValidation type="list" allowBlank="1" showInputMessage="1" showErrorMessage="1" xr:uid="{00000000-0002-0000-0200-000006000000}">
          <x14:formula1>
            <xm:f>param!$E$2:$E$19</xm:f>
          </x14:formula1>
          <xm:sqref>S3:S47</xm:sqref>
        </x14:dataValidation>
        <x14:dataValidation type="list" allowBlank="1" showInputMessage="1" showErrorMessage="1" xr:uid="{00000000-0002-0000-0200-000007000000}">
          <x14:formula1>
            <xm:f>param!$A$2:$A$30</xm:f>
          </x14:formula1>
          <xm:sqref>O3:P17 O18:O45 P19:P22 P31</xm:sqref>
        </x14:dataValidation>
        <x14:dataValidation type="list" allowBlank="1" showInputMessage="1" showErrorMessage="1" xr:uid="{00000000-0002-0000-0200-000008000000}">
          <x14:formula1>
            <xm:f>param!$D$2:$D$30</xm:f>
          </x14:formula1>
          <xm:sqref>R3:R45</xm:sqref>
        </x14:dataValidation>
        <x14:dataValidation type="list" allowBlank="1" showInputMessage="1" showErrorMessage="1" xr:uid="{00000000-0002-0000-0200-000009000000}">
          <x14:formula1>
            <xm:f>param!$B$2:$B$27</xm:f>
          </x14:formula1>
          <xm:sqref>P18</xm:sqref>
        </x14:dataValidation>
        <x14:dataValidation type="list" allowBlank="1" showInputMessage="1" showErrorMessage="1" xr:uid="{00000000-0002-0000-0200-00000A000000}">
          <x14:formula1>
            <xm:f>param!$B$2:$B$24</xm:f>
          </x14:formula1>
          <xm:sqref>P23</xm:sqref>
        </x14:dataValidation>
        <x14:dataValidation type="list" allowBlank="1" showInputMessage="1" showErrorMessage="1" xr:uid="{00000000-0002-0000-0200-00000B000000}">
          <x14:formula1>
            <xm:f>param!$B$2:$B$29</xm:f>
          </x14:formula1>
          <xm:sqref>P24:P30 P32:P45</xm:sqref>
        </x14:dataValidation>
        <x14:dataValidation type="list" allowBlank="1" showInputMessage="1" showErrorMessage="1" xr:uid="{00000000-0002-0000-0200-00000C000000}">
          <x14:formula1>
            <xm:f>param!$H$2:$H$39</xm:f>
          </x14:formula1>
          <xm:sqref>U37</xm:sqref>
        </x14:dataValidation>
        <x14:dataValidation type="list" allowBlank="1" showInputMessage="1" showErrorMessage="1" xr:uid="{00000000-0002-0000-0200-00000D000000}">
          <x14:formula1>
            <xm:f>param!$H$2:$H$24</xm:f>
          </x14:formula1>
          <xm:sqref>U38:U45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522E5-B994-4710-A792-71F5CF427306}">
  <dimension ref="A1:D28"/>
  <sheetViews>
    <sheetView workbookViewId="0">
      <selection activeCell="C4" sqref="C4:C7"/>
    </sheetView>
  </sheetViews>
  <sheetFormatPr baseColWidth="10" defaultRowHeight="15" x14ac:dyDescent="0.25"/>
  <cols>
    <col min="1" max="1" width="12.5703125" bestFit="1" customWidth="1"/>
    <col min="4" max="4" width="11.85546875" bestFit="1" customWidth="1"/>
  </cols>
  <sheetData>
    <row r="1" spans="1:4" x14ac:dyDescent="0.25">
      <c r="A1" s="55">
        <v>10.571428571428571</v>
      </c>
    </row>
    <row r="2" spans="1:4" x14ac:dyDescent="0.25">
      <c r="A2" s="55">
        <v>3.25</v>
      </c>
    </row>
    <row r="3" spans="1:4" x14ac:dyDescent="0.25">
      <c r="A3" s="55">
        <v>4</v>
      </c>
    </row>
    <row r="4" spans="1:4" x14ac:dyDescent="0.25">
      <c r="A4" s="55">
        <v>2.8571428571428572</v>
      </c>
      <c r="C4">
        <v>1</v>
      </c>
      <c r="D4">
        <f>QUARTILE(A1:A28,C4)</f>
        <v>0.46875</v>
      </c>
    </row>
    <row r="5" spans="1:4" x14ac:dyDescent="0.25">
      <c r="A5" s="55">
        <v>3.8</v>
      </c>
      <c r="C5">
        <v>2</v>
      </c>
      <c r="D5">
        <f t="shared" ref="D5:D7" si="0">QUARTILE(A2:A29,C5)</f>
        <v>1</v>
      </c>
    </row>
    <row r="6" spans="1:4" x14ac:dyDescent="0.25">
      <c r="A6" s="55">
        <v>2</v>
      </c>
      <c r="C6">
        <v>3</v>
      </c>
      <c r="D6">
        <f t="shared" si="0"/>
        <v>1.875</v>
      </c>
    </row>
    <row r="7" spans="1:4" x14ac:dyDescent="0.25">
      <c r="A7" s="55">
        <v>4</v>
      </c>
      <c r="C7">
        <v>4</v>
      </c>
      <c r="D7">
        <f t="shared" si="0"/>
        <v>4</v>
      </c>
    </row>
    <row r="8" spans="1:4" x14ac:dyDescent="0.25">
      <c r="A8" s="55">
        <v>1.5</v>
      </c>
    </row>
    <row r="9" spans="1:4" x14ac:dyDescent="0.25">
      <c r="A9" s="55">
        <v>1.1111111111111112</v>
      </c>
    </row>
    <row r="10" spans="1:4" x14ac:dyDescent="0.25">
      <c r="A10" s="55">
        <v>1.3333333333333333</v>
      </c>
    </row>
    <row r="11" spans="1:4" x14ac:dyDescent="0.25">
      <c r="A11" s="55">
        <v>2</v>
      </c>
    </row>
    <row r="12" spans="1:4" x14ac:dyDescent="0.25">
      <c r="A12" s="55">
        <v>2</v>
      </c>
    </row>
    <row r="13" spans="1:4" x14ac:dyDescent="0.25">
      <c r="A13" s="55">
        <v>1.5</v>
      </c>
    </row>
    <row r="14" spans="1:4" x14ac:dyDescent="0.25">
      <c r="A14" s="55">
        <v>1</v>
      </c>
    </row>
    <row r="15" spans="1:4" x14ac:dyDescent="0.25">
      <c r="A15" s="55">
        <v>0.66666666666666663</v>
      </c>
    </row>
    <row r="16" spans="1:4" x14ac:dyDescent="0.25">
      <c r="A16" s="55">
        <v>1.3333333333333333</v>
      </c>
    </row>
    <row r="17" spans="1:1" x14ac:dyDescent="0.25">
      <c r="A17" s="55">
        <v>0.6</v>
      </c>
    </row>
    <row r="18" spans="1:1" x14ac:dyDescent="0.25">
      <c r="A18" s="55">
        <v>0.375</v>
      </c>
    </row>
    <row r="19" spans="1:1" x14ac:dyDescent="0.25">
      <c r="A19" s="55">
        <v>0.33333333333333331</v>
      </c>
    </row>
    <row r="20" spans="1:1" x14ac:dyDescent="0.25">
      <c r="A20" s="55">
        <v>0.66666666666666663</v>
      </c>
    </row>
    <row r="21" spans="1:1" x14ac:dyDescent="0.25">
      <c r="A21" s="55">
        <v>0.66666666666666663</v>
      </c>
    </row>
    <row r="22" spans="1:1" x14ac:dyDescent="0.25">
      <c r="A22" s="55">
        <v>1</v>
      </c>
    </row>
    <row r="23" spans="1:1" x14ac:dyDescent="0.25">
      <c r="A23" s="55">
        <v>0.2</v>
      </c>
    </row>
    <row r="24" spans="1:1" x14ac:dyDescent="0.25">
      <c r="A24" s="55">
        <v>0.16666666666666666</v>
      </c>
    </row>
    <row r="25" spans="1:1" x14ac:dyDescent="0.25">
      <c r="A25" s="55">
        <v>0.25</v>
      </c>
    </row>
    <row r="26" spans="1:1" x14ac:dyDescent="0.25">
      <c r="A26" s="55">
        <v>0.25</v>
      </c>
    </row>
    <row r="27" spans="1:1" x14ac:dyDescent="0.25">
      <c r="A27" s="55">
        <v>0.5</v>
      </c>
    </row>
    <row r="28" spans="1:1" x14ac:dyDescent="0.25">
      <c r="A28" s="55">
        <v>0.16666666666666666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A53CC-CEE4-4A96-94AF-888F9EA1AD1B}">
  <dimension ref="A1:B32"/>
  <sheetViews>
    <sheetView workbookViewId="0">
      <selection activeCell="A4" sqref="A4"/>
    </sheetView>
  </sheetViews>
  <sheetFormatPr baseColWidth="10" defaultRowHeight="15" x14ac:dyDescent="0.25"/>
  <cols>
    <col min="1" max="1" width="54.42578125" bestFit="1" customWidth="1"/>
  </cols>
  <sheetData>
    <row r="1" spans="1:2" x14ac:dyDescent="0.25">
      <c r="A1" s="4" t="s">
        <v>5344</v>
      </c>
      <c r="B1" t="s">
        <v>5036</v>
      </c>
    </row>
    <row r="2" spans="1:2" x14ac:dyDescent="0.25">
      <c r="A2" t="s">
        <v>5231</v>
      </c>
      <c r="B2" t="s">
        <v>5036</v>
      </c>
    </row>
    <row r="3" spans="1:2" x14ac:dyDescent="0.25">
      <c r="A3" t="s">
        <v>711</v>
      </c>
      <c r="B3" t="s">
        <v>5036</v>
      </c>
    </row>
    <row r="4" spans="1:2" x14ac:dyDescent="0.25">
      <c r="A4" t="s">
        <v>709</v>
      </c>
      <c r="B4" t="s">
        <v>5036</v>
      </c>
    </row>
    <row r="5" spans="1:2" x14ac:dyDescent="0.25">
      <c r="A5" t="s">
        <v>716</v>
      </c>
      <c r="B5" t="s">
        <v>5036</v>
      </c>
    </row>
    <row r="6" spans="1:2" x14ac:dyDescent="0.25">
      <c r="A6" t="s">
        <v>4960</v>
      </c>
      <c r="B6" t="s">
        <v>5036</v>
      </c>
    </row>
    <row r="7" spans="1:2" x14ac:dyDescent="0.25">
      <c r="A7" t="s">
        <v>5362</v>
      </c>
      <c r="B7" t="s">
        <v>5036</v>
      </c>
    </row>
    <row r="8" spans="1:2" x14ac:dyDescent="0.25">
      <c r="A8" t="s">
        <v>710</v>
      </c>
      <c r="B8" t="s">
        <v>5036</v>
      </c>
    </row>
    <row r="9" spans="1:2" x14ac:dyDescent="0.25">
      <c r="A9" t="s">
        <v>4953</v>
      </c>
      <c r="B9" t="s">
        <v>5036</v>
      </c>
    </row>
    <row r="10" spans="1:2" x14ac:dyDescent="0.25">
      <c r="A10" t="s">
        <v>4959</v>
      </c>
      <c r="B10" t="s">
        <v>5036</v>
      </c>
    </row>
    <row r="11" spans="1:2" x14ac:dyDescent="0.25">
      <c r="A11" s="4" t="s">
        <v>5361</v>
      </c>
      <c r="B11" t="s">
        <v>5036</v>
      </c>
    </row>
    <row r="12" spans="1:2" x14ac:dyDescent="0.25">
      <c r="A12" t="s">
        <v>5360</v>
      </c>
      <c r="B12" t="s">
        <v>5036</v>
      </c>
    </row>
    <row r="13" spans="1:2" x14ac:dyDescent="0.25">
      <c r="A13" s="4" t="s">
        <v>5345</v>
      </c>
      <c r="B13" t="s">
        <v>5036</v>
      </c>
    </row>
    <row r="14" spans="1:2" x14ac:dyDescent="0.25">
      <c r="A14" t="s">
        <v>4969</v>
      </c>
      <c r="B14" t="s">
        <v>5353</v>
      </c>
    </row>
    <row r="15" spans="1:2" x14ac:dyDescent="0.25">
      <c r="A15" t="s">
        <v>4982</v>
      </c>
      <c r="B15" t="s">
        <v>5354</v>
      </c>
    </row>
    <row r="16" spans="1:2" x14ac:dyDescent="0.25">
      <c r="A16" t="s">
        <v>4983</v>
      </c>
      <c r="B16" t="s">
        <v>5355</v>
      </c>
    </row>
    <row r="17" spans="1:2" x14ac:dyDescent="0.25">
      <c r="A17" t="s">
        <v>4981</v>
      </c>
      <c r="B17" t="s">
        <v>5356</v>
      </c>
    </row>
    <row r="18" spans="1:2" x14ac:dyDescent="0.25">
      <c r="A18" t="s">
        <v>5319</v>
      </c>
      <c r="B18" t="s">
        <v>5357</v>
      </c>
    </row>
    <row r="19" spans="1:2" x14ac:dyDescent="0.25">
      <c r="A19" t="s">
        <v>4980</v>
      </c>
      <c r="B19" t="s">
        <v>5358</v>
      </c>
    </row>
    <row r="20" spans="1:2" x14ac:dyDescent="0.25">
      <c r="A20" s="4" t="s">
        <v>5359</v>
      </c>
      <c r="B20" t="s">
        <v>5036</v>
      </c>
    </row>
    <row r="21" spans="1:2" x14ac:dyDescent="0.25">
      <c r="A21" t="s">
        <v>5303</v>
      </c>
      <c r="B21" t="s">
        <v>5036</v>
      </c>
    </row>
    <row r="22" spans="1:2" x14ac:dyDescent="0.25">
      <c r="A22" t="s">
        <v>5293</v>
      </c>
      <c r="B22" t="s">
        <v>5036</v>
      </c>
    </row>
    <row r="23" spans="1:2" x14ac:dyDescent="0.25">
      <c r="A23" t="s">
        <v>5294</v>
      </c>
      <c r="B23" t="s">
        <v>5036</v>
      </c>
    </row>
    <row r="24" spans="1:2" x14ac:dyDescent="0.25">
      <c r="A24" t="s">
        <v>5302</v>
      </c>
      <c r="B24" t="s">
        <v>5036</v>
      </c>
    </row>
    <row r="25" spans="1:2" x14ac:dyDescent="0.25">
      <c r="A25" t="s">
        <v>5236</v>
      </c>
      <c r="B25" t="s">
        <v>5036</v>
      </c>
    </row>
    <row r="26" spans="1:2" x14ac:dyDescent="0.25">
      <c r="A26" s="4" t="s">
        <v>5346</v>
      </c>
      <c r="B26" t="s">
        <v>5036</v>
      </c>
    </row>
    <row r="27" spans="1:2" x14ac:dyDescent="0.25">
      <c r="A27" t="s">
        <v>4989</v>
      </c>
      <c r="B27" t="s">
        <v>5347</v>
      </c>
    </row>
    <row r="28" spans="1:2" x14ac:dyDescent="0.25">
      <c r="A28" t="s">
        <v>4990</v>
      </c>
      <c r="B28" t="s">
        <v>5348</v>
      </c>
    </row>
    <row r="29" spans="1:2" x14ac:dyDescent="0.25">
      <c r="A29" t="s">
        <v>4991</v>
      </c>
      <c r="B29" t="s">
        <v>5349</v>
      </c>
    </row>
    <row r="30" spans="1:2" x14ac:dyDescent="0.25">
      <c r="A30" t="s">
        <v>4992</v>
      </c>
      <c r="B30" t="s">
        <v>5350</v>
      </c>
    </row>
    <row r="31" spans="1:2" x14ac:dyDescent="0.25">
      <c r="A31" t="s">
        <v>5308</v>
      </c>
      <c r="B31" t="s">
        <v>5351</v>
      </c>
    </row>
    <row r="32" spans="1:2" x14ac:dyDescent="0.25">
      <c r="A32" t="s">
        <v>5306</v>
      </c>
      <c r="B32" t="s">
        <v>5352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8"/>
  <sheetViews>
    <sheetView workbookViewId="0">
      <selection activeCell="B2" sqref="B2"/>
    </sheetView>
  </sheetViews>
  <sheetFormatPr baseColWidth="10" defaultRowHeight="15" x14ac:dyDescent="0.25"/>
  <cols>
    <col min="1" max="1" width="35.28515625" customWidth="1"/>
    <col min="2" max="2" width="29.140625" customWidth="1"/>
    <col min="3" max="8" width="23.42578125" customWidth="1"/>
    <col min="9" max="9" width="3.42578125" customWidth="1"/>
  </cols>
  <sheetData>
    <row r="1" spans="1:10" x14ac:dyDescent="0.25">
      <c r="A1" s="4" t="s">
        <v>4969</v>
      </c>
      <c r="B1" s="4" t="s">
        <v>4971</v>
      </c>
      <c r="C1" s="4" t="s">
        <v>4970</v>
      </c>
      <c r="D1" s="4" t="s">
        <v>4972</v>
      </c>
      <c r="E1" s="4" t="s">
        <v>4968</v>
      </c>
      <c r="F1" s="4" t="s">
        <v>4986</v>
      </c>
      <c r="G1" s="4" t="s">
        <v>4993</v>
      </c>
      <c r="H1" s="4" t="s">
        <v>5001</v>
      </c>
      <c r="J1" s="4" t="s">
        <v>4979</v>
      </c>
    </row>
    <row r="2" spans="1:10" x14ac:dyDescent="0.25">
      <c r="A2" t="s">
        <v>5005</v>
      </c>
      <c r="B2" t="s">
        <v>727</v>
      </c>
      <c r="C2" t="s">
        <v>5282</v>
      </c>
      <c r="D2" t="s">
        <v>4973</v>
      </c>
      <c r="E2" t="s">
        <v>658</v>
      </c>
      <c r="F2" t="s">
        <v>1464</v>
      </c>
      <c r="G2" t="s">
        <v>834</v>
      </c>
      <c r="H2" t="s">
        <v>726</v>
      </c>
      <c r="J2">
        <v>1</v>
      </c>
    </row>
    <row r="3" spans="1:10" x14ac:dyDescent="0.25">
      <c r="A3" t="s">
        <v>5257</v>
      </c>
      <c r="B3" t="s">
        <v>729</v>
      </c>
      <c r="C3" t="s">
        <v>2135</v>
      </c>
      <c r="D3" t="s">
        <v>4974</v>
      </c>
      <c r="E3" t="s">
        <v>0</v>
      </c>
      <c r="F3" t="s">
        <v>1666</v>
      </c>
      <c r="G3" t="s">
        <v>1042</v>
      </c>
      <c r="H3" t="s">
        <v>1148</v>
      </c>
      <c r="J3">
        <v>2</v>
      </c>
    </row>
    <row r="4" spans="1:10" x14ac:dyDescent="0.25">
      <c r="A4" t="s">
        <v>4995</v>
      </c>
      <c r="B4" t="s">
        <v>730</v>
      </c>
      <c r="C4" t="s">
        <v>4996</v>
      </c>
      <c r="D4" t="s">
        <v>4975</v>
      </c>
      <c r="E4" t="s">
        <v>138</v>
      </c>
      <c r="F4" t="s">
        <v>2236</v>
      </c>
      <c r="G4" t="s">
        <v>5003</v>
      </c>
      <c r="H4" t="s">
        <v>4998</v>
      </c>
      <c r="J4">
        <v>3</v>
      </c>
    </row>
    <row r="5" spans="1:10" x14ac:dyDescent="0.25">
      <c r="A5" t="s">
        <v>728</v>
      </c>
      <c r="B5" t="s">
        <v>731</v>
      </c>
      <c r="C5" t="s">
        <v>4997</v>
      </c>
      <c r="D5" t="s">
        <v>4976</v>
      </c>
      <c r="E5" t="s">
        <v>127</v>
      </c>
      <c r="F5" t="s">
        <v>1331</v>
      </c>
      <c r="G5" t="s">
        <v>2133</v>
      </c>
      <c r="H5" t="s">
        <v>1781</v>
      </c>
      <c r="J5">
        <v>4</v>
      </c>
    </row>
    <row r="6" spans="1:10" x14ac:dyDescent="0.25">
      <c r="A6" t="s">
        <v>5009</v>
      </c>
      <c r="B6" t="s">
        <v>5031</v>
      </c>
      <c r="C6" t="s">
        <v>4999</v>
      </c>
      <c r="D6" t="s">
        <v>4977</v>
      </c>
      <c r="E6" t="s">
        <v>116</v>
      </c>
      <c r="F6" t="s">
        <v>1275</v>
      </c>
      <c r="G6" t="s">
        <v>5016</v>
      </c>
      <c r="H6" t="s">
        <v>2134</v>
      </c>
      <c r="J6">
        <v>5</v>
      </c>
    </row>
    <row r="7" spans="1:10" x14ac:dyDescent="0.25">
      <c r="A7" t="s">
        <v>2135</v>
      </c>
      <c r="B7" t="s">
        <v>5004</v>
      </c>
      <c r="C7" t="s">
        <v>5277</v>
      </c>
      <c r="D7" t="s">
        <v>4978</v>
      </c>
      <c r="E7" t="s">
        <v>732</v>
      </c>
      <c r="F7" t="s">
        <v>4987</v>
      </c>
      <c r="G7" t="s">
        <v>3111</v>
      </c>
      <c r="H7" t="s">
        <v>5010</v>
      </c>
    </row>
    <row r="8" spans="1:10" x14ac:dyDescent="0.25">
      <c r="A8" t="s">
        <v>5014</v>
      </c>
      <c r="B8" t="s">
        <v>5015</v>
      </c>
      <c r="C8" t="s">
        <v>5011</v>
      </c>
      <c r="E8" t="s">
        <v>5012</v>
      </c>
      <c r="F8" t="s">
        <v>4988</v>
      </c>
      <c r="G8" t="s">
        <v>5018</v>
      </c>
      <c r="H8" t="s">
        <v>1090</v>
      </c>
    </row>
    <row r="9" spans="1:10" x14ac:dyDescent="0.25">
      <c r="A9" t="s">
        <v>5023</v>
      </c>
      <c r="B9" t="s">
        <v>5019</v>
      </c>
      <c r="C9" t="s">
        <v>5009</v>
      </c>
      <c r="F9" t="s">
        <v>5006</v>
      </c>
      <c r="G9" t="s">
        <v>5021</v>
      </c>
      <c r="H9" t="s">
        <v>5013</v>
      </c>
    </row>
    <row r="10" spans="1:10" x14ac:dyDescent="0.25">
      <c r="A10" t="s">
        <v>5026</v>
      </c>
      <c r="B10" t="s">
        <v>5022</v>
      </c>
      <c r="C10" t="s">
        <v>5046</v>
      </c>
      <c r="F10" t="s">
        <v>5007</v>
      </c>
      <c r="G10" t="s">
        <v>5052</v>
      </c>
      <c r="H10" t="s">
        <v>5017</v>
      </c>
    </row>
    <row r="11" spans="1:10" x14ac:dyDescent="0.25">
      <c r="A11" t="s">
        <v>5731</v>
      </c>
      <c r="B11" t="s">
        <v>5030</v>
      </c>
      <c r="C11" t="s">
        <v>5049</v>
      </c>
      <c r="F11" t="s">
        <v>5008</v>
      </c>
      <c r="G11" t="s">
        <v>5066</v>
      </c>
      <c r="H11" t="s">
        <v>5020</v>
      </c>
    </row>
    <row r="12" spans="1:10" x14ac:dyDescent="0.25">
      <c r="A12" t="s">
        <v>5039</v>
      </c>
      <c r="B12" t="s">
        <v>5032</v>
      </c>
      <c r="C12" t="s">
        <v>5283</v>
      </c>
      <c r="F12" t="s">
        <v>5025</v>
      </c>
      <c r="G12" t="s">
        <v>5069</v>
      </c>
      <c r="H12" t="s">
        <v>5024</v>
      </c>
    </row>
    <row r="13" spans="1:10" x14ac:dyDescent="0.25">
      <c r="A13" t="s">
        <v>5040</v>
      </c>
      <c r="B13" t="s">
        <v>5038</v>
      </c>
      <c r="C13" t="s">
        <v>5071</v>
      </c>
      <c r="F13" t="s">
        <v>5035</v>
      </c>
      <c r="H13" t="s">
        <v>942</v>
      </c>
    </row>
    <row r="14" spans="1:10" x14ac:dyDescent="0.25">
      <c r="A14" t="s">
        <v>5045</v>
      </c>
      <c r="B14" t="s">
        <v>5044</v>
      </c>
      <c r="F14" t="s">
        <v>5042</v>
      </c>
      <c r="H14" t="s">
        <v>5034</v>
      </c>
    </row>
    <row r="15" spans="1:10" x14ac:dyDescent="0.25">
      <c r="A15" t="s">
        <v>5048</v>
      </c>
      <c r="B15" t="s">
        <v>5050</v>
      </c>
      <c r="F15" s="2" t="s">
        <v>5070</v>
      </c>
      <c r="H15" t="s">
        <v>5041</v>
      </c>
    </row>
    <row r="16" spans="1:10" x14ac:dyDescent="0.25">
      <c r="A16" t="s">
        <v>5055</v>
      </c>
      <c r="B16" t="s">
        <v>5054</v>
      </c>
      <c r="H16" t="s">
        <v>5043</v>
      </c>
    </row>
    <row r="17" spans="1:8" x14ac:dyDescent="0.25">
      <c r="A17" t="s">
        <v>5056</v>
      </c>
      <c r="B17" t="s">
        <v>5058</v>
      </c>
      <c r="H17" t="s">
        <v>5047</v>
      </c>
    </row>
    <row r="18" spans="1:8" x14ac:dyDescent="0.25">
      <c r="A18" t="s">
        <v>5059</v>
      </c>
      <c r="B18" t="s">
        <v>5060</v>
      </c>
      <c r="H18" t="s">
        <v>5053</v>
      </c>
    </row>
    <row r="19" spans="1:8" x14ac:dyDescent="0.25">
      <c r="A19" t="s">
        <v>728</v>
      </c>
      <c r="B19" t="s">
        <v>5061</v>
      </c>
      <c r="H19" t="s">
        <v>5057</v>
      </c>
    </row>
    <row r="20" spans="1:8" x14ac:dyDescent="0.25">
      <c r="A20" t="s">
        <v>5064</v>
      </c>
      <c r="B20" t="s">
        <v>5062</v>
      </c>
      <c r="H20" t="s">
        <v>5073</v>
      </c>
    </row>
    <row r="21" spans="1:8" x14ac:dyDescent="0.25">
      <c r="A21" t="s">
        <v>5068</v>
      </c>
      <c r="B21" t="s">
        <v>5065</v>
      </c>
      <c r="H21" t="s">
        <v>5075</v>
      </c>
    </row>
    <row r="22" spans="1:8" x14ac:dyDescent="0.25">
      <c r="A22" t="s">
        <v>5265</v>
      </c>
      <c r="B22" t="s">
        <v>5067</v>
      </c>
      <c r="H22" s="2" t="s">
        <v>5080</v>
      </c>
    </row>
    <row r="23" spans="1:8" x14ac:dyDescent="0.25">
      <c r="A23" t="s">
        <v>5074</v>
      </c>
      <c r="B23" t="s">
        <v>5078</v>
      </c>
    </row>
    <row r="24" spans="1:8" x14ac:dyDescent="0.25">
      <c r="A24" t="s">
        <v>5076</v>
      </c>
      <c r="B24" t="s">
        <v>5079</v>
      </c>
    </row>
    <row r="25" spans="1:8" x14ac:dyDescent="0.25">
      <c r="A25" t="s">
        <v>5077</v>
      </c>
    </row>
    <row r="26" spans="1:8" x14ac:dyDescent="0.25">
      <c r="A26" t="s">
        <v>5014</v>
      </c>
    </row>
    <row r="27" spans="1:8" x14ac:dyDescent="0.25">
      <c r="A27" t="s">
        <v>5081</v>
      </c>
    </row>
    <row r="28" spans="1:8" x14ac:dyDescent="0.25">
      <c r="A28" t="s">
        <v>5728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21"/>
  <sheetViews>
    <sheetView topLeftCell="A10" workbookViewId="0">
      <selection activeCell="C2" sqref="C2:C21"/>
    </sheetView>
  </sheetViews>
  <sheetFormatPr baseColWidth="10" defaultRowHeight="15" x14ac:dyDescent="0.25"/>
  <cols>
    <col min="2" max="3" width="11.85546875" bestFit="1" customWidth="1"/>
  </cols>
  <sheetData>
    <row r="1" spans="1:6" x14ac:dyDescent="0.25">
      <c r="B1" t="s">
        <v>5315</v>
      </c>
      <c r="C1" t="s">
        <v>5316</v>
      </c>
      <c r="D1" t="s">
        <v>4985</v>
      </c>
    </row>
    <row r="2" spans="1:6" x14ac:dyDescent="0.25">
      <c r="A2">
        <v>2001</v>
      </c>
      <c r="B2">
        <f>COUNTIF(SMS[Year],Year!A2)</f>
        <v>1</v>
      </c>
      <c r="C2">
        <f>COUNTIFS(SMS[Year],Year!A2,SMS[I-A1],"1")</f>
        <v>0</v>
      </c>
      <c r="E2" s="11"/>
      <c r="F2" s="11"/>
    </row>
    <row r="3" spans="1:6" x14ac:dyDescent="0.25">
      <c r="A3">
        <v>2002</v>
      </c>
      <c r="B3">
        <f>COUNTIF(SMS[Year],Year!A3)</f>
        <v>0</v>
      </c>
      <c r="C3">
        <f>COUNTIFS(SMS[Year],Year!A3,SMS[I-A1],"1")</f>
        <v>0</v>
      </c>
      <c r="E3" s="11"/>
      <c r="F3" s="11"/>
    </row>
    <row r="4" spans="1:6" x14ac:dyDescent="0.25">
      <c r="A4">
        <v>2003</v>
      </c>
      <c r="B4">
        <f>COUNTIF(SMS[Year],Year!A4)</f>
        <v>2</v>
      </c>
      <c r="C4">
        <f>COUNTIFS(SMS[Year],Year!A4,SMS[I-A1],"1")</f>
        <v>0</v>
      </c>
      <c r="E4" s="11"/>
      <c r="F4" s="11"/>
    </row>
    <row r="5" spans="1:6" x14ac:dyDescent="0.25">
      <c r="A5">
        <v>2004</v>
      </c>
      <c r="B5">
        <f>COUNTIF(SMS[Year],Year!A5)</f>
        <v>5</v>
      </c>
      <c r="C5">
        <f>COUNTIFS(SMS[Year],Year!A5,SMS[I-A1],"1")</f>
        <v>0</v>
      </c>
      <c r="E5" s="11"/>
      <c r="F5" s="11"/>
    </row>
    <row r="6" spans="1:6" x14ac:dyDescent="0.25">
      <c r="A6">
        <v>2005</v>
      </c>
      <c r="B6">
        <f>COUNTIF(SMS[Year],Year!A6)</f>
        <v>7</v>
      </c>
      <c r="C6">
        <f>COUNTIFS(SMS[Year],Year!A6,SMS[I-A1],"1")</f>
        <v>0</v>
      </c>
      <c r="E6" s="11"/>
      <c r="F6" s="11"/>
    </row>
    <row r="7" spans="1:6" x14ac:dyDescent="0.25">
      <c r="A7">
        <v>2006</v>
      </c>
      <c r="B7">
        <f>COUNTIF(SMS[Year],Year!A7)</f>
        <v>16</v>
      </c>
      <c r="C7">
        <f>COUNTIFS(SMS[Year],Year!A7,SMS[I-A1],"1")</f>
        <v>0</v>
      </c>
      <c r="E7" s="11"/>
      <c r="F7" s="11"/>
    </row>
    <row r="8" spans="1:6" x14ac:dyDescent="0.25">
      <c r="A8">
        <v>2007</v>
      </c>
      <c r="B8">
        <f>COUNTIF(SMS[Year],Year!A8)</f>
        <v>14</v>
      </c>
      <c r="C8">
        <f>COUNTIFS(SMS[Year],Year!A8,SMS[I-A1],"1")</f>
        <v>0</v>
      </c>
      <c r="E8" s="11"/>
      <c r="F8" s="11"/>
    </row>
    <row r="9" spans="1:6" x14ac:dyDescent="0.25">
      <c r="A9">
        <v>2008</v>
      </c>
      <c r="B9">
        <f>COUNTIF(SMS[Year],Year!A9)</f>
        <v>28</v>
      </c>
      <c r="C9">
        <f>COUNTIFS(SMS[Year],Year!A9,SMS[I-A1],"1")</f>
        <v>0</v>
      </c>
      <c r="E9" s="11"/>
      <c r="F9" s="11"/>
    </row>
    <row r="10" spans="1:6" x14ac:dyDescent="0.25">
      <c r="A10">
        <v>2009</v>
      </c>
      <c r="B10">
        <f>COUNTIF(SMS[Year],Year!A10)</f>
        <v>39</v>
      </c>
      <c r="C10">
        <f>COUNTIFS(SMS[Year],Year!A10,SMS[I-A1],"1")</f>
        <v>0</v>
      </c>
      <c r="E10" s="11"/>
      <c r="F10" s="11"/>
    </row>
    <row r="11" spans="1:6" x14ac:dyDescent="0.25">
      <c r="A11">
        <v>2010</v>
      </c>
      <c r="B11">
        <f>COUNTIF(SMS[Year],Year!A11)</f>
        <v>48</v>
      </c>
      <c r="C11">
        <f>COUNTIFS(SMS[Year],Year!A11,SMS[I-A1],"1")</f>
        <v>7</v>
      </c>
      <c r="D11">
        <f>COUNTIFS(SMS[Year],Year!A11,SMS[I-A2],"1")</f>
        <v>2</v>
      </c>
      <c r="E11" s="11">
        <f t="shared" ref="E11:E17" si="0">D11/B11</f>
        <v>4.1666666666666664E-2</v>
      </c>
      <c r="F11" s="11">
        <f t="shared" ref="F11:F17" si="1">D11/C11</f>
        <v>0.2857142857142857</v>
      </c>
    </row>
    <row r="12" spans="1:6" x14ac:dyDescent="0.25">
      <c r="A12">
        <v>2011</v>
      </c>
      <c r="B12">
        <f>COUNTIF(SMS[Year],Year!A12)</f>
        <v>50</v>
      </c>
      <c r="C12">
        <f>COUNTIFS(SMS[Year],Year!A12,SMS[I-A1],"1")</f>
        <v>13</v>
      </c>
      <c r="D12">
        <f>COUNTIFS(SMS[Year],Year!A12,SMS[I-A2],"1")</f>
        <v>4</v>
      </c>
      <c r="E12" s="11">
        <f t="shared" si="0"/>
        <v>0.08</v>
      </c>
      <c r="F12" s="11">
        <f t="shared" si="1"/>
        <v>0.30769230769230771</v>
      </c>
    </row>
    <row r="13" spans="1:6" x14ac:dyDescent="0.25">
      <c r="A13">
        <v>2012</v>
      </c>
      <c r="B13">
        <f>COUNTIF(SMS[Year],Year!A13)</f>
        <v>41</v>
      </c>
      <c r="C13">
        <f>COUNTIFS(SMS[Year],Year!A13,SMS[I-A1],"1")</f>
        <v>9</v>
      </c>
      <c r="D13">
        <f>COUNTIFS(SMS[Year],Year!A13,SMS[I-A2],"1")</f>
        <v>4</v>
      </c>
      <c r="E13" s="11">
        <f t="shared" si="0"/>
        <v>9.7560975609756101E-2</v>
      </c>
      <c r="F13" s="11">
        <f t="shared" si="1"/>
        <v>0.44444444444444442</v>
      </c>
    </row>
    <row r="14" spans="1:6" x14ac:dyDescent="0.25">
      <c r="A14">
        <v>2013</v>
      </c>
      <c r="B14">
        <f>COUNTIF(SMS[Year],Year!A14)</f>
        <v>79</v>
      </c>
      <c r="C14">
        <f>COUNTIFS(SMS[Year],Year!A14,SMS[I-A1],"1")</f>
        <v>13</v>
      </c>
      <c r="D14">
        <f>COUNTIFS(SMS[Year],Year!A14,SMS[I-A2],"1")</f>
        <v>6</v>
      </c>
      <c r="E14" s="11">
        <f t="shared" si="0"/>
        <v>7.5949367088607597E-2</v>
      </c>
      <c r="F14" s="11">
        <f t="shared" si="1"/>
        <v>0.46153846153846156</v>
      </c>
    </row>
    <row r="15" spans="1:6" x14ac:dyDescent="0.25">
      <c r="A15">
        <v>2014</v>
      </c>
      <c r="B15">
        <f>COUNTIF(SMS[Year],Year!A15)</f>
        <v>90</v>
      </c>
      <c r="C15">
        <f>COUNTIFS(SMS[Year],Year!A15,SMS[I-A1],"1")</f>
        <v>13</v>
      </c>
      <c r="D15">
        <f>COUNTIFS(SMS[Year],Year!A15,SMS[I-A2],"1")</f>
        <v>5</v>
      </c>
      <c r="E15" s="11">
        <f t="shared" si="0"/>
        <v>5.5555555555555552E-2</v>
      </c>
      <c r="F15" s="11">
        <f t="shared" si="1"/>
        <v>0.38461538461538464</v>
      </c>
    </row>
    <row r="16" spans="1:6" x14ac:dyDescent="0.25">
      <c r="A16">
        <v>2015</v>
      </c>
      <c r="B16">
        <f>COUNTIF(SMS[Year],Year!A16)</f>
        <v>74</v>
      </c>
      <c r="C16">
        <f>COUNTIFS(SMS[Year],Year!A16,SMS[I-A1],"1")</f>
        <v>14</v>
      </c>
      <c r="D16">
        <f>COUNTIFS(SMS[Year],Year!A16,SMS[I-A2],"1")</f>
        <v>8</v>
      </c>
      <c r="E16" s="11">
        <f t="shared" si="0"/>
        <v>0.10810810810810811</v>
      </c>
      <c r="F16" s="11">
        <f t="shared" si="1"/>
        <v>0.5714285714285714</v>
      </c>
    </row>
    <row r="17" spans="1:6" x14ac:dyDescent="0.25">
      <c r="A17">
        <v>2016</v>
      </c>
      <c r="B17">
        <f>COUNTIF(SMS[Year],Year!A17)</f>
        <v>80</v>
      </c>
      <c r="C17">
        <f>COUNTIFS(SMS[Year],Year!A17,SMS[I-A1],"1")</f>
        <v>13</v>
      </c>
      <c r="D17">
        <f>COUNTIFS(SMS[Year],Year!A17,SMS[I-A2],"1")</f>
        <v>5</v>
      </c>
      <c r="E17" s="11">
        <f t="shared" si="0"/>
        <v>6.25E-2</v>
      </c>
      <c r="F17" s="11">
        <f t="shared" si="1"/>
        <v>0.38461538461538464</v>
      </c>
    </row>
    <row r="18" spans="1:6" x14ac:dyDescent="0.25">
      <c r="A18">
        <v>2017</v>
      </c>
      <c r="B18">
        <f>COUNTIF(SMS[Year],Year!A18)</f>
        <v>75</v>
      </c>
      <c r="C18">
        <f>COUNTIFS(SMS[Year],Year!A18,SMS[I-A1],"1")</f>
        <v>11</v>
      </c>
      <c r="D18">
        <f>COUNTIFS(SMS[Year],Year!A18,SMS[I-A2],"1")</f>
        <v>6</v>
      </c>
      <c r="E18" s="11">
        <f>D18/B18</f>
        <v>0.08</v>
      </c>
      <c r="F18" s="11">
        <f>D18/C18</f>
        <v>0.54545454545454541</v>
      </c>
    </row>
    <row r="19" spans="1:6" x14ac:dyDescent="0.25">
      <c r="A19">
        <v>2018</v>
      </c>
      <c r="B19">
        <f>COUNTIF(SMS[Year],Year!A19)</f>
        <v>81</v>
      </c>
      <c r="C19">
        <f>COUNTIFS(SMS[Year],Year!A19,SMS[I-A1],"1")</f>
        <v>13</v>
      </c>
      <c r="D19">
        <f>COUNTIFS(SMS[Year],Year!A19,SMS[I-A2],"1")</f>
        <v>5</v>
      </c>
      <c r="E19" s="11">
        <f>D19/B19</f>
        <v>6.1728395061728392E-2</v>
      </c>
      <c r="F19" s="11">
        <f>D19/C19</f>
        <v>0.38461538461538464</v>
      </c>
    </row>
    <row r="21" spans="1:6" x14ac:dyDescent="0.25">
      <c r="B21">
        <f>SUM(B2:B19)</f>
        <v>730</v>
      </c>
      <c r="C21">
        <f>SUM(C2:C20)</f>
        <v>106</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48"/>
  <sheetViews>
    <sheetView topLeftCell="A10" zoomScale="85" zoomScaleNormal="85" workbookViewId="0">
      <selection activeCell="Z17" sqref="Z17"/>
    </sheetView>
  </sheetViews>
  <sheetFormatPr baseColWidth="10" defaultRowHeight="15" x14ac:dyDescent="0.25"/>
  <sheetData>
    <row r="1" spans="1:2" x14ac:dyDescent="0.25">
      <c r="A1" t="s">
        <v>5196</v>
      </c>
      <c r="B1" t="s">
        <v>5217</v>
      </c>
    </row>
    <row r="2" spans="1:2" x14ac:dyDescent="0.25">
      <c r="A2" t="s">
        <v>5198</v>
      </c>
      <c r="B2">
        <v>15</v>
      </c>
    </row>
    <row r="3" spans="1:2" x14ac:dyDescent="0.25">
      <c r="A3" t="s">
        <v>5230</v>
      </c>
      <c r="B3">
        <v>6</v>
      </c>
    </row>
    <row r="4" spans="1:2" x14ac:dyDescent="0.25">
      <c r="A4" t="s">
        <v>5197</v>
      </c>
      <c r="B4">
        <v>5</v>
      </c>
    </row>
    <row r="5" spans="1:2" x14ac:dyDescent="0.25">
      <c r="A5" t="s">
        <v>5214</v>
      </c>
      <c r="B5">
        <v>4</v>
      </c>
    </row>
    <row r="6" spans="1:2" x14ac:dyDescent="0.25">
      <c r="A6" t="s">
        <v>5206</v>
      </c>
      <c r="B6">
        <v>4</v>
      </c>
    </row>
    <row r="7" spans="1:2" x14ac:dyDescent="0.25">
      <c r="A7" t="s">
        <v>5213</v>
      </c>
      <c r="B7">
        <v>3</v>
      </c>
    </row>
    <row r="8" spans="1:2" x14ac:dyDescent="0.25">
      <c r="A8" t="s">
        <v>5208</v>
      </c>
      <c r="B8">
        <v>2</v>
      </c>
    </row>
    <row r="9" spans="1:2" x14ac:dyDescent="0.25">
      <c r="A9" t="s">
        <v>5204</v>
      </c>
      <c r="B9">
        <v>2</v>
      </c>
    </row>
    <row r="10" spans="1:2" x14ac:dyDescent="0.25">
      <c r="A10" t="s">
        <v>5211</v>
      </c>
      <c r="B10">
        <v>2</v>
      </c>
    </row>
    <row r="11" spans="1:2" x14ac:dyDescent="0.25">
      <c r="A11" t="s">
        <v>5202</v>
      </c>
      <c r="B11">
        <v>2</v>
      </c>
    </row>
    <row r="12" spans="1:2" x14ac:dyDescent="0.25">
      <c r="A12" t="s">
        <v>5204</v>
      </c>
      <c r="B12">
        <v>2</v>
      </c>
    </row>
    <row r="13" spans="1:2" x14ac:dyDescent="0.25">
      <c r="A13" t="s">
        <v>5210</v>
      </c>
      <c r="B13">
        <v>2</v>
      </c>
    </row>
    <row r="14" spans="1:2" x14ac:dyDescent="0.25">
      <c r="A14" t="s">
        <v>5200</v>
      </c>
      <c r="B14">
        <v>1</v>
      </c>
    </row>
    <row r="15" spans="1:2" x14ac:dyDescent="0.25">
      <c r="A15" t="s">
        <v>5205</v>
      </c>
      <c r="B15">
        <v>1</v>
      </c>
    </row>
    <row r="16" spans="1:2" x14ac:dyDescent="0.25">
      <c r="A16" t="s">
        <v>5207</v>
      </c>
      <c r="B16">
        <v>1</v>
      </c>
    </row>
    <row r="17" spans="1:2" x14ac:dyDescent="0.25">
      <c r="A17" t="s">
        <v>5209</v>
      </c>
      <c r="B17">
        <v>1</v>
      </c>
    </row>
    <row r="18" spans="1:2" x14ac:dyDescent="0.25">
      <c r="A18" t="s">
        <v>5212</v>
      </c>
      <c r="B18">
        <v>1</v>
      </c>
    </row>
    <row r="19" spans="1:2" x14ac:dyDescent="0.25">
      <c r="A19" t="s">
        <v>5203</v>
      </c>
      <c r="B19">
        <v>1</v>
      </c>
    </row>
    <row r="20" spans="1:2" x14ac:dyDescent="0.25">
      <c r="A20" t="s">
        <v>5229</v>
      </c>
      <c r="B20">
        <v>1</v>
      </c>
    </row>
    <row r="21" spans="1:2" x14ac:dyDescent="0.25">
      <c r="A21" t="s">
        <v>5215</v>
      </c>
      <c r="B21">
        <v>1</v>
      </c>
    </row>
    <row r="22" spans="1:2" x14ac:dyDescent="0.25">
      <c r="A22" t="s">
        <v>5216</v>
      </c>
      <c r="B22">
        <v>1</v>
      </c>
    </row>
    <row r="23" spans="1:2" x14ac:dyDescent="0.25">
      <c r="A23" t="s">
        <v>5201</v>
      </c>
      <c r="B23">
        <v>1</v>
      </c>
    </row>
    <row r="27" spans="1:2" x14ac:dyDescent="0.25">
      <c r="A27" s="39" t="s">
        <v>5198</v>
      </c>
    </row>
    <row r="28" spans="1:2" x14ac:dyDescent="0.25">
      <c r="A28" s="40" t="s">
        <v>5197</v>
      </c>
    </row>
    <row r="29" spans="1:2" x14ac:dyDescent="0.25">
      <c r="A29" s="39" t="s">
        <v>5199</v>
      </c>
    </row>
    <row r="30" spans="1:2" x14ac:dyDescent="0.25">
      <c r="A30" s="40" t="s">
        <v>5214</v>
      </c>
    </row>
    <row r="31" spans="1:2" x14ac:dyDescent="0.25">
      <c r="A31" s="39" t="s">
        <v>5213</v>
      </c>
    </row>
    <row r="32" spans="1:2" x14ac:dyDescent="0.25">
      <c r="A32" s="40" t="s">
        <v>5206</v>
      </c>
    </row>
    <row r="33" spans="1:1" x14ac:dyDescent="0.25">
      <c r="A33" s="39" t="s">
        <v>5208</v>
      </c>
    </row>
    <row r="34" spans="1:1" x14ac:dyDescent="0.25">
      <c r="A34" s="40" t="s">
        <v>5204</v>
      </c>
    </row>
    <row r="35" spans="1:1" x14ac:dyDescent="0.25">
      <c r="A35" s="39" t="s">
        <v>5211</v>
      </c>
    </row>
    <row r="36" spans="1:1" x14ac:dyDescent="0.25">
      <c r="A36" s="40" t="s">
        <v>5202</v>
      </c>
    </row>
    <row r="37" spans="1:1" x14ac:dyDescent="0.25">
      <c r="A37" s="39" t="s">
        <v>5200</v>
      </c>
    </row>
    <row r="38" spans="1:1" x14ac:dyDescent="0.25">
      <c r="A38" s="40" t="s">
        <v>5204</v>
      </c>
    </row>
    <row r="39" spans="1:1" x14ac:dyDescent="0.25">
      <c r="A39" s="39" t="s">
        <v>5205</v>
      </c>
    </row>
    <row r="40" spans="1:1" x14ac:dyDescent="0.25">
      <c r="A40" s="40" t="s">
        <v>5207</v>
      </c>
    </row>
    <row r="41" spans="1:1" x14ac:dyDescent="0.25">
      <c r="A41" s="39" t="s">
        <v>5209</v>
      </c>
    </row>
    <row r="42" spans="1:1" x14ac:dyDescent="0.25">
      <c r="A42" s="40" t="s">
        <v>5210</v>
      </c>
    </row>
    <row r="43" spans="1:1" x14ac:dyDescent="0.25">
      <c r="A43" s="39" t="s">
        <v>5212</v>
      </c>
    </row>
    <row r="44" spans="1:1" x14ac:dyDescent="0.25">
      <c r="A44" s="40" t="s">
        <v>5203</v>
      </c>
    </row>
    <row r="45" spans="1:1" x14ac:dyDescent="0.25">
      <c r="A45" s="39" t="s">
        <v>5229</v>
      </c>
    </row>
    <row r="46" spans="1:1" x14ac:dyDescent="0.25">
      <c r="A46" s="40" t="s">
        <v>5215</v>
      </c>
    </row>
    <row r="47" spans="1:1" x14ac:dyDescent="0.25">
      <c r="A47" s="39" t="s">
        <v>5216</v>
      </c>
    </row>
    <row r="48" spans="1:1" x14ac:dyDescent="0.25">
      <c r="A48" s="40" t="s">
        <v>5201</v>
      </c>
    </row>
  </sheetData>
  <pageMargins left="0.7" right="0.7" top="0.75" bottom="0.75" header="0.3" footer="0.3"/>
  <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17"/>
  <sheetViews>
    <sheetView workbookViewId="0">
      <selection activeCell="A118" sqref="A118"/>
    </sheetView>
  </sheetViews>
  <sheetFormatPr baseColWidth="10" defaultRowHeight="15" x14ac:dyDescent="0.25"/>
  <cols>
    <col min="1" max="1" width="22.28515625" bestFit="1" customWidth="1"/>
    <col min="2" max="2" width="22.28515625" customWidth="1"/>
    <col min="3" max="3" width="7.5703125" bestFit="1" customWidth="1"/>
    <col min="9" max="9" width="5.5703125" customWidth="1"/>
  </cols>
  <sheetData>
    <row r="1" spans="1:11" x14ac:dyDescent="0.25">
      <c r="A1" s="4" t="s">
        <v>709</v>
      </c>
      <c r="B1" s="4" t="s">
        <v>5196</v>
      </c>
      <c r="C1" s="4" t="s">
        <v>708</v>
      </c>
      <c r="D1" s="4" t="s">
        <v>5195</v>
      </c>
      <c r="E1" s="4" t="s">
        <v>5237</v>
      </c>
      <c r="F1" s="4"/>
    </row>
    <row r="2" spans="1:11" x14ac:dyDescent="0.25">
      <c r="A2" t="s">
        <v>1465</v>
      </c>
      <c r="B2" t="s">
        <v>5197</v>
      </c>
      <c r="C2" t="s">
        <v>5221</v>
      </c>
      <c r="D2">
        <v>4</v>
      </c>
      <c r="E2">
        <f>SUMIF(Tabla7[Author],"*"&amp;Tabla4[[#This Row],[Author]]&amp;"*",Tabla7[cited by (*Scopus)])</f>
        <v>70</v>
      </c>
    </row>
    <row r="3" spans="1:11" x14ac:dyDescent="0.25">
      <c r="A3" t="s">
        <v>5091</v>
      </c>
      <c r="B3" t="s">
        <v>5197</v>
      </c>
      <c r="C3" t="s">
        <v>5221</v>
      </c>
      <c r="D3">
        <v>3</v>
      </c>
      <c r="E3">
        <f>SUMIF(Tabla7[Author],"*"&amp;Tabla4[[#This Row],[Author]]&amp;"*",Tabla7[cited by (*Scopus)])</f>
        <v>70</v>
      </c>
      <c r="G3" s="4" t="s">
        <v>708</v>
      </c>
      <c r="H3" s="4" t="s">
        <v>5227</v>
      </c>
      <c r="J3" s="4" t="s">
        <v>5196</v>
      </c>
      <c r="K3" s="4" t="s">
        <v>5228</v>
      </c>
    </row>
    <row r="4" spans="1:11" x14ac:dyDescent="0.25">
      <c r="A4" t="s">
        <v>5089</v>
      </c>
      <c r="B4" t="s">
        <v>5198</v>
      </c>
      <c r="C4" t="s">
        <v>5221</v>
      </c>
      <c r="D4">
        <v>3</v>
      </c>
      <c r="E4">
        <f>SUMIF(Tabla7[Author],"*"&amp;Tabla4[[#This Row],[Author]]&amp;"*",Tabla7[cited by (*Scopus)])</f>
        <v>40</v>
      </c>
      <c r="G4" t="s">
        <v>5218</v>
      </c>
      <c r="H4">
        <f>COUNTIF(Tabla4[Type],"=A")</f>
        <v>98</v>
      </c>
      <c r="J4" t="s">
        <v>5198</v>
      </c>
      <c r="K4">
        <v>9</v>
      </c>
    </row>
    <row r="5" spans="1:11" x14ac:dyDescent="0.25">
      <c r="A5" t="s">
        <v>5088</v>
      </c>
      <c r="B5" t="s">
        <v>5198</v>
      </c>
      <c r="C5" t="s">
        <v>5221</v>
      </c>
      <c r="D5">
        <v>3</v>
      </c>
      <c r="E5">
        <f>SUMIF(Tabla7[Author],"*"&amp;Tabla4[[#This Row],[Author]]&amp;"*",Tabla7[cited by (*Scopus)])</f>
        <v>36</v>
      </c>
      <c r="G5" t="s">
        <v>5219</v>
      </c>
      <c r="H5">
        <f>COUNTIF(Tabla4[Type],"=I")</f>
        <v>16</v>
      </c>
      <c r="J5" t="s">
        <v>5199</v>
      </c>
      <c r="K5">
        <v>4</v>
      </c>
    </row>
    <row r="6" spans="1:11" x14ac:dyDescent="0.25">
      <c r="A6" t="s">
        <v>5093</v>
      </c>
      <c r="B6" t="s">
        <v>5198</v>
      </c>
      <c r="C6" t="s">
        <v>5222</v>
      </c>
      <c r="D6">
        <v>2</v>
      </c>
      <c r="E6">
        <f>SUMIF(Tabla7[Author],"*"&amp;Tabla4[[#This Row],[Author]]&amp;"*",Tabla7[cited by (*Scopus)])</f>
        <v>46</v>
      </c>
      <c r="G6" t="s">
        <v>5226</v>
      </c>
      <c r="H6">
        <f>COUNTIF(Tabla4[Type],"=F")</f>
        <v>2</v>
      </c>
      <c r="J6" t="s">
        <v>5214</v>
      </c>
      <c r="K6">
        <v>2</v>
      </c>
    </row>
    <row r="7" spans="1:11" x14ac:dyDescent="0.25">
      <c r="A7" t="s">
        <v>5092</v>
      </c>
      <c r="B7" t="s">
        <v>5198</v>
      </c>
      <c r="C7" t="s">
        <v>5222</v>
      </c>
      <c r="D7">
        <v>2</v>
      </c>
      <c r="E7">
        <f>SUMIF(Tabla7[Author],"*"&amp;Tabla4[[#This Row],[Author]]&amp;"*",Tabla7[cited by (*Scopus)])</f>
        <v>46</v>
      </c>
      <c r="J7" t="s">
        <v>5207</v>
      </c>
      <c r="K7">
        <v>1</v>
      </c>
    </row>
    <row r="8" spans="1:11" x14ac:dyDescent="0.25">
      <c r="A8" t="s">
        <v>5170</v>
      </c>
      <c r="B8" t="s">
        <v>5198</v>
      </c>
      <c r="C8" t="s">
        <v>5221</v>
      </c>
      <c r="D8">
        <v>2</v>
      </c>
      <c r="E8">
        <f>SUMIF(Tabla7[Author],"*"&amp;Tabla4[[#This Row],[Author]]&amp;"*",Tabla7[cited by (*Scopus)])</f>
        <v>20</v>
      </c>
    </row>
    <row r="9" spans="1:11" x14ac:dyDescent="0.25">
      <c r="A9" t="s">
        <v>5133</v>
      </c>
      <c r="B9" t="s">
        <v>5198</v>
      </c>
      <c r="C9" t="s">
        <v>5221</v>
      </c>
      <c r="D9">
        <v>2</v>
      </c>
      <c r="E9">
        <f>SUMIF(Tabla7[Author],"*"&amp;Tabla4[[#This Row],[Author]]&amp;"*",Tabla7[cited by (*Scopus)])</f>
        <v>10</v>
      </c>
    </row>
    <row r="10" spans="1:11" x14ac:dyDescent="0.25">
      <c r="A10" t="s">
        <v>5132</v>
      </c>
      <c r="B10" t="s">
        <v>5198</v>
      </c>
      <c r="C10" t="s">
        <v>5221</v>
      </c>
      <c r="D10">
        <v>2</v>
      </c>
      <c r="E10">
        <f>SUMIF(Tabla7[Author],"*"&amp;Tabla4[[#This Row],[Author]]&amp;"*",Tabla7[cited by (*Scopus)])</f>
        <v>10</v>
      </c>
    </row>
    <row r="11" spans="1:11" x14ac:dyDescent="0.25">
      <c r="A11" t="s">
        <v>5103</v>
      </c>
      <c r="B11" t="s">
        <v>5220</v>
      </c>
      <c r="C11" t="s">
        <v>5221</v>
      </c>
      <c r="D11">
        <v>2</v>
      </c>
      <c r="E11">
        <f>SUMIF(Tabla7[Author],"*"&amp;Tabla4[[#This Row],[Author]]&amp;"*",Tabla7[cited by (*Scopus)])</f>
        <v>10</v>
      </c>
    </row>
    <row r="12" spans="1:11" x14ac:dyDescent="0.25">
      <c r="A12" t="s">
        <v>5130</v>
      </c>
      <c r="B12" t="s">
        <v>5198</v>
      </c>
      <c r="C12" t="s">
        <v>5221</v>
      </c>
      <c r="D12">
        <v>2</v>
      </c>
      <c r="E12">
        <f>SUMIF(Tabla7[Author],"*"&amp;Tabla4[[#This Row],[Author]]&amp;"*",Tabla7[cited by (*Scopus)])</f>
        <v>3</v>
      </c>
    </row>
    <row r="13" spans="1:11" x14ac:dyDescent="0.25">
      <c r="A13" t="s">
        <v>5129</v>
      </c>
      <c r="B13" t="s">
        <v>5198</v>
      </c>
      <c r="C13" t="s">
        <v>5221</v>
      </c>
      <c r="D13">
        <v>2</v>
      </c>
      <c r="E13">
        <f>SUMIF(Tabla7[Author],"*"&amp;Tabla4[[#This Row],[Author]]&amp;"*",Tabla7[cited by (*Scopus)])</f>
        <v>3</v>
      </c>
    </row>
    <row r="14" spans="1:11" x14ac:dyDescent="0.25">
      <c r="A14" t="s">
        <v>5131</v>
      </c>
      <c r="B14" t="s">
        <v>5198</v>
      </c>
      <c r="C14" t="s">
        <v>5221</v>
      </c>
      <c r="D14">
        <v>2</v>
      </c>
      <c r="E14">
        <f>SUMIF(Tabla7[Author],"*"&amp;Tabla4[[#This Row],[Author]]&amp;"*",Tabla7[cited by (*Scopus)])</f>
        <v>3</v>
      </c>
    </row>
    <row r="15" spans="1:11" x14ac:dyDescent="0.25">
      <c r="A15" t="s">
        <v>5128</v>
      </c>
      <c r="B15" t="s">
        <v>5198</v>
      </c>
      <c r="C15" t="s">
        <v>5222</v>
      </c>
      <c r="D15">
        <v>2</v>
      </c>
      <c r="E15">
        <f>SUMIF(Tabla7[Author],"*"&amp;Tabla4[[#This Row],[Author]]&amp;"*",Tabla7[cited by (*Scopus)])</f>
        <v>3</v>
      </c>
    </row>
    <row r="16" spans="1:11" x14ac:dyDescent="0.25">
      <c r="A16" t="s">
        <v>5141</v>
      </c>
      <c r="B16" t="s">
        <v>5211</v>
      </c>
      <c r="C16" t="s">
        <v>5221</v>
      </c>
      <c r="D16">
        <v>2</v>
      </c>
      <c r="E16">
        <f>SUMIF(Tabla7[Author],"*"&amp;Tabla4[[#This Row],[Author]]&amp;"*",Tabla7[cited by (*Scopus)])</f>
        <v>1</v>
      </c>
    </row>
    <row r="17" spans="1:5" x14ac:dyDescent="0.25">
      <c r="A17" t="s">
        <v>5139</v>
      </c>
      <c r="B17" t="s">
        <v>5211</v>
      </c>
      <c r="C17" t="s">
        <v>5221</v>
      </c>
      <c r="D17">
        <v>2</v>
      </c>
      <c r="E17">
        <f>SUMIF(Tabla7[Author],"*"&amp;Tabla4[[#This Row],[Author]]&amp;"*",Tabla7[cited by (*Scopus)])</f>
        <v>1</v>
      </c>
    </row>
    <row r="18" spans="1:5" x14ac:dyDescent="0.25">
      <c r="A18" t="s">
        <v>5127</v>
      </c>
      <c r="B18" t="s">
        <v>5204</v>
      </c>
      <c r="C18" t="s">
        <v>5221</v>
      </c>
      <c r="D18">
        <v>1</v>
      </c>
      <c r="E18">
        <f>SUMIF(Tabla7[Author],"*"&amp;Tabla4[[#This Row],[Author]]&amp;"*",Tabla7[cited by (*Scopus)])</f>
        <v>74</v>
      </c>
    </row>
    <row r="19" spans="1:5" x14ac:dyDescent="0.25">
      <c r="A19" t="s">
        <v>5126</v>
      </c>
      <c r="B19" t="s">
        <v>5204</v>
      </c>
      <c r="C19" t="s">
        <v>5221</v>
      </c>
      <c r="D19">
        <v>1</v>
      </c>
      <c r="E19">
        <f>SUMIF(Tabla7[Author],"*"&amp;Tabla4[[#This Row],[Author]]&amp;"*",Tabla7[cited by (*Scopus)])</f>
        <v>74</v>
      </c>
    </row>
    <row r="20" spans="1:5" x14ac:dyDescent="0.25">
      <c r="A20" t="s">
        <v>5114</v>
      </c>
      <c r="B20" t="s">
        <v>5197</v>
      </c>
      <c r="C20" t="s">
        <v>5221</v>
      </c>
      <c r="D20">
        <v>1</v>
      </c>
      <c r="E20">
        <f>SUMIF(Tabla7[Author],"*"&amp;Tabla4[[#This Row],[Author]]&amp;"*",Tabla7[cited by (*Scopus)])</f>
        <v>26</v>
      </c>
    </row>
    <row r="21" spans="1:5" x14ac:dyDescent="0.25">
      <c r="A21" t="s">
        <v>5115</v>
      </c>
      <c r="B21" t="s">
        <v>5198</v>
      </c>
      <c r="C21" t="s">
        <v>5222</v>
      </c>
      <c r="D21">
        <v>1</v>
      </c>
      <c r="E21">
        <f>SUMIF(Tabla7[Author],"*"&amp;Tabla4[[#This Row],[Author]]&amp;"*",Tabla7[cited by (*Scopus)])</f>
        <v>26</v>
      </c>
    </row>
    <row r="22" spans="1:5" x14ac:dyDescent="0.25">
      <c r="A22" t="s">
        <v>5134</v>
      </c>
      <c r="B22" t="s">
        <v>5198</v>
      </c>
      <c r="C22" t="s">
        <v>5221</v>
      </c>
      <c r="D22">
        <v>1</v>
      </c>
      <c r="E22">
        <f>SUMIF(Tabla7[Author],"*"&amp;Tabla4[[#This Row],[Author]]&amp;"*",Tabla7[cited by (*Scopus)])</f>
        <v>24</v>
      </c>
    </row>
    <row r="23" spans="1:5" x14ac:dyDescent="0.25">
      <c r="A23" t="s">
        <v>5135</v>
      </c>
      <c r="B23" t="s">
        <v>5198</v>
      </c>
      <c r="C23" t="s">
        <v>5221</v>
      </c>
      <c r="D23">
        <v>1</v>
      </c>
      <c r="E23">
        <f>SUMIF(Tabla7[Author],"*"&amp;Tabla4[[#This Row],[Author]]&amp;"*",Tabla7[cited by (*Scopus)])</f>
        <v>24</v>
      </c>
    </row>
    <row r="24" spans="1:5" x14ac:dyDescent="0.25">
      <c r="A24" t="s">
        <v>5090</v>
      </c>
      <c r="B24" t="s">
        <v>5197</v>
      </c>
      <c r="C24" t="s">
        <v>5221</v>
      </c>
      <c r="D24">
        <v>1</v>
      </c>
      <c r="E24">
        <f>SUMIF(Tabla7[Author],"*"&amp;Tabla4[[#This Row],[Author]]&amp;"*",Tabla7[cited by (*Scopus)])</f>
        <v>20</v>
      </c>
    </row>
    <row r="25" spans="1:5" x14ac:dyDescent="0.25">
      <c r="A25" t="s">
        <v>5150</v>
      </c>
      <c r="B25" t="s">
        <v>5202</v>
      </c>
      <c r="C25" t="s">
        <v>5221</v>
      </c>
      <c r="D25">
        <v>1</v>
      </c>
      <c r="E25">
        <f>SUMIF(Tabla7[Author],"*"&amp;Tabla4[[#This Row],[Author]]&amp;"*",Tabla7[cited by (*Scopus)])</f>
        <v>14</v>
      </c>
    </row>
    <row r="26" spans="1:5" x14ac:dyDescent="0.25">
      <c r="A26" t="s">
        <v>5149</v>
      </c>
      <c r="B26" t="s">
        <v>5202</v>
      </c>
      <c r="C26" t="s">
        <v>5221</v>
      </c>
      <c r="D26">
        <v>1</v>
      </c>
      <c r="E26">
        <f>SUMIF(Tabla7[Author],"*"&amp;Tabla4[[#This Row],[Author]]&amp;"*",Tabla7[cited by (*Scopus)])</f>
        <v>14</v>
      </c>
    </row>
    <row r="27" spans="1:5" x14ac:dyDescent="0.25">
      <c r="A27" t="s">
        <v>5151</v>
      </c>
      <c r="B27" t="s">
        <v>5202</v>
      </c>
      <c r="C27" t="s">
        <v>5221</v>
      </c>
      <c r="D27">
        <v>1</v>
      </c>
      <c r="E27">
        <f>SUMIF(Tabla7[Author],"*"&amp;Tabla4[[#This Row],[Author]]&amp;"*",Tabla7[cited by (*Scopus)])</f>
        <v>14</v>
      </c>
    </row>
    <row r="28" spans="1:5" x14ac:dyDescent="0.25">
      <c r="A28" t="s">
        <v>5148</v>
      </c>
      <c r="B28" t="s">
        <v>5199</v>
      </c>
      <c r="C28" t="s">
        <v>5223</v>
      </c>
      <c r="D28">
        <v>1</v>
      </c>
      <c r="E28">
        <f>SUMIF(Tabla7[Author],"*"&amp;Tabla4[[#This Row],[Author]]&amp;"*",Tabla7[cited by (*Scopus)])</f>
        <v>14</v>
      </c>
    </row>
    <row r="29" spans="1:5" x14ac:dyDescent="0.25">
      <c r="A29" t="s">
        <v>5086</v>
      </c>
      <c r="B29" t="s">
        <v>5213</v>
      </c>
      <c r="C29" t="s">
        <v>5221</v>
      </c>
      <c r="D29">
        <v>1</v>
      </c>
      <c r="E29">
        <f>SUMIF(Tabla7[Author],"*"&amp;Tabla4[[#This Row],[Author]]&amp;"*",Tabla7[cited by (*Scopus)])</f>
        <v>12</v>
      </c>
    </row>
    <row r="30" spans="1:5" x14ac:dyDescent="0.25">
      <c r="A30" t="s">
        <v>5087</v>
      </c>
      <c r="B30" t="s">
        <v>5213</v>
      </c>
      <c r="C30" t="s">
        <v>5221</v>
      </c>
      <c r="D30">
        <v>1</v>
      </c>
      <c r="E30">
        <f>SUMIF(Tabla7[Author],"*"&amp;Tabla4[[#This Row],[Author]]&amp;"*",Tabla7[cited by (*Scopus)])</f>
        <v>12</v>
      </c>
    </row>
    <row r="31" spans="1:5" x14ac:dyDescent="0.25">
      <c r="A31" t="s">
        <v>5085</v>
      </c>
      <c r="B31" t="s">
        <v>5198</v>
      </c>
      <c r="C31" t="s">
        <v>5221</v>
      </c>
      <c r="D31">
        <v>1</v>
      </c>
      <c r="E31">
        <f>SUMIF(Tabla7[Author],"*"&amp;Tabla4[[#This Row],[Author]]&amp;"*",Tabla7[cited by (*Scopus)])</f>
        <v>12</v>
      </c>
    </row>
    <row r="32" spans="1:5" x14ac:dyDescent="0.25">
      <c r="A32" t="s">
        <v>5098</v>
      </c>
      <c r="B32" t="s">
        <v>5206</v>
      </c>
      <c r="C32" t="s">
        <v>5221</v>
      </c>
      <c r="D32">
        <v>1</v>
      </c>
      <c r="E32">
        <f>SUMIF(Tabla7[Author],"*"&amp;Tabla4[[#This Row],[Author]]&amp;"*",Tabla7[cited by (*Scopus)])</f>
        <v>19</v>
      </c>
    </row>
    <row r="33" spans="1:5" x14ac:dyDescent="0.25">
      <c r="A33" t="s">
        <v>5107</v>
      </c>
      <c r="B33" t="s">
        <v>5198</v>
      </c>
      <c r="C33" t="s">
        <v>5221</v>
      </c>
      <c r="D33">
        <v>1</v>
      </c>
      <c r="E33">
        <f>SUMIF(Tabla7[Author],"*"&amp;Tabla4[[#This Row],[Author]]&amp;"*",Tabla7[cited by (*Scopus)])</f>
        <v>10</v>
      </c>
    </row>
    <row r="34" spans="1:5" x14ac:dyDescent="0.25">
      <c r="A34" t="s">
        <v>5099</v>
      </c>
      <c r="B34" t="s">
        <v>5203</v>
      </c>
      <c r="C34" t="s">
        <v>5221</v>
      </c>
      <c r="D34">
        <v>1</v>
      </c>
      <c r="E34">
        <f>SUMIF(Tabla7[Author],"*"&amp;Tabla4[[#This Row],[Author]]&amp;"*",Tabla7[cited by (*Scopus)])</f>
        <v>19</v>
      </c>
    </row>
    <row r="35" spans="1:5" x14ac:dyDescent="0.25">
      <c r="A35" t="s">
        <v>5100</v>
      </c>
      <c r="B35" t="s">
        <v>5206</v>
      </c>
      <c r="C35" t="s">
        <v>5221</v>
      </c>
      <c r="D35">
        <v>1</v>
      </c>
      <c r="E35">
        <f>SUMIF(Tabla7[Author],"*"&amp;Tabla4[[#This Row],[Author]]&amp;"*",Tabla7[cited by (*Scopus)])</f>
        <v>19</v>
      </c>
    </row>
    <row r="36" spans="1:5" x14ac:dyDescent="0.25">
      <c r="A36" t="s">
        <v>5106</v>
      </c>
      <c r="B36" t="s">
        <v>5198</v>
      </c>
      <c r="C36" t="s">
        <v>5221</v>
      </c>
      <c r="D36">
        <v>1</v>
      </c>
      <c r="E36">
        <f>SUMIF(Tabla7[Author],"*"&amp;Tabla4[[#This Row],[Author]]&amp;"*",Tabla7[cited by (*Scopus)])</f>
        <v>10</v>
      </c>
    </row>
    <row r="37" spans="1:5" x14ac:dyDescent="0.25">
      <c r="A37" t="s">
        <v>5108</v>
      </c>
      <c r="B37" t="s">
        <v>5198</v>
      </c>
      <c r="C37" t="s">
        <v>5221</v>
      </c>
      <c r="D37">
        <v>1</v>
      </c>
      <c r="E37">
        <f>SUMIF(Tabla7[Author],"*"&amp;Tabla4[[#This Row],[Author]]&amp;"*",Tabla7[cited by (*Scopus)])</f>
        <v>10</v>
      </c>
    </row>
    <row r="38" spans="1:5" x14ac:dyDescent="0.25">
      <c r="A38" t="s">
        <v>5101</v>
      </c>
      <c r="B38" t="s">
        <v>5206</v>
      </c>
      <c r="C38" t="s">
        <v>5221</v>
      </c>
      <c r="D38">
        <v>1</v>
      </c>
      <c r="E38">
        <f>SUMIF(Tabla7[Author],"*"&amp;Tabla4[[#This Row],[Author]]&amp;"*",Tabla7[cited by (*Scopus)])</f>
        <v>19</v>
      </c>
    </row>
    <row r="39" spans="1:5" x14ac:dyDescent="0.25">
      <c r="A39" t="s">
        <v>5125</v>
      </c>
      <c r="B39" t="s">
        <v>5209</v>
      </c>
      <c r="C39" t="s">
        <v>5221</v>
      </c>
      <c r="D39">
        <v>1</v>
      </c>
      <c r="E39">
        <f>SUMIF(Tabla7[Author],"*"&amp;Tabla4[[#This Row],[Author]]&amp;"*",Tabla7[cited by (*Scopus)])</f>
        <v>8</v>
      </c>
    </row>
    <row r="40" spans="1:5" x14ac:dyDescent="0.25">
      <c r="A40" t="s">
        <v>5171</v>
      </c>
      <c r="B40" t="s">
        <v>5198</v>
      </c>
      <c r="C40" t="s">
        <v>5221</v>
      </c>
      <c r="D40">
        <v>1</v>
      </c>
      <c r="E40">
        <f>SUMIF(Tabla7[Author],"*"&amp;Tabla4[[#This Row],[Author]]&amp;"*",Tabla7[cited by (*Scopus)])</f>
        <v>8</v>
      </c>
    </row>
    <row r="41" spans="1:5" x14ac:dyDescent="0.25">
      <c r="A41" t="s">
        <v>5172</v>
      </c>
      <c r="B41" t="s">
        <v>5198</v>
      </c>
      <c r="C41" t="s">
        <v>5221</v>
      </c>
      <c r="D41">
        <v>1</v>
      </c>
      <c r="E41">
        <f>SUMIF(Tabla7[Author],"*"&amp;Tabla4[[#This Row],[Author]]&amp;"*",Tabla7[cited by (*Scopus)])</f>
        <v>8</v>
      </c>
    </row>
    <row r="42" spans="1:5" x14ac:dyDescent="0.25">
      <c r="A42" t="s">
        <v>5123</v>
      </c>
      <c r="B42" t="s">
        <v>5209</v>
      </c>
      <c r="C42" t="s">
        <v>5221</v>
      </c>
      <c r="D42">
        <v>1</v>
      </c>
      <c r="E42">
        <f>SUMIF(Tabla7[Author],"*"&amp;Tabla4[[#This Row],[Author]]&amp;"*",Tabla7[cited by (*Scopus)])</f>
        <v>8</v>
      </c>
    </row>
    <row r="43" spans="1:5" x14ac:dyDescent="0.25">
      <c r="A43" t="s">
        <v>5124</v>
      </c>
      <c r="B43" t="s">
        <v>5209</v>
      </c>
      <c r="C43" t="s">
        <v>5221</v>
      </c>
      <c r="D43">
        <v>1</v>
      </c>
      <c r="E43">
        <f>SUMIF(Tabla7[Author],"*"&amp;Tabla4[[#This Row],[Author]]&amp;"*",Tabla7[cited by (*Scopus)])</f>
        <v>8</v>
      </c>
    </row>
    <row r="44" spans="1:5" x14ac:dyDescent="0.25">
      <c r="A44" t="s">
        <v>5097</v>
      </c>
      <c r="B44" t="s">
        <v>5206</v>
      </c>
      <c r="C44" t="s">
        <v>5221</v>
      </c>
      <c r="D44">
        <v>1</v>
      </c>
      <c r="E44">
        <f>SUMIF(Tabla7[Author],"*"&amp;Tabla4[[#This Row],[Author]]&amp;"*",Tabla7[cited by (*Scopus)])</f>
        <v>5</v>
      </c>
    </row>
    <row r="45" spans="1:5" x14ac:dyDescent="0.25">
      <c r="A45" t="s">
        <v>5117</v>
      </c>
      <c r="B45" t="s">
        <v>5205</v>
      </c>
      <c r="C45" t="s">
        <v>5221</v>
      </c>
      <c r="D45">
        <v>1</v>
      </c>
      <c r="E45">
        <f>SUMIF(Tabla7[Author],"*"&amp;Tabla4[[#This Row],[Author]]&amp;"*",Tabla7[cited by (*Scopus)])</f>
        <v>6</v>
      </c>
    </row>
    <row r="46" spans="1:5" x14ac:dyDescent="0.25">
      <c r="A46" t="s">
        <v>5094</v>
      </c>
      <c r="B46" t="s">
        <v>5206</v>
      </c>
      <c r="C46" t="s">
        <v>5221</v>
      </c>
      <c r="D46">
        <v>1</v>
      </c>
      <c r="E46">
        <f>SUMIF(Tabla7[Author],"*"&amp;Tabla4[[#This Row],[Author]]&amp;"*",Tabla7[cited by (*Scopus)])</f>
        <v>5</v>
      </c>
    </row>
    <row r="47" spans="1:5" x14ac:dyDescent="0.25">
      <c r="A47" t="s">
        <v>5095</v>
      </c>
      <c r="B47" t="s">
        <v>5206</v>
      </c>
      <c r="C47" t="s">
        <v>5221</v>
      </c>
      <c r="D47">
        <v>1</v>
      </c>
      <c r="E47">
        <f>SUMIF(Tabla7[Author],"*"&amp;Tabla4[[#This Row],[Author]]&amp;"*",Tabla7[cited by (*Scopus)])</f>
        <v>5</v>
      </c>
    </row>
    <row r="48" spans="1:5" x14ac:dyDescent="0.25">
      <c r="A48" t="s">
        <v>5116</v>
      </c>
      <c r="B48" t="s">
        <v>5204</v>
      </c>
      <c r="C48" t="s">
        <v>5221</v>
      </c>
      <c r="D48">
        <v>1</v>
      </c>
      <c r="E48">
        <f>SUMIF(Tabla7[Author],"*"&amp;Tabla4[[#This Row],[Author]]&amp;"*",Tabla7[cited by (*Scopus)])</f>
        <v>6</v>
      </c>
    </row>
    <row r="49" spans="1:5" x14ac:dyDescent="0.25">
      <c r="A49" t="s">
        <v>5096</v>
      </c>
      <c r="B49" t="s">
        <v>5206</v>
      </c>
      <c r="C49" t="s">
        <v>5221</v>
      </c>
      <c r="D49">
        <v>1</v>
      </c>
      <c r="E49">
        <f>SUMIF(Tabla7[Author],"*"&amp;Tabla4[[#This Row],[Author]]&amp;"*",Tabla7[cited by (*Scopus)])</f>
        <v>5</v>
      </c>
    </row>
    <row r="50" spans="1:5" x14ac:dyDescent="0.25">
      <c r="A50" t="s">
        <v>5190</v>
      </c>
      <c r="B50" t="s">
        <v>5199</v>
      </c>
      <c r="C50" t="s">
        <v>5221</v>
      </c>
      <c r="D50">
        <v>1</v>
      </c>
      <c r="E50">
        <f>SUMIF(Tabla7[Author],"*"&amp;Tabla4[[#This Row],[Author]]&amp;"*",Tabla7[cited by (*Scopus)])</f>
        <v>4</v>
      </c>
    </row>
    <row r="51" spans="1:5" x14ac:dyDescent="0.25">
      <c r="A51" t="s">
        <v>5189</v>
      </c>
      <c r="B51" t="s">
        <v>5199</v>
      </c>
      <c r="C51" t="s">
        <v>5221</v>
      </c>
      <c r="D51">
        <v>1</v>
      </c>
      <c r="E51">
        <f>SUMIF(Tabla7[Author],"*"&amp;Tabla4[[#This Row],[Author]]&amp;"*",Tabla7[cited by (*Scopus)])</f>
        <v>4</v>
      </c>
    </row>
    <row r="52" spans="1:5" x14ac:dyDescent="0.25">
      <c r="A52" t="s">
        <v>5191</v>
      </c>
      <c r="B52" t="s">
        <v>5199</v>
      </c>
      <c r="C52" t="s">
        <v>5221</v>
      </c>
      <c r="D52">
        <v>1</v>
      </c>
      <c r="E52">
        <f>SUMIF(Tabla7[Author],"*"&amp;Tabla4[[#This Row],[Author]]&amp;"*",Tabla7[cited by (*Scopus)])</f>
        <v>4</v>
      </c>
    </row>
    <row r="53" spans="1:5" x14ac:dyDescent="0.25">
      <c r="A53" t="s">
        <v>5157</v>
      </c>
      <c r="B53" t="s">
        <v>5197</v>
      </c>
      <c r="C53" t="s">
        <v>5221</v>
      </c>
      <c r="D53">
        <v>1</v>
      </c>
      <c r="E53">
        <f>SUMIF(Tabla7[Author],"*"&amp;Tabla4[[#This Row],[Author]]&amp;"*",Tabla7[cited by (*Scopus)])</f>
        <v>3</v>
      </c>
    </row>
    <row r="54" spans="1:5" x14ac:dyDescent="0.25">
      <c r="A54" t="s">
        <v>5184</v>
      </c>
      <c r="B54" t="s">
        <v>5198</v>
      </c>
      <c r="C54" t="s">
        <v>5222</v>
      </c>
      <c r="D54">
        <v>1</v>
      </c>
      <c r="E54">
        <f>SUMIF(Tabla7[Author],"*"&amp;Tabla4[[#This Row],[Author]]&amp;"*",Tabla7[cited by (*Scopus)])</f>
        <v>12</v>
      </c>
    </row>
    <row r="55" spans="1:5" x14ac:dyDescent="0.25">
      <c r="A55" t="s">
        <v>5155</v>
      </c>
      <c r="B55" t="s">
        <v>5197</v>
      </c>
      <c r="C55" t="s">
        <v>5221</v>
      </c>
      <c r="D55">
        <v>1</v>
      </c>
      <c r="E55">
        <f>SUMIF(Tabla7[Author],"*"&amp;Tabla4[[#This Row],[Author]]&amp;"*",Tabla7[cited by (*Scopus)])</f>
        <v>3</v>
      </c>
    </row>
    <row r="56" spans="1:5" x14ac:dyDescent="0.25">
      <c r="A56" t="s">
        <v>5104</v>
      </c>
      <c r="B56" t="s">
        <v>5213</v>
      </c>
      <c r="C56" t="s">
        <v>5221</v>
      </c>
      <c r="D56">
        <v>1</v>
      </c>
      <c r="E56">
        <f>SUMIF(Tabla7[Author],"*"&amp;Tabla4[[#This Row],[Author]]&amp;"*",Tabla7[cited by (*Scopus)])</f>
        <v>6</v>
      </c>
    </row>
    <row r="57" spans="1:5" x14ac:dyDescent="0.25">
      <c r="A57" t="s">
        <v>5105</v>
      </c>
      <c r="B57" t="s">
        <v>5213</v>
      </c>
      <c r="C57" t="s">
        <v>5221</v>
      </c>
      <c r="D57">
        <v>1</v>
      </c>
      <c r="E57">
        <f>SUMIF(Tabla7[Author],"*"&amp;Tabla4[[#This Row],[Author]]&amp;"*",Tabla7[cited by (*Scopus)])</f>
        <v>6</v>
      </c>
    </row>
    <row r="58" spans="1:5" x14ac:dyDescent="0.25">
      <c r="A58" t="s">
        <v>5176</v>
      </c>
      <c r="B58" t="s">
        <v>5199</v>
      </c>
      <c r="C58" t="s">
        <v>5222</v>
      </c>
      <c r="D58">
        <v>1</v>
      </c>
      <c r="E58">
        <f>SUMIF(Tabla7[Author],"*"&amp;Tabla4[[#This Row],[Author]]&amp;"*",Tabla7[cited by (*Scopus)])</f>
        <v>3</v>
      </c>
    </row>
    <row r="59" spans="1:5" x14ac:dyDescent="0.25">
      <c r="A59" t="s">
        <v>5102</v>
      </c>
      <c r="B59" t="s">
        <v>5213</v>
      </c>
      <c r="C59" t="s">
        <v>5221</v>
      </c>
      <c r="D59">
        <v>1</v>
      </c>
      <c r="E59">
        <f>SUMIF(Tabla7[Author],"*"&amp;Tabla4[[#This Row],[Author]]&amp;"*",Tabla7[cited by (*Scopus)])</f>
        <v>6</v>
      </c>
    </row>
    <row r="60" spans="1:5" x14ac:dyDescent="0.25">
      <c r="A60" t="s">
        <v>5175</v>
      </c>
      <c r="B60" t="s">
        <v>5199</v>
      </c>
      <c r="C60" t="s">
        <v>5222</v>
      </c>
      <c r="D60">
        <v>1</v>
      </c>
      <c r="E60">
        <f>SUMIF(Tabla7[Author],"*"&amp;Tabla4[[#This Row],[Author]]&amp;"*",Tabla7[cited by (*Scopus)])</f>
        <v>3</v>
      </c>
    </row>
    <row r="61" spans="1:5" x14ac:dyDescent="0.25">
      <c r="A61" t="s">
        <v>5177</v>
      </c>
      <c r="B61" t="s">
        <v>5199</v>
      </c>
      <c r="C61" t="s">
        <v>5222</v>
      </c>
      <c r="D61">
        <v>1</v>
      </c>
      <c r="E61">
        <f>SUMIF(Tabla7[Author],"*"&amp;Tabla4[[#This Row],[Author]]&amp;"*",Tabla7[cited by (*Scopus)])</f>
        <v>3</v>
      </c>
    </row>
    <row r="62" spans="1:5" x14ac:dyDescent="0.25">
      <c r="A62" t="s">
        <v>5174</v>
      </c>
      <c r="B62" t="s">
        <v>5199</v>
      </c>
      <c r="C62" t="s">
        <v>5222</v>
      </c>
      <c r="D62">
        <v>1</v>
      </c>
      <c r="E62">
        <f>SUMIF(Tabla7[Author],"*"&amp;Tabla4[[#This Row],[Author]]&amp;"*",Tabla7[cited by (*Scopus)])</f>
        <v>3</v>
      </c>
    </row>
    <row r="63" spans="1:5" x14ac:dyDescent="0.25">
      <c r="A63" t="s">
        <v>5156</v>
      </c>
      <c r="B63" t="s">
        <v>5197</v>
      </c>
      <c r="C63" t="s">
        <v>5221</v>
      </c>
      <c r="D63">
        <v>1</v>
      </c>
      <c r="E63">
        <f>SUMIF(Tabla7[Author],"*"&amp;Tabla4[[#This Row],[Author]]&amp;"*",Tabla7[cited by (*Scopus)])</f>
        <v>3</v>
      </c>
    </row>
    <row r="64" spans="1:5" x14ac:dyDescent="0.25">
      <c r="A64" t="s">
        <v>5154</v>
      </c>
      <c r="B64" t="s">
        <v>5224</v>
      </c>
      <c r="C64" t="s">
        <v>5221</v>
      </c>
      <c r="D64">
        <v>1</v>
      </c>
      <c r="E64">
        <f>SUMIF(Tabla7[Author],"*"&amp;Tabla4[[#This Row],[Author]]&amp;"*",Tabla7[cited by (*Scopus)])</f>
        <v>3</v>
      </c>
    </row>
    <row r="65" spans="1:5" x14ac:dyDescent="0.25">
      <c r="A65" t="s">
        <v>5152</v>
      </c>
      <c r="B65" t="s">
        <v>5214</v>
      </c>
      <c r="C65" t="s">
        <v>5221</v>
      </c>
      <c r="D65">
        <v>1</v>
      </c>
      <c r="E65">
        <f>SUMIF(Tabla7[Author],"*"&amp;Tabla4[[#This Row],[Author]]&amp;"*",Tabla7[cited by (*Scopus)])</f>
        <v>3</v>
      </c>
    </row>
    <row r="66" spans="1:5" x14ac:dyDescent="0.25">
      <c r="A66" t="s">
        <v>5153</v>
      </c>
      <c r="B66" t="s">
        <v>5214</v>
      </c>
      <c r="C66" t="s">
        <v>5221</v>
      </c>
      <c r="D66">
        <v>1</v>
      </c>
      <c r="E66">
        <f>SUMIF(Tabla7[Author],"*"&amp;Tabla4[[#This Row],[Author]]&amp;"*",Tabla7[cited by (*Scopus)])</f>
        <v>3</v>
      </c>
    </row>
    <row r="67" spans="1:5" x14ac:dyDescent="0.25">
      <c r="A67" t="s">
        <v>5146</v>
      </c>
      <c r="B67" t="s">
        <v>5212</v>
      </c>
      <c r="C67" t="s">
        <v>5221</v>
      </c>
      <c r="D67">
        <v>1</v>
      </c>
      <c r="E67">
        <f>SUMIF(Tabla7[Author],"*"&amp;Tabla4[[#This Row],[Author]]&amp;"*",Tabla7[cited by (*Scopus)])</f>
        <v>1</v>
      </c>
    </row>
    <row r="68" spans="1:5" x14ac:dyDescent="0.25">
      <c r="A68" t="s">
        <v>5167</v>
      </c>
      <c r="B68" t="s">
        <v>5201</v>
      </c>
      <c r="C68" t="s">
        <v>5221</v>
      </c>
      <c r="D68">
        <v>1</v>
      </c>
      <c r="E68">
        <f>SUMIF(Tabla7[Author],"*"&amp;Tabla4[[#This Row],[Author]]&amp;"*",Tabla7[cited by (*Scopus)])</f>
        <v>1</v>
      </c>
    </row>
    <row r="69" spans="1:5" x14ac:dyDescent="0.25">
      <c r="A69" t="s">
        <v>5119</v>
      </c>
      <c r="B69" t="s">
        <v>5208</v>
      </c>
      <c r="C69" t="s">
        <v>5221</v>
      </c>
      <c r="D69">
        <v>1</v>
      </c>
      <c r="E69">
        <f>SUMIF(Tabla7[Author],"*"&amp;Tabla4[[#This Row],[Author]]&amp;"*",Tabla7[cited by (*Scopus)])</f>
        <v>2</v>
      </c>
    </row>
    <row r="70" spans="1:5" x14ac:dyDescent="0.25">
      <c r="A70" t="s">
        <v>5144</v>
      </c>
      <c r="B70" t="s">
        <v>5212</v>
      </c>
      <c r="C70" t="s">
        <v>5221</v>
      </c>
      <c r="D70">
        <v>1</v>
      </c>
      <c r="E70">
        <f>SUMIF(Tabla7[Author],"*"&amp;Tabla4[[#This Row],[Author]]&amp;"*",Tabla7[cited by (*Scopus)])</f>
        <v>1</v>
      </c>
    </row>
    <row r="71" spans="1:5" x14ac:dyDescent="0.25">
      <c r="A71" t="s">
        <v>5136</v>
      </c>
      <c r="B71" t="s">
        <v>5210</v>
      </c>
      <c r="C71" t="s">
        <v>5221</v>
      </c>
      <c r="D71">
        <v>1</v>
      </c>
      <c r="E71">
        <f>SUMIF(Tabla7[Author],"*"&amp;Tabla4[[#This Row],[Author]]&amp;"*",Tabla7[cited by (*Scopus)])</f>
        <v>1</v>
      </c>
    </row>
    <row r="72" spans="1:5" x14ac:dyDescent="0.25">
      <c r="A72" t="s">
        <v>5145</v>
      </c>
      <c r="B72" t="s">
        <v>5212</v>
      </c>
      <c r="C72" t="s">
        <v>5221</v>
      </c>
      <c r="D72">
        <v>1</v>
      </c>
      <c r="E72">
        <f>SUMIF(Tabla7[Author],"*"&amp;Tabla4[[#This Row],[Author]]&amp;"*",Tabla7[cited by (*Scopus)])</f>
        <v>1</v>
      </c>
    </row>
    <row r="73" spans="1:5" x14ac:dyDescent="0.25">
      <c r="A73" t="s">
        <v>5169</v>
      </c>
      <c r="B73" t="s">
        <v>5201</v>
      </c>
      <c r="C73" t="s">
        <v>5221</v>
      </c>
      <c r="D73">
        <v>1</v>
      </c>
      <c r="E73">
        <f>SUMIF(Tabla7[Author],"*"&amp;Tabla4[[#This Row],[Author]]&amp;"*",Tabla7[cited by (*Scopus)])</f>
        <v>1</v>
      </c>
    </row>
    <row r="74" spans="1:5" x14ac:dyDescent="0.25">
      <c r="A74" t="s">
        <v>5120</v>
      </c>
      <c r="B74" t="s">
        <v>5198</v>
      </c>
      <c r="C74" t="s">
        <v>5222</v>
      </c>
      <c r="D74">
        <v>1</v>
      </c>
      <c r="E74">
        <f>SUMIF(Tabla7[Author],"*"&amp;Tabla4[[#This Row],[Author]]&amp;"*",Tabla7[cited by (*Scopus)])</f>
        <v>2</v>
      </c>
    </row>
    <row r="75" spans="1:5" x14ac:dyDescent="0.25">
      <c r="A75" t="s">
        <v>5122</v>
      </c>
      <c r="B75" t="s">
        <v>5208</v>
      </c>
      <c r="C75" t="s">
        <v>5221</v>
      </c>
      <c r="D75">
        <v>1</v>
      </c>
      <c r="E75">
        <f>SUMIF(Tabla7[Author],"*"&amp;Tabla4[[#This Row],[Author]]&amp;"*",Tabla7[cited by (*Scopus)])</f>
        <v>2</v>
      </c>
    </row>
    <row r="76" spans="1:5" x14ac:dyDescent="0.25">
      <c r="A76" t="s">
        <v>5147</v>
      </c>
      <c r="B76" t="s">
        <v>5212</v>
      </c>
      <c r="C76" t="s">
        <v>5221</v>
      </c>
      <c r="D76">
        <v>1</v>
      </c>
      <c r="E76">
        <f>SUMIF(Tabla7[Author],"*"&amp;Tabla4[[#This Row],[Author]]&amp;"*",Tabla7[cited by (*Scopus)])</f>
        <v>1</v>
      </c>
    </row>
    <row r="77" spans="1:5" x14ac:dyDescent="0.25">
      <c r="A77" t="s">
        <v>5121</v>
      </c>
      <c r="B77" t="s">
        <v>5198</v>
      </c>
      <c r="C77" t="s">
        <v>5221</v>
      </c>
      <c r="D77">
        <v>1</v>
      </c>
      <c r="E77">
        <f>SUMIF(Tabla7[Author],"*"&amp;Tabla4[[#This Row],[Author]]&amp;"*",Tabla7[cited by (*Scopus)])</f>
        <v>2</v>
      </c>
    </row>
    <row r="78" spans="1:5" x14ac:dyDescent="0.25">
      <c r="A78" t="s">
        <v>5137</v>
      </c>
      <c r="B78" t="s">
        <v>5210</v>
      </c>
      <c r="C78" t="s">
        <v>5221</v>
      </c>
      <c r="D78">
        <v>1</v>
      </c>
      <c r="E78">
        <f>SUMIF(Tabla7[Author],"*"&amp;Tabla4[[#This Row],[Author]]&amp;"*",Tabla7[cited by (*Scopus)])</f>
        <v>1</v>
      </c>
    </row>
    <row r="79" spans="1:5" x14ac:dyDescent="0.25">
      <c r="A79" t="s">
        <v>5138</v>
      </c>
      <c r="B79" t="s">
        <v>5208</v>
      </c>
      <c r="C79" t="s">
        <v>5221</v>
      </c>
      <c r="D79">
        <v>1</v>
      </c>
      <c r="E79">
        <f>SUMIF(Tabla7[Author],"*"&amp;Tabla4[[#This Row],[Author]]&amp;"*",Tabla7[cited by (*Scopus)])</f>
        <v>1</v>
      </c>
    </row>
    <row r="80" spans="1:5" x14ac:dyDescent="0.25">
      <c r="A80" t="s">
        <v>5168</v>
      </c>
      <c r="B80" t="s">
        <v>5201</v>
      </c>
      <c r="C80" t="s">
        <v>5221</v>
      </c>
      <c r="D80">
        <v>1</v>
      </c>
      <c r="E80">
        <f>SUMIF(Tabla7[Author],"*"&amp;Tabla4[[#This Row],[Author]]&amp;"*",Tabla7[cited by (*Scopus)])</f>
        <v>1</v>
      </c>
    </row>
    <row r="81" spans="1:9" x14ac:dyDescent="0.25">
      <c r="A81" t="s">
        <v>5118</v>
      </c>
      <c r="B81" t="s">
        <v>5207</v>
      </c>
      <c r="C81" t="s">
        <v>5222</v>
      </c>
      <c r="D81">
        <v>1</v>
      </c>
      <c r="E81">
        <f>SUMIF(Tabla7[Author],"*"&amp;Tabla4[[#This Row],[Author]]&amp;"*",Tabla7[cited by (*Scopus)])</f>
        <v>0</v>
      </c>
    </row>
    <row r="82" spans="1:9" x14ac:dyDescent="0.25">
      <c r="A82" t="s">
        <v>5160</v>
      </c>
      <c r="B82" t="s">
        <v>5199</v>
      </c>
      <c r="C82" t="s">
        <v>5221</v>
      </c>
      <c r="D82">
        <v>1</v>
      </c>
      <c r="E82">
        <f>SUMIF(Tabla7[Author],"*"&amp;Tabla4[[#This Row],[Author]]&amp;"*",Tabla7[cited by (*Scopus)])</f>
        <v>0</v>
      </c>
    </row>
    <row r="83" spans="1:9" x14ac:dyDescent="0.25">
      <c r="A83" t="s">
        <v>5159</v>
      </c>
      <c r="B83" t="s">
        <v>5215</v>
      </c>
      <c r="C83" t="s">
        <v>5221</v>
      </c>
      <c r="D83">
        <v>1</v>
      </c>
      <c r="E83">
        <f>SUMIF(Tabla7[Author],"*"&amp;Tabla4[[#This Row],[Author]]&amp;"*",Tabla7[cited by (*Scopus)])</f>
        <v>0</v>
      </c>
    </row>
    <row r="84" spans="1:9" x14ac:dyDescent="0.25">
      <c r="A84" t="s">
        <v>5112</v>
      </c>
      <c r="B84" t="s">
        <v>5200</v>
      </c>
      <c r="C84" t="s">
        <v>5221</v>
      </c>
      <c r="D84">
        <v>1</v>
      </c>
      <c r="E84">
        <f>SUMIF(Tabla7[Author],"*"&amp;Tabla4[[#This Row],[Author]]&amp;"*",Tabla7[cited by (*Scopus)])</f>
        <v>0</v>
      </c>
    </row>
    <row r="85" spans="1:9" x14ac:dyDescent="0.25">
      <c r="A85" t="s">
        <v>5109</v>
      </c>
      <c r="B85" t="s">
        <v>5200</v>
      </c>
      <c r="C85" t="s">
        <v>5221</v>
      </c>
      <c r="D85">
        <v>1</v>
      </c>
      <c r="E85">
        <f>SUMIF(Tabla7[Author],"*"&amp;Tabla4[[#This Row],[Author]]&amp;"*",Tabla7[cited by (*Scopus)])</f>
        <v>0</v>
      </c>
    </row>
    <row r="86" spans="1:9" x14ac:dyDescent="0.25">
      <c r="A86" t="s">
        <v>5192</v>
      </c>
      <c r="B86" t="s">
        <v>5198</v>
      </c>
      <c r="C86" t="s">
        <v>5222</v>
      </c>
      <c r="D86">
        <v>1</v>
      </c>
      <c r="E86">
        <f>SUMIF(Tabla7[Author],"*"&amp;Tabla4[[#This Row],[Author]]&amp;"*",Tabla7[cited by (*Scopus)])</f>
        <v>0</v>
      </c>
      <c r="H86" t="s">
        <v>5198</v>
      </c>
      <c r="I86">
        <v>9</v>
      </c>
    </row>
    <row r="87" spans="1:9" x14ac:dyDescent="0.25">
      <c r="A87" t="s">
        <v>5142</v>
      </c>
      <c r="B87" t="s">
        <v>5202</v>
      </c>
      <c r="C87" t="s">
        <v>5221</v>
      </c>
      <c r="D87">
        <v>1</v>
      </c>
      <c r="E87">
        <f>SUMIF(Tabla7[Author],"*"&amp;Tabla4[[#This Row],[Author]]&amp;"*",Tabla7[cited by (*Scopus)])</f>
        <v>0</v>
      </c>
    </row>
    <row r="88" spans="1:9" x14ac:dyDescent="0.25">
      <c r="A88" t="s">
        <v>5113</v>
      </c>
      <c r="B88" t="s">
        <v>5200</v>
      </c>
      <c r="C88" t="s">
        <v>5221</v>
      </c>
      <c r="D88">
        <v>1</v>
      </c>
      <c r="E88">
        <f>SUMIF(Tabla7[Author],"*"&amp;Tabla4[[#This Row],[Author]]&amp;"*",Tabla7[cited by (*Scopus)])</f>
        <v>0</v>
      </c>
      <c r="H88" t="s">
        <v>5199</v>
      </c>
      <c r="I88">
        <v>4</v>
      </c>
    </row>
    <row r="89" spans="1:9" x14ac:dyDescent="0.25">
      <c r="A89" t="s">
        <v>5143</v>
      </c>
      <c r="B89" t="s">
        <v>5202</v>
      </c>
      <c r="C89" t="s">
        <v>5221</v>
      </c>
      <c r="D89">
        <v>1</v>
      </c>
      <c r="E89">
        <f>SUMIF(Tabla7[Author],"*"&amp;Tabla4[[#This Row],[Author]]&amp;"*",Tabla7[cited by (*Scopus)])</f>
        <v>0</v>
      </c>
    </row>
    <row r="90" spans="1:9" x14ac:dyDescent="0.25">
      <c r="A90" t="s">
        <v>5173</v>
      </c>
      <c r="B90" t="s">
        <v>5211</v>
      </c>
      <c r="C90" t="s">
        <v>5221</v>
      </c>
      <c r="D90">
        <v>1</v>
      </c>
      <c r="E90">
        <f>SUMIF(Tabla7[Author],"*"&amp;Tabla4[[#This Row],[Author]]&amp;"*",Tabla7[cited by (*Scopus)])</f>
        <v>1</v>
      </c>
    </row>
    <row r="91" spans="1:9" x14ac:dyDescent="0.25">
      <c r="A91" t="s">
        <v>5180</v>
      </c>
      <c r="B91" t="s">
        <v>5204</v>
      </c>
      <c r="C91" t="s">
        <v>5221</v>
      </c>
      <c r="D91">
        <v>1</v>
      </c>
      <c r="E91">
        <f>SUMIF(Tabla7[Author],"*"&amp;Tabla4[[#This Row],[Author]]&amp;"*",Tabla7[cited by (*Scopus)])</f>
        <v>0</v>
      </c>
    </row>
    <row r="92" spans="1:9" x14ac:dyDescent="0.25">
      <c r="A92" t="s">
        <v>5111</v>
      </c>
      <c r="B92" t="s">
        <v>5200</v>
      </c>
      <c r="C92" t="s">
        <v>5221</v>
      </c>
      <c r="D92">
        <v>1</v>
      </c>
      <c r="E92">
        <f>SUMIF(Tabla7[Author],"*"&amp;Tabla4[[#This Row],[Author]]&amp;"*",Tabla7[cited by (*Scopus)])</f>
        <v>0</v>
      </c>
    </row>
    <row r="93" spans="1:9" x14ac:dyDescent="0.25">
      <c r="A93" t="s">
        <v>5188</v>
      </c>
      <c r="B93" t="s">
        <v>5198</v>
      </c>
      <c r="C93" t="s">
        <v>5222</v>
      </c>
      <c r="D93">
        <v>1</v>
      </c>
      <c r="E93">
        <f>SUMIF(Tabla7[Author],"*"&amp;Tabla4[[#This Row],[Author]]&amp;"*",Tabla7[cited by (*Scopus)])</f>
        <v>1</v>
      </c>
    </row>
    <row r="94" spans="1:9" x14ac:dyDescent="0.25">
      <c r="A94" t="s">
        <v>5140</v>
      </c>
      <c r="B94" t="s">
        <v>5211</v>
      </c>
      <c r="C94" t="s">
        <v>5221</v>
      </c>
      <c r="D94">
        <v>1</v>
      </c>
      <c r="E94">
        <f>SUMIF(Tabla7[Author],"*"&amp;Tabla4[[#This Row],[Author]]&amp;"*",Tabla7[cited by (*Scopus)])</f>
        <v>0</v>
      </c>
    </row>
    <row r="95" spans="1:9" x14ac:dyDescent="0.25">
      <c r="A95" t="s">
        <v>5084</v>
      </c>
      <c r="B95" t="s">
        <v>5199</v>
      </c>
      <c r="C95" t="s">
        <v>5221</v>
      </c>
      <c r="D95">
        <v>1</v>
      </c>
      <c r="E95">
        <f>SUMIF(Tabla7[Author],"*"&amp;Tabla4[[#This Row],[Author]]&amp;"*",Tabla7[cited by (*Scopus)])</f>
        <v>0</v>
      </c>
    </row>
    <row r="96" spans="1:9" x14ac:dyDescent="0.25">
      <c r="A96" t="s">
        <v>5182</v>
      </c>
      <c r="B96" t="s">
        <v>5204</v>
      </c>
      <c r="C96" t="s">
        <v>5221</v>
      </c>
      <c r="D96">
        <v>1</v>
      </c>
      <c r="E96">
        <f>SUMIF(Tabla7[Author],"*"&amp;Tabla4[[#This Row],[Author]]&amp;"*",Tabla7[cited by (*Scopus)])</f>
        <v>0</v>
      </c>
    </row>
    <row r="97" spans="1:9" x14ac:dyDescent="0.25">
      <c r="A97" t="s">
        <v>5186</v>
      </c>
      <c r="B97" t="s">
        <v>5214</v>
      </c>
      <c r="C97" t="s">
        <v>5221</v>
      </c>
      <c r="D97">
        <v>1</v>
      </c>
      <c r="E97">
        <f>SUMIF(Tabla7[Author],"*"&amp;Tabla4[[#This Row],[Author]]&amp;"*",Tabla7[cited by (*Scopus)])</f>
        <v>0</v>
      </c>
    </row>
    <row r="98" spans="1:9" x14ac:dyDescent="0.25">
      <c r="A98" t="s">
        <v>5194</v>
      </c>
      <c r="B98" t="s">
        <v>5198</v>
      </c>
      <c r="C98" t="s">
        <v>5222</v>
      </c>
      <c r="D98">
        <v>1</v>
      </c>
      <c r="E98">
        <f>SUMIF(Tabla7[Author],"*"&amp;Tabla4[[#This Row],[Author]]&amp;"*",Tabla7[cited by (*Scopus)])</f>
        <v>0</v>
      </c>
    </row>
    <row r="99" spans="1:9" x14ac:dyDescent="0.25">
      <c r="A99" t="s">
        <v>5166</v>
      </c>
      <c r="B99" t="s">
        <v>5214</v>
      </c>
      <c r="C99" t="s">
        <v>5222</v>
      </c>
      <c r="D99">
        <v>1</v>
      </c>
      <c r="E99">
        <f>SUMIF(Tabla7[Author],"*"&amp;Tabla4[[#This Row],[Author]]&amp;"*",Tabla7[cited by (*Scopus)])</f>
        <v>4</v>
      </c>
    </row>
    <row r="100" spans="1:9" x14ac:dyDescent="0.25">
      <c r="A100" t="s">
        <v>5225</v>
      </c>
      <c r="B100" t="s">
        <v>5216</v>
      </c>
      <c r="C100" t="s">
        <v>5221</v>
      </c>
      <c r="D100">
        <v>1</v>
      </c>
      <c r="E100">
        <f>SUMIF(Tabla7[Author],"*"&amp;Tabla4[[#This Row],[Author]]&amp;"*",Tabla7[cited by (*Scopus)])</f>
        <v>0</v>
      </c>
      <c r="H100" t="s">
        <v>5214</v>
      </c>
      <c r="I100">
        <v>2</v>
      </c>
    </row>
    <row r="101" spans="1:9" x14ac:dyDescent="0.25">
      <c r="A101" t="s">
        <v>5162</v>
      </c>
      <c r="B101" t="s">
        <v>5216</v>
      </c>
      <c r="C101" t="s">
        <v>5221</v>
      </c>
      <c r="D101">
        <v>1</v>
      </c>
      <c r="E101">
        <f>SUMIF(Tabla7[Author],"*"&amp;Tabla4[[#This Row],[Author]]&amp;"*",Tabla7[cited by (*Scopus)])</f>
        <v>0</v>
      </c>
    </row>
    <row r="102" spans="1:9" x14ac:dyDescent="0.25">
      <c r="A102" t="s">
        <v>5110</v>
      </c>
      <c r="B102" t="s">
        <v>5200</v>
      </c>
      <c r="C102" t="s">
        <v>5221</v>
      </c>
      <c r="D102">
        <v>1</v>
      </c>
      <c r="E102">
        <f>SUMIF(Tabla7[Author],"*"&amp;Tabla4[[#This Row],[Author]]&amp;"*",Tabla7[cited by (*Scopus)])</f>
        <v>0</v>
      </c>
    </row>
    <row r="103" spans="1:9" x14ac:dyDescent="0.25">
      <c r="A103" t="s">
        <v>5164</v>
      </c>
      <c r="B103" t="s">
        <v>5214</v>
      </c>
      <c r="C103" t="s">
        <v>5221</v>
      </c>
      <c r="D103">
        <v>1</v>
      </c>
      <c r="E103">
        <f>SUMIF(Tabla7[Author],"*"&amp;Tabla4[[#This Row],[Author]]&amp;"*",Tabla7[cited by (*Scopus)])</f>
        <v>4</v>
      </c>
    </row>
    <row r="104" spans="1:9" x14ac:dyDescent="0.25">
      <c r="A104" t="s">
        <v>5165</v>
      </c>
      <c r="B104" t="s">
        <v>5214</v>
      </c>
      <c r="C104" t="s">
        <v>5221</v>
      </c>
      <c r="D104">
        <v>1</v>
      </c>
      <c r="E104">
        <f>SUMIF(Tabla7[Author],"*"&amp;Tabla4[[#This Row],[Author]]&amp;"*",Tabla7[cited by (*Scopus)])</f>
        <v>4</v>
      </c>
    </row>
    <row r="105" spans="1:9" x14ac:dyDescent="0.25">
      <c r="A105" t="s">
        <v>5178</v>
      </c>
      <c r="B105" t="s">
        <v>5198</v>
      </c>
      <c r="C105" t="s">
        <v>5221</v>
      </c>
      <c r="D105">
        <v>1</v>
      </c>
      <c r="E105">
        <f>SUMIF(Tabla7[Author],"*"&amp;Tabla4[[#This Row],[Author]]&amp;"*",Tabla7[cited by (*Scopus)])</f>
        <v>0</v>
      </c>
      <c r="H105" t="s">
        <v>5207</v>
      </c>
      <c r="I105">
        <v>1</v>
      </c>
    </row>
    <row r="106" spans="1:9" x14ac:dyDescent="0.25">
      <c r="A106" t="s">
        <v>5158</v>
      </c>
      <c r="B106" t="s">
        <v>5215</v>
      </c>
      <c r="C106" t="s">
        <v>5221</v>
      </c>
      <c r="D106">
        <v>1</v>
      </c>
      <c r="E106">
        <f>SUMIF(Tabla7[Author],"*"&amp;Tabla4[[#This Row],[Author]]&amp;"*",Tabla7[cited by (*Scopus)])</f>
        <v>0</v>
      </c>
    </row>
    <row r="107" spans="1:9" x14ac:dyDescent="0.25">
      <c r="A107" t="s">
        <v>5163</v>
      </c>
      <c r="B107" t="s">
        <v>5214</v>
      </c>
      <c r="C107" t="s">
        <v>5222</v>
      </c>
      <c r="D107">
        <v>1</v>
      </c>
      <c r="E107">
        <f>SUMIF(Tabla7[Author],"*"&amp;Tabla4[[#This Row],[Author]]&amp;"*",Tabla7[cited by (*Scopus)])</f>
        <v>4</v>
      </c>
    </row>
    <row r="108" spans="1:9" x14ac:dyDescent="0.25">
      <c r="A108" t="s">
        <v>2422</v>
      </c>
      <c r="B108" t="s">
        <v>5207</v>
      </c>
      <c r="C108" t="s">
        <v>5221</v>
      </c>
      <c r="D108">
        <v>1</v>
      </c>
      <c r="E108">
        <f>SUMIF(Tabla7[Author],"*"&amp;Tabla4[[#This Row],[Author]]&amp;"*",Tabla7[cited by (*Scopus)])</f>
        <v>0</v>
      </c>
    </row>
    <row r="109" spans="1:9" x14ac:dyDescent="0.25">
      <c r="A109" t="s">
        <v>5083</v>
      </c>
      <c r="B109" t="s">
        <v>5199</v>
      </c>
      <c r="C109" t="s">
        <v>5221</v>
      </c>
      <c r="D109">
        <v>1</v>
      </c>
      <c r="E109">
        <f>SUMIF(Tabla7[Author],"*"&amp;Tabla4[[#This Row],[Author]]&amp;"*",Tabla7[cited by (*Scopus)])</f>
        <v>0</v>
      </c>
    </row>
    <row r="110" spans="1:9" x14ac:dyDescent="0.25">
      <c r="A110" t="s">
        <v>5179</v>
      </c>
      <c r="B110" t="s">
        <v>5198</v>
      </c>
      <c r="C110" t="s">
        <v>5221</v>
      </c>
      <c r="D110">
        <v>1</v>
      </c>
      <c r="E110">
        <f>SUMIF(Tabla7[Author],"*"&amp;Tabla4[[#This Row],[Author]]&amp;"*",Tabla7[cited by (*Scopus)])</f>
        <v>0</v>
      </c>
    </row>
    <row r="111" spans="1:9" x14ac:dyDescent="0.25">
      <c r="A111" t="s">
        <v>5183</v>
      </c>
      <c r="B111" t="s">
        <v>5204</v>
      </c>
      <c r="C111" t="s">
        <v>5221</v>
      </c>
      <c r="D111">
        <v>1</v>
      </c>
      <c r="E111">
        <f>SUMIF(Tabla7[Author],"*"&amp;Tabla4[[#This Row],[Author]]&amp;"*",Tabla7[cited by (*Scopus)])</f>
        <v>0</v>
      </c>
    </row>
    <row r="112" spans="1:9" x14ac:dyDescent="0.25">
      <c r="A112" t="s">
        <v>5193</v>
      </c>
      <c r="B112" t="s">
        <v>5214</v>
      </c>
      <c r="C112" t="s">
        <v>5221</v>
      </c>
      <c r="D112">
        <v>1</v>
      </c>
      <c r="E112">
        <f>SUMIF(Tabla7[Author],"*"&amp;Tabla4[[#This Row],[Author]]&amp;"*",Tabla7[cited by (*Scopus)])</f>
        <v>0</v>
      </c>
    </row>
    <row r="113" spans="1:5" x14ac:dyDescent="0.25">
      <c r="A113" t="s">
        <v>5185</v>
      </c>
      <c r="B113" t="s">
        <v>5214</v>
      </c>
      <c r="C113" t="s">
        <v>5221</v>
      </c>
      <c r="D113">
        <v>1</v>
      </c>
      <c r="E113">
        <f>SUMIF(Tabla7[Author],"*"&amp;Tabla4[[#This Row],[Author]]&amp;"*",Tabla7[cited by (*Scopus)])</f>
        <v>0</v>
      </c>
    </row>
    <row r="114" spans="1:5" x14ac:dyDescent="0.25">
      <c r="A114" t="s">
        <v>5187</v>
      </c>
      <c r="B114" t="s">
        <v>5214</v>
      </c>
      <c r="C114" t="s">
        <v>5221</v>
      </c>
      <c r="D114">
        <v>1</v>
      </c>
      <c r="E114">
        <f>SUMIF(Tabla7[Author],"*"&amp;Tabla4[[#This Row],[Author]]&amp;"*",Tabla7[cited by (*Scopus)])</f>
        <v>0</v>
      </c>
    </row>
    <row r="115" spans="1:5" x14ac:dyDescent="0.25">
      <c r="A115" t="s">
        <v>5181</v>
      </c>
      <c r="B115" t="s">
        <v>5204</v>
      </c>
      <c r="C115" t="s">
        <v>5221</v>
      </c>
      <c r="D115">
        <v>1</v>
      </c>
      <c r="E115">
        <f>SUMIF(Tabla7[Author],"*"&amp;Tabla4[[#This Row],[Author]]&amp;"*",Tabla7[cited by (*Scopus)])</f>
        <v>0</v>
      </c>
    </row>
    <row r="116" spans="1:5" x14ac:dyDescent="0.25">
      <c r="A116" t="s">
        <v>5161</v>
      </c>
      <c r="B116" t="s">
        <v>5216</v>
      </c>
      <c r="C116" t="s">
        <v>5221</v>
      </c>
      <c r="D116">
        <v>1</v>
      </c>
      <c r="E116">
        <f>SUMIF(Tabla7[Author],"*"&amp;Tabla4[[#This Row],[Author]]&amp;"*",Tabla7[cited by (*Scopus)])</f>
        <v>0</v>
      </c>
    </row>
    <row r="117" spans="1:5" x14ac:dyDescent="0.25">
      <c r="A117" t="s">
        <v>3045</v>
      </c>
      <c r="B117" t="s">
        <v>5206</v>
      </c>
      <c r="C117" t="s">
        <v>5223</v>
      </c>
      <c r="D117">
        <v>1</v>
      </c>
      <c r="E117">
        <f>SUMIF(Tabla7[Author],"*"&amp;Tabla4[[#This Row],[Author]]&amp;"*",Tabla7[cited by (*Scopus)])</f>
        <v>1</v>
      </c>
    </row>
  </sheetData>
  <sortState xmlns:xlrd2="http://schemas.microsoft.com/office/spreadsheetml/2017/richdata2" ref="A2:A120">
    <sortCondition ref="A2"/>
  </sortState>
  <pageMargins left="0.7" right="0.7" top="0.75" bottom="0.75" header="0.3" footer="0.3"/>
  <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G 0 E A A B Q S w M E F A A C A A g A X E R J T B b d y 9 O o A A A A + A A A A B I A H A B D b 2 5 m a W c v U G F j a 2 F n Z S 5 4 b W w g o h g A K K A U A A A A A A A A A A A A A A A A A A A A A A A A A A A A h Y 9 N C s I w G E S v U r J v k v 5 B L V / T h b i z I B T E b Y i x D b a p N K n p 3 V x 4 J K 9 g Q a v u X M 7 w B t 4 8 b n c o p q 7 1 r n I w q t c 5 C j B F n t S i P y p d 5 2 i 0 J z 9 F B Y M d F 2 d e S 2 + G t c k m o 3 L U W H v J C H H O Y R f h f q h J S G l A D u W 2 E o 3 s u K + 0 s V w L i T 6 r 4 / 8 V Y r B / y b A Q J x G O V 0 m M o z Q A s t R Q K v 1 F w t k Y U y A / J a z H 1 o 6 D Z N L 4 m w r I E o G 8 X 7 A n U E s D B B Q A A g A I A F x E S U 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c R E l M 0 V w 0 p 2 M B A A C B B w A A E w A c A E Z v c m 1 1 b G F z L 1 N l Y 3 R p b 2 4 x L m 0 g o h g A K K A U A A A A A A A A A A A A A A A A A A A A A A A A A A A A 7 Z R d S 8 M w F I a v L f Q / h H q z Q S n r v v y i F 6 W t M F C H a 3 d l Z W R t 3 A 6 k y U z S 4 h j 7 7 0 a K O H G 5 E q 9 c b p I 8 J 3 n P O e Q l k h Q K O E N p O / s 3 t m V b c o 0 F K R G m F A W I E m V b S I + p g B V h m k S y 8 W J e 1 B V h q n M L l H g R Z 0 p v Z M e J r / M 5 g 4 Y I C S U u 8 y h M p y m K E 5 S k 2 T y e T P N Q r O E e K 5 L e z X K t 7 x W y c b r u U 0 w o V K C I C J w z x 0 U R p 3 X F Z O A P X Z S w g p f A V s F 4 1 O v 5 L n q s u b 6 u t p Q E X 0 t P 1 / T c d d t C z 5 0 M N h w V u F o C L r m j S 8 7 w U h / K B G b y h Y u q 1 c + 2 G y I 7 b V v u b u e 0 1 N f 5 l Y 4 g R d 7 U 3 k W f v G / g A 8 0 n T I 2 H 3 o f e Q W B o u D A y 8 L G B X x j 4 p Y F f G b j f M w V M L f u m n v 2 B K f C 9 6 X 3 X t o A d f 5 V D p 6 X 3 6 S I U r z X M S L P o L 5 Z Y Q v F b 6 y V h r m X z h 5 o 0 P D + W 4 O S 9 k / d + e o / x u N 5 Q K P Q f J f / S g o d 5 T k 7 8 v 0 5 8 B 1 B L A Q I t A B Q A A g A I A F x E S U w W 3 c v T q A A A A P g A A A A S A A A A A A A A A A A A A A A A A A A A A A B D b 2 5 m a W c v U G F j a 2 F n Z S 5 4 b W x Q S w E C L Q A U A A I A C A B c R E l M D 8 r p q 6 Q A A A D p A A A A E w A A A A A A A A A A A A A A A A D 0 A A A A W 0 N v b n R l b n R f V H l w Z X N d L n h t b F B L A Q I t A B Q A A g A I A F x E S U z R X D S n Y w E A A I E H A A A T A A A A A A A A A A A A A A A A A O U B A A B G b 3 J t d W x h c y 9 T Z W N 0 a W 9 u M S 5 t U E s F B g A A A A A D A A M A w g A A A J U D 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m Y s A A A A A A A A R C w 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F s b 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0 V 4 Y 2 V w d G l v b i I g L z 4 8 R W 5 0 c n k g V H l w Z T 0 i R m l s b E x h c 3 R V c G R h d G V k I i B W Y W x 1 Z T 0 i Z D I w M T c t M T I t M j l U M T M 6 M j U 6 N D E u N T g x N T I 1 N l o 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t d I i A v P j x F b n R y e S B U e X B l P S J G a W x s R X J y b 3 J D b 2 R l I i B W Y W x 1 Z T 0 i c 1 V u a 2 5 v d 2 4 i I C 8 + P E V u d H J 5 I F R 5 c G U 9 I k Z p b G x D b 2 x 1 b W 5 U e X B l c y I g V m F s d W U 9 I n N C Z 1 l E Q m d Z R 0 J n W U d C Z 1 l H Q m d Z P S I g L z 4 8 R W 5 0 c n k g V H l w Z T 0 i R m l s b E V y c m 9 y Q 2 9 1 b n Q i I F Z h b H V l P S J s M C I g L z 4 8 R W 5 0 c n k g V H l w Z T 0 i R m l s b E N v d W 5 0 I i B W Y W x 1 Z T 0 i b D E 5 N C I g L z 4 8 R W 5 0 c n k g V H l w Z T 0 i R m l s b F N 0 Y X R 1 c y I g V m F s d W U 9 I n N D b 2 1 w b G V 0 Z S I g L z 4 8 R W 5 0 c n k g V H l w Z T 0 i R m l s b F R h c m d l d C I g V m F s d W U 9 I n N h b G w i I C 8 + P E V u d H J 5 I F R 5 c G U 9 I k 5 h b W V V c G R h d G V k Q W Z 0 Z X J G a W x s I i B W Y W x 1 Z T 0 i b D A i I C 8 + P E V u d H J 5 I F R 5 c G U 9 I k F k Z G V k V G 9 E Y X R h T W 9 k Z W w i I F Z h b H V l P S J s M C I g L z 4 8 R W 5 0 c n k g V H l w Z T 0 i R m l s b G V k Q 2 9 t c G x l d G V S Z X N 1 b H R U b 1 d v c m t z a G V l d C I g V m F s d W U 9 I m w x I i A v P j x F b n R y e S B U e X B l P S J S Z W x h d G l v b n N o a X B J b m Z v Q 2 9 u d G F p b m V y I i B W Y W x 1 Z T 0 i c 3 s m c X V v d D t j b 2 x 1 b W 5 D b 3 V u d C Z x d W 9 0 O z o x N C w m c X V v d D t r Z X l D b 2 x 1 b W 5 O Y W 1 l c y Z x d W 9 0 O z p b X S w m c X V v d D t x d W V y e V J l b G F 0 a W 9 u c 2 h p c H M m c X V v d D s 6 W 1 0 s J n F 1 b 3 Q 7 Y 2 9 s d W 1 u S W R l b n R p d G l l c y Z x d W 9 0 O z p b J n F 1 b 3 Q 7 U 2 V j d G l v b j E v Y W x s L 1 R p c G 8 g Y 2 F t Y m l h Z G 8 u e 0 N v b H V t b j E s M H 0 m c X V v d D s s J n F 1 b 3 Q 7 U 2 V j d G l v b j E v Y W x s L 1 R p c G 8 g Y 2 F t Y m l h Z G 8 u e 0 N v b H V t b j I s M X 0 m c X V v d D s s J n F 1 b 3 Q 7 U 2 V j d G l v b j E v Y W x s L 1 R p c G 8 g Y 2 F t Y m l h Z G 8 u e 0 N v b H V t b j M s M n 0 m c X V v d D s s J n F 1 b 3 Q 7 U 2 V j d G l v b j E v Y W x s L 1 R p c G 8 g Y 2 F t Y m l h Z G 8 u e 0 N v b H V t b j Q s M 3 0 m c X V v d D s s J n F 1 b 3 Q 7 U 2 V j d G l v b j E v Y W x s L 1 R p c G 8 g Y 2 F t Y m l h Z G 8 u e 0 N v b H V t b j U s N H 0 m c X V v d D s s J n F 1 b 3 Q 7 U 2 V j d G l v b j E v Y W x s L 1 R p c G 8 g Y 2 F t Y m l h Z G 8 u e 0 N v b H V t b j Y s N X 0 m c X V v d D s s J n F 1 b 3 Q 7 U 2 V j d G l v b j E v Y W x s L 1 R p c G 8 g Y 2 F t Y m l h Z G 8 u e 0 N v b H V t b j c s N n 0 m c X V v d D s s J n F 1 b 3 Q 7 U 2 V j d G l v b j E v Y W x s L 1 R p c G 8 g Y 2 F t Y m l h Z G 8 u e 0 N v b H V t b j g s N 3 0 m c X V v d D s s J n F 1 b 3 Q 7 U 2 V j d G l v b j E v Y W x s L 1 R p c G 8 g Y 2 F t Y m l h Z G 8 u e 0 N v b H V t b j k s O H 0 m c X V v d D s s J n F 1 b 3 Q 7 U 2 V j d G l v b j E v Y W x s L 1 R p c G 8 g Y 2 F t Y m l h Z G 8 u e 0 N v b H V t b j E w L D l 9 J n F 1 b 3 Q 7 L C Z x d W 9 0 O 1 N l Y 3 R p b 2 4 x L 2 F s b C 9 U a X B v I G N h b W J p Y W R v L n t D b 2 x 1 b W 4 x M S w x M H 0 m c X V v d D s s J n F 1 b 3 Q 7 U 2 V j d G l v b j E v Y W x s L 1 R p c G 8 g Y 2 F t Y m l h Z G 8 u e 0 N v b H V t b j E y L D E x f S Z x d W 9 0 O y w m c X V v d D t T Z W N 0 a W 9 u M S 9 h b G w v V G l w b y B j Y W 1 i a W F k b y 5 7 Q 2 9 s d W 1 u M T M s M T J 9 J n F 1 b 3 Q 7 L C Z x d W 9 0 O 1 N l Y 3 R p b 2 4 x L 2 F s b C 9 U a X B v I G N h b W J p Y W R v L n t D b 2 x 1 b W 4 x N C w x M 3 0 m c X V v d D t d L C Z x d W 9 0 O 0 N v b H V t b k N v d W 5 0 J n F 1 b 3 Q 7 O j E 0 L C Z x d W 9 0 O 0 t l e U N v b H V t b k 5 h b W V z J n F 1 b 3 Q 7 O l t d L C Z x d W 9 0 O 0 N v b H V t b k l k Z W 5 0 a X R p Z X M m c X V v d D s 6 W y Z x d W 9 0 O 1 N l Y 3 R p b 2 4 x L 2 F s b C 9 U a X B v I G N h b W J p Y W R v L n t D b 2 x 1 b W 4 x L D B 9 J n F 1 b 3 Q 7 L C Z x d W 9 0 O 1 N l Y 3 R p b 2 4 x L 2 F s b C 9 U a X B v I G N h b W J p Y W R v L n t D b 2 x 1 b W 4 y L D F 9 J n F 1 b 3 Q 7 L C Z x d W 9 0 O 1 N l Y 3 R p b 2 4 x L 2 F s b C 9 U a X B v I G N h b W J p Y W R v L n t D b 2 x 1 b W 4 z L D J 9 J n F 1 b 3 Q 7 L C Z x d W 9 0 O 1 N l Y 3 R p b 2 4 x L 2 F s b C 9 U a X B v I G N h b W J p Y W R v L n t D b 2 x 1 b W 4 0 L D N 9 J n F 1 b 3 Q 7 L C Z x d W 9 0 O 1 N l Y 3 R p b 2 4 x L 2 F s b C 9 U a X B v I G N h b W J p Y W R v L n t D b 2 x 1 b W 4 1 L D R 9 J n F 1 b 3 Q 7 L C Z x d W 9 0 O 1 N l Y 3 R p b 2 4 x L 2 F s b C 9 U a X B v I G N h b W J p Y W R v L n t D b 2 x 1 b W 4 2 L D V 9 J n F 1 b 3 Q 7 L C Z x d W 9 0 O 1 N l Y 3 R p b 2 4 x L 2 F s b C 9 U a X B v I G N h b W J p Y W R v L n t D b 2 x 1 b W 4 3 L D Z 9 J n F 1 b 3 Q 7 L C Z x d W 9 0 O 1 N l Y 3 R p b 2 4 x L 2 F s b C 9 U a X B v I G N h b W J p Y W R v L n t D b 2 x 1 b W 4 4 L D d 9 J n F 1 b 3 Q 7 L C Z x d W 9 0 O 1 N l Y 3 R p b 2 4 x L 2 F s b C 9 U a X B v I G N h b W J p Y W R v L n t D b 2 x 1 b W 4 5 L D h 9 J n F 1 b 3 Q 7 L C Z x d W 9 0 O 1 N l Y 3 R p b 2 4 x L 2 F s b C 9 U a X B v I G N h b W J p Y W R v L n t D b 2 x 1 b W 4 x M C w 5 f S Z x d W 9 0 O y w m c X V v d D t T Z W N 0 a W 9 u M S 9 h b G w v V G l w b y B j Y W 1 i a W F k b y 5 7 Q 2 9 s d W 1 u M T E s M T B 9 J n F 1 b 3 Q 7 L C Z x d W 9 0 O 1 N l Y 3 R p b 2 4 x L 2 F s b C 9 U a X B v I G N h b W J p Y W R v L n t D b 2 x 1 b W 4 x M i w x M X 0 m c X V v d D s s J n F 1 b 3 Q 7 U 2 V j d G l v b j E v Y W x s L 1 R p c G 8 g Y 2 F t Y m l h Z G 8 u e 0 N v b H V t b j E z L D E y f S Z x d W 9 0 O y w m c X V v d D t T Z W N 0 a W 9 u M S 9 h b G w v V G l w b y B j Y W 1 i a W F k b y 5 7 Q 2 9 s d W 1 u M T Q s M T N 9 J n F 1 b 3 Q 7 X S w m c X V v d D t S Z W x h d G l v b n N o a X B J b m Z v J n F 1 b 3 Q 7 O l t d f S I g L z 4 8 L 1 N 0 Y W J s Z U V u d H J p Z X M + P C 9 J d G V t P j x J d G V t P j x J d G V t T G 9 j Y X R p b 2 4 + P E l 0 Z W 1 U e X B l P k Z v c m 1 1 b G E 8 L 0 l 0 Z W 1 U e X B l P j x J d G V t U G F 0 a D 5 T Z W N 0 a W 9 u M S 9 h b G w v T 3 J p Z 2 V u P C 9 J d G V t U G F 0 a D 4 8 L 0 l 0 Z W 1 M b 2 N h d G l v b j 4 8 U 3 R h Y m x l R W 5 0 c m l l c y A v P j w v S X R l b T 4 8 S X R l b T 4 8 S X R l b U x v Y 2 F 0 a W 9 u P j x J d G V t V H l w Z T 5 G b 3 J t d W x h P C 9 J d G V t V H l w Z T 4 8 S X R l b V B h d G g + U 2 V j d G l v b j E v Y W x s L 1 R p c G 8 l M j B j Y W 1 i a W F k b z w v S X R l b V B h d G g + P C 9 J d G V t T G 9 j Y X R p b 2 4 + P F N 0 Y W J s Z U V u d H J p Z X M g L z 4 8 L 0 l 0 Z W 0 + P E l 0 Z W 0 + P E l 0 Z W 1 M b 2 N h d G l v b j 4 8 S X R l b V R 5 c G U + R m 9 y b X V s Y T w v S X R l b V R 5 c G U + P E l 0 Z W 1 Q Y X R o P l N l Y 3 R p b 2 4 x L 1 N N U 1 9 B c n F 1 a V J l d l 8 y X 2 J h c 2 l j 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M Y X N 0 V X B k Y X R l Z C I g V m F s d W U 9 I m Q y M D E 4 L T A x L T I 0 V D E 0 O j U y O j Q 4 L j Q 2 M D Y 3 N D Z a I i A v P j x F b n R y e S B U e X B l P S J G a W x s R X J y b 3 J D b 2 R l I i B W Y W x 1 Z T 0 i c 1 V u a 2 5 v d 2 4 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t d I i A v P j x F b n R y e S B U e X B l P S J G a W x s Q 2 9 s d W 1 u V H l w Z X M i I F Z h b H V l P S J z Q m d Z R E J n W U d C Z 1 l H Q m d Z R 0 J n W T 0 i I C 8 + P E V u d H J 5 I F R 5 c G U 9 I k Z p b G x F c n J v c k N v d W 5 0 I i B W Y W x 1 Z T 0 i b D A i I C 8 + P E V u d H J 5 I F R 5 c G U 9 I k Z p b G x D b 3 V u d C I g V m F s d W U 9 I m w 3 M D Q i I C 8 + P E V u d H J 5 I F R 5 c G U 9 I k Z p b G x T d G F 0 d X M i I F Z h b H V l P S J z Q 2 9 t c G x l d G U i I C 8 + P E V u d H J 5 I F R 5 c G U 9 I k 5 h b W V V c G R h d G V k Q W Z 0 Z X J G a W x s I i B W Y W x 1 Z T 0 i b D A i I C 8 + P E V u d H J 5 I F R 5 c G U 9 I k F k Z G V k V G 9 E Y X R h T W 9 k Z W w i I F Z h b H V l P S J s M C I g L z 4 8 R W 5 0 c n k g V H l w Z T 0 i R m l s b G V k Q 2 9 t c G x l d G V S Z X N 1 b H R U b 1 d v c m t z a G V l d C I g V m F s d W U 9 I m w x I i A v P j x F b n R y e S B U e X B l P S J S Z W x h d G l v b n N o a X B J b m Z v Q 2 9 u d G F p b m V y I i B W Y W x 1 Z T 0 i c 3 s m c X V v d D t j b 2 x 1 b W 5 D b 3 V u d C Z x d W 9 0 O z o x N C w m c X V v d D t r Z X l D b 2 x 1 b W 5 O Y W 1 l c y Z x d W 9 0 O z p b X S w m c X V v d D t x d W V y e V J l b G F 0 a W 9 u c 2 h p c H M m c X V v d D s 6 W 1 0 s J n F 1 b 3 Q 7 Y 2 9 s d W 1 u S W R l b n R p d G l l c y Z x d W 9 0 O z p b J n F 1 b 3 Q 7 U 2 V j d G l v b j E v U 0 1 T X 0 F y c X V p U m V 2 X z J f Y m F z a W M v V G l w b y B j Y W 1 i a W F k b y 5 7 Q 2 9 s d W 1 u M S w w f S Z x d W 9 0 O y w m c X V v d D t T Z W N 0 a W 9 u M S 9 T T V N f Q X J x d W l S Z X Z f M l 9 i Y X N p Y y 9 U a X B v I G N h b W J p Y W R v L n t D b 2 x 1 b W 4 y L D F 9 J n F 1 b 3 Q 7 L C Z x d W 9 0 O 1 N l Y 3 R p b 2 4 x L 1 N N U 1 9 B c n F 1 a V J l d l 8 y X 2 J h c 2 l j L 1 R p c G 8 g Y 2 F t Y m l h Z G 8 u e 0 N v b H V t b j M s M n 0 m c X V v d D s s J n F 1 b 3 Q 7 U 2 V j d G l v b j E v U 0 1 T X 0 F y c X V p U m V 2 X z J f Y m F z a W M v V G l w b y B j Y W 1 i a W F k b y 5 7 Q 2 9 s d W 1 u N C w z f S Z x d W 9 0 O y w m c X V v d D t T Z W N 0 a W 9 u M S 9 T T V N f Q X J x d W l S Z X Z f M l 9 i Y X N p Y y 9 U a X B v I G N h b W J p Y W R v L n t D b 2 x 1 b W 4 1 L D R 9 J n F 1 b 3 Q 7 L C Z x d W 9 0 O 1 N l Y 3 R p b 2 4 x L 1 N N U 1 9 B c n F 1 a V J l d l 8 y X 2 J h c 2 l j L 1 R p c G 8 g Y 2 F t Y m l h Z G 8 u e 0 N v b H V t b j Y s N X 0 m c X V v d D s s J n F 1 b 3 Q 7 U 2 V j d G l v b j E v U 0 1 T X 0 F y c X V p U m V 2 X z J f Y m F z a W M v V G l w b y B j Y W 1 i a W F k b y 5 7 Q 2 9 s d W 1 u N y w 2 f S Z x d W 9 0 O y w m c X V v d D t T Z W N 0 a W 9 u M S 9 T T V N f Q X J x d W l S Z X Z f M l 9 i Y X N p Y y 9 U a X B v I G N h b W J p Y W R v L n t D b 2 x 1 b W 4 4 L D d 9 J n F 1 b 3 Q 7 L C Z x d W 9 0 O 1 N l Y 3 R p b 2 4 x L 1 N N U 1 9 B c n F 1 a V J l d l 8 y X 2 J h c 2 l j L 1 R p c G 8 g Y 2 F t Y m l h Z G 8 u e 0 N v b H V t b j k s O H 0 m c X V v d D s s J n F 1 b 3 Q 7 U 2 V j d G l v b j E v U 0 1 T X 0 F y c X V p U m V 2 X z J f Y m F z a W M v V G l w b y B j Y W 1 i a W F k b y 5 7 Q 2 9 s d W 1 u M T A s O X 0 m c X V v d D s s J n F 1 b 3 Q 7 U 2 V j d G l v b j E v U 0 1 T X 0 F y c X V p U m V 2 X z J f Y m F z a W M v V G l w b y B j Y W 1 i a W F k b y 5 7 Q 2 9 s d W 1 u M T E s M T B 9 J n F 1 b 3 Q 7 L C Z x d W 9 0 O 1 N l Y 3 R p b 2 4 x L 1 N N U 1 9 B c n F 1 a V J l d l 8 y X 2 J h c 2 l j L 1 R p c G 8 g Y 2 F t Y m l h Z G 8 u e 0 N v b H V t b j E y L D E x f S Z x d W 9 0 O y w m c X V v d D t T Z W N 0 a W 9 u M S 9 T T V N f Q X J x d W l S Z X Z f M l 9 i Y X N p Y y 9 U a X B v I G N h b W J p Y W R v L n t D b 2 x 1 b W 4 x M y w x M n 0 m c X V v d D s s J n F 1 b 3 Q 7 U 2 V j d G l v b j E v U 0 1 T X 0 F y c X V p U m V 2 X z J f Y m F z a W M v V G l w b y B j Y W 1 i a W F k b y 5 7 Q 2 9 s d W 1 u M T Q s M T N 9 J n F 1 b 3 Q 7 X S w m c X V v d D t D b 2 x 1 b W 5 D b 3 V u d C Z x d W 9 0 O z o x N C w m c X V v d D t L Z X l D b 2 x 1 b W 5 O Y W 1 l c y Z x d W 9 0 O z p b X S w m c X V v d D t D b 2 x 1 b W 5 J Z G V u d G l 0 a W V z J n F 1 b 3 Q 7 O l s m c X V v d D t T Z W N 0 a W 9 u M S 9 T T V N f Q X J x d W l S Z X Z f M l 9 i Y X N p Y y 9 U a X B v I G N h b W J p Y W R v L n t D b 2 x 1 b W 4 x L D B 9 J n F 1 b 3 Q 7 L C Z x d W 9 0 O 1 N l Y 3 R p b 2 4 x L 1 N N U 1 9 B c n F 1 a V J l d l 8 y X 2 J h c 2 l j L 1 R p c G 8 g Y 2 F t Y m l h Z G 8 u e 0 N v b H V t b j I s M X 0 m c X V v d D s s J n F 1 b 3 Q 7 U 2 V j d G l v b j E v U 0 1 T X 0 F y c X V p U m V 2 X z J f Y m F z a W M v V G l w b y B j Y W 1 i a W F k b y 5 7 Q 2 9 s d W 1 u M y w y f S Z x d W 9 0 O y w m c X V v d D t T Z W N 0 a W 9 u M S 9 T T V N f Q X J x d W l S Z X Z f M l 9 i Y X N p Y y 9 U a X B v I G N h b W J p Y W R v L n t D b 2 x 1 b W 4 0 L D N 9 J n F 1 b 3 Q 7 L C Z x d W 9 0 O 1 N l Y 3 R p b 2 4 x L 1 N N U 1 9 B c n F 1 a V J l d l 8 y X 2 J h c 2 l j L 1 R p c G 8 g Y 2 F t Y m l h Z G 8 u e 0 N v b H V t b j U s N H 0 m c X V v d D s s J n F 1 b 3 Q 7 U 2 V j d G l v b j E v U 0 1 T X 0 F y c X V p U m V 2 X z J f Y m F z a W M v V G l w b y B j Y W 1 i a W F k b y 5 7 Q 2 9 s d W 1 u N i w 1 f S Z x d W 9 0 O y w m c X V v d D t T Z W N 0 a W 9 u M S 9 T T V N f Q X J x d W l S Z X Z f M l 9 i Y X N p Y y 9 U a X B v I G N h b W J p Y W R v L n t D b 2 x 1 b W 4 3 L D Z 9 J n F 1 b 3 Q 7 L C Z x d W 9 0 O 1 N l Y 3 R p b 2 4 x L 1 N N U 1 9 B c n F 1 a V J l d l 8 y X 2 J h c 2 l j L 1 R p c G 8 g Y 2 F t Y m l h Z G 8 u e 0 N v b H V t b j g s N 3 0 m c X V v d D s s J n F 1 b 3 Q 7 U 2 V j d G l v b j E v U 0 1 T X 0 F y c X V p U m V 2 X z J f Y m F z a W M v V G l w b y B j Y W 1 i a W F k b y 5 7 Q 2 9 s d W 1 u O S w 4 f S Z x d W 9 0 O y w m c X V v d D t T Z W N 0 a W 9 u M S 9 T T V N f Q X J x d W l S Z X Z f M l 9 i Y X N p Y y 9 U a X B v I G N h b W J p Y W R v L n t D b 2 x 1 b W 4 x M C w 5 f S Z x d W 9 0 O y w m c X V v d D t T Z W N 0 a W 9 u M S 9 T T V N f Q X J x d W l S Z X Z f M l 9 i Y X N p Y y 9 U a X B v I G N h b W J p Y W R v L n t D b 2 x 1 b W 4 x M S w x M H 0 m c X V v d D s s J n F 1 b 3 Q 7 U 2 V j d G l v b j E v U 0 1 T X 0 F y c X V p U m V 2 X z J f Y m F z a W M v V G l w b y B j Y W 1 i a W F k b y 5 7 Q 2 9 s d W 1 u M T I s M T F 9 J n F 1 b 3 Q 7 L C Z x d W 9 0 O 1 N l Y 3 R p b 2 4 x L 1 N N U 1 9 B c n F 1 a V J l d l 8 y X 2 J h c 2 l j L 1 R p c G 8 g Y 2 F t Y m l h Z G 8 u e 0 N v b H V t b j E z L D E y f S Z x d W 9 0 O y w m c X V v d D t T Z W N 0 a W 9 u M S 9 T T V N f Q X J x d W l S Z X Z f M l 9 i Y X N p Y y 9 U a X B v I G N h b W J p Y W R v L n t D b 2 x 1 b W 4 x N C w x M 3 0 m c X V v d D t d L C Z x d W 9 0 O 1 J l b G F 0 a W 9 u c 2 h p c E l u Z m 8 m c X V v d D s 6 W 1 1 9 I i A v P j w v U 3 R h Y m x l R W 5 0 c m l l c z 4 8 L 0 l 0 Z W 0 + P E l 0 Z W 0 + P E l 0 Z W 1 M b 2 N h d G l v b j 4 8 S X R l b V R 5 c G U + R m 9 y b X V s Y T w v S X R l b V R 5 c G U + P E l 0 Z W 1 Q Y X R o P l N l Y 3 R p b 2 4 x L 1 N N U 1 9 B c n F 1 a V J l d l 8 y X 2 J h c 2 l j L 0 9 y a W d l b j w v S X R l b V B h d G g + P C 9 J d G V t T G 9 j Y X R p b 2 4 + P F N 0 Y W J s Z U V u d H J p Z X M g L z 4 8 L 0 l 0 Z W 0 + P E l 0 Z W 0 + P E l 0 Z W 1 M b 2 N h d G l v b j 4 8 S X R l b V R 5 c G U + R m 9 y b X V s Y T w v S X R l b V R 5 c G U + P E l 0 Z W 1 Q Y X R o P l N l Y 3 R p b 2 4 x L 1 N N U 1 9 B c n F 1 a V J l d l 8 y X 2 J h c 2 l j L 1 R p c G 8 l M j B j Y W 1 i a W F k b z w v S X R l b V B h d G g + P C 9 J d G V t T G 9 j Y X R p b 2 4 + P F N 0 Y W J s Z U V u d H J p Z X M g L z 4 8 L 0 l 0 Z W 0 + P E l 0 Z W 0 + P E l 0 Z W 1 M b 2 N h d G l v b j 4 8 S X R l b V R 5 c G U + R m 9 y b X V s Y T w v S X R l b V R 5 c G U + P E l 0 Z W 1 Q Y X R o P l N l Y 3 R p b 2 4 x L 1 N N U 1 9 B c n F 1 a V J l d l 8 y X 2 5 v R H V w b G l j Y X R l 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S Z X N 1 b H R U e X B l I i B W Y W x 1 Z T 0 i c 1 R h Y m x l I i A v P j x F b n R y e S B U e X B l P S J C d W Z m Z X J O Z X h 0 U m V m c m V z a C I g V m F s d W U 9 I m w x I i A v P j x F b n R y e S B U e X B l P S J G a W x s T G F z d F V w Z G F 0 Z W Q i I F Z h b H V l P S J k M j A x O C 0 w M S 0 y N F Q x N T o y M j o z M i 4 0 O D U w N j c 1 W i I g L z 4 8 R W 5 0 c n k g V H l w Z T 0 i R m l s b E V y c m 9 y Q 2 9 k Z S I g V m F s d W U 9 I n N V b m t u b 3 d u 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X S I g L z 4 8 R W 5 0 c n k g V H l w Z T 0 i R m l s b E N v b H V t b l R 5 c G V z I i B W Y W x 1 Z T 0 i c 0 J n W U R C Z 1 l H Q m d Z R 0 J n W U d C Z 1 k 9 I i A v P j x F b n R y e S B U e X B l P S J G a W x s R X J y b 3 J D b 3 V u d C I g V m F s d W U 9 I m w w I i A v P j x F b n R y e S B U e X B l P S J G a W x s Q 2 9 1 b n Q i I F Z h b H V l P S J s N j U x I i A v P j x F b n R y e S B U e X B l P S J G a W x s U 3 R h d H V z I i B W Y W x 1 Z T 0 i c 0 N v b X B s Z X R l I i A v P j x F b n R y e S B U e X B l P S J G a W x s V G F y Z 2 V 0 I i B W Y W x 1 Z T 0 i c 1 N N U y I g L z 4 8 R W 5 0 c n k g V H l w Z T 0 i T m F t Z V V w Z G F 0 Z W R B Z n R l c k Z p b G w i I F Z h b H V l P S J s M C I g L z 4 8 R W 5 0 c n k g V H l w Z T 0 i Q W R k Z W R U b 0 R h d G F N b 2 R l b C I g V m F s d W U 9 I m w w I i A v P j x F b n R y e S B U e X B l P S J G a W x s Z W R D b 2 1 w b G V 0 Z V J l c 3 V s d F R v V 2 9 y a 3 N o Z W V 0 I i B W Y W x 1 Z T 0 i b D E i I C 8 + P E V u d H J 5 I F R 5 c G U 9 I l J l b G F 0 a W 9 u c 2 h p c E l u Z m 9 D b 2 5 0 Y W l u Z X I i I F Z h b H V l P S J z e y Z x d W 9 0 O 2 N v b H V t b k N v d W 5 0 J n F 1 b 3 Q 7 O j E 0 L C Z x d W 9 0 O 2 t l e U N v b H V t b k 5 h b W V z J n F 1 b 3 Q 7 O l t d L C Z x d W 9 0 O 3 F 1 Z X J 5 U m V s Y X R p b 2 5 z a G l w c y Z x d W 9 0 O z p b X S w m c X V v d D t j b 2 x 1 b W 5 J Z G V u d G l 0 a W V z J n F 1 b 3 Q 7 O l s m c X V v d D t T Z W N 0 a W 9 u M S 9 T T V N f Q X J x d W l S Z X Z f M l 9 u b 0 R 1 c G x p Y 2 F 0 Z X M v V G l w b y B j Y W 1 i a W F k b y 5 7 Q 2 9 s d W 1 u M S w w f S Z x d W 9 0 O y w m c X V v d D t T Z W N 0 a W 9 u M S 9 T T V N f Q X J x d W l S Z X Z f M l 9 u b 0 R 1 c G x p Y 2 F 0 Z X M v V G l w b y B j Y W 1 i a W F k b y 5 7 Q 2 9 s d W 1 u M i w x f S Z x d W 9 0 O y w m c X V v d D t T Z W N 0 a W 9 u M S 9 T T V N f Q X J x d W l S Z X Z f M l 9 u b 0 R 1 c G x p Y 2 F 0 Z X M v V G l w b y B j Y W 1 i a W F k b y 5 7 Q 2 9 s d W 1 u M y w y f S Z x d W 9 0 O y w m c X V v d D t T Z W N 0 a W 9 u M S 9 T T V N f Q X J x d W l S Z X Z f M l 9 u b 0 R 1 c G x p Y 2 F 0 Z X M v V G l w b y B j Y W 1 i a W F k b y 5 7 Q 2 9 s d W 1 u N C w z f S Z x d W 9 0 O y w m c X V v d D t T Z W N 0 a W 9 u M S 9 T T V N f Q X J x d W l S Z X Z f M l 9 u b 0 R 1 c G x p Y 2 F 0 Z X M v V G l w b y B j Y W 1 i a W F k b y 5 7 Q 2 9 s d W 1 u N S w 0 f S Z x d W 9 0 O y w m c X V v d D t T Z W N 0 a W 9 u M S 9 T T V N f Q X J x d W l S Z X Z f M l 9 u b 0 R 1 c G x p Y 2 F 0 Z X M v V G l w b y B j Y W 1 i a W F k b y 5 7 Q 2 9 s d W 1 u N i w 1 f S Z x d W 9 0 O y w m c X V v d D t T Z W N 0 a W 9 u M S 9 T T V N f Q X J x d W l S Z X Z f M l 9 u b 0 R 1 c G x p Y 2 F 0 Z X M v V G l w b y B j Y W 1 i a W F k b y 5 7 Q 2 9 s d W 1 u N y w 2 f S Z x d W 9 0 O y w m c X V v d D t T Z W N 0 a W 9 u M S 9 T T V N f Q X J x d W l S Z X Z f M l 9 u b 0 R 1 c G x p Y 2 F 0 Z X M v V G l w b y B j Y W 1 i a W F k b y 5 7 Q 2 9 s d W 1 u O C w 3 f S Z x d W 9 0 O y w m c X V v d D t T Z W N 0 a W 9 u M S 9 T T V N f Q X J x d W l S Z X Z f M l 9 u b 0 R 1 c G x p Y 2 F 0 Z X M v V G l w b y B j Y W 1 i a W F k b y 5 7 Q 2 9 s d W 1 u O S w 4 f S Z x d W 9 0 O y w m c X V v d D t T Z W N 0 a W 9 u M S 9 T T V N f Q X J x d W l S Z X Z f M l 9 u b 0 R 1 c G x p Y 2 F 0 Z X M v V G l w b y B j Y W 1 i a W F k b y 5 7 Q 2 9 s d W 1 u M T A s O X 0 m c X V v d D s s J n F 1 b 3 Q 7 U 2 V j d G l v b j E v U 0 1 T X 0 F y c X V p U m V 2 X z J f b m 9 E d X B s a W N h d G V z L 1 R p c G 8 g Y 2 F t Y m l h Z G 8 u e 0 N v b H V t b j E x L D E w f S Z x d W 9 0 O y w m c X V v d D t T Z W N 0 a W 9 u M S 9 T T V N f Q X J x d W l S Z X Z f M l 9 u b 0 R 1 c G x p Y 2 F 0 Z X M v V G l w b y B j Y W 1 i a W F k b y 5 7 Q 2 9 s d W 1 u M T I s M T F 9 J n F 1 b 3 Q 7 L C Z x d W 9 0 O 1 N l Y 3 R p b 2 4 x L 1 N N U 1 9 B c n F 1 a V J l d l 8 y X 2 5 v R H V w b G l j Y X R l c y 9 U a X B v I G N h b W J p Y W R v L n t D b 2 x 1 b W 4 x M y w x M n 0 m c X V v d D s s J n F 1 b 3 Q 7 U 2 V j d G l v b j E v U 0 1 T X 0 F y c X V p U m V 2 X z J f b m 9 E d X B s a W N h d G V z L 1 R p c G 8 g Y 2 F t Y m l h Z G 8 u e 0 N v b H V t b j E 0 L D E z f S Z x d W 9 0 O 1 0 s J n F 1 b 3 Q 7 Q 2 9 s d W 1 u Q 2 9 1 b n Q m c X V v d D s 6 M T Q s J n F 1 b 3 Q 7 S 2 V 5 Q 2 9 s d W 1 u T m F t Z X M m c X V v d D s 6 W 1 0 s J n F 1 b 3 Q 7 Q 2 9 s d W 1 u S W R l b n R p d G l l c y Z x d W 9 0 O z p b J n F 1 b 3 Q 7 U 2 V j d G l v b j E v U 0 1 T X 0 F y c X V p U m V 2 X z J f b m 9 E d X B s a W N h d G V z L 1 R p c G 8 g Y 2 F t Y m l h Z G 8 u e 0 N v b H V t b j E s M H 0 m c X V v d D s s J n F 1 b 3 Q 7 U 2 V j d G l v b j E v U 0 1 T X 0 F y c X V p U m V 2 X z J f b m 9 E d X B s a W N h d G V z L 1 R p c G 8 g Y 2 F t Y m l h Z G 8 u e 0 N v b H V t b j I s M X 0 m c X V v d D s s J n F 1 b 3 Q 7 U 2 V j d G l v b j E v U 0 1 T X 0 F y c X V p U m V 2 X z J f b m 9 E d X B s a W N h d G V z L 1 R p c G 8 g Y 2 F t Y m l h Z G 8 u e 0 N v b H V t b j M s M n 0 m c X V v d D s s J n F 1 b 3 Q 7 U 2 V j d G l v b j E v U 0 1 T X 0 F y c X V p U m V 2 X z J f b m 9 E d X B s a W N h d G V z L 1 R p c G 8 g Y 2 F t Y m l h Z G 8 u e 0 N v b H V t b j Q s M 3 0 m c X V v d D s s J n F 1 b 3 Q 7 U 2 V j d G l v b j E v U 0 1 T X 0 F y c X V p U m V 2 X z J f b m 9 E d X B s a W N h d G V z L 1 R p c G 8 g Y 2 F t Y m l h Z G 8 u e 0 N v b H V t b j U s N H 0 m c X V v d D s s J n F 1 b 3 Q 7 U 2 V j d G l v b j E v U 0 1 T X 0 F y c X V p U m V 2 X z J f b m 9 E d X B s a W N h d G V z L 1 R p c G 8 g Y 2 F t Y m l h Z G 8 u e 0 N v b H V t b j Y s N X 0 m c X V v d D s s J n F 1 b 3 Q 7 U 2 V j d G l v b j E v U 0 1 T X 0 F y c X V p U m V 2 X z J f b m 9 E d X B s a W N h d G V z L 1 R p c G 8 g Y 2 F t Y m l h Z G 8 u e 0 N v b H V t b j c s N n 0 m c X V v d D s s J n F 1 b 3 Q 7 U 2 V j d G l v b j E v U 0 1 T X 0 F y c X V p U m V 2 X z J f b m 9 E d X B s a W N h d G V z L 1 R p c G 8 g Y 2 F t Y m l h Z G 8 u e 0 N v b H V t b j g s N 3 0 m c X V v d D s s J n F 1 b 3 Q 7 U 2 V j d G l v b j E v U 0 1 T X 0 F y c X V p U m V 2 X z J f b m 9 E d X B s a W N h d G V z L 1 R p c G 8 g Y 2 F t Y m l h Z G 8 u e 0 N v b H V t b j k s O H 0 m c X V v d D s s J n F 1 b 3 Q 7 U 2 V j d G l v b j E v U 0 1 T X 0 F y c X V p U m V 2 X z J f b m 9 E d X B s a W N h d G V z L 1 R p c G 8 g Y 2 F t Y m l h Z G 8 u e 0 N v b H V t b j E w L D l 9 J n F 1 b 3 Q 7 L C Z x d W 9 0 O 1 N l Y 3 R p b 2 4 x L 1 N N U 1 9 B c n F 1 a V J l d l 8 y X 2 5 v R H V w b G l j Y X R l c y 9 U a X B v I G N h b W J p Y W R v L n t D b 2 x 1 b W 4 x M S w x M H 0 m c X V v d D s s J n F 1 b 3 Q 7 U 2 V j d G l v b j E v U 0 1 T X 0 F y c X V p U m V 2 X z J f b m 9 E d X B s a W N h d G V z L 1 R p c G 8 g Y 2 F t Y m l h Z G 8 u e 0 N v b H V t b j E y L D E x f S Z x d W 9 0 O y w m c X V v d D t T Z W N 0 a W 9 u M S 9 T T V N f Q X J x d W l S Z X Z f M l 9 u b 0 R 1 c G x p Y 2 F 0 Z X M v V G l w b y B j Y W 1 i a W F k b y 5 7 Q 2 9 s d W 1 u M T M s M T J 9 J n F 1 b 3 Q 7 L C Z x d W 9 0 O 1 N l Y 3 R p b 2 4 x L 1 N N U 1 9 B c n F 1 a V J l d l 8 y X 2 5 v R H V w b G l j Y X R l c y 9 U a X B v I G N h b W J p Y W R v L n t D b 2 x 1 b W 4 x N C w x M 3 0 m c X V v d D t d L C Z x d W 9 0 O 1 J l b G F 0 a W 9 u c 2 h p c E l u Z m 8 m c X V v d D s 6 W 1 1 9 I i A v P j x F b n R y e S B U e X B l P S J G a W x s V G F y Z 2 V 0 T m F t Z U N 1 c 3 R v b W l 6 Z W Q i I F Z h b H V l P S J s M S I g L z 4 8 L 1 N 0 Y W J s Z U V u d H J p Z X M + P C 9 J d G V t P j x J d G V t P j x J d G V t T G 9 j Y X R p b 2 4 + P E l 0 Z W 1 U e X B l P k Z v c m 1 1 b G E 8 L 0 l 0 Z W 1 U e X B l P j x J d G V t U G F 0 a D 5 T Z W N 0 a W 9 u M S 9 T T V N f Q X J x d W l S Z X Z f M l 9 u b 0 R 1 c G x p Y 2 F 0 Z X M v T 3 J p Z 2 V u P C 9 J d G V t U G F 0 a D 4 8 L 0 l 0 Z W 1 M b 2 N h d G l v b j 4 8 U 3 R h Y m x l R W 5 0 c m l l c y A v P j w v S X R l b T 4 8 S X R l b T 4 8 S X R l b U x v Y 2 F 0 a W 9 u P j x J d G V t V H l w Z T 5 G b 3 J t d W x h P C 9 J d G V t V H l w Z T 4 8 S X R l b V B h d G g + U 2 V j d G l v b j E v U 0 1 T X 0 F y c X V p U m V 2 X z J f b m 9 E d X B s a W N h d G V z L 1 R p c G 8 l M j B j Y W 1 i a W F k b z w v S X R l b V B h d G g + P C 9 J d G V t T G 9 j Y X R p b 2 4 + P F N 0 Y W J s Z U V u d H J p Z X M g L z 4 8 L 0 l 0 Z W 0 + P C 9 J d G V t c z 4 8 L 0 x v Y 2 F s U G F j a 2 F n Z U 1 l d G F k Y X R h R m l s Z T 4 W A A A A U E s F B g A A A A A A A A A A A A A A A A A A A A A A A C Y B A A A B A A A A 0 I y d 3 w E V 0 R G M e g D A T 8 K X 6 w E A A A A m t 9 r y Y d o R Q K 1 g x N Q o v s y z A A A A A A I A A A A A A B B m A A A A A Q A A I A A A A M V W r F d J Z r 8 J F y c r G J F x 7 V g y E M s j M e q p 1 7 0 w 7 e 0 i C S 4 6 A A A A A A 6 A A A A A A g A A I A A A A I d M l N u 5 P T 4 Y d X D o 9 H l G r W A t w Z M E N I D l l / L q / M a n Y J u b U A A A A D R Q K 2 C / H O 6 6 y n 9 Q J R p y O S K Q C / J u C 5 L A P Z R T 2 K r c Z F b C i N h s F N l G 3 N 2 u Y f D + a l u E J O c 9 Z g / j Y Y U g b h C P f J i / M q Q + + Z T 9 J B 4 m B R + k / 4 8 I Z R F B Q A A A A K O h J e T m 0 Q M y + / d y V Y Q V 3 R j 9 t M c z O E 0 9 o m 1 F s u i i 1 C J V 6 J j f 8 u V 7 U H 0 H s s + 2 H 3 u z k j j s + A 8 I X p g o 7 9 K a p e B / l T 8 = < / D a t a M a s h u p > 
</file>

<file path=customXml/itemProps1.xml><?xml version="1.0" encoding="utf-8"?>
<ds:datastoreItem xmlns:ds="http://schemas.openxmlformats.org/officeDocument/2006/customXml" ds:itemID="{9B3B5C8B-A6D4-4A97-BBE7-D4AD6DCB13D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Primary Selection</vt:lpstr>
      <vt:lpstr>SMS</vt:lpstr>
      <vt:lpstr>PRIMARY</vt:lpstr>
      <vt:lpstr>Hoja1</vt:lpstr>
      <vt:lpstr>EXTRACTION_FORM</vt:lpstr>
      <vt:lpstr>param</vt:lpstr>
      <vt:lpstr>Year</vt:lpstr>
      <vt:lpstr>Country</vt:lpstr>
      <vt:lpstr>Authors</vt:lpstr>
      <vt:lpstr>Type</vt:lpstr>
      <vt:lpstr>Source Artifacts</vt:lpstr>
      <vt:lpstr>Techniques</vt:lpstr>
      <vt:lpstr>EA Concern</vt:lpstr>
      <vt:lpstr>EA Framework</vt:lpstr>
      <vt:lpstr>Modelling Language</vt:lpstr>
      <vt:lpstr>applicability</vt:lpstr>
      <vt:lpstr>Quality</vt:lpstr>
      <vt:lpstr>Bubble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Alarcos</dc:creator>
  <cp:lastModifiedBy>Ricardo Pérez</cp:lastModifiedBy>
  <dcterms:created xsi:type="dcterms:W3CDTF">2017-12-29T13:24:18Z</dcterms:created>
  <dcterms:modified xsi:type="dcterms:W3CDTF">2019-01-31T00:46:54Z</dcterms:modified>
</cp:coreProperties>
</file>